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ACE/2021/"/>
    </mc:Choice>
  </mc:AlternateContent>
  <xr:revisionPtr revIDLastSave="0" documentId="8_{4A477F04-7B21-4EDB-8BB8-6A25CB0A2C80}" xr6:coauthVersionLast="45" xr6:coauthVersionMax="45" xr10:uidLastSave="{00000000-0000-0000-0000-000000000000}"/>
  <bookViews>
    <workbookView xWindow="760" yWindow="760" windowWidth="14400" windowHeight="7360" tabRatio="913" xr2:uid="{00000000-000D-0000-FFFF-FFFF00000000}"/>
  </bookViews>
  <sheets>
    <sheet name="ATT H-1A" sheetId="1" r:id="rId1"/>
    <sheet name="1A - ADIT Summary" sheetId="48" r:id="rId2"/>
    <sheet name="1B - ADIT EOY" sheetId="49" r:id="rId3"/>
    <sheet name="1C - ADIT BOY" sheetId="50" r:id="rId4"/>
    <sheet name="1D - ADIT Rate Base Adjustment" sheetId="51" r:id="rId5"/>
    <sheet name="1E - EDIT Amortization" sheetId="52" r:id="rId6"/>
    <sheet name="1F - ADIT Remeasurement" sheetId="53" r:id="rId7"/>
    <sheet name="2 - Other Tax" sheetId="5" r:id="rId8"/>
    <sheet name="3 - Revenue Credits" sheetId="7" r:id="rId9"/>
    <sheet name="4 - 100 Basis Pt ROE" sheetId="8" r:id="rId10"/>
    <sheet name="5 - Cost Support 1" sheetId="9" r:id="rId11"/>
    <sheet name="5a Affiliate Allocations" sheetId="10" r:id="rId12"/>
    <sheet name="5b EBSC Affiliate Allocations" sheetId="31" r:id="rId13"/>
    <sheet name="6-Project Rev Req" sheetId="12" r:id="rId14"/>
    <sheet name="6A-Project True-up" sheetId="13" r:id="rId15"/>
    <sheet name="6B - True-Up Interest " sheetId="14" r:id="rId16"/>
    <sheet name="7 - Cap Add WS" sheetId="47"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3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 localSheetId="16">#REF!</definedName>
    <definedName name="\b">#REF!</definedName>
    <definedName name="\C" localSheetId="16">#REF!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 localSheetId="16">#REF!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 localSheetId="16">#REF!</definedName>
    <definedName name="\N">#REF!</definedName>
    <definedName name="\O">#REF!</definedName>
    <definedName name="\P">#REF!</definedName>
    <definedName name="\P2">#REF!</definedName>
    <definedName name="\q">'[3]Curr adj - depn basis diff'!#REF!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 localSheetId="16">#REF!</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 localSheetId="16">#REF!</definedName>
    <definedName name="___DAT10">#REF!</definedName>
    <definedName name="___DAT11" localSheetId="16">#REF!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4" hidden="1">[15]Inputs!#REF!</definedName>
    <definedName name="__123Graph_B" localSheetId="15" hidden="1">[15]Inputs!#REF!</definedName>
    <definedName name="__123Graph_B" localSheetId="16" hidden="1">[15]Inputs!#REF!</definedName>
    <definedName name="__123Graph_B" localSheetId="19" hidden="1">[15]Inputs!#REF!</definedName>
    <definedName name="__123Graph_B" hidden="1">[15]Inputs!#REF!</definedName>
    <definedName name="__123Graph_C" hidden="1">'[14]AL2 151'!#REF!</definedName>
    <definedName name="__123Graph_D" localSheetId="16" hidden="1">[16]Assump!#REF!</definedName>
    <definedName name="__123Graph_D" localSheetId="19"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 localSheetId="16">'[11]Cost Center List'!#REF!</definedName>
    <definedName name="__DAT1">'[11]Cost Center List'!#REF!</definedName>
    <definedName name="__DAT10" localSheetId="16">#REF!</definedName>
    <definedName name="__DAT10">#REF!</definedName>
    <definedName name="__DAT11" localSheetId="16">#REF!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 localSheetId="16">#REF!</definedName>
    <definedName name="__gas2006">#REF!</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 localSheetId="16">'[6]YTD Summary'!#REF!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 localSheetId="16">#REF!</definedName>
    <definedName name="_6532">#REF!</definedName>
    <definedName name="_6533" localSheetId="16">#REF!</definedName>
    <definedName name="_6533">#REF!</definedName>
    <definedName name="_6540">#REF!</definedName>
    <definedName name="_6543" localSheetId="16">#REF!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 localSheetId="16">#REF!</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 localSheetId="16">#REF!</definedName>
    <definedName name="_agr8691">#REF!</definedName>
    <definedName name="_agr8790">[10]Model!$I$59</definedName>
    <definedName name="_agr8791">[10]Model!$J$59</definedName>
    <definedName name="_agr8792" localSheetId="16">#REF!</definedName>
    <definedName name="_agr8792">#REF!</definedName>
    <definedName name="_agr8890">[10]Model!$I$60</definedName>
    <definedName name="_agr8891">[10]Model!$J$60</definedName>
    <definedName name="_agr8892">[10]Model!$K$60</definedName>
    <definedName name="_agr8893" localSheetId="16">#REF!</definedName>
    <definedName name="_agr8893">#REF!</definedName>
    <definedName name="_agr8990">[10]Model!$I$61</definedName>
    <definedName name="_agr8991">[10]Model!$J$61</definedName>
    <definedName name="_agr8992">[10]Model!$K$61</definedName>
    <definedName name="_agr8993">[10]Model!$L$61</definedName>
    <definedName name="_agr8994" localSheetId="16">#REF!</definedName>
    <definedName name="_agr8994">#REF!</definedName>
    <definedName name="_agr9091">[10]Model!$J$62</definedName>
    <definedName name="_agr9092">[10]Model!$K$62</definedName>
    <definedName name="_agr9093">[10]Model!$L$62</definedName>
    <definedName name="_agr9094">[10]Model!$M$62</definedName>
    <definedName name="_agr9095" localSheetId="16">#REF!</definedName>
    <definedName name="_agr9095">#REF!</definedName>
    <definedName name="_agr9192">[10]Model!$K$63</definedName>
    <definedName name="_agr9193">[10]Model!$L$63</definedName>
    <definedName name="_agr9194">[10]Model!$M$63</definedName>
    <definedName name="_agr9195">[10]Model!$N$63</definedName>
    <definedName name="_agr9196" localSheetId="16">#REF!</definedName>
    <definedName name="_agr9196">#REF!</definedName>
    <definedName name="_agr9293">[10]Model!$L$64</definedName>
    <definedName name="_agr9294">[10]Model!$M$64</definedName>
    <definedName name="_agr9295">[10]Model!$N$64</definedName>
    <definedName name="_agr9296">[10]Model!$O$64</definedName>
    <definedName name="_agr9297" localSheetId="16">#REF!</definedName>
    <definedName name="_agr9297">#REF!</definedName>
    <definedName name="_agr9394">[10]Model!$M$65</definedName>
    <definedName name="_agr9395">[10]Model!$N$65</definedName>
    <definedName name="_agr9396">[10]Model!$O$65</definedName>
    <definedName name="_agr9397">[10]Model!$P$65</definedName>
    <definedName name="_agr9398" localSheetId="16">#REF!</definedName>
    <definedName name="_agr9398">#REF!</definedName>
    <definedName name="_agr9495">[10]Model!$N$66</definedName>
    <definedName name="_agr9496">[10]Model!$O$66</definedName>
    <definedName name="_agr9497">[10]Model!$P$66</definedName>
    <definedName name="_agr9498">[10]Model!$Q$66</definedName>
    <definedName name="_agr9499" localSheetId="16">#REF!</definedName>
    <definedName name="_agr9499">#REF!</definedName>
    <definedName name="_agr95100" localSheetId="16">#REF!</definedName>
    <definedName name="_agr95100">#REF!</definedName>
    <definedName name="_agr9596">[10]Model!$O$67</definedName>
    <definedName name="_agr9597">[10]Model!$P$67</definedName>
    <definedName name="_agr9598">[10]Model!$Q$67</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[10]Model!$P$68</definedName>
    <definedName name="_agr9698">[10]Model!$Q$68</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[10]Model!$Q$69</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 localSheetId="16">#REF!</definedName>
    <definedName name="_DAT10">#REF!</definedName>
    <definedName name="_DAT11" localSheetId="16">#REF!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 localSheetId="16">#REF!</definedName>
    <definedName name="_ety91">#REF!</definedName>
    <definedName name="_ety92" localSheetId="16">#REF!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H-1A'!$A$1:$H$378</definedName>
    <definedName name="_gas2" localSheetId="16">#REF!</definedName>
    <definedName name="_gas2">#REF!</definedName>
    <definedName name="_gas2006" localSheetId="16">#REF!</definedName>
    <definedName name="_gas2006">#REF!</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 localSheetId="16">#REF!</definedName>
    <definedName name="_JE124">#REF!</definedName>
    <definedName name="_JE13" localSheetId="16">#REF!</definedName>
    <definedName name="_JE13">#REF!</definedName>
    <definedName name="_je14">#REF!</definedName>
    <definedName name="_JE147">#REF!</definedName>
    <definedName name="_JE16">#REF!</definedName>
    <definedName name="_JE17">#REF!</definedName>
    <definedName name="_je2">'[12]JE 120 Jan-Nov Facesheet'!#REF!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 localSheetId="16">#REF!</definedName>
    <definedName name="_New3">#REF!</definedName>
    <definedName name="_New4" localSheetId="16">#REF!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 localSheetId="16">#REF!</definedName>
    <definedName name="_p.choice">#REF!</definedName>
    <definedName name="_Parse_In" hidden="1">#REF!</definedName>
    <definedName name="_Parse_Out" hidden="1">#REF!</definedName>
    <definedName name="_PG1" localSheetId="16">#REF!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 localSheetId="16">#REF!</definedName>
    <definedName name="_qre8499">#REF!</definedName>
    <definedName name="_qre85">'[10]QRE''s'!$E$1:$E$65536</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 localSheetId="16">#REF!</definedName>
    <definedName name="_qre8599">#REF!</definedName>
    <definedName name="_qre86">'[10]QRE''s'!$F$1:$F$65536</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 localSheetId="16">#REF!</definedName>
    <definedName name="_qre8699">#REF!</definedName>
    <definedName name="_qre87">'[10]QRE''s'!$G$1:$G$65536</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 localSheetId="16">#REF!</definedName>
    <definedName name="_qre8799">#REF!</definedName>
    <definedName name="_qre88">'[10]QRE''s'!$H$1:$H$65536</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 localSheetId="16">#REF!</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 localSheetId="16">#REF!</definedName>
    <definedName name="_tqs99">#REF!</definedName>
    <definedName name="A" localSheetId="20" hidden="1">{#N/A,#N/A,FALSE,"EMPPAY"}</definedName>
    <definedName name="A" localSheetId="14" hidden="1">{#N/A,#N/A,FALSE,"EMPPAY"}</definedName>
    <definedName name="A" localSheetId="13" hidden="1">{#N/A,#N/A,FALSE,"EMPPAY"}</definedName>
    <definedName name="A" localSheetId="16">#REF!</definedName>
    <definedName name="A" localSheetId="18" hidden="1">{#N/A,#N/A,FALSE,"EMPPAY"}</definedName>
    <definedName name="a" localSheetId="19">'9A - Gross Plant &amp; ARO'!$E$31</definedName>
    <definedName name="A">#REF!</definedName>
    <definedName name="a.1" hidden="1">{"LBO Summary",#N/A,FALSE,"Summary"}</definedName>
    <definedName name="AA" localSheetId="16">#REF!</definedName>
    <definedName name="AA">#REF!</definedName>
    <definedName name="AA.print" localSheetId="16">#REF!</definedName>
    <definedName name="AA.print">#REF!</definedName>
    <definedName name="aaa" localSheetId="20"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16">[19]DEPR96!#REF!</definedName>
    <definedName name="AC">[19]DEPR96!#REF!</definedName>
    <definedName name="AC_255">'[22]AC 255'!$A$1:$M$32</definedName>
    <definedName name="AC_282">[23]December!#REF!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 localSheetId="16">#REF!</definedName>
    <definedName name="Accum._Other_Comprehensive_Income">#REF!</definedName>
    <definedName name="ACQ" localSheetId="16">[19]DEPR96!#REF!</definedName>
    <definedName name="ACQ">[19]DEPR96!#REF!</definedName>
    <definedName name="ACRS" localSheetId="16">#REF!</definedName>
    <definedName name="ACRS">#REF!</definedName>
    <definedName name="Active1" localSheetId="16">#REF!</definedName>
    <definedName name="Active1">#REF!</definedName>
    <definedName name="Active2" localSheetId="16">#REF!</definedName>
    <definedName name="Active2">#REF!</definedName>
    <definedName name="ActivityType">'[24]Activity Type'!$1:$1048576</definedName>
    <definedName name="ACTTextLen">#REF!</definedName>
    <definedName name="Actual">[25]Assumptions!$E$52</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 localSheetId="16">#REF!</definedName>
    <definedName name="ads">#REF!</definedName>
    <definedName name="ADTL">'[26]C. Input'!$F$144</definedName>
    <definedName name="Affiliate_Interest_Expense__Revenue" localSheetId="16">#REF!</definedName>
    <definedName name="Affiliate_Interest_Expense__Revenue">#REF!</definedName>
    <definedName name="AFUDC_Credit_Interest_Capitalized" localSheetId="16">#REF!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16">#REF!</definedName>
    <definedName name="AG1_01">#REF!</definedName>
    <definedName name="AG1_01B" localSheetId="16">#REF!</definedName>
    <definedName name="AG1_01B">#REF!</definedName>
    <definedName name="AG2_01" localSheetId="1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16">#REF!</definedName>
    <definedName name="aircdy">#REF!</definedName>
    <definedName name="aircgrtm1" localSheetId="16">[10]AIRC!#REF!</definedName>
    <definedName name="aircgrtm1">[10]AIRC!#REF!</definedName>
    <definedName name="aircgrtm2" localSheetId="16">[10]AIRC!#REF!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 localSheetId="16">#REF!</definedName>
    <definedName name="ALL_SENS_FACT">#REF!</definedName>
    <definedName name="AllASS">[29]ALL!$B$25</definedName>
    <definedName name="ALLCGI">[29]ALL!$D$25</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16">#REF!</definedName>
    <definedName name="ALLOW">#REF!</definedName>
    <definedName name="Allow_for_Funds_Used_During_Const." localSheetId="16">#REF!</definedName>
    <definedName name="Allow_for_Funds_Used_During_Const.">#REF!</definedName>
    <definedName name="ALLRD">[29]ALL!$C$25</definedName>
    <definedName name="ALLSKP">[29]ALL!$E$25</definedName>
    <definedName name="ALLYRS_MESSAGE" localSheetId="16">#REF!</definedName>
    <definedName name="ALLYRS_MESSAGE">#REF!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[31]Pepco!#REF!</definedName>
    <definedName name="ALTMIN">[31]Pepco!#REF!</definedName>
    <definedName name="AMERICA" localSheetId="16">#REF!</definedName>
    <definedName name="AMERICA">#REF!</definedName>
    <definedName name="AMOR_BOM" localSheetId="16">#REF!</definedName>
    <definedName name="AMOR_BOM">#REF!</definedName>
    <definedName name="AMOR_EOM" localSheetId="16">#REF!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16">#REF!</definedName>
    <definedName name="Amortization___Other_Assets">#REF!</definedName>
    <definedName name="AMOUNT">#REF!</definedName>
    <definedName name="ANNSUM" localSheetId="16">#REF!</definedName>
    <definedName name="ANNSUM">#REF!</definedName>
    <definedName name="Annualization_Rate">#REF!</definedName>
    <definedName name="anscount" hidden="1">1</definedName>
    <definedName name="AO.print" localSheetId="16">#REF!</definedName>
    <definedName name="AO.print">#REF!</definedName>
    <definedName name="APA" localSheetId="16">#REF!</definedName>
    <definedName name="APA">#REF!</definedName>
    <definedName name="APN">'[32]Gas Ferc 2 2003'!$V$2</definedName>
    <definedName name="APR">[33]load!#REF!</definedName>
    <definedName name="APR_13_WRKSHT_SUM" localSheetId="16">#REF!</definedName>
    <definedName name="APR_13_WRKSHT_SUM">#REF!</definedName>
    <definedName name="apr2pre" localSheetId="16">#REF!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#REF!</definedName>
    <definedName name="AUG" localSheetId="16">#REF!</definedName>
    <definedName name="AUG">#REF!</definedName>
    <definedName name="AV.FM.1..adjusted..print" localSheetId="16">#REF!</definedName>
    <definedName name="AV.FM.1..adjusted..print">#REF!</definedName>
    <definedName name="AV.FM.1.print">#REF!</definedName>
    <definedName name="AVG">#REF!</definedName>
    <definedName name="avoidint">"V2001-12-31"</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 localSheetId="16">#REF!</definedName>
    <definedName name="BA.print">#REF!</definedName>
    <definedName name="BadErrMsg">#REF!</definedName>
    <definedName name="BAL" localSheetId="16">#REF!</definedName>
    <definedName name="BAL">#REF!</definedName>
    <definedName name="BALANCE">'[36]MTHLY BAL.'!$A$6:$O$89</definedName>
    <definedName name="Balance_Sheet_Assets" localSheetId="16">#REF!</definedName>
    <definedName name="Balance_Sheet_Assets">#REF!</definedName>
    <definedName name="Balance_Sheet_Liabilities___Capital" localSheetId="16">#REF!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16">#REF!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 localSheetId="16">#REF!</definedName>
    <definedName name="BASE_SENS_FACT">#REF!</definedName>
    <definedName name="BASIC">#REF!</definedName>
    <definedName name="Basic_Data" localSheetId="16">#REF!</definedName>
    <definedName name="Basic_Data">#REF!</definedName>
    <definedName name="Basis_Points">[25]Assumptions!$H$15</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16">#REF!</definedName>
    <definedName name="BGS_Rate">#REF!</definedName>
    <definedName name="BGS_RFP">[25]Assumptions!$E$36</definedName>
    <definedName name="Bill" localSheetId="16">#REF!</definedName>
    <definedName name="Bill">#REF!</definedName>
    <definedName name="bill1" localSheetId="16">#REF!</definedName>
    <definedName name="bill1">#REF!</definedName>
    <definedName name="bill2" localSheetId="16">#REF!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16">#REF!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16">#REF!</definedName>
    <definedName name="Brenda">#REF!</definedName>
    <definedName name="bu10total100" localSheetId="16">#REF!</definedName>
    <definedName name="bu10total100">#REF!</definedName>
    <definedName name="bu10total100a" localSheetId="16">#REF!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16">#REF!</definedName>
    <definedName name="bu9total99">#REF!</definedName>
    <definedName name="bu9total99a" localSheetId="16">#REF!</definedName>
    <definedName name="bu9total99a">#REF!</definedName>
    <definedName name="budget" localSheetId="16">#REF!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16">#REF!</definedName>
    <definedName name="cents">#REF!</definedName>
    <definedName name="CEP_Amortization">'[41]JFJ-4 CEP Rate'!$A$28:$F$78</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'[35]Aday IS EG Subs'!#REF!</definedName>
    <definedName name="Citizens_Gas_YR_2008">'[35]Aday IS EG Subs'!#REF!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16">#REF!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16">#REF!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16">#REF!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 localSheetId="16">#REF!</definedName>
    <definedName name="CONSOLDEFTAXBAL">#REF!</definedName>
    <definedName name="CONSOLDEFTAXSUM" localSheetId="16">#REF!</definedName>
    <definedName name="CONSOLDEFTAXSUM">#REF!</definedName>
    <definedName name="Consolid" localSheetId="20"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'[10]Macro Tables'!$C$21</definedName>
    <definedName name="cover" localSheetId="16">#REF!</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 localSheetId="16">#REF!</definedName>
    <definedName name="cropdeftaxbalance">#REF!</definedName>
    <definedName name="CROPTAXPROV" localSheetId="16">#REF!</definedName>
    <definedName name="CROPTAXPROV">#REF!</definedName>
    <definedName name="CSH" localSheetId="16">#REF!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 localSheetId="16">#REF!</definedName>
    <definedName name="CUR_SENS_FACT">#REF!</definedName>
    <definedName name="CURR">[19]DEPR96!#REF!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 localSheetId="16">[48]Input!#REF!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16">#REF!</definedName>
    <definedName name="D_Tech___Other_Wolverine">#REF!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16">#REF!</definedName>
    <definedName name="DATA05">#REF!</definedName>
    <definedName name="Data06" localSheetId="16">#REF!</definedName>
    <definedName name="Data06">#REF!</definedName>
    <definedName name="DATA1" localSheetId="16">'[50]New Accts 2009'!#REF!</definedName>
    <definedName name="DATA1">'[50]New Accts 2009'!#REF!</definedName>
    <definedName name="DATA10" localSheetId="16">'[51]3640'!#REF!</definedName>
    <definedName name="DATA10">'[51]3640'!#REF!</definedName>
    <definedName name="DATA11" localSheetId="16">'[51]3640'!#REF!</definedName>
    <definedName name="DATA11">'[51]3640'!#REF!</definedName>
    <definedName name="DATA12">#REF!</definedName>
    <definedName name="DATA13">#REF!</definedName>
    <definedName name="DATA14" localSheetId="16">#REF!</definedName>
    <definedName name="DATA14">#REF!</definedName>
    <definedName name="DATA15">#REF!</definedName>
    <definedName name="DATA2" localSheetId="16">'[52]190100'!#REF!</definedName>
    <definedName name="DATA2">'[52]190100'!#REF!</definedName>
    <definedName name="DATA3" localSheetId="16">'[52]190100'!#REF!</definedName>
    <definedName name="DATA3">'[52]190100'!#REF!</definedName>
    <definedName name="DATA4" localSheetId="16">'[52]190100'!#REF!</definedName>
    <definedName name="DATA4">'[52]190100'!#REF!</definedName>
    <definedName name="DATA5" localSheetId="16">#REF!</definedName>
    <definedName name="DATA5">#REF!</definedName>
    <definedName name="DATA6" localSheetId="16">#REF!</definedName>
    <definedName name="DATA6">#REF!</definedName>
    <definedName name="DATA7" localSheetId="16">'[52]190100'!#REF!</definedName>
    <definedName name="DATA7">'[52]190100'!#REF!</definedName>
    <definedName name="DATA8" localSheetId="16">'[52]190100'!#REF!</definedName>
    <definedName name="DATA8">'[52]190100'!#REF!</definedName>
    <definedName name="DATA9" localSheetId="16">'[51]3640'!#REF!</definedName>
    <definedName name="DATA9">'[51]3640'!#REF!</definedName>
    <definedName name="data97" localSheetId="16">#REF!</definedName>
    <definedName name="data97">#REF!</definedName>
    <definedName name="_xlnm.Database" localSheetId="16">[53]DSUM!#REF!</definedName>
    <definedName name="_xlnm.Database">[53]DSUM!#REF!</definedName>
    <definedName name="Database_MI" localSheetId="16">#REF!</definedName>
    <definedName name="Database_MI">#REF!</definedName>
    <definedName name="DATAFEEDER">[54]!DATAFEEDER</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[55]Settings!$F$23</definedName>
    <definedName name="DATE1" localSheetId="16">#REF!</definedName>
    <definedName name="DATE1">#REF!</definedName>
    <definedName name="DATE2" localSheetId="16">#REF!</definedName>
    <definedName name="DATE2">#REF!</definedName>
    <definedName name="DATE3" localSheetId="16">#REF!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 localSheetId="16">#REF!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0"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 localSheetId="16">#REF!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 localSheetId="16">#REF!</definedName>
    <definedName name="DTAfedAMERICAS">#REF!</definedName>
    <definedName name="DTAfedCROP" localSheetId="16">#REF!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16">#REF!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16">#REF!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 localSheetId="16">#REF!</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 localSheetId="16">#REF!</definedName>
    <definedName name="Edison_Development">#REF!</definedName>
    <definedName name="Edison_Development_YR_2005" localSheetId="16">'[35]Aday IS DECo &amp; Other'!#REF!</definedName>
    <definedName name="Edison_Development_YR_2005">'[35]Aday IS DECo &amp; Other'!#REF!</definedName>
    <definedName name="Edison_Development_YR_2006" localSheetId="16">'[35]Aday IS DECo &amp; Other'!#REF!</definedName>
    <definedName name="Edison_Development_YR_2006">'[35]Aday IS DECo &amp; Other'!#REF!</definedName>
    <definedName name="Edison_Development_YR_2007" localSheetId="16">'[35]Aday IS DECo &amp; Other'!#REF!</definedName>
    <definedName name="Edison_Development_YR_2007">'[35]Aday IS DECo &amp; Other'!#REF!</definedName>
    <definedName name="Edison_Development_YR_2008" localSheetId="16">'[35]Aday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 localSheetId="16">'[35]Aday IS EG Subs'!#REF!</definedName>
    <definedName name="EG_Non_Regulated_Growth_YR_2007">'[35]Aday IS EG Subs'!#REF!</definedName>
    <definedName name="EG_Non_Regulated_Growth_YR_2008" localSheetId="16">'[35]Aday IS EG Subs'!#REF!</definedName>
    <definedName name="EG_Non_Regulated_Growth_YR_2008">'[35]Aday IS EG Subs'!#REF!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 localSheetId="16">#REF!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 localSheetId="16">#REF!</definedName>
    <definedName name="elec06">#REF!</definedName>
    <definedName name="elec2" localSheetId="16">#REF!</definedName>
    <definedName name="elec2">#REF!</definedName>
    <definedName name="ELECTACT" localSheetId="16">'[3]Curr adj - depn basis diff'!#REF!</definedName>
    <definedName name="ELECTACT">'[3]Curr adj - depn basis diff'!#REF!</definedName>
    <definedName name="Electric_Power" localSheetId="16">#REF!</definedName>
    <definedName name="Electric_Power">#REF!</definedName>
    <definedName name="Electric_Power_YR_2005" localSheetId="16">'[35]Aday IS DECo &amp; Other'!#REF!</definedName>
    <definedName name="Electric_Power_YR_2005">'[35]Aday IS DECo &amp; Other'!#REF!</definedName>
    <definedName name="Electric_Power_YR_2006" localSheetId="16">'[35]Aday IS DECo &amp; Other'!#REF!</definedName>
    <definedName name="Electric_Power_YR_2006">'[35]Aday IS DECo &amp; Other'!#REF!</definedName>
    <definedName name="Electric_Power_YR_2007" localSheetId="16">'[35]Aday IS DECo &amp; Other'!#REF!</definedName>
    <definedName name="Electric_Power_YR_2007">'[35]Aday IS DECo &amp; Other'!#REF!</definedName>
    <definedName name="Electric_Power_YR_2008" localSheetId="16">'[35]Aday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#REF!</definedName>
    <definedName name="end_coal" localSheetId="16">'[37]Input Page'!#REF!</definedName>
    <definedName name="end_coal">'[37]Input Page'!#REF!</definedName>
    <definedName name="end_CWIP" localSheetId="16">'[37]Input Page'!#REF!</definedName>
    <definedName name="end_CWIP">'[37]Input Page'!#REF!</definedName>
    <definedName name="ENERGY" localSheetId="16">#REF!</definedName>
    <definedName name="ENERGY">#REF!</definedName>
    <definedName name="ENERGY_GAS_GROWTH_YR_2005" localSheetId="16">'[35]Aday IS EG Subs'!#REF!</definedName>
    <definedName name="ENERGY_GAS_GROWTH_YR_2005">'[35]Aday IS EG Subs'!#REF!</definedName>
    <definedName name="ENERGY_GAS_GROWTH_YR_2006" localSheetId="16">'[35]Aday IS EG Subs'!#REF!</definedName>
    <definedName name="ENERGY_GAS_GROWTH_YR_2006">'[35]Aday IS EG Subs'!#REF!</definedName>
    <definedName name="ENERGY_GAS_GROWTH_YR_2007" localSheetId="1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16">#REF!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16">#REF!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16">#REF!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16">#REF!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16">#REF!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16">#REF!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 localSheetId="16">#REF!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16">'[37]Input Page'!#REF!</definedName>
    <definedName name="exclude_cap">'[37]Input Page'!#REF!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 localSheetId="16">[23]December!#REF!</definedName>
    <definedName name="FAS109YTD">[23]December!#REF!</definedName>
    <definedName name="FB_CUSTOMERS" localSheetId="16">#REF!</definedName>
    <definedName name="FB_CUSTOMERS">#REF!</definedName>
    <definedName name="FB_LINES" localSheetId="16">#REF!</definedName>
    <definedName name="FB_LINES">#REF!</definedName>
    <definedName name="fbp100d" localSheetId="16">#REF!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16">#REF!</definedName>
    <definedName name="FIN">#REF!</definedName>
    <definedName name="Final_Consolidation">#REF!</definedName>
    <definedName name="Financing_Sources__Uses__CPM" localSheetId="16">#REF!</definedName>
    <definedName name="Financing_Sources__Uses__CPM">#REF!</definedName>
    <definedName name="FINAWOFF" localSheetId="16">#REF!</definedName>
    <definedName name="FINAWOFF">#REF!</definedName>
    <definedName name="FIT">#REF!</definedName>
    <definedName name="FIVE">#N/A</definedName>
    <definedName name="fleet_cap">'[37]Input Page'!$E$7</definedName>
    <definedName name="fleet_total">'[37]Input Page'!$E$8</definedName>
    <definedName name="FORM" localSheetId="16">#REF!</definedName>
    <definedName name="FORM">#REF!</definedName>
    <definedName name="Format" localSheetId="16">#REF!</definedName>
    <definedName name="Format">#REF!</definedName>
    <definedName name="Forms" localSheetId="16">#REF!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 localSheetId="16">#REF!</definedName>
    <definedName name="Fuel___PP_Cost_of_Gas">#REF!</definedName>
    <definedName name="Fuel___PP_Cost_of_Gas_CPM" localSheetId="16">#REF!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[62]Input1!$B$6</definedName>
    <definedName name="FYR">'[32]Gas Ferc 2 2003'!$V$3</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16">#REF!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16">#REF!</definedName>
    <definedName name="GENERAL_HELP">#REF!</definedName>
    <definedName name="General_Taxes" localSheetId="16">#REF!</definedName>
    <definedName name="General_Taxes">#REF!</definedName>
    <definedName name="General_Taxes_Payable" localSheetId="16">#REF!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0"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LT">'[26]C. Input'!$F$168</definedName>
    <definedName name="GPURS" localSheetId="16">#REF!</definedName>
    <definedName name="GPURS">#REF!</definedName>
    <definedName name="GR" localSheetId="16">#REF!</definedName>
    <definedName name="GR">#REF!</definedName>
    <definedName name="GR_PRT_RANGE">[10]Gross_Rec!$A$8:$R$52</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 localSheetId="16">#REF!</definedName>
    <definedName name="grec8899">#REF!</definedName>
    <definedName name="gross_rec_caution">[10]Gross_Rec!$A$51:$IV$52</definedName>
    <definedName name="GROSS_RECEIPTS" localSheetId="16">#REF!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16">#REF!</definedName>
    <definedName name="GRT">#REF!</definedName>
    <definedName name="grtm1">[10]Print!$I$32</definedName>
    <definedName name="grtm2">[10]Print!$G$32</definedName>
    <definedName name="grtm3">[10]Print!$E$32</definedName>
    <definedName name="grtm4">[10]Print!$C$32</definedName>
    <definedName name="GTDAMERICAS" localSheetId="16">#REF!</definedName>
    <definedName name="GTDAMERICAS">#REF!</definedName>
    <definedName name="GTDCROP" localSheetId="16">#REF!</definedName>
    <definedName name="GTDCROP">#REF!</definedName>
    <definedName name="GTDFINANCE" localSheetId="1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6">#REF!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16">#REF!</definedName>
    <definedName name="HOURS">#REF!</definedName>
    <definedName name="howToChange" localSheetId="16">#REF!</definedName>
    <definedName name="howToChange">#REF!</definedName>
    <definedName name="howToCheck" localSheetId="16">#REF!</definedName>
    <definedName name="howToCheck">#REF!</definedName>
    <definedName name="HPNTSR">'[26]A.2 PTP'!$P$332</definedName>
    <definedName name="HTML_CodePage">1252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 localSheetId="16">#REF!</definedName>
    <definedName name="InfoPane">#REF!</definedName>
    <definedName name="InformationPane" localSheetId="16">#REF!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16">#REF!</definedName>
    <definedName name="INSERTRANGE">#REF!</definedName>
    <definedName name="int_rate" localSheetId="16">#REF!</definedName>
    <definedName name="int_rate">#REF!</definedName>
    <definedName name="intang_afudc910">[67]criteria!$A$5:$B$6</definedName>
    <definedName name="INTCUT">#REF!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16">#REF!</definedName>
    <definedName name="JAN">#REF!</definedName>
    <definedName name="JanCP">#REF!</definedName>
    <definedName name="JE" localSheetId="16">#REF!</definedName>
    <definedName name="JE">#REF!</definedName>
    <definedName name="JE33WP" localSheetId="16">#REF!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4">{"'Metretek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16">#REF!</definedName>
    <definedName name="LabHour">#REF!</definedName>
    <definedName name="Labor" localSheetId="16">#REF!</definedName>
    <definedName name="Labor">#REF!</definedName>
    <definedName name="Labor__excl._Cost_of_Sales_labor" localSheetId="16">#REF!</definedName>
    <definedName name="Labor__excl._Cost_of_Sales_labor">#REF!</definedName>
    <definedName name="Labor_Total">#REF!</definedName>
    <definedName name="lastrow">'[10]QRE''s'!$A$95:$IV$95</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 localSheetId="16">#REF!</definedName>
    <definedName name="Less_Accum_Depreciation___Amortization">#REF!</definedName>
    <definedName name="Less_Tax_Credits_Generated" localSheetId="16">#REF!</definedName>
    <definedName name="Less_Tax_Credits_Generated">#REF!</definedName>
    <definedName name="Levelized..FM1.ROR..print">#REF!</definedName>
    <definedName name="LFTSR">'[26]A.2 PTP'!$P$230</definedName>
    <definedName name="Liab_from_Risk_Mgt___Trading" localSheetId="16">#REF!</definedName>
    <definedName name="Liab_from_Risk_Mgt___Trading">#REF!</definedName>
    <definedName name="Liab_from_Risk_Mgt___Trading___Current" localSheetId="16">#REF!</definedName>
    <definedName name="Liab_from_Risk_Mgt___Trading___Current">#REF!</definedName>
    <definedName name="Liabilities_from_Trans___Storage_Contracts" localSheetId="16">#REF!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[71]total!#REF!</definedName>
    <definedName name="Loan_from_Affiliate" localSheetId="16">#REF!</definedName>
    <definedName name="Loan_from_Affiliate">#REF!</definedName>
    <definedName name="lob" localSheetId="16">#REF!</definedName>
    <definedName name="lob">#REF!</definedName>
    <definedName name="lobcolumn" localSheetId="16">#REF!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 localSheetId="16">#REF!</definedName>
    <definedName name="MACRO_1">#REF!</definedName>
    <definedName name="MACRO_2" localSheetId="16">#REF!</definedName>
    <definedName name="MACRO_2">#REF!</definedName>
    <definedName name="MACROS" localSheetId="16">#REF!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16">#REF!</definedName>
    <definedName name="map.v1">#REF!</definedName>
    <definedName name="MAR" localSheetId="16">#REF!</definedName>
    <definedName name="MAR">#REF!</definedName>
    <definedName name="Margin" localSheetId="16">#REF!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'[72]MTHLY MEAS.'!#REF!</definedName>
    <definedName name="MCGC_Elims" localSheetId="16">#REF!</definedName>
    <definedName name="MCGC_Elims">#REF!</definedName>
    <definedName name="MCGC_Elims_YR_2005" localSheetId="16">'[35]Aday IS EG Subs'!#REF!</definedName>
    <definedName name="MCGC_Elims_YR_2005">'[35]Aday IS EG Subs'!#REF!</definedName>
    <definedName name="MCGC_Elims_YR_2006" localSheetId="16">'[35]Aday IS EG Subs'!#REF!</definedName>
    <definedName name="MCGC_Elims_YR_2006">'[35]Aday IS EG Subs'!#REF!</definedName>
    <definedName name="MCGC_Elims_YR_2007" localSheetId="16">'[35]Aday IS EG Subs'!#REF!</definedName>
    <definedName name="MCGC_Elims_YR_2007">'[35]Aday IS EG Subs'!#REF!</definedName>
    <definedName name="MCGC_Elims_YR_2008">'[35]Aday IS EG Subs'!#REF!</definedName>
    <definedName name="MCGC_Subsidiaries" localSheetId="16">#REF!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16">#REF!</definedName>
    <definedName name="MILESTONES_1">#REF!</definedName>
    <definedName name="MILESTONES_2" localSheetId="16">#REF!</definedName>
    <definedName name="MILESTONES_2">#REF!</definedName>
    <definedName name="Millennium_Pipeline" localSheetId="16">#REF!</definedName>
    <definedName name="Millennium_Pipeline">#REF!</definedName>
    <definedName name="Millennium_Pipeline_YR_2005" localSheetId="16">'[35]Aday IS EG Subs'!#REF!</definedName>
    <definedName name="Millennium_Pipeline_YR_2005">'[35]Aday IS EG Subs'!#REF!</definedName>
    <definedName name="Millennium_Pipeline_YR_2006" localSheetId="16">'[35]Aday IS EG Subs'!#REF!</definedName>
    <definedName name="Millennium_Pipeline_YR_2006">'[35]Aday IS EG Subs'!#REF!</definedName>
    <definedName name="Millennium_Pipeline_YR_2007" localSheetId="16">'[35]Aday IS EG Subs'!#REF!</definedName>
    <definedName name="Millennium_Pipeline_YR_2007">'[35]Aday IS EG Subs'!#REF!</definedName>
    <definedName name="Millennium_Pipeline_YR_2008" localSheetId="16">'[35]Aday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 localSheetId="16">#REF!</definedName>
    <definedName name="mode">#REF!</definedName>
    <definedName name="modelgrheader">[10]Model!$A$3</definedName>
    <definedName name="modelqreheader">[10]Model!$A$78</definedName>
    <definedName name="month">[73]RPT80MAR!$A$1:$D$77</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16">#REF!</definedName>
    <definedName name="MTC_Type">#REF!</definedName>
    <definedName name="MTH">#N/A</definedName>
    <definedName name="N_A">'[26]C. Input'!#REF!</definedName>
    <definedName name="NavPane" localSheetId="16">#REF!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 localSheetId="16">#REF!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 localSheetId="16">#REF!</definedName>
    <definedName name="NON_PROCESS_DETAIL">#REF!</definedName>
    <definedName name="NON_PROCESS_PRESENTATION_PAGE" localSheetId="16">#REF!</definedName>
    <definedName name="NON_PROCESS_PRESENTATION_PAGE">#REF!</definedName>
    <definedName name="Non_Utility_Interest_Capitalized" localSheetId="16">#REF!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16">#REF!</definedName>
    <definedName name="Nuclear_Decommissioning">#REF!</definedName>
    <definedName name="Nuclear_Decommissioning_Trust_Funds" localSheetId="16">#REF!</definedName>
    <definedName name="Nuclear_Decommissioning_Trust_Funds">#REF!</definedName>
    <definedName name="Nuclear_Secur_Date">[25]Assumptions!$E$21</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16">#REF!</definedName>
    <definedName name="Out_of_Balance_Condition">#REF!</definedName>
    <definedName name="OUT_OF_BALANCE_CONDITION___Account_Detail" localSheetId="16">#REF!</definedName>
    <definedName name="OUT_OF_BALANCE_CONDITION___Account_Detail">#REF!</definedName>
    <definedName name="Over_Recovery_of_Supply_Costs" localSheetId="16">#REF!</definedName>
    <definedName name="Over_Recovery_of_Supply_Costs">#REF!</definedName>
    <definedName name="p">#REF!</definedName>
    <definedName name="P_MACRO">#REF!</definedName>
    <definedName name="P_TYPE">#N/A</definedName>
    <definedName name="P1_STR1_S">#REF!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 localSheetId="16">#REF!</definedName>
    <definedName name="PAGE2">#REF!</definedName>
    <definedName name="PAGE20" localSheetId="16">#REF!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16">#REF!</definedName>
    <definedName name="PG3A">#REF!</definedName>
    <definedName name="PGAUG" localSheetId="16">#REF!</definedName>
    <definedName name="PGAUG">#REF!</definedName>
    <definedName name="pgprct" localSheetId="16">'[29]Percent Read YTD '!#REF!</definedName>
    <definedName name="pgprct">'[29]Percent Read YTD '!#REF!</definedName>
    <definedName name="PGPSA" localSheetId="16">#REF!</definedName>
    <definedName name="PGPSA">#REF!</definedName>
    <definedName name="Phase">'[10]Macro Tables'!$F$21</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16">#REF!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[81]PLTSTM!#REF!</definedName>
    <definedName name="PLTDEC00">[81]PLTSTM!#REF!</definedName>
    <definedName name="PLTDECTK" localSheetId="16">[82]PLTSTM!#REF!</definedName>
    <definedName name="PLTDECTK">[82]PLTSTM!#REF!</definedName>
    <definedName name="Portland_Pipeline" localSheetId="16">#REF!</definedName>
    <definedName name="Portland_Pipeline">#REF!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16">#REF!</definedName>
    <definedName name="PRINT">#REF!</definedName>
    <definedName name="Print.selection.print" localSheetId="16">#REF!</definedName>
    <definedName name="Print.selection.print">#REF!</definedName>
    <definedName name="PRINT_1" localSheetId="16">#REF!</definedName>
    <definedName name="PRINT_1">#REF!</definedName>
    <definedName name="PRINT_2">#REF!</definedName>
    <definedName name="PRINT_3">#REF!</definedName>
    <definedName name="Print_99_IS">'[75]2nd qtr 2000'!$D$1:$I$58,'[75]2nd qtr 2000'!$N$1:$T$58,'[75]2nd qtr 2000'!$AA$1:$AH$57</definedName>
    <definedName name="_xlnm.Print_Area" localSheetId="23">'12- Depreciation Rates'!$A$1:$D$59</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Allocations'!$A$1:$P$163</definedName>
    <definedName name="_xlnm.Print_Area" localSheetId="13">'6-Project Rev Req'!$A$1:$Q$116</definedName>
    <definedName name="_xlnm.Print_Area" localSheetId="16">#REF!</definedName>
    <definedName name="_xlnm.Print_Area" localSheetId="0">'ATT H-1A'!$A:$H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 localSheetId="16">#REF!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'[85]kWh-Mcf'!$E$97,'[85]kWh-Mcf'!$A$81:$E$118,'[85]kWh-Mcf'!$AM$86:$AO$118</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16">#REF!</definedName>
    <definedName name="Prior_Plan_Results">#REF!</definedName>
    <definedName name="Prior_Plan_Results_Year_2" localSheetId="16">#REF!</definedName>
    <definedName name="Prior_Plan_Results_Year_2">#REF!</definedName>
    <definedName name="Prior_Plan_Results_Year_3" localSheetId="1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16">#REF!</definedName>
    <definedName name="PTXDATE">#REF!</definedName>
    <definedName name="PTXYRS">[19]DEPR96!#REF!</definedName>
    <definedName name="Purchase_Accounting_Reclass" localSheetId="1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'[10]QRE''s'!$A$7:$R$102</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16">#REF!</definedName>
    <definedName name="RANGE">#REF!</definedName>
    <definedName name="Rate_Reduction_Factor" localSheetId="16">#REF!</definedName>
    <definedName name="Rate_Reduction_Factor">#REF!</definedName>
    <definedName name="Rate_Relief" localSheetId="16">#REF!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 localSheetId="16">#REF!</definedName>
    <definedName name="RECONCILIATION">#REF!</definedName>
    <definedName name="_xlnm.Recorder">#REF!</definedName>
    <definedName name="reduced_credit">[10]Print!$I$22</definedName>
    <definedName name="reduced_credit_caption">[10]Print!$G$22</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 localSheetId="16">#REF!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 localSheetId="16">#REF!</definedName>
    <definedName name="RETIRE">#REF!</definedName>
    <definedName name="RETURN" localSheetId="16">#REF!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6">[19]DEPR96!#REF!</definedName>
    <definedName name="RLST">[19]DEPR96!#REF!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[10]Model!$A$1:$IV$75</definedName>
    <definedName name="Schedule_CC2">[10]Model!$A$76:$IV$151</definedName>
    <definedName name="Schedule_CC3">[10]Model!$A$152:$IV$207</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16">#REF!</definedName>
    <definedName name="Securitization_Bonds">#REF!</definedName>
    <definedName name="Securitized_Bonds" localSheetId="16">#REF!</definedName>
    <definedName name="Securitized_Bonds">#REF!</definedName>
    <definedName name="Securitized_Bonds_CPM" localSheetId="16">#REF!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 localSheetId="16">#REF!</definedName>
    <definedName name="SENS_MESSAGE">#REF!</definedName>
    <definedName name="SENS_NET_CREDIT">[10]Sens_Model!$E$193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 localSheetId="16">#REF!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[10]Model!$A$1:$IV$68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 localSheetId="16">#REF!</definedName>
    <definedName name="SOSMIGRDETAIL">#REF!</definedName>
    <definedName name="SPACE">#N/A</definedName>
    <definedName name="Spot_Purchases_and_Tailgate">#REF!</definedName>
    <definedName name="SPOTE_04">#REF!</definedName>
    <definedName name="sr00" localSheetId="16">#REF!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 localSheetId="16">#REF!</definedName>
    <definedName name="start99">#REF!</definedName>
    <definedName name="STARTCR">#REF!</definedName>
    <definedName name="STARTDR">#REF!</definedName>
    <definedName name="State">[89]List!$A$2:$A$53</definedName>
    <definedName name="StateDef" localSheetId="14">#REF!</definedName>
    <definedName name="StateDef" localSheetId="15">#REF!</definedName>
    <definedName name="StateDef" localSheetId="16">#REF!</definedName>
    <definedName name="StateDef">#REF!</definedName>
    <definedName name="stats" localSheetId="16">#REF!</definedName>
    <definedName name="stats">#REF!</definedName>
    <definedName name="statsrevised" localSheetId="20"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 localSheetId="16">#REF!</definedName>
    <definedName name="STsai">#REF!</definedName>
    <definedName name="STscorp" localSheetId="16">#REF!</definedName>
    <definedName name="STscorp">#REF!</definedName>
    <definedName name="STseeds" localSheetId="1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 localSheetId="16">#REF!</definedName>
    <definedName name="Subtotal_Capital_Investments">#REF!</definedName>
    <definedName name="Subtotal_Common_Equity_excl_OCI" localSheetId="16">#REF!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0"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'[14]BC 2 2005BC'!#REF!</definedName>
    <definedName name="Swap_Amort">'[41]Keystone Swap Amort Sched'!$A$1:$F$241</definedName>
    <definedName name="SWITCH">[16]Assump!#REF!</definedName>
    <definedName name="Syndeco_Realty" localSheetId="16">#REF!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16">#REF!</definedName>
    <definedName name="Synfuel_Gain__Loss__CPM">#REF!</definedName>
    <definedName name="sysOpImprov">[48]Input!#REF!</definedName>
    <definedName name="sysOpYears">[48]Input!#REF!</definedName>
    <definedName name="t_and_d_exp">'[37]Input Page'!#REF!</definedName>
    <definedName name="TABLE" localSheetId="16">#REF!</definedName>
    <definedName name="TABLE">#REF!</definedName>
    <definedName name="TABLE_A" localSheetId="16">#REF!</definedName>
    <definedName name="TABLE_A">#REF!</definedName>
    <definedName name="TABLE_A2" localSheetId="16">#REF!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'[91]Case study '!$C$28</definedName>
    <definedName name="TAXREMOV" localSheetId="14">#REF!</definedName>
    <definedName name="TAXREMOV" localSheetId="15">#REF!</definedName>
    <definedName name="TAXREMOV" localSheetId="16">#REF!</definedName>
    <definedName name="TAXREMOV">#REF!</definedName>
    <definedName name="TBL1_3" localSheetId="16">#REF!</definedName>
    <definedName name="TBL1_3">#REF!</definedName>
    <definedName name="TBL13_5" localSheetId="1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 localSheetId="16">#REF!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16">#REF!</definedName>
    <definedName name="TESTKEYS">#REF!</definedName>
    <definedName name="TESTVKEY" localSheetId="16">#REF!</definedName>
    <definedName name="TESTVKEY">#REF!</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16">#REF!</definedName>
    <definedName name="total">#REF!</definedName>
    <definedName name="Total_Assets" localSheetId="16">#REF!</definedName>
    <definedName name="Total_Assets">#REF!</definedName>
    <definedName name="Total_Assets_CPM" localSheetId="16">#REF!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 localSheetId="16">#REF!</definedName>
    <definedName name="total99">#REF!</definedName>
    <definedName name="TOTALACT">'[3]Curr adj - depn basis diff'!#REF!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16">[23]December!#REF!</definedName>
    <definedName name="Trueup">[23]December!#REF!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 localSheetId="16">#REF!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16">#REF!</definedName>
    <definedName name="UTIL">#REF!</definedName>
    <definedName name="Utility_Plant_Expenditures" localSheetId="16">#REF!</definedName>
    <definedName name="Utility_Plant_Expenditures">#REF!</definedName>
    <definedName name="Utility_Plant_Retirements__input" localSheetId="16">#REF!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0"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0"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0" hidden="1">{#N/A,#N/A,FALSE,"EMPPAY"}</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 localSheetId="16">#REF!</definedName>
    <definedName name="Year">#REF!</definedName>
    <definedName name="Year_2001" localSheetId="16">#REF!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16">#REF!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WS'!$U:$AB</definedName>
    <definedName name="Z_28948E05_8F34_4F1E_96FB_A80A6A844600_.wvu.PrintTitles" localSheetId="16" hidden="1">'7 - Cap Add WS'!$C:$D</definedName>
    <definedName name="Z_63011E91_4609_4523_98FE_FD252E915668_.wvu.Cols" localSheetId="16" hidden="1">'7 - Cap Add WS'!$U:$AB</definedName>
    <definedName name="Z_63011E91_4609_4523_98FE_FD252E915668_.wvu.PrintArea" localSheetId="16" hidden="1">'7 - Cap Add WS'!$C$1:$AZ$80</definedName>
    <definedName name="Z_63011E91_4609_4523_98FE_FD252E915668_.wvu.PrintTitles" localSheetId="16" hidden="1">'7 - Cap Add WS'!$C:$D</definedName>
    <definedName name="Z_71B42B22_A376_44B5_B0C1_23FC1AA3DBA2_.wvu.Cols" localSheetId="16" hidden="1">'7 - Cap Add WS'!$U:$AB</definedName>
    <definedName name="Z_71B42B22_A376_44B5_B0C1_23FC1AA3DBA2_.wvu.PrintTitles" localSheetId="16" hidden="1">'7 - Cap Add WS'!$C:$D</definedName>
    <definedName name="Z_B647CB7F_C846_4278_B6B1_1EF7F3C004F5_.wvu.Cols" localSheetId="16" hidden="1">'7 - Cap Add WS'!$U:$AB</definedName>
    <definedName name="Z_B647CB7F_C846_4278_B6B1_1EF7F3C004F5_.wvu.PrintTitles" localSheetId="16" hidden="1">'7 - Cap Add WS'!$C:$D</definedName>
    <definedName name="Z_DC91DEF3_837B_4BB9_A81E_3B78C5914E6C_.wvu.Cols" localSheetId="16" hidden="1">'7 - Cap Add WS'!$U:$AB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WS'!$U:$AB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09" i="9" l="1"/>
  <c r="AT74" i="47" l="1"/>
  <c r="AT75" i="47" s="1"/>
  <c r="AT72" i="47"/>
  <c r="AT73" i="47" s="1"/>
  <c r="AT70" i="47"/>
  <c r="AT71" i="47" s="1"/>
  <c r="AT68" i="47"/>
  <c r="AT69" i="47" s="1"/>
  <c r="AT66" i="47"/>
  <c r="AT67" i="47" s="1"/>
  <c r="AT64" i="47"/>
  <c r="AT65" i="47" s="1"/>
  <c r="AT62" i="47"/>
  <c r="AT63" i="47" s="1"/>
  <c r="AT60" i="47"/>
  <c r="AT61" i="47" s="1"/>
  <c r="AS59" i="47"/>
  <c r="AU59" i="47" s="1"/>
  <c r="AT58" i="47"/>
  <c r="AT59" i="47" s="1"/>
  <c r="AS31" i="47"/>
  <c r="AS32" i="47" s="1"/>
  <c r="AO59" i="47"/>
  <c r="AP74" i="47"/>
  <c r="AP75" i="47" s="1"/>
  <c r="AP72" i="47"/>
  <c r="AP73" i="47" s="1"/>
  <c r="AP70" i="47"/>
  <c r="AP71" i="47" s="1"/>
  <c r="AP68" i="47"/>
  <c r="AP69" i="47" s="1"/>
  <c r="AP66" i="47"/>
  <c r="AP67" i="47" s="1"/>
  <c r="AP64" i="47"/>
  <c r="AP65" i="47" s="1"/>
  <c r="AP62" i="47"/>
  <c r="AP63" i="47" s="1"/>
  <c r="AP60" i="47"/>
  <c r="AP61" i="47" s="1"/>
  <c r="AP58" i="47"/>
  <c r="AP59" i="47" s="1"/>
  <c r="AO32" i="47"/>
  <c r="AS60" i="47" l="1"/>
  <c r="AU58" i="47"/>
  <c r="AQ59" i="47"/>
  <c r="AQ58" i="47"/>
  <c r="AS61" i="47" l="1"/>
  <c r="AU61" i="47" s="1"/>
  <c r="AU60" i="47"/>
  <c r="AO60" i="47"/>
  <c r="AS62" i="47" l="1"/>
  <c r="AO61" i="47"/>
  <c r="AQ61" i="47" s="1"/>
  <c r="AQ60" i="47"/>
  <c r="AS63" i="47" l="1"/>
  <c r="AU63" i="47" s="1"/>
  <c r="AU62" i="47"/>
  <c r="AO62" i="47"/>
  <c r="AS64" i="47" l="1"/>
  <c r="AO63" i="47"/>
  <c r="AQ63" i="47" s="1"/>
  <c r="AQ62" i="47"/>
  <c r="F311" i="1"/>
  <c r="G44" i="9"/>
  <c r="AS65" i="47" l="1"/>
  <c r="AU65" i="47" s="1"/>
  <c r="AU64" i="47"/>
  <c r="AO64" i="47"/>
  <c r="H146" i="1"/>
  <c r="I13" i="33"/>
  <c r="E14" i="33"/>
  <c r="AS66" i="47" l="1"/>
  <c r="AO65" i="47"/>
  <c r="AQ65" i="47" s="1"/>
  <c r="AQ64" i="47"/>
  <c r="H320" i="1"/>
  <c r="AS67" i="47" l="1"/>
  <c r="AU67" i="47" s="1"/>
  <c r="AU66" i="47"/>
  <c r="AO66" i="47"/>
  <c r="F43" i="18"/>
  <c r="E43" i="18"/>
  <c r="AS68" i="47" l="1"/>
  <c r="AO67" i="47"/>
  <c r="AQ67" i="47" s="1"/>
  <c r="AQ66" i="47"/>
  <c r="D52" i="18"/>
  <c r="E52" i="18"/>
  <c r="F52" i="18"/>
  <c r="D53" i="18"/>
  <c r="E53" i="18"/>
  <c r="F53" i="18"/>
  <c r="D54" i="18"/>
  <c r="E54" i="18"/>
  <c r="F54" i="18"/>
  <c r="D55" i="18"/>
  <c r="E55" i="18"/>
  <c r="F55" i="18"/>
  <c r="D56" i="18"/>
  <c r="E56" i="18"/>
  <c r="F56" i="18"/>
  <c r="D57" i="18"/>
  <c r="E57" i="18"/>
  <c r="F57" i="18"/>
  <c r="D58" i="18"/>
  <c r="E58" i="18"/>
  <c r="F58" i="18"/>
  <c r="D59" i="18"/>
  <c r="E59" i="18"/>
  <c r="F59" i="18"/>
  <c r="D60" i="18"/>
  <c r="E60" i="18"/>
  <c r="F60" i="18"/>
  <c r="D61" i="18"/>
  <c r="E61" i="18"/>
  <c r="F61" i="18"/>
  <c r="D62" i="18"/>
  <c r="E62" i="18"/>
  <c r="F62" i="18"/>
  <c r="D63" i="18"/>
  <c r="E63" i="18"/>
  <c r="F63" i="18"/>
  <c r="C52" i="18"/>
  <c r="C53" i="18"/>
  <c r="C54" i="18"/>
  <c r="C55" i="18"/>
  <c r="C56" i="18"/>
  <c r="C57" i="18"/>
  <c r="C58" i="18"/>
  <c r="C59" i="18"/>
  <c r="C60" i="18"/>
  <c r="C61" i="18"/>
  <c r="C62" i="18"/>
  <c r="AS69" i="47" l="1"/>
  <c r="AU69" i="47" s="1"/>
  <c r="AU68" i="47"/>
  <c r="AO68" i="47"/>
  <c r="C43" i="18"/>
  <c r="AS70" i="47" l="1"/>
  <c r="AO69" i="47"/>
  <c r="AQ69" i="47" s="1"/>
  <c r="AQ68" i="47"/>
  <c r="H201" i="1"/>
  <c r="E203" i="49"/>
  <c r="F207" i="49"/>
  <c r="G207" i="49"/>
  <c r="H207" i="49"/>
  <c r="I207" i="49"/>
  <c r="H138"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F64" i="49"/>
  <c r="G64" i="49"/>
  <c r="H64" i="49"/>
  <c r="I64" i="49"/>
  <c r="AS71" i="47" l="1"/>
  <c r="AU71" i="47" s="1"/>
  <c r="AU70" i="47"/>
  <c r="AO70" i="47"/>
  <c r="E22" i="50"/>
  <c r="F204" i="50"/>
  <c r="G204" i="50"/>
  <c r="H204" i="50"/>
  <c r="I204" i="50"/>
  <c r="O27" i="52"/>
  <c r="O19" i="52"/>
  <c r="O18" i="52"/>
  <c r="O17" i="52"/>
  <c r="O16" i="52"/>
  <c r="AS72" i="47" l="1"/>
  <c r="AO71" i="47"/>
  <c r="AQ71" i="47" s="1"/>
  <c r="AQ70" i="47"/>
  <c r="E45" i="5"/>
  <c r="E24" i="5"/>
  <c r="AS73" i="47" l="1"/>
  <c r="AU73" i="47" s="1"/>
  <c r="AU72" i="47"/>
  <c r="AO72" i="47"/>
  <c r="T120" i="9"/>
  <c r="Y120" i="9" s="1"/>
  <c r="T121" i="9"/>
  <c r="Y121" i="9" s="1"/>
  <c r="G123" i="9"/>
  <c r="AS74" i="47" l="1"/>
  <c r="AO73" i="47"/>
  <c r="AQ73" i="47" s="1"/>
  <c r="AQ72" i="47"/>
  <c r="E23" i="18"/>
  <c r="D23" i="18"/>
  <c r="C23" i="18"/>
  <c r="AS75" i="47" l="1"/>
  <c r="AU75" i="47" s="1"/>
  <c r="AU74" i="47"/>
  <c r="AO74" i="47"/>
  <c r="P10" i="10"/>
  <c r="P11" i="10"/>
  <c r="P12" i="10"/>
  <c r="P13" i="10"/>
  <c r="P14" i="10"/>
  <c r="P15" i="10"/>
  <c r="P16" i="10"/>
  <c r="P17" i="10"/>
  <c r="P18" i="10"/>
  <c r="P19" i="10"/>
  <c r="P20" i="10"/>
  <c r="P21" i="10"/>
  <c r="P22" i="10"/>
  <c r="P23" i="10"/>
  <c r="P24" i="10"/>
  <c r="P25" i="10"/>
  <c r="P26" i="10"/>
  <c r="P27" i="10"/>
  <c r="P28" i="10"/>
  <c r="P29" i="10"/>
  <c r="P30" i="10"/>
  <c r="P31" i="10"/>
  <c r="P9" i="10"/>
  <c r="AO75" i="47" l="1"/>
  <c r="AQ75" i="47" s="1"/>
  <c r="AQ74" i="47"/>
  <c r="C22" i="19"/>
  <c r="D22" i="19" s="1"/>
  <c r="C23" i="19"/>
  <c r="D23" i="19" s="1"/>
  <c r="C24" i="19"/>
  <c r="D24" i="19"/>
  <c r="C25" i="19"/>
  <c r="D25" i="19"/>
  <c r="C26" i="19"/>
  <c r="D26" i="19"/>
  <c r="C27" i="19"/>
  <c r="D27" i="19" s="1"/>
  <c r="C28" i="19"/>
  <c r="D28" i="19"/>
  <c r="C29" i="19"/>
  <c r="D29" i="19"/>
  <c r="C30" i="19"/>
  <c r="D30" i="19"/>
  <c r="C31" i="19"/>
  <c r="D31" i="19" s="1"/>
  <c r="C32" i="19"/>
  <c r="D32" i="19"/>
  <c r="C33" i="19"/>
  <c r="D33" i="19"/>
  <c r="C21" i="19"/>
  <c r="D21" i="19" s="1"/>
  <c r="I21" i="33" l="1"/>
  <c r="G21" i="33" s="1"/>
  <c r="J18" i="33"/>
  <c r="I18" i="33" s="1"/>
  <c r="E15" i="33"/>
  <c r="E16" i="33"/>
  <c r="G13" i="33"/>
  <c r="G202" i="9" l="1"/>
  <c r="H44" i="9" l="1"/>
  <c r="G33" i="9"/>
  <c r="I23" i="9" l="1"/>
  <c r="L253" i="9" l="1"/>
  <c r="A255" i="9" l="1"/>
  <c r="A254" i="9"/>
  <c r="A253" i="9"/>
  <c r="A252" i="9"/>
  <c r="A250" i="9"/>
  <c r="A84" i="8"/>
  <c r="A82" i="8"/>
  <c r="A80" i="8"/>
  <c r="A79" i="8"/>
  <c r="A78" i="8"/>
  <c r="A77" i="8"/>
  <c r="A76" i="8"/>
  <c r="A75" i="8"/>
  <c r="A74" i="8"/>
  <c r="A71" i="8"/>
  <c r="A70" i="8"/>
  <c r="A69" i="8"/>
  <c r="A66" i="8"/>
  <c r="G70" i="8" s="1"/>
  <c r="A65" i="8"/>
  <c r="G82" i="8" s="1"/>
  <c r="A64" i="8"/>
  <c r="A63" i="8"/>
  <c r="A62" i="8"/>
  <c r="A61" i="8"/>
  <c r="G84" i="8" l="1"/>
  <c r="G78" i="8"/>
  <c r="G80" i="8"/>
  <c r="G79" i="8"/>
  <c r="G71" i="8"/>
  <c r="E241" i="49" l="1"/>
  <c r="E240" i="49"/>
  <c r="E239" i="49"/>
  <c r="E238" i="49"/>
  <c r="E96" i="49"/>
  <c r="E95" i="49"/>
  <c r="E94" i="49"/>
  <c r="E93" i="49"/>
  <c r="E163" i="49"/>
  <c r="E162" i="49"/>
  <c r="E161" i="49"/>
  <c r="E160" i="49"/>
  <c r="E211" i="49"/>
  <c r="F259" i="1"/>
  <c r="G77" i="8" s="1"/>
  <c r="F258" i="1"/>
  <c r="G76" i="8" s="1"/>
  <c r="F257" i="1"/>
  <c r="G75" i="8" s="1"/>
  <c r="F256" i="1"/>
  <c r="G74" i="8" s="1"/>
  <c r="F262" i="1"/>
  <c r="F261" i="1"/>
  <c r="F97" i="1"/>
  <c r="F95" i="1"/>
  <c r="F90" i="1"/>
  <c r="F253" i="1"/>
  <c r="F260" i="1"/>
  <c r="E259" i="1"/>
  <c r="E258" i="1"/>
  <c r="E257" i="1"/>
  <c r="E256" i="1"/>
  <c r="E94" i="1"/>
  <c r="E93" i="1"/>
  <c r="E89" i="1"/>
  <c r="E88" i="1"/>
  <c r="E87" i="1"/>
  <c r="E86" i="1"/>
  <c r="E85" i="1"/>
  <c r="H218" i="1" l="1"/>
  <c r="E218" i="1" l="1"/>
  <c r="H220" i="1"/>
  <c r="F317" i="1"/>
  <c r="D85" i="1" l="1"/>
  <c r="D86" i="1" s="1"/>
  <c r="D87" i="1" s="1"/>
  <c r="D88" i="1" s="1"/>
  <c r="D89" i="1" s="1"/>
  <c r="V121" i="53"/>
  <c r="T121" i="53"/>
  <c r="N121" i="53"/>
  <c r="H121" i="53"/>
  <c r="F121" i="53"/>
  <c r="O120" i="53"/>
  <c r="L120" i="53"/>
  <c r="M120" i="53" s="1"/>
  <c r="P120" i="53" s="1"/>
  <c r="I120" i="53"/>
  <c r="G120" i="53"/>
  <c r="J120" i="53" s="1"/>
  <c r="O119" i="53"/>
  <c r="L119" i="53"/>
  <c r="M119" i="53" s="1"/>
  <c r="I119" i="53"/>
  <c r="G119" i="53"/>
  <c r="J119" i="53" s="1"/>
  <c r="O118" i="53"/>
  <c r="L118" i="53"/>
  <c r="M118" i="53" s="1"/>
  <c r="I118" i="53"/>
  <c r="G118" i="53"/>
  <c r="O117" i="53"/>
  <c r="M117" i="53"/>
  <c r="L117" i="53"/>
  <c r="I117" i="53"/>
  <c r="G117" i="53"/>
  <c r="P116" i="53"/>
  <c r="O116" i="53"/>
  <c r="L116" i="53"/>
  <c r="M116" i="53" s="1"/>
  <c r="I116" i="53"/>
  <c r="G116" i="53"/>
  <c r="O115" i="53"/>
  <c r="L115" i="53"/>
  <c r="M115" i="53" s="1"/>
  <c r="P115" i="53" s="1"/>
  <c r="I115" i="53"/>
  <c r="G115" i="53"/>
  <c r="O114" i="53"/>
  <c r="L114" i="53"/>
  <c r="M114" i="53" s="1"/>
  <c r="I114" i="53"/>
  <c r="G114" i="53"/>
  <c r="O113" i="53"/>
  <c r="L113" i="53"/>
  <c r="M113" i="53" s="1"/>
  <c r="P113" i="53" s="1"/>
  <c r="I113" i="53"/>
  <c r="G113" i="53"/>
  <c r="O112" i="53"/>
  <c r="L112" i="53"/>
  <c r="M112" i="53" s="1"/>
  <c r="P112" i="53" s="1"/>
  <c r="J112" i="53"/>
  <c r="I112" i="53"/>
  <c r="G112" i="53"/>
  <c r="O111" i="53"/>
  <c r="M111" i="53"/>
  <c r="P111" i="53" s="1"/>
  <c r="L111" i="53"/>
  <c r="I111" i="53"/>
  <c r="G111" i="53"/>
  <c r="J111" i="53" s="1"/>
  <c r="O110" i="53"/>
  <c r="L110" i="53"/>
  <c r="M110" i="53" s="1"/>
  <c r="I110" i="53"/>
  <c r="G110" i="53"/>
  <c r="J110" i="53" s="1"/>
  <c r="O109" i="53"/>
  <c r="L109" i="53"/>
  <c r="M109" i="53" s="1"/>
  <c r="I109" i="53"/>
  <c r="G109" i="53"/>
  <c r="O108" i="53"/>
  <c r="L108" i="53"/>
  <c r="M108" i="53" s="1"/>
  <c r="I108" i="53"/>
  <c r="G108" i="53"/>
  <c r="J108" i="53" s="1"/>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P102" i="53" s="1"/>
  <c r="I102" i="53"/>
  <c r="G102" i="53"/>
  <c r="O101" i="53"/>
  <c r="L101" i="53"/>
  <c r="M101" i="53" s="1"/>
  <c r="P101" i="53" s="1"/>
  <c r="I101" i="53"/>
  <c r="J101" i="53" s="1"/>
  <c r="G101" i="53"/>
  <c r="O100" i="53"/>
  <c r="L100" i="53"/>
  <c r="M100" i="53" s="1"/>
  <c r="P100" i="53" s="1"/>
  <c r="I100" i="53"/>
  <c r="G100" i="53"/>
  <c r="O99" i="53"/>
  <c r="L99" i="53"/>
  <c r="M99" i="53" s="1"/>
  <c r="P99" i="53" s="1"/>
  <c r="J99" i="53"/>
  <c r="I99" i="53"/>
  <c r="G99" i="53"/>
  <c r="O98" i="53"/>
  <c r="L98" i="53"/>
  <c r="M98" i="53" s="1"/>
  <c r="I98" i="53"/>
  <c r="G98" i="53"/>
  <c r="J98" i="53" s="1"/>
  <c r="O97" i="53"/>
  <c r="P97" i="53" s="1"/>
  <c r="L97" i="53"/>
  <c r="M97" i="53" s="1"/>
  <c r="I97" i="53"/>
  <c r="G97" i="53"/>
  <c r="O96" i="53"/>
  <c r="L96" i="53"/>
  <c r="M96" i="53" s="1"/>
  <c r="I96" i="53"/>
  <c r="G96" i="53"/>
  <c r="J96" i="53" s="1"/>
  <c r="O95" i="53"/>
  <c r="L95" i="53"/>
  <c r="M95" i="53" s="1"/>
  <c r="I95" i="53"/>
  <c r="G95" i="53"/>
  <c r="J95" i="53" s="1"/>
  <c r="O94" i="53"/>
  <c r="L94" i="53"/>
  <c r="M94" i="53" s="1"/>
  <c r="I94" i="53"/>
  <c r="G94" i="53"/>
  <c r="O93" i="53"/>
  <c r="L93" i="53"/>
  <c r="M93" i="53" s="1"/>
  <c r="I93" i="53"/>
  <c r="G93" i="53"/>
  <c r="O92" i="53"/>
  <c r="L92" i="53"/>
  <c r="M92" i="53" s="1"/>
  <c r="I92" i="53"/>
  <c r="G92" i="53"/>
  <c r="J92" i="53" s="1"/>
  <c r="O91" i="53"/>
  <c r="M91" i="53"/>
  <c r="L91" i="53"/>
  <c r="I91" i="53"/>
  <c r="G91" i="53"/>
  <c r="J91" i="53" s="1"/>
  <c r="O90" i="53"/>
  <c r="L90" i="53"/>
  <c r="M90" i="53" s="1"/>
  <c r="I90" i="53"/>
  <c r="G90" i="53"/>
  <c r="O89" i="53"/>
  <c r="L89" i="53"/>
  <c r="M89" i="53" s="1"/>
  <c r="I89" i="53"/>
  <c r="G89" i="53"/>
  <c r="V86" i="53"/>
  <c r="T86" i="53"/>
  <c r="N86" i="53"/>
  <c r="H86" i="53"/>
  <c r="F86" i="53"/>
  <c r="O85" i="53"/>
  <c r="L85" i="53"/>
  <c r="M85" i="53" s="1"/>
  <c r="I85" i="53"/>
  <c r="G85" i="53"/>
  <c r="O84" i="53"/>
  <c r="M84" i="53"/>
  <c r="P84" i="53" s="1"/>
  <c r="L84" i="53"/>
  <c r="I84" i="53"/>
  <c r="G84" i="53"/>
  <c r="J84" i="53" s="1"/>
  <c r="O83" i="53"/>
  <c r="P83" i="53" s="1"/>
  <c r="L83" i="53"/>
  <c r="M83" i="53" s="1"/>
  <c r="I83" i="53"/>
  <c r="G83" i="53"/>
  <c r="O82" i="53"/>
  <c r="L82" i="53"/>
  <c r="M82" i="53" s="1"/>
  <c r="I82" i="53"/>
  <c r="G82" i="53"/>
  <c r="J82" i="53" s="1"/>
  <c r="O81" i="53"/>
  <c r="L81" i="53"/>
  <c r="M81" i="53" s="1"/>
  <c r="I81" i="53"/>
  <c r="G81" i="53"/>
  <c r="J81" i="53" s="1"/>
  <c r="O80" i="53"/>
  <c r="L80" i="53"/>
  <c r="M80" i="53" s="1"/>
  <c r="I80" i="53"/>
  <c r="G80" i="53"/>
  <c r="J80" i="53" s="1"/>
  <c r="O79" i="53"/>
  <c r="M79" i="53"/>
  <c r="L79" i="53"/>
  <c r="I79" i="53"/>
  <c r="G79" i="53"/>
  <c r="O78" i="53"/>
  <c r="L78" i="53"/>
  <c r="M78" i="53" s="1"/>
  <c r="I78" i="53"/>
  <c r="G78" i="53"/>
  <c r="J78" i="53" s="1"/>
  <c r="O77" i="53"/>
  <c r="L77" i="53"/>
  <c r="M77" i="53" s="1"/>
  <c r="I77" i="53"/>
  <c r="G77" i="53"/>
  <c r="O76" i="53"/>
  <c r="L76" i="53"/>
  <c r="M76" i="53" s="1"/>
  <c r="P76" i="53" s="1"/>
  <c r="I76" i="53"/>
  <c r="G76" i="53"/>
  <c r="O75" i="53"/>
  <c r="L75" i="53"/>
  <c r="M75" i="53" s="1"/>
  <c r="I75" i="53"/>
  <c r="G75" i="53"/>
  <c r="T71" i="53"/>
  <c r="T123" i="53" s="1"/>
  <c r="N71" i="53"/>
  <c r="H71" i="53"/>
  <c r="F71" i="53"/>
  <c r="O70" i="53"/>
  <c r="M70" i="53"/>
  <c r="I70" i="53"/>
  <c r="G70" i="53"/>
  <c r="O69" i="53"/>
  <c r="M69" i="53"/>
  <c r="P69" i="53" s="1"/>
  <c r="L69" i="53"/>
  <c r="I69" i="53"/>
  <c r="G69" i="53"/>
  <c r="O68" i="53"/>
  <c r="L68" i="53"/>
  <c r="M68" i="53" s="1"/>
  <c r="I68" i="53"/>
  <c r="G68" i="53"/>
  <c r="O67" i="53"/>
  <c r="L67" i="53"/>
  <c r="M67" i="53" s="1"/>
  <c r="I67" i="53"/>
  <c r="G67" i="53"/>
  <c r="O66" i="53"/>
  <c r="L66" i="53"/>
  <c r="M66" i="53" s="1"/>
  <c r="I66" i="53"/>
  <c r="G66" i="53"/>
  <c r="O65" i="53"/>
  <c r="L65" i="53"/>
  <c r="M65" i="53" s="1"/>
  <c r="I65" i="53"/>
  <c r="G65" i="53"/>
  <c r="J65" i="53" s="1"/>
  <c r="O64" i="53"/>
  <c r="L64" i="53"/>
  <c r="M64" i="53" s="1"/>
  <c r="I64" i="53"/>
  <c r="G64" i="53"/>
  <c r="J64" i="53" s="1"/>
  <c r="P63" i="53"/>
  <c r="O63" i="53"/>
  <c r="L63" i="53"/>
  <c r="M63" i="53" s="1"/>
  <c r="I63" i="53"/>
  <c r="G63" i="53"/>
  <c r="O62" i="53"/>
  <c r="L62" i="53"/>
  <c r="M62" i="53" s="1"/>
  <c r="I62" i="53"/>
  <c r="G62" i="53"/>
  <c r="O61" i="53"/>
  <c r="L61" i="53"/>
  <c r="M61" i="53" s="1"/>
  <c r="I61" i="53"/>
  <c r="G61" i="53"/>
  <c r="J61" i="53" s="1"/>
  <c r="O60" i="53"/>
  <c r="L60" i="53"/>
  <c r="M60" i="53" s="1"/>
  <c r="P60" i="53" s="1"/>
  <c r="I60" i="53"/>
  <c r="G60" i="53"/>
  <c r="O59" i="53"/>
  <c r="L59" i="53"/>
  <c r="M59" i="53" s="1"/>
  <c r="I59" i="53"/>
  <c r="G59" i="53"/>
  <c r="O58" i="53"/>
  <c r="L58" i="53"/>
  <c r="M58" i="53" s="1"/>
  <c r="I58" i="53"/>
  <c r="G58" i="53"/>
  <c r="O57" i="53"/>
  <c r="L57" i="53"/>
  <c r="M57" i="53" s="1"/>
  <c r="P57" i="53" s="1"/>
  <c r="I57" i="53"/>
  <c r="G57" i="53"/>
  <c r="O56" i="53"/>
  <c r="L56" i="53"/>
  <c r="M56" i="53" s="1"/>
  <c r="P56" i="53" s="1"/>
  <c r="I56" i="53"/>
  <c r="J56" i="53" s="1"/>
  <c r="G56" i="53"/>
  <c r="O55" i="53"/>
  <c r="L55" i="53"/>
  <c r="M55" i="53" s="1"/>
  <c r="P55" i="53" s="1"/>
  <c r="I55" i="53"/>
  <c r="G55" i="53"/>
  <c r="O54" i="53"/>
  <c r="M54" i="53"/>
  <c r="P54" i="53" s="1"/>
  <c r="L54" i="53"/>
  <c r="I54" i="53"/>
  <c r="G54" i="53"/>
  <c r="J54" i="53" s="1"/>
  <c r="O53" i="53"/>
  <c r="L53" i="53"/>
  <c r="M53" i="53" s="1"/>
  <c r="I53" i="53"/>
  <c r="G53" i="53"/>
  <c r="O52" i="53"/>
  <c r="L52" i="53"/>
  <c r="M52" i="53" s="1"/>
  <c r="I52" i="53"/>
  <c r="G52" i="53"/>
  <c r="J52" i="53" s="1"/>
  <c r="O51" i="53"/>
  <c r="L51" i="53"/>
  <c r="M51" i="53" s="1"/>
  <c r="P51" i="53" s="1"/>
  <c r="I51" i="53"/>
  <c r="G51" i="53"/>
  <c r="O50" i="53"/>
  <c r="L50" i="53"/>
  <c r="M50" i="53" s="1"/>
  <c r="I50" i="53"/>
  <c r="G50" i="53"/>
  <c r="O49" i="53"/>
  <c r="M49" i="53"/>
  <c r="P49" i="53" s="1"/>
  <c r="L49" i="53"/>
  <c r="I49" i="53"/>
  <c r="G49" i="53"/>
  <c r="J49" i="53" s="1"/>
  <c r="P48" i="53"/>
  <c r="O48" i="53"/>
  <c r="L48" i="53"/>
  <c r="M48" i="53" s="1"/>
  <c r="I48" i="53"/>
  <c r="G48" i="53"/>
  <c r="O47" i="53"/>
  <c r="L47" i="53"/>
  <c r="M47" i="53" s="1"/>
  <c r="P47" i="53" s="1"/>
  <c r="I47" i="53"/>
  <c r="G47" i="53"/>
  <c r="O46" i="53"/>
  <c r="L46" i="53"/>
  <c r="M46" i="53" s="1"/>
  <c r="P46" i="53" s="1"/>
  <c r="I46" i="53"/>
  <c r="G46" i="53"/>
  <c r="O45" i="53"/>
  <c r="L45" i="53"/>
  <c r="M45" i="53" s="1"/>
  <c r="P45" i="53" s="1"/>
  <c r="I45" i="53"/>
  <c r="G45" i="53"/>
  <c r="O44" i="53"/>
  <c r="L44" i="53"/>
  <c r="M44" i="53" s="1"/>
  <c r="P44" i="53" s="1"/>
  <c r="J44" i="53"/>
  <c r="I44" i="53"/>
  <c r="G44" i="53"/>
  <c r="P43" i="53"/>
  <c r="O43" i="53"/>
  <c r="L43" i="53"/>
  <c r="M43" i="53" s="1"/>
  <c r="I43" i="53"/>
  <c r="G43" i="53"/>
  <c r="O42" i="53"/>
  <c r="L42" i="53"/>
  <c r="M42" i="53" s="1"/>
  <c r="P42" i="53" s="1"/>
  <c r="I42" i="53"/>
  <c r="G42" i="53"/>
  <c r="O41" i="53"/>
  <c r="L41" i="53"/>
  <c r="M41" i="53" s="1"/>
  <c r="P41" i="53" s="1"/>
  <c r="I41" i="53"/>
  <c r="G41" i="53"/>
  <c r="O40" i="53"/>
  <c r="L40" i="53"/>
  <c r="M40" i="53" s="1"/>
  <c r="P40" i="53" s="1"/>
  <c r="I40" i="53"/>
  <c r="J40" i="53" s="1"/>
  <c r="G40" i="53"/>
  <c r="O39" i="53"/>
  <c r="L39" i="53"/>
  <c r="M39" i="53" s="1"/>
  <c r="P39" i="53" s="1"/>
  <c r="I39" i="53"/>
  <c r="G39" i="53"/>
  <c r="O38" i="53"/>
  <c r="L38" i="53"/>
  <c r="M38" i="53" s="1"/>
  <c r="P38" i="53" s="1"/>
  <c r="I38" i="53"/>
  <c r="G38" i="53"/>
  <c r="O37" i="53"/>
  <c r="L37" i="53"/>
  <c r="M37" i="53" s="1"/>
  <c r="P37" i="53" s="1"/>
  <c r="I37" i="53"/>
  <c r="G37" i="53"/>
  <c r="O36" i="53"/>
  <c r="L36" i="53"/>
  <c r="M36" i="53" s="1"/>
  <c r="P36" i="53" s="1"/>
  <c r="J36" i="53"/>
  <c r="I36" i="53"/>
  <c r="G36" i="53"/>
  <c r="O35" i="53"/>
  <c r="M35" i="53"/>
  <c r="L35" i="53"/>
  <c r="I35" i="53"/>
  <c r="G35" i="53"/>
  <c r="J35" i="53" s="1"/>
  <c r="O34" i="53"/>
  <c r="L34" i="53"/>
  <c r="M34" i="53" s="1"/>
  <c r="I34" i="53"/>
  <c r="G34" i="53"/>
  <c r="O33" i="53"/>
  <c r="L33" i="53"/>
  <c r="M33" i="53" s="1"/>
  <c r="I33" i="53"/>
  <c r="G33" i="53"/>
  <c r="J33" i="53" s="1"/>
  <c r="O32" i="53"/>
  <c r="L32" i="53"/>
  <c r="M32" i="53" s="1"/>
  <c r="I32" i="53"/>
  <c r="G32" i="53"/>
  <c r="O31" i="53"/>
  <c r="L31" i="53"/>
  <c r="M31" i="53" s="1"/>
  <c r="P31" i="53" s="1"/>
  <c r="I31" i="53"/>
  <c r="G31" i="53"/>
  <c r="O30" i="53"/>
  <c r="L30" i="53"/>
  <c r="M30" i="53" s="1"/>
  <c r="P30" i="53" s="1"/>
  <c r="I30" i="53"/>
  <c r="G30" i="53"/>
  <c r="O29" i="53"/>
  <c r="L29" i="53"/>
  <c r="M29" i="53" s="1"/>
  <c r="I29" i="53"/>
  <c r="J29" i="53" s="1"/>
  <c r="G29" i="53"/>
  <c r="O28" i="53"/>
  <c r="L28" i="53"/>
  <c r="M28" i="53" s="1"/>
  <c r="I28" i="53"/>
  <c r="G28" i="53"/>
  <c r="O27" i="53"/>
  <c r="L27" i="53"/>
  <c r="M27" i="53" s="1"/>
  <c r="P27" i="53" s="1"/>
  <c r="J27" i="53"/>
  <c r="I27" i="53"/>
  <c r="G27" i="53"/>
  <c r="O26" i="53"/>
  <c r="M26" i="53"/>
  <c r="L26" i="53"/>
  <c r="I26" i="53"/>
  <c r="G26" i="53"/>
  <c r="J26" i="53" s="1"/>
  <c r="O25" i="53"/>
  <c r="L25" i="53"/>
  <c r="M25" i="53" s="1"/>
  <c r="I25" i="53"/>
  <c r="G25" i="53"/>
  <c r="O24" i="53"/>
  <c r="L24" i="53"/>
  <c r="M24" i="53" s="1"/>
  <c r="P24" i="53" s="1"/>
  <c r="J24" i="53"/>
  <c r="R24" i="53" s="1"/>
  <c r="X24" i="53" s="1"/>
  <c r="AF24" i="53" s="1"/>
  <c r="I24" i="53"/>
  <c r="G24" i="53"/>
  <c r="O23" i="53"/>
  <c r="M23" i="53"/>
  <c r="P23" i="53" s="1"/>
  <c r="L23" i="53"/>
  <c r="I23" i="53"/>
  <c r="G23" i="53"/>
  <c r="J23" i="53" s="1"/>
  <c r="O22" i="53"/>
  <c r="M22" i="53"/>
  <c r="L22" i="53"/>
  <c r="I22" i="53"/>
  <c r="G22" i="53"/>
  <c r="J22" i="53" s="1"/>
  <c r="O21" i="53"/>
  <c r="L21" i="53"/>
  <c r="M21" i="53" s="1"/>
  <c r="I21" i="53"/>
  <c r="G21" i="53"/>
  <c r="O20" i="53"/>
  <c r="L20" i="53"/>
  <c r="M20" i="53" s="1"/>
  <c r="I20" i="53"/>
  <c r="G20" i="53"/>
  <c r="J20" i="53" s="1"/>
  <c r="O19" i="53"/>
  <c r="L19" i="53"/>
  <c r="M19" i="53" s="1"/>
  <c r="I19" i="53"/>
  <c r="G19" i="53"/>
  <c r="O18" i="53"/>
  <c r="L18" i="53"/>
  <c r="M18" i="53" s="1"/>
  <c r="P18" i="53" s="1"/>
  <c r="I18" i="53"/>
  <c r="G18" i="53"/>
  <c r="O17" i="53"/>
  <c r="L17" i="53"/>
  <c r="M17" i="53" s="1"/>
  <c r="P17" i="53" s="1"/>
  <c r="I17" i="53"/>
  <c r="G17" i="53"/>
  <c r="O16" i="53"/>
  <c r="L16" i="53"/>
  <c r="M16" i="53" s="1"/>
  <c r="P16" i="53" s="1"/>
  <c r="I16" i="53"/>
  <c r="G16" i="53"/>
  <c r="J16" i="53" s="1"/>
  <c r="P15" i="53"/>
  <c r="O15" i="53"/>
  <c r="L15" i="53"/>
  <c r="M15" i="53" s="1"/>
  <c r="I15" i="53"/>
  <c r="J15" i="53" s="1"/>
  <c r="R15" i="53" s="1"/>
  <c r="X15" i="53" s="1"/>
  <c r="AF15" i="53" s="1"/>
  <c r="G15" i="53"/>
  <c r="O14" i="53"/>
  <c r="L14" i="53"/>
  <c r="M14" i="53" s="1"/>
  <c r="P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M90" i="52"/>
  <c r="L47" i="51" s="1"/>
  <c r="O89" i="52"/>
  <c r="M89" i="52"/>
  <c r="O88" i="52"/>
  <c r="J26" i="51" s="1"/>
  <c r="M88" i="52"/>
  <c r="M93" i="52" s="1"/>
  <c r="M82" i="52"/>
  <c r="M81" i="52"/>
  <c r="M80" i="52"/>
  <c r="M79" i="52"/>
  <c r="M73" i="52"/>
  <c r="M72" i="52"/>
  <c r="M71" i="52"/>
  <c r="M70" i="52"/>
  <c r="O57" i="52"/>
  <c r="O59" i="52" s="1"/>
  <c r="M57" i="52"/>
  <c r="M59" i="52" s="1"/>
  <c r="K57" i="52"/>
  <c r="K59" i="52" s="1"/>
  <c r="Q55" i="52"/>
  <c r="Q54" i="52"/>
  <c r="Q53" i="52"/>
  <c r="Q52" i="52"/>
  <c r="O39" i="52"/>
  <c r="M39" i="52"/>
  <c r="Q37" i="52"/>
  <c r="K37" i="52"/>
  <c r="K91" i="52" s="1"/>
  <c r="Q36" i="52"/>
  <c r="Q35" i="52"/>
  <c r="K35" i="52"/>
  <c r="K89" i="52" s="1"/>
  <c r="Q34" i="52"/>
  <c r="Q88" i="52" s="1"/>
  <c r="M30" i="52"/>
  <c r="K28" i="52"/>
  <c r="K82" i="52" s="1"/>
  <c r="K26" i="52"/>
  <c r="O26" i="52" s="1"/>
  <c r="K25" i="52"/>
  <c r="K79" i="52" s="1"/>
  <c r="M21" i="52"/>
  <c r="K18" i="52"/>
  <c r="K17" i="52"/>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D237" i="51"/>
  <c r="P204" i="51" s="1"/>
  <c r="R215" i="51"/>
  <c r="L215" i="51"/>
  <c r="R211" i="51"/>
  <c r="L211" i="51"/>
  <c r="N207" i="51"/>
  <c r="J207" i="51"/>
  <c r="E207" i="51"/>
  <c r="Q206" i="51"/>
  <c r="Q205" i="51"/>
  <c r="O205" i="51"/>
  <c r="F205" i="51"/>
  <c r="Q204" i="51"/>
  <c r="F204" i="51"/>
  <c r="F203" i="51" s="1"/>
  <c r="F202" i="51" s="1"/>
  <c r="Q203" i="51"/>
  <c r="Q202" i="51"/>
  <c r="P202" i="51"/>
  <c r="Q201" i="51"/>
  <c r="O201" i="51"/>
  <c r="Q200" i="51"/>
  <c r="Q199" i="51"/>
  <c r="H199" i="51"/>
  <c r="K199" i="51" s="1"/>
  <c r="Q198" i="51"/>
  <c r="P198" i="51"/>
  <c r="H198" i="51"/>
  <c r="K198" i="51" s="1"/>
  <c r="Q197" i="51"/>
  <c r="P197" i="51"/>
  <c r="H197" i="51"/>
  <c r="K197" i="51" s="1"/>
  <c r="Q196" i="51"/>
  <c r="H196" i="51"/>
  <c r="K196" i="51" s="1"/>
  <c r="G196" i="51"/>
  <c r="G197" i="51" s="1"/>
  <c r="G198" i="51" s="1"/>
  <c r="G199" i="51" s="1"/>
  <c r="G200" i="51" s="1"/>
  <c r="G201" i="51" s="1"/>
  <c r="G202" i="51" s="1"/>
  <c r="G203" i="51" s="1"/>
  <c r="G204" i="51" s="1"/>
  <c r="G205" i="51" s="1"/>
  <c r="G206" i="51" s="1"/>
  <c r="H206" i="51" s="1"/>
  <c r="K206" i="51" s="1"/>
  <c r="Q195" i="51"/>
  <c r="O195" i="51"/>
  <c r="H195" i="51"/>
  <c r="K195" i="51" s="1"/>
  <c r="L195" i="51" s="1"/>
  <c r="R182" i="51"/>
  <c r="L182" i="51"/>
  <c r="R178" i="51"/>
  <c r="L178" i="51"/>
  <c r="N174" i="51"/>
  <c r="J174" i="51"/>
  <c r="E174" i="51"/>
  <c r="Q173" i="51"/>
  <c r="Q172" i="51"/>
  <c r="P172" i="51"/>
  <c r="O172" i="51"/>
  <c r="F172" i="51"/>
  <c r="Q171" i="51"/>
  <c r="P171" i="51"/>
  <c r="Q170" i="51"/>
  <c r="O170" i="51"/>
  <c r="Q169" i="51"/>
  <c r="P169" i="51"/>
  <c r="Q168" i="51"/>
  <c r="P168" i="51"/>
  <c r="O168" i="51"/>
  <c r="Q167" i="51"/>
  <c r="Q166" i="51"/>
  <c r="P166" i="51"/>
  <c r="O166" i="51"/>
  <c r="H166" i="51"/>
  <c r="K166" i="51" s="1"/>
  <c r="Q165" i="51"/>
  <c r="O165" i="51"/>
  <c r="K165" i="51"/>
  <c r="H165" i="51"/>
  <c r="Q164" i="51"/>
  <c r="H164" i="51"/>
  <c r="K164" i="51" s="1"/>
  <c r="Q163" i="51"/>
  <c r="Q174" i="51" s="1"/>
  <c r="H163" i="51"/>
  <c r="K163" i="51" s="1"/>
  <c r="G163" i="51"/>
  <c r="G164" i="51" s="1"/>
  <c r="G165" i="51" s="1"/>
  <c r="G166" i="51" s="1"/>
  <c r="G167" i="51" s="1"/>
  <c r="G168" i="51" s="1"/>
  <c r="G169" i="51" s="1"/>
  <c r="G170" i="51" s="1"/>
  <c r="G171" i="51" s="1"/>
  <c r="G172" i="51" s="1"/>
  <c r="G173" i="51" s="1"/>
  <c r="H173" i="51" s="1"/>
  <c r="K173" i="51" s="1"/>
  <c r="Q162" i="51"/>
  <c r="H162" i="51"/>
  <c r="K162" i="51" s="1"/>
  <c r="R149" i="51"/>
  <c r="L149" i="51"/>
  <c r="R145" i="51"/>
  <c r="L145" i="51"/>
  <c r="N141" i="51"/>
  <c r="J141" i="51"/>
  <c r="E141" i="51"/>
  <c r="Q140" i="51"/>
  <c r="O140" i="51"/>
  <c r="Q139" i="51"/>
  <c r="F139" i="51"/>
  <c r="F138" i="51" s="1"/>
  <c r="Q138" i="51"/>
  <c r="Q137" i="51"/>
  <c r="Q136" i="51"/>
  <c r="Q135" i="51"/>
  <c r="O135" i="51"/>
  <c r="Q134" i="51"/>
  <c r="Q133" i="51"/>
  <c r="O133" i="51"/>
  <c r="H133" i="51"/>
  <c r="K133" i="51" s="1"/>
  <c r="Q132" i="51"/>
  <c r="P132" i="51"/>
  <c r="H132" i="51"/>
  <c r="K132" i="51" s="1"/>
  <c r="Q131" i="51"/>
  <c r="H131" i="51"/>
  <c r="K131" i="51" s="1"/>
  <c r="Q130" i="51"/>
  <c r="O130" i="51"/>
  <c r="H130" i="51"/>
  <c r="K130" i="51" s="1"/>
  <c r="G130" i="51"/>
  <c r="G131" i="51" s="1"/>
  <c r="G132" i="51" s="1"/>
  <c r="G133" i="51" s="1"/>
  <c r="G134" i="51" s="1"/>
  <c r="G135" i="51" s="1"/>
  <c r="G136" i="51" s="1"/>
  <c r="G137" i="51" s="1"/>
  <c r="G138" i="51" s="1"/>
  <c r="G139" i="51" s="1"/>
  <c r="Q129" i="51"/>
  <c r="R129" i="51" s="1"/>
  <c r="O129" i="51"/>
  <c r="H129" i="51"/>
  <c r="K129" i="51" s="1"/>
  <c r="L129" i="51" s="1"/>
  <c r="R102" i="51"/>
  <c r="R98" i="51"/>
  <c r="L96" i="51"/>
  <c r="L98" i="51" s="1"/>
  <c r="N94" i="51"/>
  <c r="J94" i="51"/>
  <c r="E94" i="51"/>
  <c r="Q93" i="51"/>
  <c r="O93" i="51"/>
  <c r="Q92" i="51"/>
  <c r="F92" i="51"/>
  <c r="F91" i="51" s="1"/>
  <c r="Q91" i="51"/>
  <c r="Q90" i="51"/>
  <c r="Q89" i="51"/>
  <c r="Q88" i="51"/>
  <c r="O88" i="51"/>
  <c r="Q87" i="51"/>
  <c r="Q86" i="51"/>
  <c r="O86" i="51"/>
  <c r="H86" i="51"/>
  <c r="K86" i="51" s="1"/>
  <c r="Q85" i="51"/>
  <c r="P85" i="51"/>
  <c r="H85" i="51"/>
  <c r="K85" i="51" s="1"/>
  <c r="Q84" i="51"/>
  <c r="H84" i="51"/>
  <c r="K84" i="51" s="1"/>
  <c r="Q83" i="51"/>
  <c r="O83" i="51"/>
  <c r="H83" i="51"/>
  <c r="K83" i="51" s="1"/>
  <c r="G83" i="51"/>
  <c r="G84" i="51" s="1"/>
  <c r="G85" i="51" s="1"/>
  <c r="G86" i="51" s="1"/>
  <c r="G87" i="51" s="1"/>
  <c r="G88" i="51" s="1"/>
  <c r="G89" i="51" s="1"/>
  <c r="G90" i="51" s="1"/>
  <c r="G91" i="51" s="1"/>
  <c r="G92" i="51" s="1"/>
  <c r="G93" i="51" s="1"/>
  <c r="H93" i="51" s="1"/>
  <c r="K93" i="51" s="1"/>
  <c r="Q82" i="51"/>
  <c r="O82" i="51"/>
  <c r="H82" i="51"/>
  <c r="K82" i="51" s="1"/>
  <c r="L82" i="51" s="1"/>
  <c r="L80" i="51"/>
  <c r="R69" i="51"/>
  <c r="R65" i="51"/>
  <c r="R71" i="51" s="1"/>
  <c r="N61" i="51"/>
  <c r="E61" i="51"/>
  <c r="P59" i="51"/>
  <c r="O59" i="51"/>
  <c r="F59" i="51"/>
  <c r="F58" i="51" s="1"/>
  <c r="F57" i="51" s="1"/>
  <c r="F56" i="51" s="1"/>
  <c r="F55" i="51" s="1"/>
  <c r="F54" i="51" s="1"/>
  <c r="P57" i="51"/>
  <c r="P56" i="51"/>
  <c r="P55" i="51"/>
  <c r="O55" i="51"/>
  <c r="O54" i="51"/>
  <c r="H53" i="51"/>
  <c r="P52" i="51"/>
  <c r="H52" i="51"/>
  <c r="P51" i="51"/>
  <c r="O51" i="51"/>
  <c r="H51" i="51"/>
  <c r="P50" i="51"/>
  <c r="O50" i="51"/>
  <c r="H50" i="51"/>
  <c r="G50" i="51"/>
  <c r="G51" i="51" s="1"/>
  <c r="G52" i="51" s="1"/>
  <c r="G53" i="51" s="1"/>
  <c r="G54" i="51" s="1"/>
  <c r="G55" i="51" s="1"/>
  <c r="G56" i="51" s="1"/>
  <c r="G57" i="51" s="1"/>
  <c r="G58" i="51" s="1"/>
  <c r="P49" i="51"/>
  <c r="O49" i="51"/>
  <c r="H49" i="51"/>
  <c r="R36" i="51"/>
  <c r="R32" i="51"/>
  <c r="R38" i="51" s="1"/>
  <c r="N28" i="51"/>
  <c r="E28" i="51"/>
  <c r="P27" i="51"/>
  <c r="O27" i="51"/>
  <c r="O26" i="51"/>
  <c r="F26" i="51"/>
  <c r="F25" i="51" s="1"/>
  <c r="P25" i="51"/>
  <c r="P24" i="51"/>
  <c r="O24" i="51"/>
  <c r="P23" i="51"/>
  <c r="P22" i="51"/>
  <c r="O22" i="51"/>
  <c r="P21" i="51"/>
  <c r="P20" i="51"/>
  <c r="O20" i="51"/>
  <c r="H20" i="51"/>
  <c r="O19" i="51"/>
  <c r="H19" i="51"/>
  <c r="P18" i="51"/>
  <c r="H18" i="51"/>
  <c r="P17" i="51"/>
  <c r="O17" i="51"/>
  <c r="H17" i="51"/>
  <c r="G17" i="51"/>
  <c r="G18" i="51" s="1"/>
  <c r="G19" i="51" s="1"/>
  <c r="G20" i="51" s="1"/>
  <c r="G21" i="51" s="1"/>
  <c r="G22" i="51" s="1"/>
  <c r="G23" i="51" s="1"/>
  <c r="G24" i="51" s="1"/>
  <c r="G25" i="51" s="1"/>
  <c r="G26" i="51" s="1"/>
  <c r="P16" i="51"/>
  <c r="O16" i="51"/>
  <c r="H16" i="51"/>
  <c r="B16" i="51"/>
  <c r="B17" i="51" s="1"/>
  <c r="B18" i="51" s="1"/>
  <c r="B19" i="51" s="1"/>
  <c r="B20" i="51" s="1"/>
  <c r="B21" i="51" s="1"/>
  <c r="B22" i="51" s="1"/>
  <c r="B23" i="51" s="1"/>
  <c r="B24" i="51" s="1"/>
  <c r="B25" i="51" s="1"/>
  <c r="B26" i="51" s="1"/>
  <c r="B27" i="51" s="1"/>
  <c r="I302" i="50"/>
  <c r="I308" i="50" s="1"/>
  <c r="H302" i="50"/>
  <c r="H308" i="50" s="1"/>
  <c r="G302" i="50"/>
  <c r="G308" i="50" s="1"/>
  <c r="F302" i="50"/>
  <c r="F308" i="50" s="1"/>
  <c r="E296" i="50"/>
  <c r="E302" i="50" s="1"/>
  <c r="H280" i="50"/>
  <c r="I278" i="50"/>
  <c r="I282" i="50" s="1"/>
  <c r="I288" i="50" s="1"/>
  <c r="I15" i="50" s="1"/>
  <c r="H278" i="50"/>
  <c r="H282" i="50" s="1"/>
  <c r="H288" i="50" s="1"/>
  <c r="H15" i="50" s="1"/>
  <c r="G278" i="50"/>
  <c r="G282" i="50" s="1"/>
  <c r="G288" i="50" s="1"/>
  <c r="G15" i="50" s="1"/>
  <c r="F278" i="50"/>
  <c r="F282" i="50" s="1"/>
  <c r="F288" i="50" s="1"/>
  <c r="E272" i="50"/>
  <c r="E278" i="50" s="1"/>
  <c r="E282" i="50" s="1"/>
  <c r="I231" i="50"/>
  <c r="H231" i="50"/>
  <c r="G231" i="50"/>
  <c r="G238" i="50" s="1"/>
  <c r="G244" i="50" s="1"/>
  <c r="F231" i="50"/>
  <c r="F238" i="50" s="1"/>
  <c r="F244" i="50" s="1"/>
  <c r="E231" i="50"/>
  <c r="E238" i="50" s="1"/>
  <c r="E209" i="50"/>
  <c r="E208" i="50"/>
  <c r="E207" i="50"/>
  <c r="E206" i="50"/>
  <c r="I252" i="50"/>
  <c r="G211" i="50"/>
  <c r="G217" i="50" s="1"/>
  <c r="G14" i="50" s="1"/>
  <c r="F211" i="50"/>
  <c r="F217" i="50" s="1"/>
  <c r="E203" i="50"/>
  <c r="E202" i="50"/>
  <c r="E201" i="50"/>
  <c r="E200" i="50"/>
  <c r="E199" i="50"/>
  <c r="E198" i="50"/>
  <c r="E196" i="50"/>
  <c r="E195" i="50"/>
  <c r="I170" i="50"/>
  <c r="I156" i="50"/>
  <c r="I177" i="50" s="1"/>
  <c r="H156" i="50"/>
  <c r="H177" i="50" s="1"/>
  <c r="G156" i="50"/>
  <c r="F156" i="50"/>
  <c r="F163" i="50" s="1"/>
  <c r="F169" i="50" s="1"/>
  <c r="E149" i="50"/>
  <c r="E156" i="50" s="1"/>
  <c r="E163" i="50" s="1"/>
  <c r="E134" i="50"/>
  <c r="I133" i="50"/>
  <c r="E133" i="50" s="1"/>
  <c r="I132" i="50"/>
  <c r="H132" i="50"/>
  <c r="G132" i="50"/>
  <c r="F132" i="50"/>
  <c r="I131" i="50"/>
  <c r="H131" i="50"/>
  <c r="G131" i="50"/>
  <c r="F131" i="50"/>
  <c r="I129" i="50"/>
  <c r="G129" i="50"/>
  <c r="G176" i="50" s="1"/>
  <c r="F129" i="50"/>
  <c r="F176" i="50" s="1"/>
  <c r="E128" i="50"/>
  <c r="E127" i="50"/>
  <c r="E126" i="50"/>
  <c r="E125" i="50"/>
  <c r="I86" i="50"/>
  <c r="I93" i="50" s="1"/>
  <c r="I99" i="50" s="1"/>
  <c r="H86" i="50"/>
  <c r="H93" i="50" s="1"/>
  <c r="H99" i="50" s="1"/>
  <c r="G86" i="50"/>
  <c r="G93" i="50" s="1"/>
  <c r="G99" i="50" s="1"/>
  <c r="F86" i="50"/>
  <c r="F107" i="50" s="1"/>
  <c r="E86" i="50"/>
  <c r="E93" i="50" s="1"/>
  <c r="E61" i="50"/>
  <c r="I59" i="50"/>
  <c r="H59" i="50"/>
  <c r="G59" i="50"/>
  <c r="G106" i="50" s="1"/>
  <c r="F59" i="50"/>
  <c r="E58" i="50"/>
  <c r="E57" i="50"/>
  <c r="E56" i="50"/>
  <c r="E55" i="50"/>
  <c r="E54" i="50"/>
  <c r="E53" i="50"/>
  <c r="E52" i="50"/>
  <c r="E51" i="50"/>
  <c r="E50" i="50"/>
  <c r="E49" i="50"/>
  <c r="E48" i="50"/>
  <c r="E47" i="50"/>
  <c r="E46" i="50"/>
  <c r="E45" i="50"/>
  <c r="E44" i="50"/>
  <c r="E43" i="50"/>
  <c r="E42" i="50"/>
  <c r="E41" i="50"/>
  <c r="E40" i="50"/>
  <c r="E39" i="50"/>
  <c r="E38" i="50"/>
  <c r="E37" i="50"/>
  <c r="E36" i="50"/>
  <c r="B17" i="50"/>
  <c r="B22" i="50" s="1"/>
  <c r="E12" i="50"/>
  <c r="B12" i="50"/>
  <c r="B13" i="50" s="1"/>
  <c r="B14" i="50" s="1"/>
  <c r="B15" i="50" s="1"/>
  <c r="I307" i="49"/>
  <c r="H307" i="49"/>
  <c r="G307" i="49"/>
  <c r="G313" i="49" s="1"/>
  <c r="F307" i="49"/>
  <c r="F313" i="49" s="1"/>
  <c r="E301" i="49"/>
  <c r="E307" i="49" s="1"/>
  <c r="I283" i="49"/>
  <c r="I287" i="49" s="1"/>
  <c r="G283" i="49"/>
  <c r="G287" i="49" s="1"/>
  <c r="G293" i="49" s="1"/>
  <c r="G15" i="49" s="1"/>
  <c r="F283" i="49"/>
  <c r="F287" i="49" s="1"/>
  <c r="F293" i="49" s="1"/>
  <c r="F15" i="49" s="1"/>
  <c r="H283" i="49"/>
  <c r="I236" i="49"/>
  <c r="I258" i="49" s="1"/>
  <c r="H236" i="49"/>
  <c r="G236" i="49"/>
  <c r="F236" i="49"/>
  <c r="E236" i="49"/>
  <c r="E243" i="49" s="1"/>
  <c r="E212" i="49"/>
  <c r="E210" i="49"/>
  <c r="E209" i="49"/>
  <c r="H214" i="49"/>
  <c r="G214" i="49"/>
  <c r="G220" i="49" s="1"/>
  <c r="G14" i="49" s="1"/>
  <c r="F257" i="49"/>
  <c r="E206" i="49"/>
  <c r="E205" i="49"/>
  <c r="E204" i="49"/>
  <c r="E202" i="49"/>
  <c r="E201" i="49"/>
  <c r="E200" i="49"/>
  <c r="E199" i="49"/>
  <c r="E198" i="49"/>
  <c r="E197" i="49"/>
  <c r="I158" i="49"/>
  <c r="I165" i="49" s="1"/>
  <c r="G158" i="49"/>
  <c r="F158" i="49"/>
  <c r="F179" i="49" s="1"/>
  <c r="E139" i="49"/>
  <c r="E138" i="49"/>
  <c r="I137" i="49"/>
  <c r="H137" i="49"/>
  <c r="F137" i="49"/>
  <c r="I136" i="49"/>
  <c r="G136" i="49"/>
  <c r="F136" i="49"/>
  <c r="I134" i="49"/>
  <c r="F134" i="49"/>
  <c r="E133" i="49"/>
  <c r="E132" i="49"/>
  <c r="E131" i="49"/>
  <c r="I91" i="49"/>
  <c r="H91" i="49"/>
  <c r="H112" i="49" s="1"/>
  <c r="G91" i="49"/>
  <c r="F91" i="49"/>
  <c r="F98" i="49" s="1"/>
  <c r="F104" i="49" s="1"/>
  <c r="E91" i="49"/>
  <c r="E98" i="49" s="1"/>
  <c r="E66" i="49"/>
  <c r="I111" i="49"/>
  <c r="F111" i="49"/>
  <c r="E36" i="49"/>
  <c r="B17" i="49"/>
  <c r="B22" i="49" s="1"/>
  <c r="F218" i="1" s="1"/>
  <c r="E12" i="49"/>
  <c r="B12" i="49"/>
  <c r="B13" i="49" s="1"/>
  <c r="B14" i="49" s="1"/>
  <c r="B15" i="49" s="1"/>
  <c r="E177" i="48"/>
  <c r="R166" i="48"/>
  <c r="L166" i="48"/>
  <c r="R162" i="48"/>
  <c r="L162" i="48"/>
  <c r="N158" i="48"/>
  <c r="J158" i="48"/>
  <c r="E158" i="48"/>
  <c r="Q157" i="48"/>
  <c r="P157" i="48"/>
  <c r="O157" i="48"/>
  <c r="H157" i="48"/>
  <c r="K157" i="48" s="1"/>
  <c r="Q156" i="48"/>
  <c r="P156" i="48"/>
  <c r="O156" i="48"/>
  <c r="H156" i="48"/>
  <c r="K156" i="48" s="1"/>
  <c r="Q155" i="48"/>
  <c r="P155" i="48"/>
  <c r="O155" i="48"/>
  <c r="H155" i="48"/>
  <c r="K155" i="48" s="1"/>
  <c r="Q154" i="48"/>
  <c r="P154" i="48"/>
  <c r="O154" i="48"/>
  <c r="H154" i="48"/>
  <c r="K154" i="48" s="1"/>
  <c r="Q153" i="48"/>
  <c r="P153" i="48"/>
  <c r="O153" i="48"/>
  <c r="H153" i="48"/>
  <c r="K153" i="48" s="1"/>
  <c r="Q152" i="48"/>
  <c r="P152" i="48"/>
  <c r="O152" i="48"/>
  <c r="K152" i="48"/>
  <c r="H152" i="48"/>
  <c r="Q151" i="48"/>
  <c r="P151" i="48"/>
  <c r="O151" i="48"/>
  <c r="H151" i="48"/>
  <c r="K151" i="48" s="1"/>
  <c r="Q150" i="48"/>
  <c r="P150" i="48"/>
  <c r="O150" i="48"/>
  <c r="H150" i="48"/>
  <c r="K150" i="48" s="1"/>
  <c r="Q149" i="48"/>
  <c r="P149" i="48"/>
  <c r="O149" i="48"/>
  <c r="H149" i="48"/>
  <c r="K149" i="48" s="1"/>
  <c r="Q148" i="48"/>
  <c r="P148" i="48"/>
  <c r="O148" i="48"/>
  <c r="H148" i="48"/>
  <c r="K148" i="48" s="1"/>
  <c r="Q147" i="48"/>
  <c r="P147" i="48"/>
  <c r="O147" i="48"/>
  <c r="H147" i="48"/>
  <c r="K147" i="48" s="1"/>
  <c r="Q146" i="48"/>
  <c r="P146" i="48"/>
  <c r="O146" i="48"/>
  <c r="K146" i="48"/>
  <c r="H146" i="48"/>
  <c r="R133" i="48"/>
  <c r="R129" i="48"/>
  <c r="R135" i="48" s="1"/>
  <c r="N125" i="48"/>
  <c r="J125" i="48"/>
  <c r="E125" i="48"/>
  <c r="Q124" i="48"/>
  <c r="P124" i="48"/>
  <c r="O124" i="48"/>
  <c r="H124" i="48"/>
  <c r="K124" i="48" s="1"/>
  <c r="Q123" i="48"/>
  <c r="P123" i="48"/>
  <c r="O123" i="48"/>
  <c r="H123" i="48"/>
  <c r="K123" i="48" s="1"/>
  <c r="Q122" i="48"/>
  <c r="P122" i="48"/>
  <c r="O122" i="48"/>
  <c r="H122" i="48"/>
  <c r="K122" i="48" s="1"/>
  <c r="Q121" i="48"/>
  <c r="P121" i="48"/>
  <c r="O121" i="48"/>
  <c r="H121" i="48"/>
  <c r="K121" i="48" s="1"/>
  <c r="Q120" i="48"/>
  <c r="P120" i="48"/>
  <c r="O120" i="48"/>
  <c r="H120" i="48"/>
  <c r="K120" i="48" s="1"/>
  <c r="Q119" i="48"/>
  <c r="P119" i="48"/>
  <c r="O119" i="48"/>
  <c r="H119" i="48"/>
  <c r="K119" i="48" s="1"/>
  <c r="Q118" i="48"/>
  <c r="P118" i="48"/>
  <c r="O118" i="48"/>
  <c r="H118" i="48"/>
  <c r="K118" i="48" s="1"/>
  <c r="Q117" i="48"/>
  <c r="P117" i="48"/>
  <c r="O117" i="48"/>
  <c r="H117" i="48"/>
  <c r="K117" i="48" s="1"/>
  <c r="Q116" i="48"/>
  <c r="P116" i="48"/>
  <c r="O116" i="48"/>
  <c r="H116" i="48"/>
  <c r="K116" i="48" s="1"/>
  <c r="Q115" i="48"/>
  <c r="P115" i="48"/>
  <c r="O115" i="48"/>
  <c r="H115" i="48"/>
  <c r="K115" i="48" s="1"/>
  <c r="Q114" i="48"/>
  <c r="P114" i="48"/>
  <c r="O114" i="48"/>
  <c r="H114" i="48"/>
  <c r="K114" i="48" s="1"/>
  <c r="Q113" i="48"/>
  <c r="P113" i="48"/>
  <c r="P125" i="48" s="1"/>
  <c r="O113" i="48"/>
  <c r="H113" i="48"/>
  <c r="K113" i="48" s="1"/>
  <c r="R100" i="48"/>
  <c r="R96" i="48"/>
  <c r="N92" i="48"/>
  <c r="J92" i="48"/>
  <c r="E92" i="48"/>
  <c r="Q91" i="48"/>
  <c r="P91" i="48"/>
  <c r="O91" i="48"/>
  <c r="H91" i="48"/>
  <c r="K91" i="48" s="1"/>
  <c r="Q90" i="48"/>
  <c r="P90" i="48"/>
  <c r="O90" i="48"/>
  <c r="H90" i="48"/>
  <c r="K90" i="48" s="1"/>
  <c r="Q89" i="48"/>
  <c r="P89" i="48"/>
  <c r="O89" i="48"/>
  <c r="H89" i="48"/>
  <c r="K89" i="48" s="1"/>
  <c r="Q88" i="48"/>
  <c r="P88" i="48"/>
  <c r="O88" i="48"/>
  <c r="H88" i="48"/>
  <c r="K88" i="48" s="1"/>
  <c r="Q87" i="48"/>
  <c r="P87" i="48"/>
  <c r="O87" i="48"/>
  <c r="K87" i="48"/>
  <c r="H87" i="48"/>
  <c r="Q86" i="48"/>
  <c r="P86" i="48"/>
  <c r="O86" i="48"/>
  <c r="H86" i="48"/>
  <c r="K86" i="48" s="1"/>
  <c r="Q85" i="48"/>
  <c r="P85" i="48"/>
  <c r="O85" i="48"/>
  <c r="H85" i="48"/>
  <c r="K85" i="48" s="1"/>
  <c r="Q84" i="48"/>
  <c r="P84" i="48"/>
  <c r="O84" i="48"/>
  <c r="H84" i="48"/>
  <c r="K84" i="48" s="1"/>
  <c r="Q83" i="48"/>
  <c r="P83" i="48"/>
  <c r="O83" i="48"/>
  <c r="H83" i="48"/>
  <c r="K83" i="48" s="1"/>
  <c r="Q82" i="48"/>
  <c r="P82" i="48"/>
  <c r="O82" i="48"/>
  <c r="H82" i="48"/>
  <c r="K82" i="48" s="1"/>
  <c r="Q81" i="48"/>
  <c r="P81" i="48"/>
  <c r="O81" i="48"/>
  <c r="H81" i="48"/>
  <c r="K81" i="48" s="1"/>
  <c r="Q80" i="48"/>
  <c r="P80" i="48"/>
  <c r="O80" i="48"/>
  <c r="H80" i="48"/>
  <c r="K80" i="48" s="1"/>
  <c r="R67" i="48"/>
  <c r="L67" i="48"/>
  <c r="R63" i="48"/>
  <c r="L63" i="48"/>
  <c r="N59" i="48"/>
  <c r="J59" i="48"/>
  <c r="E59" i="48"/>
  <c r="Q58" i="48"/>
  <c r="P58" i="48"/>
  <c r="O58" i="48"/>
  <c r="Q57" i="48"/>
  <c r="P57" i="48"/>
  <c r="O57" i="48"/>
  <c r="F57" i="48"/>
  <c r="Q56" i="48"/>
  <c r="P56" i="48"/>
  <c r="O56" i="48"/>
  <c r="Q55" i="48"/>
  <c r="P55" i="48"/>
  <c r="O55" i="48"/>
  <c r="Q54" i="48"/>
  <c r="P54" i="48"/>
  <c r="O54" i="48"/>
  <c r="Q53" i="48"/>
  <c r="P53" i="48"/>
  <c r="O53" i="48"/>
  <c r="Q52" i="48"/>
  <c r="P52" i="48"/>
  <c r="O52" i="48"/>
  <c r="Q51" i="48"/>
  <c r="P51" i="48"/>
  <c r="O51" i="48"/>
  <c r="H51" i="48"/>
  <c r="K51" i="48" s="1"/>
  <c r="Q50" i="48"/>
  <c r="P50" i="48"/>
  <c r="O50" i="48"/>
  <c r="H50" i="48"/>
  <c r="K50" i="48" s="1"/>
  <c r="Q49" i="48"/>
  <c r="P49" i="48"/>
  <c r="O49" i="48"/>
  <c r="H49" i="48"/>
  <c r="K49" i="48" s="1"/>
  <c r="Q48" i="48"/>
  <c r="P48" i="48"/>
  <c r="O48" i="48"/>
  <c r="H48" i="48"/>
  <c r="K48" i="48" s="1"/>
  <c r="G48" i="48"/>
  <c r="G49" i="48" s="1"/>
  <c r="G50" i="48" s="1"/>
  <c r="G51" i="48" s="1"/>
  <c r="G52" i="48" s="1"/>
  <c r="G53" i="48" s="1"/>
  <c r="G54" i="48" s="1"/>
  <c r="G55" i="48" s="1"/>
  <c r="G56" i="48" s="1"/>
  <c r="G57" i="48" s="1"/>
  <c r="G58" i="48" s="1"/>
  <c r="H58" i="48" s="1"/>
  <c r="K58" i="48" s="1"/>
  <c r="Q47" i="48"/>
  <c r="P47" i="48"/>
  <c r="R47" i="48" s="1"/>
  <c r="R48" i="48" s="1"/>
  <c r="R49" i="48" s="1"/>
  <c r="R50" i="48" s="1"/>
  <c r="R51" i="48" s="1"/>
  <c r="R52" i="48" s="1"/>
  <c r="R53" i="48" s="1"/>
  <c r="R54" i="48" s="1"/>
  <c r="R55" i="48" s="1"/>
  <c r="R56" i="48" s="1"/>
  <c r="R57" i="48" s="1"/>
  <c r="R58" i="48" s="1"/>
  <c r="R70" i="48" s="1"/>
  <c r="O47" i="48"/>
  <c r="H47" i="48"/>
  <c r="K47" i="48" s="1"/>
  <c r="L47" i="48" s="1"/>
  <c r="R34" i="48"/>
  <c r="R30" i="48"/>
  <c r="N26" i="48"/>
  <c r="J26" i="48"/>
  <c r="E26" i="48"/>
  <c r="Q25" i="48"/>
  <c r="P25" i="48"/>
  <c r="O25" i="48"/>
  <c r="Q24" i="48"/>
  <c r="P24" i="48"/>
  <c r="O24" i="48"/>
  <c r="F24" i="48"/>
  <c r="F23" i="48" s="1"/>
  <c r="Q23" i="48"/>
  <c r="P23" i="48"/>
  <c r="O23" i="48"/>
  <c r="Q22" i="48"/>
  <c r="P22" i="48"/>
  <c r="O22" i="48"/>
  <c r="Q21" i="48"/>
  <c r="P21" i="48"/>
  <c r="O21" i="48"/>
  <c r="Q20" i="48"/>
  <c r="P20" i="48"/>
  <c r="O20" i="48"/>
  <c r="Q19" i="48"/>
  <c r="P19" i="48"/>
  <c r="O19" i="48"/>
  <c r="Q18" i="48"/>
  <c r="P18" i="48"/>
  <c r="O18" i="48"/>
  <c r="H18" i="48"/>
  <c r="K18" i="48" s="1"/>
  <c r="Q17" i="48"/>
  <c r="P17" i="48"/>
  <c r="O17" i="48"/>
  <c r="H17" i="48"/>
  <c r="K17" i="48" s="1"/>
  <c r="Q16" i="48"/>
  <c r="P16" i="48"/>
  <c r="O16" i="48"/>
  <c r="H16" i="48"/>
  <c r="K16" i="48" s="1"/>
  <c r="B16" i="48"/>
  <c r="B17" i="48" s="1"/>
  <c r="B18" i="48" s="1"/>
  <c r="B19" i="48" s="1"/>
  <c r="B20" i="48" s="1"/>
  <c r="B21" i="48" s="1"/>
  <c r="B22" i="48" s="1"/>
  <c r="B23" i="48" s="1"/>
  <c r="B24" i="48" s="1"/>
  <c r="B25" i="48" s="1"/>
  <c r="Q15" i="48"/>
  <c r="P15" i="48"/>
  <c r="O15" i="48"/>
  <c r="H15" i="48"/>
  <c r="K15" i="48" s="1"/>
  <c r="G15" i="48"/>
  <c r="G16" i="48" s="1"/>
  <c r="G17" i="48" s="1"/>
  <c r="G18" i="48" s="1"/>
  <c r="G19" i="48" s="1"/>
  <c r="G20" i="48" s="1"/>
  <c r="G21" i="48" s="1"/>
  <c r="G22" i="48" s="1"/>
  <c r="G23" i="48" s="1"/>
  <c r="G24" i="48" s="1"/>
  <c r="Q14" i="48"/>
  <c r="R14" i="48" s="1"/>
  <c r="R15" i="48" s="1"/>
  <c r="P14" i="48"/>
  <c r="O14" i="48"/>
  <c r="H14" i="48"/>
  <c r="K14" i="48" s="1"/>
  <c r="L14" i="48" s="1"/>
  <c r="B14" i="48"/>
  <c r="B15" i="48" s="1"/>
  <c r="Q90" i="52" l="1"/>
  <c r="J49" i="51"/>
  <c r="J57" i="51"/>
  <c r="J60" i="51"/>
  <c r="Q60" i="51" s="1"/>
  <c r="J55" i="51"/>
  <c r="J50" i="51"/>
  <c r="J58" i="51"/>
  <c r="Q58" i="51" s="1"/>
  <c r="J59" i="51"/>
  <c r="J53" i="51"/>
  <c r="J54" i="51"/>
  <c r="J56" i="51"/>
  <c r="J51" i="51"/>
  <c r="J52" i="51"/>
  <c r="G71" i="49"/>
  <c r="G77" i="49" s="1"/>
  <c r="G11" i="49" s="1"/>
  <c r="L14" i="51"/>
  <c r="L196" i="51"/>
  <c r="R16" i="53"/>
  <c r="X16" i="53" s="1"/>
  <c r="AF16" i="53" s="1"/>
  <c r="Q125" i="48"/>
  <c r="O158" i="48"/>
  <c r="E68" i="49"/>
  <c r="E130" i="49"/>
  <c r="E134" i="49" s="1"/>
  <c r="E154" i="49"/>
  <c r="E158" i="49" s="1"/>
  <c r="E165" i="49" s="1"/>
  <c r="Q184" i="52"/>
  <c r="O198" i="52"/>
  <c r="J43" i="53"/>
  <c r="R43" i="53" s="1"/>
  <c r="X43" i="53" s="1"/>
  <c r="AF43" i="53" s="1"/>
  <c r="J48" i="53"/>
  <c r="J63" i="53"/>
  <c r="R63" i="53" s="1"/>
  <c r="X63" i="53" s="1"/>
  <c r="AF63" i="53" s="1"/>
  <c r="R95" i="53"/>
  <c r="X95" i="53" s="1"/>
  <c r="AF95" i="53" s="1"/>
  <c r="E67" i="49"/>
  <c r="L69" i="48"/>
  <c r="L151" i="51"/>
  <c r="Q195" i="52"/>
  <c r="J17" i="53"/>
  <c r="J19" i="53"/>
  <c r="P20" i="53"/>
  <c r="R20" i="53" s="1"/>
  <c r="X20" i="53" s="1"/>
  <c r="AF20" i="53" s="1"/>
  <c r="P21" i="53"/>
  <c r="P33" i="53"/>
  <c r="P34" i="53"/>
  <c r="J38" i="53"/>
  <c r="J45" i="53"/>
  <c r="J50" i="53"/>
  <c r="J55" i="53"/>
  <c r="J57" i="53"/>
  <c r="R57" i="53" s="1"/>
  <c r="X57" i="53" s="1"/>
  <c r="AF57" i="53" s="1"/>
  <c r="P59" i="53"/>
  <c r="J67" i="53"/>
  <c r="J70" i="53"/>
  <c r="P75" i="53"/>
  <c r="R75" i="53" s="1"/>
  <c r="J97" i="53"/>
  <c r="J100" i="53"/>
  <c r="R100" i="53" s="1"/>
  <c r="X100" i="53" s="1"/>
  <c r="AF100" i="53" s="1"/>
  <c r="P106" i="53"/>
  <c r="P107" i="53"/>
  <c r="R102" i="48"/>
  <c r="R16" i="48"/>
  <c r="R17" i="48" s="1"/>
  <c r="R18" i="48" s="1"/>
  <c r="R19" i="48" s="1"/>
  <c r="R20" i="48" s="1"/>
  <c r="R21" i="48" s="1"/>
  <c r="R22" i="48" s="1"/>
  <c r="R23" i="48" s="1"/>
  <c r="R24" i="48" s="1"/>
  <c r="R25" i="48" s="1"/>
  <c r="R37" i="48" s="1"/>
  <c r="R36" i="48"/>
  <c r="O92" i="48"/>
  <c r="I141" i="49"/>
  <c r="F243" i="49"/>
  <c r="F249" i="49" s="1"/>
  <c r="F258" i="49"/>
  <c r="O18" i="51"/>
  <c r="P19" i="51"/>
  <c r="P28" i="51" s="1"/>
  <c r="O21" i="51"/>
  <c r="O23" i="51"/>
  <c r="O25" i="51"/>
  <c r="P26" i="51"/>
  <c r="K49" i="51"/>
  <c r="L49" i="51" s="1"/>
  <c r="O52" i="51"/>
  <c r="P53" i="51"/>
  <c r="O56" i="51"/>
  <c r="O58" i="51"/>
  <c r="P60" i="51"/>
  <c r="P82" i="51"/>
  <c r="R82" i="51" s="1"/>
  <c r="P84" i="51"/>
  <c r="O90" i="51"/>
  <c r="O92" i="51"/>
  <c r="P129" i="51"/>
  <c r="P131" i="51"/>
  <c r="O137" i="51"/>
  <c r="O139" i="51"/>
  <c r="P162" i="51"/>
  <c r="R162" i="51" s="1"/>
  <c r="O163" i="51"/>
  <c r="P167" i="51"/>
  <c r="P170" i="51"/>
  <c r="O173" i="51"/>
  <c r="R184" i="51"/>
  <c r="P203" i="51"/>
  <c r="M109" i="52"/>
  <c r="Q162" i="52"/>
  <c r="J12" i="53"/>
  <c r="J28" i="53"/>
  <c r="J31" i="53"/>
  <c r="J32" i="53"/>
  <c r="J39" i="53"/>
  <c r="J41" i="53"/>
  <c r="J42" i="53"/>
  <c r="J51" i="53"/>
  <c r="R51" i="53" s="1"/>
  <c r="X51" i="53" s="1"/>
  <c r="AF51" i="53" s="1"/>
  <c r="P52" i="53"/>
  <c r="P53" i="53"/>
  <c r="J60" i="53"/>
  <c r="P65" i="53"/>
  <c r="R65" i="53" s="1"/>
  <c r="X65" i="53" s="1"/>
  <c r="AF65" i="53" s="1"/>
  <c r="P67" i="53"/>
  <c r="P68" i="53"/>
  <c r="J76" i="53"/>
  <c r="P80" i="53"/>
  <c r="R80" i="53" s="1"/>
  <c r="X80" i="53" s="1"/>
  <c r="AF80" i="53" s="1"/>
  <c r="P82" i="53"/>
  <c r="R82" i="53" s="1"/>
  <c r="X82" i="53" s="1"/>
  <c r="AF82" i="53" s="1"/>
  <c r="H123" i="53"/>
  <c r="J90" i="53"/>
  <c r="P91" i="53"/>
  <c r="R91" i="53" s="1"/>
  <c r="X91" i="53" s="1"/>
  <c r="AF91" i="53" s="1"/>
  <c r="P92" i="53"/>
  <c r="P94" i="53"/>
  <c r="P95" i="53"/>
  <c r="P96" i="53"/>
  <c r="P98" i="53"/>
  <c r="R99" i="53"/>
  <c r="X99" i="53" s="1"/>
  <c r="AF99" i="53" s="1"/>
  <c r="J103" i="53"/>
  <c r="J104" i="53"/>
  <c r="R104" i="53" s="1"/>
  <c r="X104" i="53" s="1"/>
  <c r="AF104" i="53" s="1"/>
  <c r="J105" i="53"/>
  <c r="P108" i="53"/>
  <c r="P109" i="53"/>
  <c r="J114" i="53"/>
  <c r="J115" i="53"/>
  <c r="J116" i="53"/>
  <c r="R116" i="53" s="1"/>
  <c r="X116" i="53" s="1"/>
  <c r="AF116" i="53" s="1"/>
  <c r="P118" i="53"/>
  <c r="P119" i="53"/>
  <c r="R119" i="53" s="1"/>
  <c r="X119" i="53" s="1"/>
  <c r="AF119" i="53" s="1"/>
  <c r="H129" i="50"/>
  <c r="H136" i="50" s="1"/>
  <c r="H142" i="50" s="1"/>
  <c r="H13" i="50" s="1"/>
  <c r="I136" i="50"/>
  <c r="I142" i="50" s="1"/>
  <c r="I13" i="50" s="1"/>
  <c r="I66" i="50"/>
  <c r="I72" i="50" s="1"/>
  <c r="I11" i="50" s="1"/>
  <c r="E63" i="50"/>
  <c r="E129" i="50"/>
  <c r="G252" i="50"/>
  <c r="F112" i="49"/>
  <c r="G257" i="49"/>
  <c r="I179" i="49"/>
  <c r="H285" i="49"/>
  <c r="O59" i="48"/>
  <c r="G111" i="49"/>
  <c r="G134" i="49"/>
  <c r="G137" i="49"/>
  <c r="E137" i="49" s="1"/>
  <c r="H66" i="50"/>
  <c r="H72" i="50" s="1"/>
  <c r="H11" i="50" s="1"/>
  <c r="H106" i="50"/>
  <c r="F93" i="50"/>
  <c r="F99" i="50" s="1"/>
  <c r="E99" i="50" s="1"/>
  <c r="R48" i="53"/>
  <c r="X48" i="53" s="1"/>
  <c r="AF48" i="53" s="1"/>
  <c r="R84" i="53"/>
  <c r="X84" i="53" s="1"/>
  <c r="AF84" i="53" s="1"/>
  <c r="R101" i="53"/>
  <c r="X101" i="53" s="1"/>
  <c r="AF101" i="53" s="1"/>
  <c r="Q26" i="48"/>
  <c r="G258" i="49"/>
  <c r="G243" i="49"/>
  <c r="G249" i="49" s="1"/>
  <c r="H257" i="49"/>
  <c r="H259" i="49" s="1"/>
  <c r="E62" i="50"/>
  <c r="I106" i="50"/>
  <c r="H253" i="50"/>
  <c r="H238" i="50"/>
  <c r="H244" i="50" s="1"/>
  <c r="J23" i="51"/>
  <c r="Q23" i="51" s="1"/>
  <c r="K50" i="51"/>
  <c r="R70" i="53"/>
  <c r="V70" i="53" s="1"/>
  <c r="X70" i="53" s="1"/>
  <c r="AF70" i="53" s="1"/>
  <c r="P78" i="53"/>
  <c r="R78" i="53" s="1"/>
  <c r="X78" i="53" s="1"/>
  <c r="AF78" i="53" s="1"/>
  <c r="O209" i="52"/>
  <c r="Q209" i="52" s="1"/>
  <c r="O175" i="52"/>
  <c r="P158" i="48"/>
  <c r="O93" i="52"/>
  <c r="J27" i="51"/>
  <c r="Q27" i="51" s="1"/>
  <c r="J25" i="51"/>
  <c r="Q25" i="51" s="1"/>
  <c r="J24" i="51"/>
  <c r="Q24" i="51" s="1"/>
  <c r="J16" i="51"/>
  <c r="J20" i="51"/>
  <c r="Q20" i="51" s="1"/>
  <c r="J19" i="51"/>
  <c r="J18" i="51"/>
  <c r="Q18" i="51" s="1"/>
  <c r="J17" i="51"/>
  <c r="K17" i="51" s="1"/>
  <c r="Q54" i="51"/>
  <c r="Q53" i="51"/>
  <c r="Q59" i="51"/>
  <c r="Q57" i="51"/>
  <c r="Q55" i="51"/>
  <c r="K52" i="51"/>
  <c r="Q139" i="52"/>
  <c r="L48" i="48"/>
  <c r="Q92" i="48"/>
  <c r="K125" i="48"/>
  <c r="R113" i="48"/>
  <c r="R114" i="48" s="1"/>
  <c r="R115" i="48" s="1"/>
  <c r="R116" i="48" s="1"/>
  <c r="R117" i="48" s="1"/>
  <c r="R118" i="48" s="1"/>
  <c r="R119" i="48" s="1"/>
  <c r="R120" i="48" s="1"/>
  <c r="R121" i="48" s="1"/>
  <c r="R122" i="48" s="1"/>
  <c r="R123" i="48" s="1"/>
  <c r="R124" i="48" s="1"/>
  <c r="R136" i="48" s="1"/>
  <c r="R137" i="48" s="1"/>
  <c r="L168" i="48"/>
  <c r="E64" i="49"/>
  <c r="I113" i="49"/>
  <c r="I98" i="49"/>
  <c r="I112" i="49"/>
  <c r="F141" i="49"/>
  <c r="F147" i="49" s="1"/>
  <c r="F13" i="49" s="1"/>
  <c r="E136" i="49"/>
  <c r="F165" i="49"/>
  <c r="F171" i="49" s="1"/>
  <c r="E207" i="49"/>
  <c r="E214" i="49" s="1"/>
  <c r="E277" i="49"/>
  <c r="E283" i="49" s="1"/>
  <c r="G13" i="9" s="1"/>
  <c r="J21" i="51"/>
  <c r="Q21" i="51" s="1"/>
  <c r="J22" i="51"/>
  <c r="Q22" i="51" s="1"/>
  <c r="Q49" i="51"/>
  <c r="R49" i="51" s="1"/>
  <c r="Q51" i="51"/>
  <c r="H172" i="51"/>
  <c r="K172" i="51" s="1"/>
  <c r="F171" i="51"/>
  <c r="O28" i="52"/>
  <c r="J18" i="53"/>
  <c r="P19" i="53"/>
  <c r="P28" i="53"/>
  <c r="R28" i="53" s="1"/>
  <c r="X28" i="53" s="1"/>
  <c r="AF28" i="53" s="1"/>
  <c r="R97" i="53"/>
  <c r="X97" i="53" s="1"/>
  <c r="AF97" i="53" s="1"/>
  <c r="P103" i="53"/>
  <c r="P104" i="53"/>
  <c r="F71" i="49"/>
  <c r="F77" i="49" s="1"/>
  <c r="F11" i="49" s="1"/>
  <c r="E69" i="49"/>
  <c r="F259" i="49"/>
  <c r="E132" i="50"/>
  <c r="F177" i="50"/>
  <c r="F178" i="50" s="1"/>
  <c r="K53" i="51"/>
  <c r="Q94" i="51"/>
  <c r="P22" i="53"/>
  <c r="R22" i="53" s="1"/>
  <c r="X22" i="53" s="1"/>
  <c r="AF22" i="53" s="1"/>
  <c r="J25" i="53"/>
  <c r="P26" i="53"/>
  <c r="R27" i="53"/>
  <c r="X27" i="53" s="1"/>
  <c r="AF27" i="53" s="1"/>
  <c r="J30" i="53"/>
  <c r="R30" i="53" s="1"/>
  <c r="X30" i="53" s="1"/>
  <c r="AF30" i="53" s="1"/>
  <c r="R42" i="53"/>
  <c r="X42" i="53" s="1"/>
  <c r="AF42" i="53" s="1"/>
  <c r="R45" i="53"/>
  <c r="X45" i="53" s="1"/>
  <c r="AF45" i="53" s="1"/>
  <c r="R49" i="53"/>
  <c r="X49" i="53" s="1"/>
  <c r="AF49" i="53" s="1"/>
  <c r="R61" i="53"/>
  <c r="X61" i="53" s="1"/>
  <c r="AF61" i="53" s="1"/>
  <c r="P79" i="53"/>
  <c r="J83" i="53"/>
  <c r="R83" i="53" s="1"/>
  <c r="X83" i="53" s="1"/>
  <c r="AF83" i="53" s="1"/>
  <c r="E64" i="50"/>
  <c r="F252" i="50"/>
  <c r="E252" i="50" s="1"/>
  <c r="E308" i="50"/>
  <c r="F90" i="51"/>
  <c r="H91" i="51"/>
  <c r="K91" i="51" s="1"/>
  <c r="O80" i="52"/>
  <c r="Q80" i="52" s="1"/>
  <c r="Q26" i="52"/>
  <c r="Q57" i="52"/>
  <c r="Q59" i="52" s="1"/>
  <c r="K80" i="52"/>
  <c r="Q187" i="52"/>
  <c r="R17" i="53"/>
  <c r="X17" i="53" s="1"/>
  <c r="AF17" i="53" s="1"/>
  <c r="J21" i="53"/>
  <c r="R26" i="53"/>
  <c r="X26" i="53" s="1"/>
  <c r="AF26" i="53" s="1"/>
  <c r="R31" i="53"/>
  <c r="X31" i="53" s="1"/>
  <c r="AF31" i="53" s="1"/>
  <c r="P32" i="53"/>
  <c r="R33" i="53"/>
  <c r="X33" i="53" s="1"/>
  <c r="AF33" i="53" s="1"/>
  <c r="P35" i="53"/>
  <c r="R35" i="53" s="1"/>
  <c r="X35" i="53" s="1"/>
  <c r="AF35" i="53" s="1"/>
  <c r="R36" i="53"/>
  <c r="X36" i="53" s="1"/>
  <c r="AF36" i="53" s="1"/>
  <c r="J47" i="53"/>
  <c r="R47" i="53" s="1"/>
  <c r="X47" i="53" s="1"/>
  <c r="AF47" i="53" s="1"/>
  <c r="P50" i="53"/>
  <c r="R50" i="53" s="1"/>
  <c r="X50" i="53" s="1"/>
  <c r="AF50" i="53" s="1"/>
  <c r="J53" i="53"/>
  <c r="R53" i="53" s="1"/>
  <c r="X53" i="53" s="1"/>
  <c r="AF53" i="53" s="1"/>
  <c r="R54" i="53"/>
  <c r="X54" i="53" s="1"/>
  <c r="AF54" i="53" s="1"/>
  <c r="J69" i="53"/>
  <c r="R69" i="53" s="1"/>
  <c r="P90" i="53"/>
  <c r="R90" i="53" s="1"/>
  <c r="X90" i="53" s="1"/>
  <c r="AF90" i="53" s="1"/>
  <c r="J107" i="53"/>
  <c r="R107" i="53" s="1"/>
  <c r="X107" i="53" s="1"/>
  <c r="AF107" i="53" s="1"/>
  <c r="P110" i="53"/>
  <c r="R110" i="53" s="1"/>
  <c r="X110" i="53" s="1"/>
  <c r="AF110" i="53" s="1"/>
  <c r="J113" i="53"/>
  <c r="R113" i="53" s="1"/>
  <c r="X113" i="53" s="1"/>
  <c r="AF113" i="53" s="1"/>
  <c r="R115" i="53"/>
  <c r="X115" i="53" s="1"/>
  <c r="AF115" i="53" s="1"/>
  <c r="Q141" i="51"/>
  <c r="R151" i="51"/>
  <c r="O206" i="51"/>
  <c r="Q89" i="52"/>
  <c r="K189" i="52"/>
  <c r="K198" i="52"/>
  <c r="Q194" i="52"/>
  <c r="Q196" i="52"/>
  <c r="R18" i="53"/>
  <c r="X18" i="53" s="1"/>
  <c r="AF18" i="53" s="1"/>
  <c r="R55" i="53"/>
  <c r="X55" i="53" s="1"/>
  <c r="AF55" i="53" s="1"/>
  <c r="J59" i="53"/>
  <c r="R59" i="53" s="1"/>
  <c r="X59" i="53" s="1"/>
  <c r="AF59" i="53" s="1"/>
  <c r="R60" i="53"/>
  <c r="X60" i="53" s="1"/>
  <c r="AF60" i="53" s="1"/>
  <c r="P61" i="53"/>
  <c r="J75" i="53"/>
  <c r="R76" i="53"/>
  <c r="X76" i="53" s="1"/>
  <c r="AF76" i="53" s="1"/>
  <c r="J79" i="53"/>
  <c r="R79" i="53" s="1"/>
  <c r="X79" i="53" s="1"/>
  <c r="AF79" i="53" s="1"/>
  <c r="R98" i="53"/>
  <c r="X98" i="53" s="1"/>
  <c r="AF98" i="53" s="1"/>
  <c r="P117" i="53"/>
  <c r="R117" i="53" s="1"/>
  <c r="X117" i="53" s="1"/>
  <c r="AF117" i="53" s="1"/>
  <c r="L83" i="51"/>
  <c r="L84" i="51" s="1"/>
  <c r="L197" i="51"/>
  <c r="O25" i="52"/>
  <c r="Q91" i="52"/>
  <c r="M75" i="52"/>
  <c r="Q140" i="52"/>
  <c r="K164" i="52"/>
  <c r="K180" i="52"/>
  <c r="K200" i="52" s="1"/>
  <c r="K214" i="52"/>
  <c r="O210" i="52"/>
  <c r="Q210" i="52" s="1"/>
  <c r="J14" i="53"/>
  <c r="R14" i="53" s="1"/>
  <c r="X14" i="53" s="1"/>
  <c r="AF14" i="53" s="1"/>
  <c r="P29" i="53"/>
  <c r="R29" i="53" s="1"/>
  <c r="X29" i="53" s="1"/>
  <c r="AF29" i="53" s="1"/>
  <c r="J34" i="53"/>
  <c r="R34" i="53" s="1"/>
  <c r="X34" i="53" s="1"/>
  <c r="AF34" i="53" s="1"/>
  <c r="J37" i="53"/>
  <c r="R37" i="53" s="1"/>
  <c r="X37" i="53" s="1"/>
  <c r="AF37" i="53" s="1"/>
  <c r="J46" i="53"/>
  <c r="R46" i="53" s="1"/>
  <c r="X46" i="53" s="1"/>
  <c r="AF46" i="53" s="1"/>
  <c r="P58" i="53"/>
  <c r="J62" i="53"/>
  <c r="P70" i="53"/>
  <c r="N123" i="53"/>
  <c r="L86" i="53"/>
  <c r="J94" i="53"/>
  <c r="R94" i="53" s="1"/>
  <c r="X94" i="53" s="1"/>
  <c r="AF94" i="53" s="1"/>
  <c r="J102" i="53"/>
  <c r="R102" i="53" s="1"/>
  <c r="X102" i="53" s="1"/>
  <c r="AF102" i="53" s="1"/>
  <c r="J106" i="53"/>
  <c r="R106" i="53" s="1"/>
  <c r="X106" i="53" s="1"/>
  <c r="AF106" i="53" s="1"/>
  <c r="P114" i="53"/>
  <c r="R114" i="53" s="1"/>
  <c r="X114" i="53" s="1"/>
  <c r="AF114" i="53" s="1"/>
  <c r="J117" i="53"/>
  <c r="J118" i="53"/>
  <c r="R118" i="53" s="1"/>
  <c r="X118" i="53" s="1"/>
  <c r="AF118" i="53" s="1"/>
  <c r="G59" i="51"/>
  <c r="H58" i="51"/>
  <c r="G25" i="48"/>
  <c r="H25" i="48" s="1"/>
  <c r="K25" i="48" s="1"/>
  <c r="H24" i="48"/>
  <c r="K24" i="48" s="1"/>
  <c r="J37" i="48"/>
  <c r="B26" i="48"/>
  <c r="B28" i="48" s="1"/>
  <c r="N37" i="48"/>
  <c r="D26" i="48"/>
  <c r="L49" i="48"/>
  <c r="H26" i="51"/>
  <c r="K26" i="51" s="1"/>
  <c r="G27" i="51"/>
  <c r="H27" i="51" s="1"/>
  <c r="K92" i="48"/>
  <c r="F56" i="48"/>
  <c r="H57" i="48"/>
  <c r="K57" i="48" s="1"/>
  <c r="I257" i="49"/>
  <c r="I259" i="49" s="1"/>
  <c r="I214" i="49"/>
  <c r="G177" i="50"/>
  <c r="G178" i="50" s="1"/>
  <c r="G163" i="50"/>
  <c r="G169" i="50" s="1"/>
  <c r="L15" i="48"/>
  <c r="L16" i="48" s="1"/>
  <c r="L17" i="48" s="1"/>
  <c r="L18" i="48" s="1"/>
  <c r="K158" i="48"/>
  <c r="Q158" i="48"/>
  <c r="R146" i="48"/>
  <c r="R147" i="48" s="1"/>
  <c r="R148" i="48" s="1"/>
  <c r="R149" i="48" s="1"/>
  <c r="R150" i="48" s="1"/>
  <c r="R151" i="48" s="1"/>
  <c r="R152" i="48" s="1"/>
  <c r="R153" i="48" s="1"/>
  <c r="R154" i="48" s="1"/>
  <c r="R155" i="48" s="1"/>
  <c r="R156" i="48" s="1"/>
  <c r="R157" i="48" s="1"/>
  <c r="R169" i="48" s="1"/>
  <c r="G112" i="49"/>
  <c r="E112" i="49" s="1"/>
  <c r="G98" i="49"/>
  <c r="G104" i="49" s="1"/>
  <c r="H258" i="49"/>
  <c r="E258" i="49" s="1"/>
  <c r="H243" i="49"/>
  <c r="G107" i="50"/>
  <c r="G108" i="50" s="1"/>
  <c r="E131" i="50"/>
  <c r="G136" i="50"/>
  <c r="G142" i="50" s="1"/>
  <c r="G13" i="50" s="1"/>
  <c r="H252" i="50"/>
  <c r="H211" i="50"/>
  <c r="H217" i="50" s="1"/>
  <c r="H14" i="50" s="1"/>
  <c r="I253" i="50"/>
  <c r="I254" i="50" s="1"/>
  <c r="I238" i="50"/>
  <c r="I244" i="50" s="1"/>
  <c r="B28" i="51"/>
  <c r="B30" i="51" s="1"/>
  <c r="N39" i="51"/>
  <c r="J39" i="51"/>
  <c r="H56" i="51"/>
  <c r="H23" i="48"/>
  <c r="K23" i="48" s="1"/>
  <c r="F22" i="48"/>
  <c r="R38" i="48"/>
  <c r="L50" i="48"/>
  <c r="L51" i="48" s="1"/>
  <c r="F113" i="49"/>
  <c r="G178" i="49"/>
  <c r="H134" i="49"/>
  <c r="F24" i="51"/>
  <c r="H25" i="51"/>
  <c r="K25" i="51" s="1"/>
  <c r="H55" i="51"/>
  <c r="Q17" i="52"/>
  <c r="O105" i="52"/>
  <c r="Q105" i="52" s="1"/>
  <c r="O71" i="52"/>
  <c r="L113" i="48"/>
  <c r="L114" i="48" s="1"/>
  <c r="L115" i="48" s="1"/>
  <c r="L116" i="48" s="1"/>
  <c r="L117" i="48" s="1"/>
  <c r="L118" i="48" s="1"/>
  <c r="L119" i="48" s="1"/>
  <c r="L120" i="48" s="1"/>
  <c r="L121" i="48" s="1"/>
  <c r="L122" i="48" s="1"/>
  <c r="L123" i="48" s="1"/>
  <c r="L124" i="48" s="1"/>
  <c r="L136" i="48" s="1"/>
  <c r="P26" i="48"/>
  <c r="O26" i="48"/>
  <c r="P59" i="48"/>
  <c r="R69" i="48"/>
  <c r="R71" i="48" s="1"/>
  <c r="O125" i="48"/>
  <c r="L146" i="48"/>
  <c r="L147" i="48" s="1"/>
  <c r="L148" i="48" s="1"/>
  <c r="L149" i="48" s="1"/>
  <c r="L150" i="48" s="1"/>
  <c r="L151" i="48" s="1"/>
  <c r="L152" i="48" s="1"/>
  <c r="L153" i="48" s="1"/>
  <c r="L154" i="48" s="1"/>
  <c r="L155" i="48" s="1"/>
  <c r="L156" i="48" s="1"/>
  <c r="L157" i="48" s="1"/>
  <c r="L169" i="48" s="1"/>
  <c r="L170" i="48" s="1"/>
  <c r="H89" i="1" s="1"/>
  <c r="R168" i="48"/>
  <c r="I178" i="49"/>
  <c r="I180" i="49" s="1"/>
  <c r="K56" i="51"/>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09" i="52"/>
  <c r="C210" i="52" s="1"/>
  <c r="C211" i="52" s="1"/>
  <c r="C212" i="52" s="1"/>
  <c r="C214" i="52" s="1"/>
  <c r="C216" i="52" s="1"/>
  <c r="C218" i="52" s="1"/>
  <c r="C227" i="52" s="1"/>
  <c r="C228" i="52" s="1"/>
  <c r="C230" i="52" s="1"/>
  <c r="C241" i="52" s="1"/>
  <c r="C242" i="52" s="1"/>
  <c r="C244" i="52" s="1"/>
  <c r="L30" i="51"/>
  <c r="L32" i="51" s="1"/>
  <c r="L63" i="51"/>
  <c r="L65" i="51" s="1"/>
  <c r="M84" i="52"/>
  <c r="M95" i="52" s="1"/>
  <c r="F14" i="50"/>
  <c r="E288" i="50"/>
  <c r="F15" i="50"/>
  <c r="E15" i="50" s="1"/>
  <c r="L130" i="51"/>
  <c r="L131" i="51" s="1"/>
  <c r="L132" i="51" s="1"/>
  <c r="L133" i="51" s="1"/>
  <c r="L198" i="51"/>
  <c r="L199" i="51" s="1"/>
  <c r="Q59" i="48"/>
  <c r="P92" i="48"/>
  <c r="R80" i="48"/>
  <c r="R81" i="48" s="1"/>
  <c r="R82" i="48" s="1"/>
  <c r="R83" i="48" s="1"/>
  <c r="R84" i="48" s="1"/>
  <c r="R85" i="48" s="1"/>
  <c r="R86" i="48" s="1"/>
  <c r="R87" i="48" s="1"/>
  <c r="R88" i="48" s="1"/>
  <c r="R89" i="48" s="1"/>
  <c r="R90" i="48" s="1"/>
  <c r="R91" i="48" s="1"/>
  <c r="R103" i="48" s="1"/>
  <c r="R104" i="48" s="1"/>
  <c r="H111" i="49"/>
  <c r="H113" i="49" s="1"/>
  <c r="H71" i="49"/>
  <c r="G179" i="49"/>
  <c r="G165" i="49"/>
  <c r="G171" i="49" s="1"/>
  <c r="E59" i="50"/>
  <c r="F106" i="50"/>
  <c r="F66" i="50"/>
  <c r="F72" i="50" s="1"/>
  <c r="F136" i="50"/>
  <c r="F142" i="50" s="1"/>
  <c r="E204" i="50"/>
  <c r="E211" i="50" s="1"/>
  <c r="D28" i="51"/>
  <c r="L85" i="51"/>
  <c r="L86" i="51" s="1"/>
  <c r="H138" i="51"/>
  <c r="K138" i="51" s="1"/>
  <c r="F137" i="51"/>
  <c r="H158" i="49"/>
  <c r="F178" i="49"/>
  <c r="H107" i="50"/>
  <c r="F253" i="50"/>
  <c r="Q19" i="51"/>
  <c r="K19" i="51"/>
  <c r="Q56" i="51"/>
  <c r="F170" i="51"/>
  <c r="H171" i="51"/>
  <c r="K171" i="51" s="1"/>
  <c r="I71" i="49"/>
  <c r="H98" i="49"/>
  <c r="F214" i="49"/>
  <c r="F220" i="49" s="1"/>
  <c r="I243" i="49"/>
  <c r="G66" i="50"/>
  <c r="G72" i="50" s="1"/>
  <c r="G11" i="50" s="1"/>
  <c r="I107" i="50"/>
  <c r="H163" i="50"/>
  <c r="H169" i="50" s="1"/>
  <c r="L78" i="48" s="1"/>
  <c r="L80" i="48" s="1"/>
  <c r="I176" i="50"/>
  <c r="I178" i="50" s="1"/>
  <c r="I211" i="50"/>
  <c r="I217" i="50" s="1"/>
  <c r="I14" i="50" s="1"/>
  <c r="G253" i="50"/>
  <c r="Q26" i="51"/>
  <c r="K27" i="51"/>
  <c r="H139" i="51"/>
  <c r="K139" i="51" s="1"/>
  <c r="G140" i="51"/>
  <c r="H140" i="51" s="1"/>
  <c r="K140" i="51" s="1"/>
  <c r="L162" i="51"/>
  <c r="L163" i="51" s="1"/>
  <c r="L164" i="51" s="1"/>
  <c r="L165" i="51" s="1"/>
  <c r="L166" i="51" s="1"/>
  <c r="R217" i="51"/>
  <c r="I163" i="50"/>
  <c r="I169" i="50" s="1"/>
  <c r="H54" i="51"/>
  <c r="K54" i="51" s="1"/>
  <c r="H92" i="51"/>
  <c r="K92" i="51" s="1"/>
  <c r="H202" i="51"/>
  <c r="K202" i="51" s="1"/>
  <c r="F201" i="51"/>
  <c r="R104" i="51"/>
  <c r="P165" i="51"/>
  <c r="L184" i="51"/>
  <c r="P195" i="51"/>
  <c r="O196" i="51"/>
  <c r="O199" i="51"/>
  <c r="P201" i="51"/>
  <c r="H205" i="51"/>
  <c r="K205" i="51" s="1"/>
  <c r="P205" i="51"/>
  <c r="Q175" i="52"/>
  <c r="M180" i="52"/>
  <c r="H57" i="51"/>
  <c r="O85" i="51"/>
  <c r="P86" i="51"/>
  <c r="P87" i="51"/>
  <c r="P88" i="51"/>
  <c r="P89" i="51"/>
  <c r="P90" i="51"/>
  <c r="P91" i="51"/>
  <c r="P92" i="51"/>
  <c r="O132" i="51"/>
  <c r="P133" i="51"/>
  <c r="P134" i="51"/>
  <c r="P135" i="51"/>
  <c r="P136" i="51"/>
  <c r="P137" i="51"/>
  <c r="P138" i="51"/>
  <c r="P139" i="51"/>
  <c r="O162" i="51"/>
  <c r="P164" i="51"/>
  <c r="Q207" i="51"/>
  <c r="O198" i="51"/>
  <c r="P199" i="51"/>
  <c r="P200" i="51"/>
  <c r="O203" i="51"/>
  <c r="O72" i="52"/>
  <c r="Q72" i="52" s="1"/>
  <c r="Q18" i="52"/>
  <c r="O71" i="53"/>
  <c r="P13" i="53"/>
  <c r="H203" i="51"/>
  <c r="K203" i="51" s="1"/>
  <c r="H204" i="51"/>
  <c r="K204" i="51" s="1"/>
  <c r="E237" i="51"/>
  <c r="P206" i="51"/>
  <c r="O204" i="51"/>
  <c r="O202" i="51"/>
  <c r="O200" i="51"/>
  <c r="O197" i="51"/>
  <c r="P196" i="51"/>
  <c r="P173" i="51"/>
  <c r="O171" i="51"/>
  <c r="O169" i="51"/>
  <c r="O167" i="51"/>
  <c r="O164" i="51"/>
  <c r="P163" i="51"/>
  <c r="P140" i="51"/>
  <c r="O138" i="51"/>
  <c r="O136" i="51"/>
  <c r="O134" i="51"/>
  <c r="O131" i="51"/>
  <c r="P130" i="51"/>
  <c r="P93" i="51"/>
  <c r="O91" i="51"/>
  <c r="O89" i="51"/>
  <c r="O87" i="51"/>
  <c r="O84" i="51"/>
  <c r="P83" i="51"/>
  <c r="O60" i="51"/>
  <c r="P58" i="51"/>
  <c r="O57" i="51"/>
  <c r="P54" i="51"/>
  <c r="O53" i="51"/>
  <c r="K105" i="52"/>
  <c r="K71" i="52"/>
  <c r="I71" i="53"/>
  <c r="J13" i="53"/>
  <c r="Q141" i="52"/>
  <c r="Q144" i="52" s="1"/>
  <c r="O177" i="52"/>
  <c r="Q177" i="52" s="1"/>
  <c r="Q193" i="52"/>
  <c r="M198" i="52"/>
  <c r="R19" i="53"/>
  <c r="X19" i="53" s="1"/>
  <c r="AF19" i="53" s="1"/>
  <c r="R23" i="53"/>
  <c r="X23" i="53" s="1"/>
  <c r="AF23" i="53" s="1"/>
  <c r="R38" i="53"/>
  <c r="X38" i="53" s="1"/>
  <c r="AF38" i="53" s="1"/>
  <c r="R41" i="53"/>
  <c r="X41" i="53" s="1"/>
  <c r="AF41" i="53" s="1"/>
  <c r="R44" i="53"/>
  <c r="X44" i="53" s="1"/>
  <c r="AF44" i="53" s="1"/>
  <c r="R105" i="53"/>
  <c r="X105" i="53" s="1"/>
  <c r="AF105" i="53" s="1"/>
  <c r="R111" i="53"/>
  <c r="X111" i="53" s="1"/>
  <c r="AF111" i="53" s="1"/>
  <c r="L217" i="51"/>
  <c r="M41" i="52"/>
  <c r="Q39" i="52"/>
  <c r="K72" i="52"/>
  <c r="O212" i="52"/>
  <c r="Q212" i="52" s="1"/>
  <c r="O178" i="52"/>
  <c r="Q178" i="52" s="1"/>
  <c r="O144" i="52"/>
  <c r="O164" i="52" s="1"/>
  <c r="R21" i="53"/>
  <c r="X21" i="53" s="1"/>
  <c r="AF21" i="53" s="1"/>
  <c r="R39" i="53"/>
  <c r="X39" i="53" s="1"/>
  <c r="AF39" i="53" s="1"/>
  <c r="R40" i="53"/>
  <c r="X40" i="53" s="1"/>
  <c r="AF40" i="53" s="1"/>
  <c r="R52" i="53"/>
  <c r="X52" i="53" s="1"/>
  <c r="AF52" i="53" s="1"/>
  <c r="R56" i="53"/>
  <c r="X56" i="53" s="1"/>
  <c r="AF56" i="53" s="1"/>
  <c r="M121" i="53"/>
  <c r="P89" i="53"/>
  <c r="L121" i="53"/>
  <c r="R92" i="53"/>
  <c r="X92" i="53" s="1"/>
  <c r="AF92" i="53" s="1"/>
  <c r="R103" i="53"/>
  <c r="X103" i="53" s="1"/>
  <c r="AF103" i="53" s="1"/>
  <c r="Q71" i="52"/>
  <c r="Q150" i="52"/>
  <c r="Q153" i="52" s="1"/>
  <c r="O186" i="52"/>
  <c r="Q186" i="52" s="1"/>
  <c r="O211" i="52"/>
  <c r="Q211" i="52" s="1"/>
  <c r="G71" i="53"/>
  <c r="P25" i="53"/>
  <c r="G121" i="53"/>
  <c r="J89" i="53"/>
  <c r="R108" i="53"/>
  <c r="X108" i="53" s="1"/>
  <c r="AF108" i="53" s="1"/>
  <c r="R120" i="53"/>
  <c r="X120" i="53" s="1"/>
  <c r="AF120" i="53" s="1"/>
  <c r="P77" i="53"/>
  <c r="P85" i="53"/>
  <c r="O86" i="53"/>
  <c r="R96" i="53"/>
  <c r="X96" i="53" s="1"/>
  <c r="AF96" i="53" s="1"/>
  <c r="R112" i="53"/>
  <c r="X112" i="53" s="1"/>
  <c r="AF112" i="53" s="1"/>
  <c r="L71" i="53"/>
  <c r="M12" i="53"/>
  <c r="J77" i="53"/>
  <c r="J85" i="53"/>
  <c r="I86" i="53"/>
  <c r="P93" i="53"/>
  <c r="P64" i="53"/>
  <c r="R64" i="53" s="1"/>
  <c r="X64" i="53" s="1"/>
  <c r="AF64" i="53" s="1"/>
  <c r="P66" i="53"/>
  <c r="J68" i="53"/>
  <c r="R68" i="53" s="1"/>
  <c r="P81" i="53"/>
  <c r="R81" i="53" s="1"/>
  <c r="X81" i="53" s="1"/>
  <c r="AF81" i="53" s="1"/>
  <c r="M86" i="53"/>
  <c r="J93" i="53"/>
  <c r="R93" i="53" s="1"/>
  <c r="X93" i="53" s="1"/>
  <c r="AF93" i="53" s="1"/>
  <c r="J109" i="53"/>
  <c r="R109" i="53" s="1"/>
  <c r="X109" i="53" s="1"/>
  <c r="AF109" i="53" s="1"/>
  <c r="M164" i="52"/>
  <c r="M189" i="52"/>
  <c r="M214" i="52"/>
  <c r="J58" i="53"/>
  <c r="P62" i="53"/>
  <c r="R62" i="53" s="1"/>
  <c r="X62" i="53" s="1"/>
  <c r="AF62" i="53" s="1"/>
  <c r="J66" i="53"/>
  <c r="R66" i="53" s="1"/>
  <c r="X66" i="53" s="1"/>
  <c r="AF66" i="53" s="1"/>
  <c r="I121" i="53"/>
  <c r="O121" i="53"/>
  <c r="F123" i="53"/>
  <c r="G86" i="53"/>
  <c r="H176" i="50" l="1"/>
  <c r="H178" i="50" s="1"/>
  <c r="E71" i="49"/>
  <c r="I17" i="50"/>
  <c r="E136" i="50"/>
  <c r="O28" i="51"/>
  <c r="Q93" i="52"/>
  <c r="K55" i="51"/>
  <c r="R85" i="53"/>
  <c r="X85" i="53" s="1"/>
  <c r="AF85" i="53" s="1"/>
  <c r="P86" i="53"/>
  <c r="O189" i="52"/>
  <c r="O94" i="51"/>
  <c r="L50" i="51"/>
  <c r="J86" i="53"/>
  <c r="H287" i="49"/>
  <c r="E285" i="49"/>
  <c r="E287" i="49" s="1"/>
  <c r="R67" i="53"/>
  <c r="X67" i="53" s="1"/>
  <c r="AF67" i="53" s="1"/>
  <c r="Q189" i="52"/>
  <c r="K18" i="51"/>
  <c r="R32" i="53"/>
  <c r="X32" i="53" s="1"/>
  <c r="AF32" i="53" s="1"/>
  <c r="E257" i="49"/>
  <c r="G141" i="49"/>
  <c r="G147" i="49" s="1"/>
  <c r="G13" i="49" s="1"/>
  <c r="G17" i="49" s="1"/>
  <c r="I108" i="50"/>
  <c r="H17" i="50"/>
  <c r="H254" i="50"/>
  <c r="E244" i="50"/>
  <c r="G254" i="50"/>
  <c r="F254" i="50"/>
  <c r="G259" i="49"/>
  <c r="Q214" i="52"/>
  <c r="P121" i="53"/>
  <c r="Q198" i="52"/>
  <c r="O61" i="51"/>
  <c r="O207" i="51"/>
  <c r="E66" i="50"/>
  <c r="Q164" i="52"/>
  <c r="Q17" i="51"/>
  <c r="F89" i="51"/>
  <c r="H90" i="51"/>
  <c r="K90" i="51" s="1"/>
  <c r="L123" i="53"/>
  <c r="P141" i="51"/>
  <c r="O141" i="51"/>
  <c r="J61" i="51"/>
  <c r="Q50" i="51"/>
  <c r="R50" i="51" s="1"/>
  <c r="R51" i="51" s="1"/>
  <c r="O79" i="52"/>
  <c r="Q79" i="52" s="1"/>
  <c r="Q25" i="52"/>
  <c r="V69" i="53"/>
  <c r="X69" i="53"/>
  <c r="AF69" i="53" s="1"/>
  <c r="Q16" i="51"/>
  <c r="R16" i="51" s="1"/>
  <c r="K16" i="51"/>
  <c r="L16" i="51" s="1"/>
  <c r="L17" i="51" s="1"/>
  <c r="L18" i="51" s="1"/>
  <c r="L19" i="51" s="1"/>
  <c r="L20" i="51" s="1"/>
  <c r="R25" i="53"/>
  <c r="X25" i="53" s="1"/>
  <c r="AF25" i="53" s="1"/>
  <c r="K57" i="51"/>
  <c r="E217" i="50"/>
  <c r="J28" i="51"/>
  <c r="O82" i="52"/>
  <c r="Q82" i="52" s="1"/>
  <c r="Q28" i="52"/>
  <c r="R58" i="53"/>
  <c r="X58" i="53" s="1"/>
  <c r="AF58" i="53" s="1"/>
  <c r="P61" i="51"/>
  <c r="P94" i="51"/>
  <c r="Q52" i="51"/>
  <c r="K20" i="51"/>
  <c r="E107" i="50"/>
  <c r="R170" i="48"/>
  <c r="E141" i="49"/>
  <c r="K58" i="51"/>
  <c r="K51" i="51"/>
  <c r="L81" i="48"/>
  <c r="L82" i="48" s="1"/>
  <c r="L83" i="48" s="1"/>
  <c r="L84" i="48" s="1"/>
  <c r="L85" i="48" s="1"/>
  <c r="L86" i="48" s="1"/>
  <c r="L87" i="48" s="1"/>
  <c r="L88" i="48" s="1"/>
  <c r="L89" i="48" s="1"/>
  <c r="L90" i="48" s="1"/>
  <c r="L91" i="48" s="1"/>
  <c r="L103" i="48" s="1"/>
  <c r="O123" i="53"/>
  <c r="O174" i="51"/>
  <c r="H201" i="51"/>
  <c r="K201" i="51" s="1"/>
  <c r="F200" i="51"/>
  <c r="H200" i="51" s="1"/>
  <c r="K200" i="51" s="1"/>
  <c r="F14" i="49"/>
  <c r="H165" i="49"/>
  <c r="H179" i="49"/>
  <c r="E179" i="49" s="1"/>
  <c r="E177" i="50"/>
  <c r="R83" i="51"/>
  <c r="R84" i="51" s="1"/>
  <c r="R85" i="51" s="1"/>
  <c r="R86" i="51" s="1"/>
  <c r="R87" i="51" s="1"/>
  <c r="R88" i="51" s="1"/>
  <c r="R89" i="51" s="1"/>
  <c r="R90" i="51" s="1"/>
  <c r="R91" i="51" s="1"/>
  <c r="R92" i="51" s="1"/>
  <c r="R93" i="51" s="1"/>
  <c r="R105" i="51" s="1"/>
  <c r="R106" i="51" s="1"/>
  <c r="N115" i="51" s="1"/>
  <c r="H24" i="51"/>
  <c r="K24" i="51" s="1"/>
  <c r="F23" i="51"/>
  <c r="G113" i="49"/>
  <c r="H56" i="48"/>
  <c r="K56" i="48" s="1"/>
  <c r="F55" i="48"/>
  <c r="R130" i="51"/>
  <c r="R131" i="51" s="1"/>
  <c r="R132" i="51" s="1"/>
  <c r="R133" i="51" s="1"/>
  <c r="R134" i="51" s="1"/>
  <c r="R135" i="51" s="1"/>
  <c r="R136" i="51" s="1"/>
  <c r="R137" i="51" s="1"/>
  <c r="R138" i="51" s="1"/>
  <c r="R139" i="51" s="1"/>
  <c r="R140" i="51" s="1"/>
  <c r="R152" i="51" s="1"/>
  <c r="R153" i="51" s="1"/>
  <c r="N226" i="51" s="1"/>
  <c r="O214" i="52"/>
  <c r="V68" i="53"/>
  <c r="V71" i="53" s="1"/>
  <c r="V123" i="53" s="1"/>
  <c r="J71" i="53"/>
  <c r="G123" i="53"/>
  <c r="R13" i="53"/>
  <c r="X13" i="53" s="1"/>
  <c r="AF13" i="53" s="1"/>
  <c r="P174" i="51"/>
  <c r="K34" i="52"/>
  <c r="M200" i="52"/>
  <c r="E253" i="50"/>
  <c r="E254" i="50" s="1"/>
  <c r="H108" i="50"/>
  <c r="H178" i="49"/>
  <c r="E178" i="49" s="1"/>
  <c r="H141" i="49"/>
  <c r="E111" i="49"/>
  <c r="E113" i="49" s="1"/>
  <c r="N32" i="51"/>
  <c r="B31" i="51"/>
  <c r="B32" i="51" s="1"/>
  <c r="B29" i="48"/>
  <c r="B30" i="48" s="1"/>
  <c r="H59" i="51"/>
  <c r="K59" i="51" s="1"/>
  <c r="G60" i="51"/>
  <c r="H60" i="51" s="1"/>
  <c r="K60" i="51" s="1"/>
  <c r="F180" i="49"/>
  <c r="F13" i="50"/>
  <c r="E13" i="50" s="1"/>
  <c r="L94" i="48" s="1"/>
  <c r="L96" i="48" s="1"/>
  <c r="E142" i="50"/>
  <c r="E106" i="50"/>
  <c r="E108" i="50" s="1"/>
  <c r="F108" i="50"/>
  <c r="X75" i="53"/>
  <c r="R77" i="53"/>
  <c r="X77" i="53" s="1"/>
  <c r="R89" i="53"/>
  <c r="J121" i="53"/>
  <c r="M71" i="53"/>
  <c r="M123" i="53" s="1"/>
  <c r="P12" i="53"/>
  <c r="O180" i="52"/>
  <c r="O200" i="52" s="1"/>
  <c r="I123" i="53"/>
  <c r="Q180" i="52"/>
  <c r="R195" i="51"/>
  <c r="R196" i="51" s="1"/>
  <c r="R197" i="51" s="1"/>
  <c r="R198" i="51" s="1"/>
  <c r="R199" i="51" s="1"/>
  <c r="R200" i="51" s="1"/>
  <c r="R201" i="51" s="1"/>
  <c r="R202" i="51" s="1"/>
  <c r="R203" i="51" s="1"/>
  <c r="R204" i="51" s="1"/>
  <c r="R205" i="51" s="1"/>
  <c r="R206" i="51" s="1"/>
  <c r="R218" i="51" s="1"/>
  <c r="R219" i="51" s="1"/>
  <c r="N228" i="51" s="1"/>
  <c r="P207" i="51"/>
  <c r="R163" i="51"/>
  <c r="R164" i="51" s="1"/>
  <c r="R165" i="51" s="1"/>
  <c r="R166" i="51" s="1"/>
  <c r="R167" i="51" s="1"/>
  <c r="R168" i="51" s="1"/>
  <c r="R169" i="51" s="1"/>
  <c r="R170" i="51" s="1"/>
  <c r="R171" i="51" s="1"/>
  <c r="R172" i="51" s="1"/>
  <c r="R173" i="51" s="1"/>
  <c r="R185" i="51" s="1"/>
  <c r="R186" i="51" s="1"/>
  <c r="N227" i="51" s="1"/>
  <c r="G17" i="50"/>
  <c r="H170" i="51"/>
  <c r="K170" i="51" s="1"/>
  <c r="F169" i="51"/>
  <c r="H137" i="51"/>
  <c r="K137" i="51" s="1"/>
  <c r="F136" i="51"/>
  <c r="F11" i="50"/>
  <c r="E72" i="50"/>
  <c r="E14" i="50"/>
  <c r="L127" i="48" s="1"/>
  <c r="L129" i="48" s="1"/>
  <c r="E176" i="50"/>
  <c r="G180" i="49"/>
  <c r="H22" i="48"/>
  <c r="K22" i="48" s="1"/>
  <c r="F21" i="48"/>
  <c r="E259" i="49"/>
  <c r="E169" i="50"/>
  <c r="E178" i="50" l="1"/>
  <c r="L51" i="51"/>
  <c r="L52" i="51" s="1"/>
  <c r="L53" i="51" s="1"/>
  <c r="L54" i="51" s="1"/>
  <c r="L55" i="51" s="1"/>
  <c r="L56" i="51" s="1"/>
  <c r="L57" i="51" s="1"/>
  <c r="L58" i="51" s="1"/>
  <c r="L59" i="51" s="1"/>
  <c r="L60" i="51" s="1"/>
  <c r="L72" i="51" s="1"/>
  <c r="R17" i="51"/>
  <c r="R18" i="51" s="1"/>
  <c r="R19" i="51" s="1"/>
  <c r="R20" i="51" s="1"/>
  <c r="R21" i="51" s="1"/>
  <c r="R22" i="51" s="1"/>
  <c r="R23" i="51" s="1"/>
  <c r="R24" i="51" s="1"/>
  <c r="R25" i="51" s="1"/>
  <c r="R26" i="51" s="1"/>
  <c r="R27" i="51" s="1"/>
  <c r="R39" i="51" s="1"/>
  <c r="R40" i="51" s="1"/>
  <c r="N113" i="51" s="1"/>
  <c r="R86" i="53"/>
  <c r="Q200" i="52"/>
  <c r="X68" i="53"/>
  <c r="AF68" i="53" s="1"/>
  <c r="R52" i="51"/>
  <c r="R53" i="51" s="1"/>
  <c r="R54" i="51" s="1"/>
  <c r="R55" i="51" s="1"/>
  <c r="R56" i="51" s="1"/>
  <c r="R57" i="51" s="1"/>
  <c r="R58" i="51" s="1"/>
  <c r="R59" i="51" s="1"/>
  <c r="R60" i="51" s="1"/>
  <c r="R72" i="51" s="1"/>
  <c r="R73" i="51" s="1"/>
  <c r="N114" i="51" s="1"/>
  <c r="N117" i="51" s="1"/>
  <c r="F88" i="51"/>
  <c r="H89" i="51"/>
  <c r="K89" i="51" s="1"/>
  <c r="F17" i="49"/>
  <c r="Q61" i="51"/>
  <c r="Q28" i="51"/>
  <c r="H136" i="51"/>
  <c r="K136" i="51" s="1"/>
  <c r="F135" i="51"/>
  <c r="X86" i="53"/>
  <c r="AF75" i="53"/>
  <c r="X125" i="53"/>
  <c r="B32" i="48"/>
  <c r="N230" i="51"/>
  <c r="N30" i="48"/>
  <c r="X89" i="53"/>
  <c r="R121" i="53"/>
  <c r="B34" i="51"/>
  <c r="J123" i="53"/>
  <c r="K61" i="51"/>
  <c r="L200" i="51"/>
  <c r="L201" i="51" s="1"/>
  <c r="L202" i="51" s="1"/>
  <c r="L203" i="51" s="1"/>
  <c r="L204" i="51" s="1"/>
  <c r="L205" i="51" s="1"/>
  <c r="L206" i="51" s="1"/>
  <c r="L218" i="51" s="1"/>
  <c r="L219" i="51" s="1"/>
  <c r="H228" i="51" s="1"/>
  <c r="K207" i="51"/>
  <c r="K88" i="52"/>
  <c r="H55" i="48"/>
  <c r="K55" i="48" s="1"/>
  <c r="F54" i="48"/>
  <c r="F168" i="51"/>
  <c r="H169" i="51"/>
  <c r="K169" i="51" s="1"/>
  <c r="F20" i="48"/>
  <c r="H21" i="48"/>
  <c r="K21" i="48" s="1"/>
  <c r="E11" i="50"/>
  <c r="F17" i="50"/>
  <c r="P71" i="53"/>
  <c r="P123" i="53" s="1"/>
  <c r="R12" i="53"/>
  <c r="AF77" i="53"/>
  <c r="X127" i="53"/>
  <c r="E180" i="49"/>
  <c r="J30" i="48"/>
  <c r="J32" i="51"/>
  <c r="H180" i="49"/>
  <c r="F22" i="51"/>
  <c r="H23" i="51"/>
  <c r="K23" i="51" s="1"/>
  <c r="F87" i="51" l="1"/>
  <c r="H87" i="51" s="1"/>
  <c r="K87" i="51" s="1"/>
  <c r="H88" i="51"/>
  <c r="K88" i="51" s="1"/>
  <c r="H135" i="51"/>
  <c r="K135" i="51" s="1"/>
  <c r="F134" i="51"/>
  <c r="H134" i="51" s="1"/>
  <c r="K134" i="51" s="1"/>
  <c r="K27" i="52"/>
  <c r="AF127" i="53"/>
  <c r="B35" i="51"/>
  <c r="B36" i="51" s="1"/>
  <c r="R71" i="53"/>
  <c r="R123" i="53" s="1"/>
  <c r="X12" i="53"/>
  <c r="L28" i="48"/>
  <c r="L30" i="48" s="1"/>
  <c r="E17" i="50"/>
  <c r="H168" i="51"/>
  <c r="K168" i="51" s="1"/>
  <c r="F167" i="51"/>
  <c r="H167" i="51" s="1"/>
  <c r="K167" i="51" s="1"/>
  <c r="AF89" i="53"/>
  <c r="X121" i="53"/>
  <c r="B33" i="48"/>
  <c r="B34" i="48" s="1"/>
  <c r="K36" i="52"/>
  <c r="AF125" i="53"/>
  <c r="H20" i="48"/>
  <c r="K20" i="48" s="1"/>
  <c r="F19" i="48"/>
  <c r="H19" i="48" s="1"/>
  <c r="K19" i="48" s="1"/>
  <c r="F21" i="51"/>
  <c r="H21" i="51" s="1"/>
  <c r="K21" i="51" s="1"/>
  <c r="H22" i="51"/>
  <c r="K22" i="51" s="1"/>
  <c r="H54" i="48"/>
  <c r="K54" i="48" s="1"/>
  <c r="F53" i="48"/>
  <c r="N34" i="48" l="1"/>
  <c r="L87" i="51"/>
  <c r="L88" i="51" s="1"/>
  <c r="L89" i="51" s="1"/>
  <c r="L90" i="51" s="1"/>
  <c r="L91" i="51" s="1"/>
  <c r="L92" i="51" s="1"/>
  <c r="L93" i="51" s="1"/>
  <c r="L105" i="51" s="1"/>
  <c r="K94" i="51"/>
  <c r="L167" i="51"/>
  <c r="L168" i="51" s="1"/>
  <c r="L169" i="51" s="1"/>
  <c r="L170" i="51" s="1"/>
  <c r="L171" i="51" s="1"/>
  <c r="L172" i="51" s="1"/>
  <c r="L173" i="51" s="1"/>
  <c r="L185" i="51" s="1"/>
  <c r="L186" i="51" s="1"/>
  <c r="H227" i="51" s="1"/>
  <c r="K174" i="51"/>
  <c r="X128" i="53"/>
  <c r="X130" i="53" s="1"/>
  <c r="X132" i="53" s="1"/>
  <c r="AF12" i="53"/>
  <c r="X71" i="53"/>
  <c r="X123" i="53" s="1"/>
  <c r="B38" i="51"/>
  <c r="N38" i="51"/>
  <c r="J38" i="51"/>
  <c r="L134" i="51"/>
  <c r="L135" i="51" s="1"/>
  <c r="L136" i="51" s="1"/>
  <c r="L137" i="51" s="1"/>
  <c r="L138" i="51" s="1"/>
  <c r="L139" i="51" s="1"/>
  <c r="L140" i="51" s="1"/>
  <c r="L152" i="51" s="1"/>
  <c r="L153" i="51" s="1"/>
  <c r="H226" i="51" s="1"/>
  <c r="K141" i="51"/>
  <c r="F52" i="48"/>
  <c r="H52" i="48" s="1"/>
  <c r="K52" i="48" s="1"/>
  <c r="H53" i="48"/>
  <c r="K53" i="48" s="1"/>
  <c r="L21" i="51"/>
  <c r="L22" i="51" s="1"/>
  <c r="L23" i="51" s="1"/>
  <c r="L24" i="51" s="1"/>
  <c r="L25" i="51" s="1"/>
  <c r="L26" i="51" s="1"/>
  <c r="L27" i="51" s="1"/>
  <c r="L39" i="51" s="1"/>
  <c r="K28" i="51"/>
  <c r="L19" i="48"/>
  <c r="L20" i="48" s="1"/>
  <c r="L21" i="48" s="1"/>
  <c r="L22" i="48" s="1"/>
  <c r="L23" i="48" s="1"/>
  <c r="L24" i="48" s="1"/>
  <c r="L25" i="48" s="1"/>
  <c r="L37" i="48" s="1"/>
  <c r="K26" i="48"/>
  <c r="J34" i="48"/>
  <c r="AF121" i="53"/>
  <c r="K19" i="52"/>
  <c r="J36" i="51"/>
  <c r="K90" i="52"/>
  <c r="K93" i="52" s="1"/>
  <c r="K39" i="52"/>
  <c r="B36" i="48"/>
  <c r="N36" i="48"/>
  <c r="J36" i="48"/>
  <c r="N36" i="51"/>
  <c r="K81" i="52"/>
  <c r="K84" i="52" s="1"/>
  <c r="K30" i="52"/>
  <c r="K106" i="52"/>
  <c r="Q27" i="52" l="1"/>
  <c r="Q30" i="52" s="1"/>
  <c r="O81" i="52"/>
  <c r="O106" i="52"/>
  <c r="Q106" i="52" s="1"/>
  <c r="O30" i="52"/>
  <c r="K107" i="52"/>
  <c r="K73" i="52"/>
  <c r="L52" i="48"/>
  <c r="K59" i="48"/>
  <c r="B39" i="51"/>
  <c r="B40" i="51" s="1"/>
  <c r="B37" i="48"/>
  <c r="B38" i="48" s="1"/>
  <c r="J38" i="48"/>
  <c r="H230" i="51"/>
  <c r="H94" i="1" s="1"/>
  <c r="AF128" i="53"/>
  <c r="AF130" i="53" s="1"/>
  <c r="AF132" i="53" s="1"/>
  <c r="AF71" i="53"/>
  <c r="AF123" i="53" s="1"/>
  <c r="K16" i="52"/>
  <c r="J40" i="51" l="1"/>
  <c r="N40" i="51"/>
  <c r="B45" i="48"/>
  <c r="B47" i="48" s="1"/>
  <c r="F85" i="1"/>
  <c r="K104" i="52"/>
  <c r="K109" i="52" s="1"/>
  <c r="K70" i="52"/>
  <c r="K75" i="52" s="1"/>
  <c r="K95" i="52" s="1"/>
  <c r="K21" i="52"/>
  <c r="K41" i="52" s="1"/>
  <c r="B48" i="48"/>
  <c r="B49" i="48" s="1"/>
  <c r="B50" i="48" s="1"/>
  <c r="B51" i="48" s="1"/>
  <c r="B52" i="48" s="1"/>
  <c r="B53" i="48" s="1"/>
  <c r="B54" i="48" s="1"/>
  <c r="B55" i="48" s="1"/>
  <c r="B56" i="48" s="1"/>
  <c r="B57" i="48" s="1"/>
  <c r="B58" i="48" s="1"/>
  <c r="Q19" i="52"/>
  <c r="O107" i="52"/>
  <c r="Q107" i="52" s="1"/>
  <c r="O73" i="52"/>
  <c r="Q73" i="52" s="1"/>
  <c r="L100" i="51" s="1"/>
  <c r="L102" i="51" s="1"/>
  <c r="L104" i="51" s="1"/>
  <c r="L106" i="51" s="1"/>
  <c r="H115" i="51" s="1"/>
  <c r="O84" i="52"/>
  <c r="Q81" i="52"/>
  <c r="N38" i="48"/>
  <c r="F113" i="51"/>
  <c r="B47" i="51"/>
  <c r="B49" i="51" s="1"/>
  <c r="L113" i="51"/>
  <c r="L53" i="48"/>
  <c r="L54" i="48" s="1"/>
  <c r="L55" i="48" s="1"/>
  <c r="L56" i="48" s="1"/>
  <c r="L57" i="48" s="1"/>
  <c r="L58" i="48" s="1"/>
  <c r="L70" i="48" s="1"/>
  <c r="L71" i="48" s="1"/>
  <c r="H86" i="1" s="1"/>
  <c r="L59" i="48" l="1"/>
  <c r="L67" i="51"/>
  <c r="L69" i="51" s="1"/>
  <c r="L71" i="51" s="1"/>
  <c r="L73" i="51" s="1"/>
  <c r="H114" i="51" s="1"/>
  <c r="Q84" i="52"/>
  <c r="O104" i="52"/>
  <c r="O21" i="52"/>
  <c r="O41" i="52" s="1"/>
  <c r="Q16" i="52"/>
  <c r="Q21" i="52" s="1"/>
  <c r="Q41" i="52" s="1"/>
  <c r="O70" i="52"/>
  <c r="B50" i="51"/>
  <c r="B51" i="51" s="1"/>
  <c r="B52" i="51" s="1"/>
  <c r="B53" i="51" s="1"/>
  <c r="B54" i="51" s="1"/>
  <c r="B55" i="51" s="1"/>
  <c r="B56" i="51" s="1"/>
  <c r="B57" i="51" s="1"/>
  <c r="B58" i="51" s="1"/>
  <c r="B59" i="51" s="1"/>
  <c r="B60" i="51" s="1"/>
  <c r="N70" i="48"/>
  <c r="B59" i="48"/>
  <c r="B61" i="48" s="1"/>
  <c r="J70" i="48"/>
  <c r="D59" i="48"/>
  <c r="B61" i="51" l="1"/>
  <c r="B63" i="51" s="1"/>
  <c r="N72" i="51"/>
  <c r="J72" i="51"/>
  <c r="O109" i="52"/>
  <c r="L252" i="9" s="1"/>
  <c r="Q104" i="52"/>
  <c r="Q109" i="52" s="1"/>
  <c r="B62" i="48"/>
  <c r="B63" i="48" s="1"/>
  <c r="N63" i="48"/>
  <c r="Q70" i="52"/>
  <c r="O75" i="52"/>
  <c r="O95" i="52" s="1"/>
  <c r="D61" i="51"/>
  <c r="B65" i="48" l="1"/>
  <c r="J63" i="48"/>
  <c r="Q75" i="52"/>
  <c r="Q95" i="52" s="1"/>
  <c r="L34" i="51"/>
  <c r="L36" i="51" s="1"/>
  <c r="L38" i="51" s="1"/>
  <c r="L40" i="51" s="1"/>
  <c r="H113" i="51" s="1"/>
  <c r="H117" i="51" s="1"/>
  <c r="H93" i="1" s="1"/>
  <c r="B64" i="51"/>
  <c r="B65" i="51" s="1"/>
  <c r="B67" i="51" l="1"/>
  <c r="J65" i="51"/>
  <c r="B66" i="48"/>
  <c r="B67" i="48" s="1"/>
  <c r="N67" i="48"/>
  <c r="N65" i="51"/>
  <c r="B68" i="51" l="1"/>
  <c r="B69" i="51" s="1"/>
  <c r="B69" i="48"/>
  <c r="J69" i="48"/>
  <c r="N69" i="48"/>
  <c r="J67" i="48"/>
  <c r="B70" i="48" l="1"/>
  <c r="B71" i="48" s="1"/>
  <c r="J71" i="48"/>
  <c r="B71" i="51"/>
  <c r="N71" i="51"/>
  <c r="J71" i="51"/>
  <c r="J69" i="51"/>
  <c r="N69" i="51"/>
  <c r="B78" i="48" l="1"/>
  <c r="B80" i="48" s="1"/>
  <c r="F86" i="1"/>
  <c r="B72" i="51"/>
  <c r="B73" i="51" s="1"/>
  <c r="B81" i="48"/>
  <c r="B82" i="48" s="1"/>
  <c r="B83" i="48" s="1"/>
  <c r="B84" i="48" s="1"/>
  <c r="B85" i="48" s="1"/>
  <c r="B86" i="48" s="1"/>
  <c r="B87" i="48" s="1"/>
  <c r="B88" i="48" s="1"/>
  <c r="B89" i="48" s="1"/>
  <c r="B90" i="48" s="1"/>
  <c r="B91" i="48" s="1"/>
  <c r="N71" i="48"/>
  <c r="N73" i="51" l="1"/>
  <c r="J103" i="48"/>
  <c r="B92" i="48"/>
  <c r="B94" i="48" s="1"/>
  <c r="N103" i="48"/>
  <c r="B80" i="51"/>
  <c r="B82" i="51" s="1"/>
  <c r="L114" i="51"/>
  <c r="F114" i="51"/>
  <c r="D92" i="48"/>
  <c r="J73" i="51"/>
  <c r="B95" i="48" l="1"/>
  <c r="B96" i="48" s="1"/>
  <c r="J96" i="48"/>
  <c r="B83" i="51"/>
  <c r="B84" i="51" s="1"/>
  <c r="B85" i="51" s="1"/>
  <c r="B86" i="51" s="1"/>
  <c r="B87" i="51" s="1"/>
  <c r="B88" i="51" s="1"/>
  <c r="B89" i="51" s="1"/>
  <c r="B90" i="51" s="1"/>
  <c r="B91" i="51" s="1"/>
  <c r="B92" i="51" s="1"/>
  <c r="B93" i="51" s="1"/>
  <c r="D94" i="51" s="1"/>
  <c r="B98" i="48" l="1"/>
  <c r="N105" i="51"/>
  <c r="B94" i="51"/>
  <c r="B96" i="51" s="1"/>
  <c r="J105" i="51"/>
  <c r="N96" i="48"/>
  <c r="B99" i="48" l="1"/>
  <c r="B100" i="48" s="1"/>
  <c r="J100" i="48"/>
  <c r="B97" i="51"/>
  <c r="B98" i="51" s="1"/>
  <c r="J98" i="51" l="1"/>
  <c r="N98" i="51"/>
  <c r="B102" i="48"/>
  <c r="J102" i="48"/>
  <c r="N102" i="48"/>
  <c r="B100" i="51"/>
  <c r="N100" i="48"/>
  <c r="B101" i="51" l="1"/>
  <c r="B102" i="51" s="1"/>
  <c r="B103" i="48"/>
  <c r="B104" i="48" s="1"/>
  <c r="J104" i="48"/>
  <c r="B111" i="48" l="1"/>
  <c r="B113" i="48" s="1"/>
  <c r="F87" i="1"/>
  <c r="N104" i="48"/>
  <c r="B104" i="51"/>
  <c r="N104" i="51"/>
  <c r="J104" i="51"/>
  <c r="N102" i="51"/>
  <c r="B114" i="48"/>
  <c r="B115" i="48" s="1"/>
  <c r="B116" i="48" s="1"/>
  <c r="B117" i="48" s="1"/>
  <c r="B118" i="48" s="1"/>
  <c r="B119" i="48" s="1"/>
  <c r="B120" i="48" s="1"/>
  <c r="B121" i="48" s="1"/>
  <c r="B122" i="48" s="1"/>
  <c r="B123" i="48" s="1"/>
  <c r="B124" i="48" s="1"/>
  <c r="J102" i="51"/>
  <c r="N136" i="48" l="1"/>
  <c r="B125" i="48"/>
  <c r="B127" i="48" s="1"/>
  <c r="J136" i="48"/>
  <c r="D125" i="48"/>
  <c r="B105" i="51"/>
  <c r="B106" i="51" s="1"/>
  <c r="J106" i="51" l="1"/>
  <c r="N106" i="51"/>
  <c r="L115" i="51"/>
  <c r="F115" i="51"/>
  <c r="B113" i="51"/>
  <c r="B114" i="51" s="1"/>
  <c r="B115" i="51" s="1"/>
  <c r="B117" i="51" s="1"/>
  <c r="B128" i="48"/>
  <c r="B129" i="48" s="1"/>
  <c r="N129" i="48"/>
  <c r="B127" i="51" l="1"/>
  <c r="B129" i="51" s="1"/>
  <c r="F93" i="1"/>
  <c r="J129" i="48"/>
  <c r="B130" i="51"/>
  <c r="B131" i="51" s="1"/>
  <c r="B132" i="51" s="1"/>
  <c r="B133" i="51" s="1"/>
  <c r="B134" i="51" s="1"/>
  <c r="B135" i="51" s="1"/>
  <c r="B136" i="51" s="1"/>
  <c r="B137" i="51" s="1"/>
  <c r="B138" i="51" s="1"/>
  <c r="B139" i="51" s="1"/>
  <c r="B140" i="51" s="1"/>
  <c r="B131" i="48"/>
  <c r="J152" i="51" l="1"/>
  <c r="N152" i="51"/>
  <c r="B141" i="51"/>
  <c r="B143" i="51" s="1"/>
  <c r="J133" i="48"/>
  <c r="B132" i="48"/>
  <c r="B133" i="48" s="1"/>
  <c r="N133" i="48"/>
  <c r="D141" i="51"/>
  <c r="B144" i="51" l="1"/>
  <c r="B145" i="51" s="1"/>
  <c r="B135" i="48"/>
  <c r="N135" i="48"/>
  <c r="J135" i="48"/>
  <c r="B136" i="48" l="1"/>
  <c r="B137" i="48" s="1"/>
  <c r="J137" i="48"/>
  <c r="B147" i="51"/>
  <c r="N145" i="51"/>
  <c r="J145" i="51"/>
  <c r="B144" i="48" l="1"/>
  <c r="B146" i="48" s="1"/>
  <c r="F88" i="1"/>
  <c r="B148" i="51"/>
  <c r="B149" i="51" s="1"/>
  <c r="J149" i="51"/>
  <c r="B147" i="48"/>
  <c r="B148" i="48" s="1"/>
  <c r="B149" i="48" s="1"/>
  <c r="B150" i="48" s="1"/>
  <c r="B151" i="48" s="1"/>
  <c r="B152" i="48" s="1"/>
  <c r="B153" i="48" s="1"/>
  <c r="B154" i="48" s="1"/>
  <c r="B155" i="48" s="1"/>
  <c r="B156" i="48" s="1"/>
  <c r="B157" i="48" s="1"/>
  <c r="D158" i="48" s="1"/>
  <c r="N137" i="48"/>
  <c r="B151" i="51" l="1"/>
  <c r="N151" i="51"/>
  <c r="J151" i="51"/>
  <c r="J169" i="48"/>
  <c r="B158" i="48"/>
  <c r="B160" i="48" s="1"/>
  <c r="N169" i="48"/>
  <c r="N149" i="51"/>
  <c r="B161" i="48" l="1"/>
  <c r="B162" i="48" s="1"/>
  <c r="N162" i="48"/>
  <c r="B152" i="51"/>
  <c r="B153" i="51" s="1"/>
  <c r="J153" i="51" l="1"/>
  <c r="N153" i="51"/>
  <c r="B164" i="48"/>
  <c r="L226" i="51"/>
  <c r="F226" i="51"/>
  <c r="B160" i="51"/>
  <c r="B162" i="51" s="1"/>
  <c r="J162" i="48"/>
  <c r="B163" i="51" l="1"/>
  <c r="B164" i="51" s="1"/>
  <c r="B165" i="51" s="1"/>
  <c r="B166" i="51" s="1"/>
  <c r="B167" i="51" s="1"/>
  <c r="B168" i="51" s="1"/>
  <c r="B169" i="51" s="1"/>
  <c r="B170" i="51" s="1"/>
  <c r="B171" i="51" s="1"/>
  <c r="B172" i="51" s="1"/>
  <c r="B173" i="51" s="1"/>
  <c r="B165" i="48"/>
  <c r="B166" i="48" s="1"/>
  <c r="B168" i="48" l="1"/>
  <c r="J168" i="48"/>
  <c r="N168" i="48"/>
  <c r="N166" i="48"/>
  <c r="J185" i="51"/>
  <c r="N185" i="51"/>
  <c r="B174" i="51"/>
  <c r="B176" i="51" s="1"/>
  <c r="J166" i="48"/>
  <c r="D174" i="51"/>
  <c r="B177" i="51" l="1"/>
  <c r="B178" i="51" s="1"/>
  <c r="J178" i="51"/>
  <c r="B169" i="48"/>
  <c r="B170" i="48" s="1"/>
  <c r="F89" i="1" s="1"/>
  <c r="N170" i="48" l="1"/>
  <c r="J170" i="48"/>
  <c r="B180" i="51"/>
  <c r="N178" i="51"/>
  <c r="B181" i="51" l="1"/>
  <c r="B182" i="51" s="1"/>
  <c r="J182" i="51"/>
  <c r="B184" i="51" l="1"/>
  <c r="N184" i="51"/>
  <c r="J184" i="51"/>
  <c r="N182" i="51"/>
  <c r="B185" i="51" l="1"/>
  <c r="B186" i="51" s="1"/>
  <c r="F227" i="51" l="1"/>
  <c r="L227" i="51"/>
  <c r="B193" i="51"/>
  <c r="B195" i="51" s="1"/>
  <c r="J186" i="51"/>
  <c r="N186" i="51"/>
  <c r="B196" i="51" l="1"/>
  <c r="B197" i="51" s="1"/>
  <c r="B198" i="51" s="1"/>
  <c r="B199" i="51" s="1"/>
  <c r="B200" i="51" s="1"/>
  <c r="B201" i="51" s="1"/>
  <c r="B202" i="51" s="1"/>
  <c r="B203" i="51" s="1"/>
  <c r="B204" i="51" s="1"/>
  <c r="B205" i="51" s="1"/>
  <c r="B206" i="51" s="1"/>
  <c r="J218" i="51" l="1"/>
  <c r="N218" i="51"/>
  <c r="B207" i="51"/>
  <c r="B209" i="51" s="1"/>
  <c r="D207" i="51"/>
  <c r="B210" i="51" l="1"/>
  <c r="B211" i="51" s="1"/>
  <c r="J211" i="51" l="1"/>
  <c r="B213" i="51"/>
  <c r="N211" i="51"/>
  <c r="B214" i="51" l="1"/>
  <c r="B215" i="51" s="1"/>
  <c r="J215" i="51"/>
  <c r="B217" i="51" l="1"/>
  <c r="N217" i="51"/>
  <c r="J217" i="51"/>
  <c r="N215" i="51"/>
  <c r="B218" i="51" l="1"/>
  <c r="B219" i="51" s="1"/>
  <c r="N219" i="51"/>
  <c r="F228" i="51" l="1"/>
  <c r="B226" i="51"/>
  <c r="B227" i="51" s="1"/>
  <c r="B228" i="51" s="1"/>
  <c r="B230" i="51" s="1"/>
  <c r="F94" i="1" s="1"/>
  <c r="L228" i="51"/>
  <c r="J219" i="51"/>
  <c r="F227" i="1" l="1"/>
  <c r="F226" i="1"/>
  <c r="F225" i="1"/>
  <c r="D27" i="31" l="1"/>
  <c r="F27" i="31"/>
  <c r="H27" i="31"/>
  <c r="J27" i="31"/>
  <c r="L27" i="31"/>
  <c r="N27" i="31"/>
  <c r="B27" i="31"/>
  <c r="P8" i="31"/>
  <c r="P9" i="31"/>
  <c r="P10" i="31"/>
  <c r="P11" i="31"/>
  <c r="P12" i="31"/>
  <c r="P13" i="31"/>
  <c r="P14" i="31"/>
  <c r="P15" i="31"/>
  <c r="P16" i="31"/>
  <c r="P17" i="31"/>
  <c r="P18" i="31"/>
  <c r="P19" i="31"/>
  <c r="P20" i="31"/>
  <c r="P21" i="31"/>
  <c r="P22" i="31"/>
  <c r="P23" i="31"/>
  <c r="P24" i="31"/>
  <c r="P25" i="31"/>
  <c r="P26" i="31"/>
  <c r="P7" i="31"/>
  <c r="P27" i="31" l="1"/>
  <c r="E81" i="13"/>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25" i="1" l="1"/>
  <c r="F65" i="9" l="1"/>
  <c r="F190" i="1"/>
  <c r="I71" i="9" l="1"/>
  <c r="I58" i="9"/>
  <c r="M75" i="12"/>
  <c r="E75" i="12"/>
  <c r="M74" i="12"/>
  <c r="E74" i="12"/>
  <c r="M73" i="12"/>
  <c r="E73" i="12"/>
  <c r="M72" i="12"/>
  <c r="E72" i="12"/>
  <c r="M71" i="12"/>
  <c r="E71" i="12"/>
  <c r="M70" i="12"/>
  <c r="E70" i="12"/>
  <c r="M69" i="12"/>
  <c r="E69" i="12"/>
  <c r="M68" i="12"/>
  <c r="E68" i="12"/>
  <c r="M67" i="12"/>
  <c r="E67" i="12"/>
  <c r="E18" i="47"/>
  <c r="D18" i="47"/>
  <c r="E13" i="47"/>
  <c r="D13" i="47"/>
  <c r="E12" i="47"/>
  <c r="D12" i="47"/>
  <c r="C1" i="47"/>
  <c r="AX77" i="47"/>
  <c r="AY76" i="47"/>
  <c r="AK58" i="47"/>
  <c r="AK59" i="47" s="1"/>
  <c r="AG58" i="47"/>
  <c r="AG59" i="47" s="1"/>
  <c r="AC58" i="47"/>
  <c r="AC59" i="47" s="1"/>
  <c r="Y58" i="47"/>
  <c r="Y59" i="47" s="1"/>
  <c r="U58" i="47"/>
  <c r="U59" i="47" s="1"/>
  <c r="Q58" i="47"/>
  <c r="Q59" i="47" s="1"/>
  <c r="M58" i="47"/>
  <c r="M59" i="47" s="1"/>
  <c r="I58" i="47"/>
  <c r="I59" i="47" s="1"/>
  <c r="E58" i="47"/>
  <c r="E59" i="47" s="1"/>
  <c r="AW57" i="47"/>
  <c r="AX57" i="47" s="1"/>
  <c r="D57" i="47"/>
  <c r="D59" i="47" s="1"/>
  <c r="D61" i="47" s="1"/>
  <c r="D63" i="47" s="1"/>
  <c r="D65" i="47" s="1"/>
  <c r="D67" i="47" s="1"/>
  <c r="D69" i="47" s="1"/>
  <c r="D71" i="47" s="1"/>
  <c r="D73" i="47" s="1"/>
  <c r="D75" i="47" s="1"/>
  <c r="C57" i="47"/>
  <c r="C59" i="47" s="1"/>
  <c r="C61" i="47" s="1"/>
  <c r="C63" i="47" s="1"/>
  <c r="C65" i="47" s="1"/>
  <c r="C67" i="47" s="1"/>
  <c r="C69" i="47" s="1"/>
  <c r="C71" i="47" s="1"/>
  <c r="C73" i="47" s="1"/>
  <c r="C75" i="47" s="1"/>
  <c r="AW56" i="47"/>
  <c r="AY56" i="47" s="1"/>
  <c r="D56" i="47"/>
  <c r="D58" i="47" s="1"/>
  <c r="D60" i="47" s="1"/>
  <c r="D62" i="47" s="1"/>
  <c r="D64" i="47" s="1"/>
  <c r="D66" i="47" s="1"/>
  <c r="D68" i="47" s="1"/>
  <c r="D70" i="47" s="1"/>
  <c r="D72" i="47" s="1"/>
  <c r="D74" i="47" s="1"/>
  <c r="C56" i="47"/>
  <c r="C58" i="47" s="1"/>
  <c r="C60" i="47" s="1"/>
  <c r="C62" i="47" s="1"/>
  <c r="C64" i="47" s="1"/>
  <c r="C66" i="47" s="1"/>
  <c r="C68" i="47" s="1"/>
  <c r="C70" i="47" s="1"/>
  <c r="C72" i="47" s="1"/>
  <c r="C74" i="47" s="1"/>
  <c r="A56" i="47"/>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W53" i="47"/>
  <c r="AX53" i="47" s="1"/>
  <c r="AW52" i="47"/>
  <c r="AY52" i="47" s="1"/>
  <c r="AW51" i="47"/>
  <c r="AX51" i="47" s="1"/>
  <c r="AW50" i="47"/>
  <c r="AY50" i="47" s="1"/>
  <c r="AW49" i="47"/>
  <c r="AX49" i="47" s="1"/>
  <c r="AW48" i="47"/>
  <c r="AY48" i="47" s="1"/>
  <c r="AX47" i="47"/>
  <c r="AY46" i="47"/>
  <c r="AW41" i="47"/>
  <c r="AX41" i="47" s="1"/>
  <c r="AW40" i="47"/>
  <c r="AY40" i="47" s="1"/>
  <c r="AX39" i="47"/>
  <c r="AW39" i="47"/>
  <c r="D39" i="47"/>
  <c r="D41" i="47" s="1"/>
  <c r="D43" i="47" s="1"/>
  <c r="D45" i="47" s="1"/>
  <c r="D47" i="47" s="1"/>
  <c r="D49" i="47" s="1"/>
  <c r="D51" i="47" s="1"/>
  <c r="D53" i="47" s="1"/>
  <c r="C39" i="47"/>
  <c r="C41" i="47" s="1"/>
  <c r="C43" i="47" s="1"/>
  <c r="C45" i="47" s="1"/>
  <c r="C47" i="47" s="1"/>
  <c r="C49" i="47" s="1"/>
  <c r="C51" i="47" s="1"/>
  <c r="C53" i="47" s="1"/>
  <c r="AY38" i="47"/>
  <c r="AW38" i="47"/>
  <c r="D38" i="47"/>
  <c r="D40" i="47" s="1"/>
  <c r="D42" i="47" s="1"/>
  <c r="D44" i="47" s="1"/>
  <c r="D46" i="47" s="1"/>
  <c r="D48" i="47" s="1"/>
  <c r="D50" i="47" s="1"/>
  <c r="D52" i="47" s="1"/>
  <c r="AW37" i="47"/>
  <c r="AX37" i="47" s="1"/>
  <c r="AW36" i="47"/>
  <c r="AY36" i="47" s="1"/>
  <c r="C36" i="47"/>
  <c r="C38" i="47" s="1"/>
  <c r="C40" i="47" s="1"/>
  <c r="C42" i="47" s="1"/>
  <c r="C44" i="47" s="1"/>
  <c r="C46" i="47" s="1"/>
  <c r="C48" i="47" s="1"/>
  <c r="C50" i="47" s="1"/>
  <c r="C52" i="47" s="1"/>
  <c r="A33" i="47"/>
  <c r="A36" i="47" s="1"/>
  <c r="A37" i="47" s="1"/>
  <c r="A38" i="47" s="1"/>
  <c r="A39" i="47" s="1"/>
  <c r="A40" i="47" s="1"/>
  <c r="A41" i="47" s="1"/>
  <c r="A42" i="47" s="1"/>
  <c r="A43" i="47" s="1"/>
  <c r="A44" i="47" s="1"/>
  <c r="A45" i="47" s="1"/>
  <c r="A46" i="47" s="1"/>
  <c r="A47" i="47" s="1"/>
  <c r="A48" i="47" s="1"/>
  <c r="A49" i="47" s="1"/>
  <c r="A50" i="47" s="1"/>
  <c r="A51" i="47" s="1"/>
  <c r="A52" i="47" s="1"/>
  <c r="A53" i="47" s="1"/>
  <c r="AK32" i="47"/>
  <c r="AL66" i="47" s="1"/>
  <c r="AL67" i="47" s="1"/>
  <c r="AG32" i="47"/>
  <c r="AC32" i="47"/>
  <c r="AD72" i="47" s="1"/>
  <c r="AD73" i="47" s="1"/>
  <c r="Y32" i="47"/>
  <c r="Z68" i="47" s="1"/>
  <c r="Z69" i="47" s="1"/>
  <c r="U32" i="47"/>
  <c r="V66" i="47" s="1"/>
  <c r="V67" i="47" s="1"/>
  <c r="Q32" i="47"/>
  <c r="R68" i="47" s="1"/>
  <c r="R69" i="47" s="1"/>
  <c r="M32" i="47"/>
  <c r="N72" i="47" s="1"/>
  <c r="N73" i="47" s="1"/>
  <c r="I32" i="47"/>
  <c r="J68" i="47" s="1"/>
  <c r="J69" i="47" s="1"/>
  <c r="E32" i="47"/>
  <c r="F60" i="47" s="1"/>
  <c r="F61" i="47" s="1"/>
  <c r="J60" i="47" l="1"/>
  <c r="J61" i="47" s="1"/>
  <c r="V60" i="47"/>
  <c r="V61" i="47" s="1"/>
  <c r="V70" i="47"/>
  <c r="V71" i="47" s="1"/>
  <c r="Z60" i="47"/>
  <c r="Z61" i="47" s="1"/>
  <c r="AL70" i="47"/>
  <c r="AL71" i="47" s="1"/>
  <c r="F70" i="47"/>
  <c r="F71" i="47" s="1"/>
  <c r="F66" i="47"/>
  <c r="F67" i="47" s="1"/>
  <c r="AL60" i="47"/>
  <c r="AL61" i="47" s="1"/>
  <c r="R72" i="47"/>
  <c r="R73" i="47" s="1"/>
  <c r="R70" i="47"/>
  <c r="R71" i="47" s="1"/>
  <c r="R64" i="47"/>
  <c r="R65" i="47" s="1"/>
  <c r="R66" i="47"/>
  <c r="R67" i="47" s="1"/>
  <c r="R62" i="47"/>
  <c r="R63" i="47" s="1"/>
  <c r="R58" i="47"/>
  <c r="R74" i="47"/>
  <c r="R75" i="47" s="1"/>
  <c r="R60" i="47"/>
  <c r="R61" i="47" s="1"/>
  <c r="AH72" i="47"/>
  <c r="AH73" i="47" s="1"/>
  <c r="AH70" i="47"/>
  <c r="AH71" i="47" s="1"/>
  <c r="AH64" i="47"/>
  <c r="AH65" i="47" s="1"/>
  <c r="AH66" i="47"/>
  <c r="AH67" i="47" s="1"/>
  <c r="AH62" i="47"/>
  <c r="AH63" i="47" s="1"/>
  <c r="AH58" i="47"/>
  <c r="AH74" i="47"/>
  <c r="AH75" i="47" s="1"/>
  <c r="AH60" i="47"/>
  <c r="AH61" i="47" s="1"/>
  <c r="AH68" i="47"/>
  <c r="AH69" i="47" s="1"/>
  <c r="N68" i="47"/>
  <c r="N69" i="47" s="1"/>
  <c r="N74" i="47"/>
  <c r="N75" i="47" s="1"/>
  <c r="N64" i="47"/>
  <c r="N65" i="47" s="1"/>
  <c r="N70" i="47"/>
  <c r="N71" i="47" s="1"/>
  <c r="N62" i="47"/>
  <c r="N63" i="47" s="1"/>
  <c r="N58" i="47"/>
  <c r="N66" i="47"/>
  <c r="N67" i="47" s="1"/>
  <c r="N60" i="47"/>
  <c r="N61" i="47" s="1"/>
  <c r="AD68" i="47"/>
  <c r="AD69" i="47" s="1"/>
  <c r="AD74" i="47"/>
  <c r="AD75" i="47" s="1"/>
  <c r="AD64" i="47"/>
  <c r="AD65" i="47" s="1"/>
  <c r="AD70" i="47"/>
  <c r="AD71" i="47" s="1"/>
  <c r="AD62" i="47"/>
  <c r="AD63" i="47" s="1"/>
  <c r="AD58" i="47"/>
  <c r="AD66" i="47"/>
  <c r="AD67" i="47" s="1"/>
  <c r="AD60" i="47"/>
  <c r="AD61" i="47" s="1"/>
  <c r="F68" i="47"/>
  <c r="F69" i="47" s="1"/>
  <c r="F74" i="47"/>
  <c r="F75" i="47" s="1"/>
  <c r="G75" i="47" s="1"/>
  <c r="F64" i="47"/>
  <c r="F65" i="47" s="1"/>
  <c r="V68" i="47"/>
  <c r="V69" i="47" s="1"/>
  <c r="V74" i="47"/>
  <c r="V75" i="47" s="1"/>
  <c r="V64" i="47"/>
  <c r="V65" i="47" s="1"/>
  <c r="AL68" i="47"/>
  <c r="AL69" i="47" s="1"/>
  <c r="AL74" i="47"/>
  <c r="AL75" i="47" s="1"/>
  <c r="AL64" i="47"/>
  <c r="AL65" i="47" s="1"/>
  <c r="F72" i="47"/>
  <c r="F73" i="47" s="1"/>
  <c r="V72" i="47"/>
  <c r="V73" i="47" s="1"/>
  <c r="AL72" i="47"/>
  <c r="AL73" i="47" s="1"/>
  <c r="J72" i="47"/>
  <c r="J73" i="47" s="1"/>
  <c r="J70" i="47"/>
  <c r="J71" i="47" s="1"/>
  <c r="J64" i="47"/>
  <c r="J65" i="47" s="1"/>
  <c r="Z72" i="47"/>
  <c r="Z73" i="47" s="1"/>
  <c r="Z70" i="47"/>
  <c r="Z71" i="47" s="1"/>
  <c r="Z64" i="47"/>
  <c r="Z65" i="47" s="1"/>
  <c r="F58" i="47"/>
  <c r="J58" i="47"/>
  <c r="V58" i="47"/>
  <c r="Z58" i="47"/>
  <c r="AL58" i="47"/>
  <c r="F62" i="47"/>
  <c r="F63" i="47" s="1"/>
  <c r="J62" i="47"/>
  <c r="J63" i="47" s="1"/>
  <c r="V62" i="47"/>
  <c r="V63" i="47" s="1"/>
  <c r="Z62" i="47"/>
  <c r="Z63" i="47" s="1"/>
  <c r="AL62" i="47"/>
  <c r="AL63" i="47" s="1"/>
  <c r="J66" i="47"/>
  <c r="J67" i="47" s="1"/>
  <c r="Z66" i="47"/>
  <c r="Z67" i="47" s="1"/>
  <c r="J74" i="47"/>
  <c r="J75" i="47" s="1"/>
  <c r="Z74" i="47"/>
  <c r="Z75" i="47" s="1"/>
  <c r="AM58" i="47" l="1"/>
  <c r="AL59" i="47"/>
  <c r="AA58" i="47"/>
  <c r="Z59" i="47"/>
  <c r="K58" i="47"/>
  <c r="J59" i="47"/>
  <c r="AE58" i="47"/>
  <c r="AD59" i="47"/>
  <c r="O58" i="47"/>
  <c r="N59" i="47"/>
  <c r="G58" i="47"/>
  <c r="F59" i="47"/>
  <c r="W58" i="47"/>
  <c r="V59" i="47"/>
  <c r="AH59" i="47"/>
  <c r="AI58" i="47"/>
  <c r="R59" i="47"/>
  <c r="S58" i="47"/>
  <c r="G59" i="47" l="1"/>
  <c r="K67" i="12"/>
  <c r="AE59" i="47"/>
  <c r="K73" i="12"/>
  <c r="AA59" i="47"/>
  <c r="K72" i="12"/>
  <c r="AI59" i="47"/>
  <c r="K74" i="12"/>
  <c r="W59" i="47"/>
  <c r="H71" i="12" s="1"/>
  <c r="K71" i="12"/>
  <c r="O59" i="47"/>
  <c r="K69" i="12"/>
  <c r="K59" i="47"/>
  <c r="K68" i="12"/>
  <c r="AM59" i="47"/>
  <c r="K75" i="12"/>
  <c r="S59" i="47"/>
  <c r="K70" i="12"/>
  <c r="U60" i="47"/>
  <c r="AK60" i="47" l="1"/>
  <c r="H75" i="12"/>
  <c r="M60" i="47"/>
  <c r="O60" i="47" s="1"/>
  <c r="H69" i="12"/>
  <c r="AG60" i="47"/>
  <c r="H74" i="12"/>
  <c r="AC60" i="47"/>
  <c r="H73" i="12"/>
  <c r="Q60" i="47"/>
  <c r="H70" i="12"/>
  <c r="I60" i="47"/>
  <c r="H68" i="12"/>
  <c r="Y60" i="47"/>
  <c r="H72" i="12"/>
  <c r="E60" i="47"/>
  <c r="H67" i="12"/>
  <c r="W60" i="47"/>
  <c r="U61" i="47"/>
  <c r="W61" i="47" s="1"/>
  <c r="AK61" i="47"/>
  <c r="AM61" i="47" s="1"/>
  <c r="AM60" i="47"/>
  <c r="E61" i="47" l="1"/>
  <c r="G61" i="47" s="1"/>
  <c r="E62" i="47" s="1"/>
  <c r="G60" i="47"/>
  <c r="I61" i="47"/>
  <c r="K61" i="47" s="1"/>
  <c r="I62" i="47" s="1"/>
  <c r="K62" i="47" s="1"/>
  <c r="K60" i="47"/>
  <c r="AE60" i="47"/>
  <c r="AC61" i="47"/>
  <c r="AE61" i="47" s="1"/>
  <c r="AC62" i="47" s="1"/>
  <c r="M61" i="47"/>
  <c r="O61" i="47" s="1"/>
  <c r="M62" i="47" s="1"/>
  <c r="AA60" i="47"/>
  <c r="Y61" i="47"/>
  <c r="AA61" i="47" s="1"/>
  <c r="Y62" i="47" s="1"/>
  <c r="S60" i="47"/>
  <c r="Q61" i="47"/>
  <c r="S61" i="47" s="1"/>
  <c r="Q62" i="47" s="1"/>
  <c r="AG61" i="47"/>
  <c r="AI61" i="47" s="1"/>
  <c r="AG62" i="47" s="1"/>
  <c r="AG63" i="47" s="1"/>
  <c r="AI63" i="47" s="1"/>
  <c r="AI60" i="47"/>
  <c r="U62" i="47"/>
  <c r="M63" i="47"/>
  <c r="O63" i="47" s="1"/>
  <c r="O62" i="47"/>
  <c r="Y63" i="47"/>
  <c r="AA63" i="47" s="1"/>
  <c r="AA62" i="47"/>
  <c r="AK62" i="47"/>
  <c r="Q63" i="47" l="1"/>
  <c r="S63" i="47" s="1"/>
  <c r="Q64" i="47" s="1"/>
  <c r="S62" i="47"/>
  <c r="AI62" i="47"/>
  <c r="I63" i="47"/>
  <c r="K63" i="47" s="1"/>
  <c r="AE62" i="47"/>
  <c r="AC63" i="47"/>
  <c r="AE63" i="47" s="1"/>
  <c r="AC64" i="47" s="1"/>
  <c r="AE64" i="47" s="1"/>
  <c r="E63" i="47"/>
  <c r="G63" i="47" s="1"/>
  <c r="E64" i="47" s="1"/>
  <c r="G64" i="47" s="1"/>
  <c r="G62" i="47"/>
  <c r="M64" i="47"/>
  <c r="U63" i="47"/>
  <c r="W63" i="47" s="1"/>
  <c r="W62" i="47"/>
  <c r="I64" i="47"/>
  <c r="AK63" i="47"/>
  <c r="AM63" i="47" s="1"/>
  <c r="AM62" i="47"/>
  <c r="E65" i="47"/>
  <c r="G65" i="47" s="1"/>
  <c r="S64" i="47"/>
  <c r="Q65" i="47"/>
  <c r="S65" i="47" s="1"/>
  <c r="Y64" i="47"/>
  <c r="AG64" i="47"/>
  <c r="AC65" i="47"/>
  <c r="AE65" i="47" s="1"/>
  <c r="K64" i="47" l="1"/>
  <c r="I65" i="47"/>
  <c r="K65" i="47" s="1"/>
  <c r="AI64" i="47"/>
  <c r="AG65" i="47"/>
  <c r="AI65" i="47" s="1"/>
  <c r="AK64" i="47"/>
  <c r="U64" i="47"/>
  <c r="AA64" i="47"/>
  <c r="Y65" i="47"/>
  <c r="AA65" i="47" s="1"/>
  <c r="O64" i="47"/>
  <c r="M65" i="47"/>
  <c r="O65" i="47" s="1"/>
  <c r="Q66" i="47"/>
  <c r="AC66" i="47"/>
  <c r="E66" i="47"/>
  <c r="AE66" i="47" l="1"/>
  <c r="AC67" i="47"/>
  <c r="AE67" i="47" s="1"/>
  <c r="W64" i="47"/>
  <c r="U65" i="47"/>
  <c r="W65" i="47" s="1"/>
  <c r="Y66" i="47"/>
  <c r="I66" i="47"/>
  <c r="E67" i="47"/>
  <c r="G67" i="47" s="1"/>
  <c r="G66" i="47"/>
  <c r="Q67" i="47"/>
  <c r="S67" i="47" s="1"/>
  <c r="S66" i="47"/>
  <c r="AM64" i="47"/>
  <c r="AK65" i="47"/>
  <c r="AM65" i="47" s="1"/>
  <c r="M66" i="47"/>
  <c r="AG66" i="47"/>
  <c r="AG67" i="47" l="1"/>
  <c r="AI67" i="47" s="1"/>
  <c r="AI66" i="47"/>
  <c r="E68" i="47"/>
  <c r="Y67" i="47"/>
  <c r="AA67" i="47" s="1"/>
  <c r="AA66" i="47"/>
  <c r="AC68" i="47"/>
  <c r="AK66" i="47"/>
  <c r="O66" i="47"/>
  <c r="M67" i="47"/>
  <c r="O67" i="47" s="1"/>
  <c r="Q68" i="47"/>
  <c r="I67" i="47"/>
  <c r="K67" i="47" s="1"/>
  <c r="K66" i="47"/>
  <c r="U66" i="47"/>
  <c r="AE68" i="47" l="1"/>
  <c r="AC69" i="47"/>
  <c r="AE69" i="47" s="1"/>
  <c r="G68" i="47"/>
  <c r="E69" i="47"/>
  <c r="G69" i="47" s="1"/>
  <c r="U67" i="47"/>
  <c r="W67" i="47" s="1"/>
  <c r="W66" i="47"/>
  <c r="S68" i="47"/>
  <c r="Q69" i="47"/>
  <c r="S69" i="47" s="1"/>
  <c r="AM66" i="47"/>
  <c r="AK67" i="47"/>
  <c r="AM67" i="47" s="1"/>
  <c r="M68" i="47"/>
  <c r="Y68" i="47"/>
  <c r="AG68" i="47"/>
  <c r="I68" i="47"/>
  <c r="O68" i="47" l="1"/>
  <c r="M69" i="47"/>
  <c r="O69" i="47" s="1"/>
  <c r="AI68" i="47"/>
  <c r="AG69" i="47"/>
  <c r="AI69" i="47" s="1"/>
  <c r="AK68" i="47"/>
  <c r="AC70" i="47"/>
  <c r="K68" i="47"/>
  <c r="I69" i="47"/>
  <c r="K69" i="47" s="1"/>
  <c r="AA68" i="47"/>
  <c r="Y69" i="47"/>
  <c r="AA69" i="47" s="1"/>
  <c r="U68" i="47"/>
  <c r="Q70" i="47"/>
  <c r="E70" i="47"/>
  <c r="AE70" i="47" l="1"/>
  <c r="AC71" i="47"/>
  <c r="AE71" i="47" s="1"/>
  <c r="I70" i="47"/>
  <c r="W68" i="47"/>
  <c r="U69" i="47"/>
  <c r="W69" i="47" s="1"/>
  <c r="AM68" i="47"/>
  <c r="AK69" i="47"/>
  <c r="AM69" i="47" s="1"/>
  <c r="M70" i="47"/>
  <c r="S70" i="47"/>
  <c r="Q71" i="47"/>
  <c r="S71" i="47" s="1"/>
  <c r="AG70" i="47"/>
  <c r="G70" i="47"/>
  <c r="E71" i="47"/>
  <c r="G71" i="47" s="1"/>
  <c r="Y70" i="47"/>
  <c r="U70" i="47" l="1"/>
  <c r="AA70" i="47"/>
  <c r="Y71" i="47"/>
  <c r="AA71" i="47" s="1"/>
  <c r="AI70" i="47"/>
  <c r="AG71" i="47"/>
  <c r="AI71" i="47" s="1"/>
  <c r="O70" i="47"/>
  <c r="M71" i="47"/>
  <c r="O71" i="47" s="1"/>
  <c r="AC72" i="47"/>
  <c r="E72" i="47"/>
  <c r="Q72" i="47"/>
  <c r="AK70" i="47"/>
  <c r="K70" i="47"/>
  <c r="I71" i="47"/>
  <c r="K71" i="47" s="1"/>
  <c r="AM70" i="47" l="1"/>
  <c r="AK71" i="47"/>
  <c r="AM71" i="47" s="1"/>
  <c r="G72" i="47"/>
  <c r="E73" i="47"/>
  <c r="G73" i="47" s="1"/>
  <c r="AG72" i="47"/>
  <c r="S72" i="47"/>
  <c r="Q73" i="47"/>
  <c r="S73" i="47" s="1"/>
  <c r="AE72" i="47"/>
  <c r="AC73" i="47"/>
  <c r="AE73" i="47" s="1"/>
  <c r="W70" i="47"/>
  <c r="U71" i="47"/>
  <c r="W71" i="47" s="1"/>
  <c r="I72" i="47"/>
  <c r="M72" i="47"/>
  <c r="Y72" i="47"/>
  <c r="AC74" i="47" l="1"/>
  <c r="AK72" i="47"/>
  <c r="K72" i="47"/>
  <c r="I73" i="47"/>
  <c r="K73" i="47" s="1"/>
  <c r="AA72" i="47"/>
  <c r="Y73" i="47"/>
  <c r="AA73" i="47" s="1"/>
  <c r="AI72" i="47"/>
  <c r="AG73" i="47"/>
  <c r="AI73" i="47" s="1"/>
  <c r="O72" i="47"/>
  <c r="M73" i="47"/>
  <c r="O73" i="47" s="1"/>
  <c r="U72" i="47"/>
  <c r="Q74" i="47"/>
  <c r="E74" i="47"/>
  <c r="G74" i="47" s="1"/>
  <c r="Q75" i="47" l="1"/>
  <c r="S75" i="47" s="1"/>
  <c r="S74" i="47"/>
  <c r="AG74" i="47"/>
  <c r="AM72" i="47"/>
  <c r="AK73" i="47"/>
  <c r="AM73" i="47" s="1"/>
  <c r="W72" i="47"/>
  <c r="U73" i="47"/>
  <c r="W73" i="47" s="1"/>
  <c r="I74" i="47"/>
  <c r="M74" i="47"/>
  <c r="Y74" i="47"/>
  <c r="AC75" i="47"/>
  <c r="AE75" i="47" s="1"/>
  <c r="AE74" i="47"/>
  <c r="AK74" i="47" l="1"/>
  <c r="I75" i="47"/>
  <c r="K75" i="47" s="1"/>
  <c r="K74" i="47"/>
  <c r="Y75" i="47"/>
  <c r="AA75" i="47" s="1"/>
  <c r="AA74" i="47"/>
  <c r="M75" i="47"/>
  <c r="O75" i="47" s="1"/>
  <c r="O74" i="47"/>
  <c r="U74" i="47"/>
  <c r="AG75" i="47"/>
  <c r="AI75" i="47" s="1"/>
  <c r="AI74" i="47"/>
  <c r="U75" i="47" l="1"/>
  <c r="W75" i="47" s="1"/>
  <c r="W74" i="47"/>
  <c r="AK75" i="47"/>
  <c r="AM75" i="47" s="1"/>
  <c r="AM74" i="47"/>
  <c r="D8" i="7" l="1"/>
  <c r="E320" i="1" l="1"/>
  <c r="E293" i="1"/>
  <c r="E285" i="1"/>
  <c r="E250" i="1"/>
  <c r="E244" i="1"/>
  <c r="E243" i="1"/>
  <c r="E231" i="1"/>
  <c r="E216" i="1"/>
  <c r="E184" i="1"/>
  <c r="E183" i="1"/>
  <c r="E177" i="1"/>
  <c r="E162" i="1"/>
  <c r="E158" i="1"/>
  <c r="E157" i="1"/>
  <c r="E151" i="1"/>
  <c r="E148" i="1"/>
  <c r="E142" i="1"/>
  <c r="E138" i="1"/>
  <c r="E137" i="1"/>
  <c r="E121" i="1"/>
  <c r="E122" i="1" s="1"/>
  <c r="E109" i="1"/>
  <c r="E105" i="1"/>
  <c r="E65" i="1"/>
  <c r="E59" i="1"/>
  <c r="E53" i="1"/>
  <c r="E45" i="1"/>
  <c r="E30" i="1"/>
  <c r="E28" i="1"/>
  <c r="E26" i="1"/>
  <c r="E19" i="1"/>
  <c r="C347" i="1"/>
  <c r="C346" i="1"/>
  <c r="C345" i="1"/>
  <c r="C66" i="13" l="1"/>
  <c r="E76" i="13" l="1"/>
  <c r="D61" i="14" l="1"/>
  <c r="C61" i="14"/>
  <c r="F266" i="1" l="1"/>
  <c r="H259" i="1"/>
  <c r="I77" i="8" s="1"/>
  <c r="H258" i="1"/>
  <c r="I76" i="8" s="1"/>
  <c r="H257" i="1"/>
  <c r="I75" i="8" s="1"/>
  <c r="H95" i="1" l="1"/>
  <c r="D60" i="14" l="1"/>
  <c r="C60" i="14"/>
  <c r="D59" i="14" l="1"/>
  <c r="C59" i="14"/>
  <c r="E47" i="17" l="1"/>
  <c r="F47" i="17"/>
  <c r="D44" i="18"/>
  <c r="G44" i="18"/>
  <c r="H44" i="18"/>
  <c r="I44" i="18"/>
  <c r="J44" i="18"/>
  <c r="K44" i="18"/>
  <c r="L44" i="18"/>
  <c r="N44" i="18"/>
  <c r="M44" i="18"/>
  <c r="F24" i="18"/>
  <c r="G24" i="18"/>
  <c r="H24" i="18"/>
  <c r="I24" i="18"/>
  <c r="J24" i="18"/>
  <c r="H144" i="1"/>
  <c r="C43" i="14"/>
  <c r="C44" i="14"/>
  <c r="C45" i="14"/>
  <c r="C46" i="14"/>
  <c r="C47" i="14"/>
  <c r="C48" i="14"/>
  <c r="C49" i="14"/>
  <c r="C50" i="14"/>
  <c r="C51" i="14"/>
  <c r="C52" i="14"/>
  <c r="C53" i="14"/>
  <c r="C54" i="14"/>
  <c r="C55" i="14"/>
  <c r="C56" i="14"/>
  <c r="C57" i="14"/>
  <c r="C58" i="14"/>
  <c r="C42" i="14"/>
  <c r="F264" i="1" l="1"/>
  <c r="L12" i="18" l="1"/>
  <c r="L13" i="18"/>
  <c r="L14" i="18"/>
  <c r="L15" i="18"/>
  <c r="L16" i="18"/>
  <c r="L17" i="18"/>
  <c r="L18" i="18"/>
  <c r="L19" i="18"/>
  <c r="L20" i="18"/>
  <c r="L21" i="18"/>
  <c r="L22" i="18"/>
  <c r="F252" i="1" l="1"/>
  <c r="H13" i="9" l="1"/>
  <c r="C33" i="10" l="1"/>
  <c r="D33" i="10"/>
  <c r="E33" i="10"/>
  <c r="F33" i="10"/>
  <c r="G33" i="10"/>
  <c r="H33" i="10"/>
  <c r="I33" i="10"/>
  <c r="J33" i="10"/>
  <c r="K33" i="10"/>
  <c r="L33" i="10"/>
  <c r="M33" i="10"/>
  <c r="N33" i="10"/>
  <c r="O33" i="10"/>
  <c r="B33" i="10"/>
  <c r="P33" i="10" l="1"/>
  <c r="H145" i="1" l="1"/>
  <c r="G136" i="9"/>
  <c r="E11" i="33"/>
  <c r="E12" i="33"/>
  <c r="E17" i="33"/>
  <c r="E19" i="33"/>
  <c r="E20" i="33"/>
  <c r="E21" i="33"/>
  <c r="E22" i="33"/>
  <c r="E23" i="33"/>
  <c r="E18" i="33"/>
  <c r="E10" i="33"/>
  <c r="C46" i="34"/>
  <c r="I50" i="9" l="1"/>
  <c r="G23" i="32"/>
  <c r="H151" i="1" l="1"/>
  <c r="H157"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10" i="9" s="1"/>
  <c r="L210"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3" i="9"/>
  <c r="R123" i="9"/>
  <c r="Q123" i="9"/>
  <c r="P123" i="9"/>
  <c r="O123" i="9"/>
  <c r="N123" i="9"/>
  <c r="M123" i="9"/>
  <c r="L123" i="9"/>
  <c r="K123" i="9"/>
  <c r="J123" i="9"/>
  <c r="I123" i="9"/>
  <c r="H123" i="9"/>
  <c r="T119" i="9"/>
  <c r="Y119" i="9" s="1"/>
  <c r="T118" i="9"/>
  <c r="Y118" i="9" s="1"/>
  <c r="T117" i="9"/>
  <c r="Y117" i="9" s="1"/>
  <c r="T116" i="9"/>
  <c r="Y116" i="9" s="1"/>
  <c r="T115" i="9"/>
  <c r="Y115" i="9" s="1"/>
  <c r="T114" i="9"/>
  <c r="Y114" i="9" s="1"/>
  <c r="T113" i="9"/>
  <c r="Y113" i="9" s="1"/>
  <c r="T112" i="9"/>
  <c r="Y112" i="9" s="1"/>
  <c r="T109" i="9"/>
  <c r="Y109" i="9" s="1"/>
  <c r="T108" i="9"/>
  <c r="Y108" i="9" s="1"/>
  <c r="T107" i="9"/>
  <c r="Y107" i="9" s="1"/>
  <c r="Y123" i="9" s="1"/>
  <c r="T106" i="9"/>
  <c r="V106" i="9" s="1"/>
  <c r="G38" i="32" l="1"/>
  <c r="AB123" i="9"/>
  <c r="T123" i="9"/>
  <c r="V123" i="9"/>
  <c r="H132" i="1" l="1"/>
  <c r="A20" i="7"/>
  <c r="G19" i="7"/>
  <c r="G18" i="7"/>
  <c r="G17" i="7"/>
  <c r="G16" i="7"/>
  <c r="G15" i="7"/>
  <c r="G13" i="7"/>
  <c r="G14" i="7"/>
  <c r="G12" i="7"/>
  <c r="G7" i="7"/>
  <c r="G8" i="7" s="1"/>
  <c r="D33" i="7" l="1"/>
  <c r="H14" i="1" l="1"/>
  <c r="H16" i="1" l="1"/>
  <c r="Z120" i="9" l="1"/>
  <c r="AA120" i="9" s="1"/>
  <c r="Z121" i="9"/>
  <c r="AA121" i="9" s="1"/>
  <c r="T96" i="9"/>
  <c r="T97" i="9" s="1"/>
  <c r="I309" i="49"/>
  <c r="I313" i="49" s="1"/>
  <c r="I289" i="49"/>
  <c r="I293" i="49" s="1"/>
  <c r="I15" i="49" s="1"/>
  <c r="I216" i="49"/>
  <c r="I220" i="49" s="1"/>
  <c r="I14" i="49" s="1"/>
  <c r="I143" i="49"/>
  <c r="I147" i="49" s="1"/>
  <c r="I13" i="49" s="1"/>
  <c r="I73" i="49"/>
  <c r="I77" i="49" s="1"/>
  <c r="I11" i="49" s="1"/>
  <c r="I245" i="49"/>
  <c r="I249" i="49" s="1"/>
  <c r="I100" i="49"/>
  <c r="I104" i="49" s="1"/>
  <c r="I167" i="49"/>
  <c r="I171" i="49" s="1"/>
  <c r="H133" i="9"/>
  <c r="G26" i="33"/>
  <c r="Z110" i="9"/>
  <c r="AA110" i="9" s="1"/>
  <c r="AC110" i="9" s="1"/>
  <c r="Z114" i="9"/>
  <c r="AA114" i="9" s="1"/>
  <c r="Z106" i="9"/>
  <c r="AA106" i="9" s="1"/>
  <c r="Z107" i="9"/>
  <c r="AA107" i="9" s="1"/>
  <c r="Z111" i="9"/>
  <c r="AA111" i="9" s="1"/>
  <c r="AC111" i="9" s="1"/>
  <c r="Z115" i="9"/>
  <c r="AA115" i="9" s="1"/>
  <c r="Z118" i="9"/>
  <c r="AA118" i="9" s="1"/>
  <c r="Z108" i="9"/>
  <c r="AA108" i="9" s="1"/>
  <c r="Z112" i="9"/>
  <c r="AA112" i="9" s="1"/>
  <c r="Z116" i="9"/>
  <c r="AA116" i="9" s="1"/>
  <c r="Z119" i="9"/>
  <c r="AA119" i="9" s="1"/>
  <c r="Z109" i="9"/>
  <c r="AA109" i="9" s="1"/>
  <c r="Z113" i="9"/>
  <c r="AA113" i="9" s="1"/>
  <c r="Z117" i="9"/>
  <c r="AA117" i="9" s="1"/>
  <c r="F20" i="7"/>
  <c r="G20" i="7" s="1"/>
  <c r="I17" i="49" l="1"/>
  <c r="AA123" i="9"/>
  <c r="E26" i="14" l="1"/>
  <c r="J48" i="13" s="1"/>
  <c r="E13" i="33" l="1"/>
  <c r="G24" i="33"/>
  <c r="G27" i="33" s="1"/>
  <c r="E236" i="9"/>
  <c r="E238" i="9" s="1"/>
  <c r="E239" i="9" s="1"/>
  <c r="E241" i="9" l="1"/>
  <c r="E242" i="9" s="1"/>
  <c r="E234" i="9" s="1"/>
  <c r="I199" i="9" l="1"/>
  <c r="I201" i="9"/>
  <c r="I203" i="9"/>
  <c r="I202" i="9"/>
  <c r="M12" i="18" l="1"/>
  <c r="I198" i="9"/>
  <c r="I200" i="9"/>
  <c r="K12" i="18" l="1"/>
  <c r="C44" i="18"/>
  <c r="M13" i="18"/>
  <c r="L23" i="18"/>
  <c r="D24" i="18"/>
  <c r="M23" i="18"/>
  <c r="F44" i="18" l="1"/>
  <c r="K13" i="18"/>
  <c r="M14" i="18"/>
  <c r="E44" i="18" l="1"/>
  <c r="K14" i="18"/>
  <c r="M15" i="18"/>
  <c r="F179" i="1"/>
  <c r="K15" i="18" l="1"/>
  <c r="M16" i="18"/>
  <c r="F55" i="1"/>
  <c r="F49" i="1"/>
  <c r="M17" i="18" l="1"/>
  <c r="K16" i="18"/>
  <c r="K17" i="18" l="1"/>
  <c r="M18" i="18"/>
  <c r="H177" i="1"/>
  <c r="H175" i="1"/>
  <c r="M19" i="18" l="1"/>
  <c r="K18" i="18"/>
  <c r="I221" i="9"/>
  <c r="H184" i="1" s="1"/>
  <c r="I220" i="9"/>
  <c r="H183" i="1" s="1"/>
  <c r="I217" i="9"/>
  <c r="H173" i="1" s="1"/>
  <c r="K66" i="12" s="1"/>
  <c r="K19" i="18" l="1"/>
  <c r="M20" i="18"/>
  <c r="F78" i="1"/>
  <c r="F76" i="1"/>
  <c r="F74" i="1"/>
  <c r="M22" i="18" l="1"/>
  <c r="M21" i="18"/>
  <c r="K20" i="18"/>
  <c r="F321" i="1"/>
  <c r="F313" i="1"/>
  <c r="F310" i="1"/>
  <c r="F309" i="1"/>
  <c r="F308" i="1"/>
  <c r="F306" i="1"/>
  <c r="F302" i="1"/>
  <c r="F301" i="1"/>
  <c r="F300" i="1"/>
  <c r="F299" i="1"/>
  <c r="F298" i="1"/>
  <c r="F295" i="1"/>
  <c r="F289" i="1"/>
  <c r="F288" i="1"/>
  <c r="F287" i="1"/>
  <c r="F286" i="1"/>
  <c r="F284" i="1"/>
  <c r="F281" i="1"/>
  <c r="F279" i="1"/>
  <c r="F278" i="1"/>
  <c r="F277" i="1"/>
  <c r="F276" i="1"/>
  <c r="F275" i="1"/>
  <c r="F273" i="1"/>
  <c r="F272" i="1"/>
  <c r="F271" i="1"/>
  <c r="F238" i="1"/>
  <c r="F236" i="1"/>
  <c r="F235" i="1"/>
  <c r="F234" i="1"/>
  <c r="F233" i="1"/>
  <c r="F230" i="1"/>
  <c r="F229" i="1"/>
  <c r="F223" i="1"/>
  <c r="F222" i="1"/>
  <c r="F220" i="1"/>
  <c r="F219" i="1"/>
  <c r="F209" i="1"/>
  <c r="F196" i="1"/>
  <c r="F187" i="1"/>
  <c r="F186" i="1"/>
  <c r="F185" i="1"/>
  <c r="F181" i="1"/>
  <c r="F180" i="1"/>
  <c r="F127" i="1"/>
  <c r="F123" i="1"/>
  <c r="F122" i="1"/>
  <c r="F118" i="1"/>
  <c r="F116" i="1"/>
  <c r="F113" i="1"/>
  <c r="F111" i="1"/>
  <c r="F110" i="1"/>
  <c r="F80" i="1"/>
  <c r="F75" i="1"/>
  <c r="F61" i="1"/>
  <c r="F57" i="1"/>
  <c r="F56" i="1"/>
  <c r="E24" i="18" l="1"/>
  <c r="K22" i="18"/>
  <c r="K21" i="18"/>
  <c r="C24" i="18"/>
  <c r="H66" i="1"/>
  <c r="H54" i="1"/>
  <c r="F67" i="1"/>
  <c r="F21" i="1"/>
  <c r="H46" i="1"/>
  <c r="H47" i="17" l="1"/>
  <c r="F152" i="1" l="1"/>
  <c r="F139" i="1"/>
  <c r="A24" i="1"/>
  <c r="H31" i="1"/>
  <c r="H29" i="1"/>
  <c r="F22" i="1"/>
  <c r="A26" i="1" l="1"/>
  <c r="F71" i="1" s="1"/>
  <c r="A28" i="1" l="1"/>
  <c r="F72" i="1" s="1"/>
  <c r="D51" i="18"/>
  <c r="E51" i="18"/>
  <c r="F51" i="18"/>
  <c r="C63" i="18"/>
  <c r="C51" i="18"/>
  <c r="L11" i="18"/>
  <c r="K23" i="18"/>
  <c r="K11" i="18"/>
  <c r="M11" i="18"/>
  <c r="A30" i="1" l="1"/>
  <c r="F73" i="1" l="1"/>
  <c r="F32" i="1"/>
  <c r="E64" i="18" l="1"/>
  <c r="D34" i="7"/>
  <c r="F64" i="18" l="1"/>
  <c r="H316" i="1"/>
  <c r="E34" i="5" l="1"/>
  <c r="E27" i="5"/>
  <c r="I63" i="8"/>
  <c r="I61" i="8"/>
  <c r="I49" i="8"/>
  <c r="I39" i="8"/>
  <c r="I28" i="8" s="1"/>
  <c r="I35" i="8"/>
  <c r="I34" i="8"/>
  <c r="I29" i="8"/>
  <c r="I27" i="8"/>
  <c r="I24" i="8"/>
  <c r="H293" i="1"/>
  <c r="H285" i="1"/>
  <c r="H244" i="1"/>
  <c r="I36" i="8"/>
  <c r="H162" i="1"/>
  <c r="K93" i="12" s="1"/>
  <c r="H158" i="1"/>
  <c r="H134" i="1"/>
  <c r="H133" i="1"/>
  <c r="H122" i="1"/>
  <c r="H121" i="1"/>
  <c r="H230" i="1"/>
  <c r="I33" i="8"/>
  <c r="H209" i="1"/>
  <c r="H212" i="1" s="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36" i="1" s="1"/>
  <c r="G7" i="9" l="1"/>
  <c r="H7" i="9" s="1"/>
  <c r="F70" i="19"/>
  <c r="M23" i="17"/>
  <c r="H24" i="17"/>
  <c r="H26" i="17" s="1"/>
  <c r="D47" i="17"/>
  <c r="H59" i="1" s="1"/>
  <c r="E24" i="17"/>
  <c r="I24" i="17"/>
  <c r="H26" i="1" s="1"/>
  <c r="J24" i="17"/>
  <c r="J26" i="17" s="1"/>
  <c r="G24" i="17"/>
  <c r="H123" i="1"/>
  <c r="H222" i="1"/>
  <c r="I21" i="8"/>
  <c r="I62" i="8"/>
  <c r="E70" i="19"/>
  <c r="M14" i="17"/>
  <c r="M18" i="17"/>
  <c r="M22" i="17"/>
  <c r="H75" i="1"/>
  <c r="H109" i="1"/>
  <c r="C24" i="17"/>
  <c r="H45" i="1" s="1"/>
  <c r="M17" i="17"/>
  <c r="M19" i="17"/>
  <c r="D74" i="19"/>
  <c r="M15" i="17"/>
  <c r="M20" i="17"/>
  <c r="M12" i="17"/>
  <c r="N24" i="18"/>
  <c r="G64" i="18"/>
  <c r="H112" i="1"/>
  <c r="H64" i="18"/>
  <c r="K23" i="17"/>
  <c r="M13" i="17"/>
  <c r="M16" i="17"/>
  <c r="M11" i="17"/>
  <c r="M21" i="17"/>
  <c r="H246" i="1"/>
  <c r="H159" i="1"/>
  <c r="H203" i="1"/>
  <c r="I30" i="8"/>
  <c r="I40" i="8" s="1"/>
  <c r="I20" i="8"/>
  <c r="F27" i="5"/>
  <c r="G27" i="5" s="1"/>
  <c r="H139" i="1"/>
  <c r="H185" i="1"/>
  <c r="I48" i="8"/>
  <c r="I37" i="8"/>
  <c r="I38" i="8" s="1"/>
  <c r="K11" i="17"/>
  <c r="L11" i="17"/>
  <c r="D12" i="17"/>
  <c r="L12" i="17" s="1"/>
  <c r="D35" i="7"/>
  <c r="D36" i="7" s="1"/>
  <c r="D38" i="7" s="1"/>
  <c r="D39" i="7" s="1"/>
  <c r="D24" i="7" s="1"/>
  <c r="G24" i="7" s="1"/>
  <c r="H180" i="1"/>
  <c r="D8" i="19"/>
  <c r="G8" i="19" s="1"/>
  <c r="H153" i="1"/>
  <c r="H110" i="1"/>
  <c r="H56" i="1"/>
  <c r="D14" i="19"/>
  <c r="D15" i="19"/>
  <c r="H186" i="1"/>
  <c r="G38" i="19"/>
  <c r="H248" i="1" l="1"/>
  <c r="J250" i="9"/>
  <c r="L250" i="9" s="1"/>
  <c r="F12" i="17"/>
  <c r="M24" i="17"/>
  <c r="M26" i="17" s="1"/>
  <c r="I22" i="8"/>
  <c r="I47" i="8" s="1"/>
  <c r="H247" i="1"/>
  <c r="H28" i="1"/>
  <c r="H30" i="1"/>
  <c r="C26" i="17"/>
  <c r="E66" i="12" s="1"/>
  <c r="E93" i="12" s="1"/>
  <c r="H111" i="1"/>
  <c r="D75" i="19"/>
  <c r="I64" i="8"/>
  <c r="I66" i="8" s="1"/>
  <c r="E26" i="17"/>
  <c r="H53" i="1"/>
  <c r="H69" i="1"/>
  <c r="H187" i="1"/>
  <c r="H229" i="1"/>
  <c r="F13" i="17"/>
  <c r="F14" i="17"/>
  <c r="K14" i="17" s="1"/>
  <c r="H223" i="1"/>
  <c r="I41" i="8"/>
  <c r="G10" i="19"/>
  <c r="H49" i="1"/>
  <c r="D13" i="17"/>
  <c r="L13" i="17" s="1"/>
  <c r="Q216" i="52" l="1"/>
  <c r="Q218" i="52" s="1"/>
  <c r="Q228" i="52" s="1"/>
  <c r="Q230" i="52" s="1"/>
  <c r="O216" i="52"/>
  <c r="O218" i="52" s="1"/>
  <c r="O228" i="52" s="1"/>
  <c r="O230" i="52" s="1"/>
  <c r="M216" i="52"/>
  <c r="M218" i="52" s="1"/>
  <c r="M228" i="52" s="1"/>
  <c r="M230" i="52" s="1"/>
  <c r="K216" i="52"/>
  <c r="K218" i="52" s="1"/>
  <c r="K228" i="52" s="1"/>
  <c r="K230" i="52" s="1"/>
  <c r="H252" i="1"/>
  <c r="Q111" i="52"/>
  <c r="Q113" i="52" s="1"/>
  <c r="Q123" i="52" s="1"/>
  <c r="O111" i="52"/>
  <c r="O113" i="52" s="1"/>
  <c r="O123" i="52" s="1"/>
  <c r="M111" i="52"/>
  <c r="M113" i="52" s="1"/>
  <c r="M123" i="52" s="1"/>
  <c r="K111" i="52"/>
  <c r="K113" i="52" s="1"/>
  <c r="K123" i="52" s="1"/>
  <c r="I53" i="8"/>
  <c r="I51" i="8"/>
  <c r="H261" i="1"/>
  <c r="L255" i="9"/>
  <c r="H256" i="1"/>
  <c r="I65" i="8"/>
  <c r="K12" i="17"/>
  <c r="I18" i="12"/>
  <c r="I79" i="8"/>
  <c r="I70" i="8"/>
  <c r="I52" i="8"/>
  <c r="H113" i="1"/>
  <c r="H72" i="1"/>
  <c r="H73" i="1"/>
  <c r="H21" i="1"/>
  <c r="D76" i="19"/>
  <c r="K13" i="17"/>
  <c r="H284" i="1"/>
  <c r="D14" i="17"/>
  <c r="L14" i="17" s="1"/>
  <c r="M125" i="52" l="1"/>
  <c r="M242" i="52"/>
  <c r="M244" i="52" s="1"/>
  <c r="O242" i="52"/>
  <c r="O244" i="52" s="1"/>
  <c r="O125" i="52"/>
  <c r="Q242" i="52"/>
  <c r="Q244" i="52" s="1"/>
  <c r="Q125" i="52"/>
  <c r="K242" i="52"/>
  <c r="K244" i="52" s="1"/>
  <c r="K125" i="52"/>
  <c r="I74" i="8"/>
  <c r="I78" i="8" s="1"/>
  <c r="I80" i="8" s="1"/>
  <c r="H260" i="1"/>
  <c r="H262" i="1" s="1"/>
  <c r="H234" i="1"/>
  <c r="H286" i="1"/>
  <c r="H233" i="1"/>
  <c r="H235" i="1"/>
  <c r="D77" i="19"/>
  <c r="I54" i="8"/>
  <c r="F15" i="17"/>
  <c r="F16" i="17"/>
  <c r="K16" i="17" s="1"/>
  <c r="D15" i="17"/>
  <c r="L15" i="17" s="1"/>
  <c r="H236" i="1" l="1"/>
  <c r="H287" i="1"/>
  <c r="D78" i="19"/>
  <c r="F17" i="17"/>
  <c r="K17" i="17" s="1"/>
  <c r="K15" i="17"/>
  <c r="D16" i="17"/>
  <c r="L16" i="17" s="1"/>
  <c r="D79" i="19" l="1"/>
  <c r="D17" i="17"/>
  <c r="L17" i="17" s="1"/>
  <c r="D80" i="19" l="1"/>
  <c r="F18" i="17"/>
  <c r="F19" i="17"/>
  <c r="K19" i="17" s="1"/>
  <c r="D18" i="17"/>
  <c r="L18" i="17" s="1"/>
  <c r="D81" i="19" l="1"/>
  <c r="F20" i="17"/>
  <c r="K20" i="17" s="1"/>
  <c r="K18" i="17"/>
  <c r="D19" i="17"/>
  <c r="L19" i="17" s="1"/>
  <c r="D82" i="19" l="1"/>
  <c r="F21" i="17"/>
  <c r="K21" i="17" s="1"/>
  <c r="D20" i="17"/>
  <c r="L20" i="17" s="1"/>
  <c r="D83" i="19" l="1"/>
  <c r="D64" i="18"/>
  <c r="K24" i="18"/>
  <c r="H19" i="1" s="1"/>
  <c r="D21" i="17"/>
  <c r="L21" i="17" s="1"/>
  <c r="C64" i="18" l="1"/>
  <c r="H22" i="1"/>
  <c r="D84" i="19"/>
  <c r="F22" i="17"/>
  <c r="F24" i="17" s="1"/>
  <c r="D22" i="17"/>
  <c r="L22" i="17" s="1"/>
  <c r="D85" i="19" l="1"/>
  <c r="D86" i="19" s="1"/>
  <c r="C15" i="19" s="1"/>
  <c r="H219" i="9" s="1"/>
  <c r="D51" i="19"/>
  <c r="I25" i="17" s="1"/>
  <c r="H24" i="1"/>
  <c r="K22" i="17"/>
  <c r="K24" i="17" s="1"/>
  <c r="M24" i="18"/>
  <c r="D23" i="17"/>
  <c r="D24" i="17" s="1"/>
  <c r="I219" i="9" l="1"/>
  <c r="H178" i="1"/>
  <c r="G15" i="19"/>
  <c r="H27" i="1"/>
  <c r="I26" i="17"/>
  <c r="F26" i="17"/>
  <c r="H65" i="1"/>
  <c r="K26" i="17"/>
  <c r="H66" i="12" s="1"/>
  <c r="L23" i="17"/>
  <c r="L24" i="17" s="1"/>
  <c r="H93" i="12" l="1"/>
  <c r="I19" i="12"/>
  <c r="H67" i="1"/>
  <c r="H71" i="1"/>
  <c r="H299" i="1"/>
  <c r="H51" i="1"/>
  <c r="H309" i="1" l="1"/>
  <c r="D65" i="19" l="1"/>
  <c r="D63" i="19"/>
  <c r="D64" i="19"/>
  <c r="D62" i="19"/>
  <c r="D60" i="19"/>
  <c r="D69" i="19"/>
  <c r="D68" i="19"/>
  <c r="D58" i="19"/>
  <c r="D61" i="19"/>
  <c r="D59" i="19"/>
  <c r="D66" i="19"/>
  <c r="D67" i="19"/>
  <c r="G22" i="19" l="1"/>
  <c r="G28" i="19"/>
  <c r="G24" i="19"/>
  <c r="G30" i="19"/>
  <c r="G32" i="19"/>
  <c r="G27" i="19"/>
  <c r="G29" i="19"/>
  <c r="G25" i="19"/>
  <c r="G31" i="19"/>
  <c r="G26" i="19"/>
  <c r="G23" i="19"/>
  <c r="G33" i="19"/>
  <c r="E75" i="13" l="1"/>
  <c r="E77" i="13" s="1"/>
  <c r="B64" i="13"/>
  <c r="F41" i="14" l="1"/>
  <c r="F42" i="14" s="1"/>
  <c r="F43" i="14" s="1"/>
  <c r="F44" i="14" s="1"/>
  <c r="F45" i="14" s="1"/>
  <c r="F46" i="14" s="1"/>
  <c r="F47" i="14" s="1"/>
  <c r="F48" i="14" s="1"/>
  <c r="F49" i="14" s="1"/>
  <c r="F50" i="14" s="1"/>
  <c r="F51" i="14" s="1"/>
  <c r="F52" i="14" s="1"/>
  <c r="F53" i="14" s="1"/>
  <c r="F54" i="14" s="1"/>
  <c r="F55" i="14" s="1"/>
  <c r="F56" i="14" s="1"/>
  <c r="F57" i="14" s="1"/>
  <c r="F58" i="14" s="1"/>
  <c r="F59" i="14" s="1"/>
  <c r="F60" i="14" l="1"/>
  <c r="G59" i="14"/>
  <c r="G60" i="14" l="1"/>
  <c r="F61" i="14"/>
  <c r="G61" i="14" s="1"/>
  <c r="D66" i="13"/>
  <c r="E66" i="13" s="1"/>
  <c r="C47" i="17" l="1"/>
  <c r="H99" i="1" s="1"/>
  <c r="H149" i="1" l="1"/>
  <c r="H148" i="1"/>
  <c r="I24" i="33"/>
  <c r="I27" i="33" s="1"/>
  <c r="E19" i="5" l="1"/>
  <c r="E49" i="5" s="1"/>
  <c r="G98" i="9"/>
  <c r="G34" i="17" s="1"/>
  <c r="O98" i="9"/>
  <c r="G42" i="17" s="1"/>
  <c r="M98" i="9"/>
  <c r="G40" i="17" s="1"/>
  <c r="P98" i="9"/>
  <c r="G43" i="17" s="1"/>
  <c r="K98" i="9"/>
  <c r="G38" i="17" s="1"/>
  <c r="S98" i="9"/>
  <c r="G46" i="17" s="1"/>
  <c r="I98" i="9"/>
  <c r="G36" i="17" s="1"/>
  <c r="H98" i="9"/>
  <c r="G35" i="17" s="1"/>
  <c r="Q98" i="9"/>
  <c r="G44" i="17" s="1"/>
  <c r="N98" i="9"/>
  <c r="G41" i="17" s="1"/>
  <c r="J98" i="9"/>
  <c r="G37" i="17" s="1"/>
  <c r="R98" i="9"/>
  <c r="G45" i="17" s="1"/>
  <c r="L98" i="9"/>
  <c r="G39" i="17" s="1"/>
  <c r="G47" i="17" l="1"/>
  <c r="H105" i="1" s="1"/>
  <c r="H106" i="1" l="1"/>
  <c r="D46" i="13" l="1"/>
  <c r="E18" i="13" s="1"/>
  <c r="E25" i="13" l="1"/>
  <c r="E27" i="13"/>
  <c r="E20" i="13"/>
  <c r="E26" i="13"/>
  <c r="E24" i="13"/>
  <c r="E19" i="13"/>
  <c r="E21" i="13"/>
  <c r="E23" i="13"/>
  <c r="E22" i="13"/>
  <c r="F22" i="13" l="1"/>
  <c r="G22" i="13"/>
  <c r="F21" i="13"/>
  <c r="G21" i="13"/>
  <c r="F26" i="13"/>
  <c r="G26" i="13"/>
  <c r="F27" i="13"/>
  <c r="G27" i="13"/>
  <c r="F19" i="13"/>
  <c r="G19" i="13"/>
  <c r="F23" i="13"/>
  <c r="G23" i="13"/>
  <c r="F20" i="13"/>
  <c r="G20" i="13"/>
  <c r="F18" i="13"/>
  <c r="E46" i="13"/>
  <c r="G18" i="13"/>
  <c r="F24" i="13"/>
  <c r="G24" i="13"/>
  <c r="F25" i="13"/>
  <c r="G25" i="13"/>
  <c r="D54" i="14" l="1"/>
  <c r="G54" i="14" s="1"/>
  <c r="D52" i="14"/>
  <c r="G52" i="14" s="1"/>
  <c r="D55" i="14"/>
  <c r="G55" i="14" s="1"/>
  <c r="D56" i="14"/>
  <c r="G56" i="14" s="1"/>
  <c r="H27" i="13"/>
  <c r="D50" i="14" s="1"/>
  <c r="G50" i="14" s="1"/>
  <c r="J27" i="13" s="1"/>
  <c r="K27" i="13" s="1"/>
  <c r="D58" i="14"/>
  <c r="G58" i="14" s="1"/>
  <c r="H21" i="13"/>
  <c r="D44" i="14" s="1"/>
  <c r="G44" i="14" s="1"/>
  <c r="J21" i="13" s="1"/>
  <c r="K21" i="13" s="1"/>
  <c r="H20" i="13"/>
  <c r="D43" i="14" s="1"/>
  <c r="G43" i="14" s="1"/>
  <c r="J20" i="13" s="1"/>
  <c r="K20" i="13" s="1"/>
  <c r="H23" i="13"/>
  <c r="D46" i="14" s="1"/>
  <c r="G46" i="14" s="1"/>
  <c r="J23" i="13" s="1"/>
  <c r="K23" i="13" s="1"/>
  <c r="D51" i="14"/>
  <c r="G51" i="14" s="1"/>
  <c r="H19" i="13"/>
  <c r="D42" i="14" s="1"/>
  <c r="G42" i="14" s="1"/>
  <c r="J19" i="13" s="1"/>
  <c r="K19" i="13" s="1"/>
  <c r="D57" i="14"/>
  <c r="G57" i="14" s="1"/>
  <c r="H18" i="13"/>
  <c r="G46" i="13"/>
  <c r="H26" i="13"/>
  <c r="D49" i="14" s="1"/>
  <c r="G49" i="14" s="1"/>
  <c r="J26" i="13" s="1"/>
  <c r="K26" i="13" s="1"/>
  <c r="D53" i="14"/>
  <c r="G53" i="14" s="1"/>
  <c r="H22" i="13"/>
  <c r="D45" i="14" s="1"/>
  <c r="G45" i="14" s="1"/>
  <c r="J22" i="13" s="1"/>
  <c r="K22" i="13" s="1"/>
  <c r="H25" i="13"/>
  <c r="D48" i="14" s="1"/>
  <c r="G48" i="14" s="1"/>
  <c r="J25" i="13" s="1"/>
  <c r="K25" i="13" s="1"/>
  <c r="H24" i="13"/>
  <c r="D47" i="14" s="1"/>
  <c r="G47" i="14" s="1"/>
  <c r="J24" i="13" s="1"/>
  <c r="K24" i="13" s="1"/>
  <c r="F46" i="13"/>
  <c r="D41" i="14" l="1"/>
  <c r="H46" i="13"/>
  <c r="G41" i="14" l="1"/>
  <c r="D70" i="14"/>
  <c r="J18" i="13" l="1"/>
  <c r="G70" i="14"/>
  <c r="J46" i="13" l="1"/>
  <c r="J49" i="13" s="1"/>
  <c r="K18" i="13"/>
  <c r="K46" i="13" l="1"/>
  <c r="P93" i="12" l="1"/>
  <c r="H24" i="33"/>
  <c r="H147" i="1"/>
  <c r="H161" i="1" s="1"/>
  <c r="H163" i="1" s="1"/>
  <c r="E24" i="33"/>
  <c r="G209" i="9" s="1"/>
  <c r="L209" i="9" s="1"/>
  <c r="H143" i="1" l="1"/>
  <c r="H152" i="1" s="1"/>
  <c r="H154" i="1" s="1"/>
  <c r="C58" i="19" l="1"/>
  <c r="G58" i="19" s="1"/>
  <c r="G39" i="19"/>
  <c r="C75" i="19"/>
  <c r="G75" i="19" s="1"/>
  <c r="C59" i="19"/>
  <c r="G59" i="19" s="1"/>
  <c r="G40" i="19" l="1"/>
  <c r="C74" i="19"/>
  <c r="G74" i="19" l="1"/>
  <c r="G41" i="19"/>
  <c r="C76" i="19"/>
  <c r="G76" i="19" s="1"/>
  <c r="C60" i="19"/>
  <c r="C61" i="19" l="1"/>
  <c r="G61" i="19" s="1"/>
  <c r="G42" i="19"/>
  <c r="C77" i="19"/>
  <c r="G60" i="19"/>
  <c r="C62" i="19" l="1"/>
  <c r="G43" i="19"/>
  <c r="C78" i="19"/>
  <c r="G78" i="19" s="1"/>
  <c r="G77" i="19"/>
  <c r="G62" i="19" l="1"/>
  <c r="G44" i="19"/>
  <c r="C63" i="19"/>
  <c r="G63" i="19" s="1"/>
  <c r="C79" i="19"/>
  <c r="G45" i="19" l="1"/>
  <c r="C64" i="19"/>
  <c r="G64" i="19" s="1"/>
  <c r="C80" i="19"/>
  <c r="G80" i="19" s="1"/>
  <c r="G79" i="19"/>
  <c r="G46" i="19" l="1"/>
  <c r="C65" i="19"/>
  <c r="C81" i="19"/>
  <c r="G81" i="19" s="1"/>
  <c r="G47" i="19" l="1"/>
  <c r="C66" i="19"/>
  <c r="G66" i="19" s="1"/>
  <c r="C82" i="19"/>
  <c r="G65" i="19"/>
  <c r="G82" i="19" l="1"/>
  <c r="C67" i="19"/>
  <c r="G67" i="19" s="1"/>
  <c r="C83" i="19"/>
  <c r="G83" i="19" s="1"/>
  <c r="G48" i="19"/>
  <c r="G49" i="19" l="1"/>
  <c r="C68" i="19"/>
  <c r="G68" i="19" s="1"/>
  <c r="C84" i="19"/>
  <c r="G84" i="19" s="1"/>
  <c r="C51" i="19"/>
  <c r="G25" i="17" l="1"/>
  <c r="H25" i="1"/>
  <c r="H32" i="1" s="1"/>
  <c r="H34" i="1" s="1"/>
  <c r="C69" i="19"/>
  <c r="G50" i="19"/>
  <c r="G51" i="19" s="1"/>
  <c r="C85" i="19"/>
  <c r="C86" i="19" l="1"/>
  <c r="G85" i="19"/>
  <c r="G69" i="19"/>
  <c r="H70" i="1"/>
  <c r="H74" i="1" s="1"/>
  <c r="H76" i="1" s="1"/>
  <c r="H78" i="1" s="1"/>
  <c r="G26" i="17"/>
  <c r="G86" i="19" l="1"/>
  <c r="C14" i="19"/>
  <c r="H218" i="9" l="1"/>
  <c r="I218" i="9" s="1"/>
  <c r="C17" i="19"/>
  <c r="G14" i="19"/>
  <c r="G17" i="19" s="1"/>
  <c r="H176" i="1"/>
  <c r="H179" i="1" s="1"/>
  <c r="H181" i="1" s="1"/>
  <c r="I26" i="12" l="1"/>
  <c r="I27" i="12" s="1"/>
  <c r="L27" i="12" s="1"/>
  <c r="H190" i="1"/>
  <c r="H276" i="1" s="1"/>
  <c r="C57" i="19"/>
  <c r="C34" i="19"/>
  <c r="C70" i="19" l="1"/>
  <c r="D57" i="19"/>
  <c r="D70" i="19" s="1"/>
  <c r="D34" i="19"/>
  <c r="G21" i="19"/>
  <c r="G34" i="19" s="1"/>
  <c r="D25" i="17" s="1"/>
  <c r="H52" i="1" l="1"/>
  <c r="H55" i="1" s="1"/>
  <c r="H57" i="1" s="1"/>
  <c r="H61" i="1" s="1"/>
  <c r="D26" i="17"/>
  <c r="L25" i="17"/>
  <c r="L26" i="17" s="1"/>
  <c r="G57" i="19"/>
  <c r="G70" i="19" s="1"/>
  <c r="H36" i="1" l="1"/>
  <c r="H37" i="1" s="1"/>
  <c r="H80" i="1"/>
  <c r="W120" i="9" l="1"/>
  <c r="X120" i="9" s="1"/>
  <c r="AC120" i="9" s="1"/>
  <c r="W121" i="9"/>
  <c r="X121" i="9" s="1"/>
  <c r="AC121" i="9" s="1"/>
  <c r="H39" i="1"/>
  <c r="H40" i="1" s="1"/>
  <c r="H271" i="1"/>
  <c r="H217" i="49"/>
  <c r="H220" i="49" s="1"/>
  <c r="H144" i="49"/>
  <c r="H147" i="49" s="1"/>
  <c r="H74" i="49"/>
  <c r="H77" i="49" s="1"/>
  <c r="H246" i="49"/>
  <c r="H101" i="49"/>
  <c r="H104" i="49" s="1"/>
  <c r="E104" i="49" s="1"/>
  <c r="H168" i="49"/>
  <c r="F19" i="5"/>
  <c r="G19" i="5" s="1"/>
  <c r="W106" i="9"/>
  <c r="X106" i="9" s="1"/>
  <c r="W108" i="9"/>
  <c r="X108" i="9" s="1"/>
  <c r="AC108" i="9" s="1"/>
  <c r="W109" i="9"/>
  <c r="X109" i="9" s="1"/>
  <c r="AC109" i="9" s="1"/>
  <c r="F34" i="5"/>
  <c r="G34" i="5" s="1"/>
  <c r="W111" i="9"/>
  <c r="W117" i="9"/>
  <c r="X117" i="9" s="1"/>
  <c r="AC117" i="9" s="1"/>
  <c r="W114" i="9"/>
  <c r="X114" i="9" s="1"/>
  <c r="AC114" i="9" s="1"/>
  <c r="W115" i="9"/>
  <c r="X115" i="9" s="1"/>
  <c r="AC115" i="9" s="1"/>
  <c r="W119" i="9"/>
  <c r="X119" i="9" s="1"/>
  <c r="AC119" i="9" s="1"/>
  <c r="H135" i="9"/>
  <c r="G140" i="9" s="1"/>
  <c r="W107" i="9"/>
  <c r="X107" i="9" s="1"/>
  <c r="AC107" i="9" s="1"/>
  <c r="W112" i="9"/>
  <c r="X112" i="9" s="1"/>
  <c r="AC112" i="9" s="1"/>
  <c r="W113" i="9"/>
  <c r="X113" i="9" s="1"/>
  <c r="AC113" i="9" s="1"/>
  <c r="W110" i="9"/>
  <c r="W116" i="9"/>
  <c r="X116" i="9" s="1"/>
  <c r="AC116" i="9" s="1"/>
  <c r="W118" i="9"/>
  <c r="X118" i="9" s="1"/>
  <c r="AC118" i="9" s="1"/>
  <c r="H249" i="49" l="1"/>
  <c r="E249" i="49" s="1"/>
  <c r="H290" i="49"/>
  <c r="H310" i="49" s="1"/>
  <c r="G21" i="7"/>
  <c r="G23" i="7" s="1"/>
  <c r="G25" i="7" s="1"/>
  <c r="H292" i="1" s="1"/>
  <c r="I33" i="12" s="1"/>
  <c r="I34" i="12" s="1"/>
  <c r="L34" i="12" s="1"/>
  <c r="D21" i="7"/>
  <c r="D23" i="7" s="1"/>
  <c r="D40" i="7" s="1"/>
  <c r="H14" i="49"/>
  <c r="E14" i="49" s="1"/>
  <c r="L131" i="48" s="1"/>
  <c r="L133" i="48" s="1"/>
  <c r="L135" i="48" s="1"/>
  <c r="L137" i="48" s="1"/>
  <c r="H88" i="1" s="1"/>
  <c r="E220" i="49"/>
  <c r="X123" i="9"/>
  <c r="AC106" i="9"/>
  <c r="AC123" i="9" s="1"/>
  <c r="H102" i="1" s="1"/>
  <c r="G36" i="5"/>
  <c r="H194" i="1" s="1"/>
  <c r="H196" i="1" s="1"/>
  <c r="H11" i="49"/>
  <c r="E77" i="49"/>
  <c r="I172" i="49"/>
  <c r="H171" i="49"/>
  <c r="E171" i="49" s="1"/>
  <c r="H13" i="49"/>
  <c r="E13" i="49" s="1"/>
  <c r="L98" i="48" s="1"/>
  <c r="L100" i="48" s="1"/>
  <c r="L102" i="48" s="1"/>
  <c r="L104" i="48" s="1"/>
  <c r="H87" i="1" s="1"/>
  <c r="E147" i="49"/>
  <c r="H313" i="49"/>
  <c r="E313" i="49" s="1"/>
  <c r="H251" i="1" s="1"/>
  <c r="H293" i="49"/>
  <c r="H164" i="1"/>
  <c r="H165" i="1" s="1"/>
  <c r="H167" i="1" s="1"/>
  <c r="H26" i="33"/>
  <c r="H27" i="33" s="1"/>
  <c r="J28" i="33" s="1"/>
  <c r="D44" i="7" l="1"/>
  <c r="I69" i="8"/>
  <c r="I71" i="8" s="1"/>
  <c r="H253" i="1"/>
  <c r="H275" i="1"/>
  <c r="I22" i="12"/>
  <c r="I23" i="12" s="1"/>
  <c r="L23" i="12" s="1"/>
  <c r="H116" i="1"/>
  <c r="H118" i="1" s="1"/>
  <c r="E11" i="49"/>
  <c r="H15" i="49"/>
  <c r="E15" i="49" s="1"/>
  <c r="E293" i="49"/>
  <c r="I30" i="12"/>
  <c r="I31" i="12" s="1"/>
  <c r="L31" i="12" s="1"/>
  <c r="H277" i="1"/>
  <c r="E17" i="49" l="1"/>
  <c r="L36" i="12"/>
  <c r="F74" i="12" s="1"/>
  <c r="G74" i="12" s="1"/>
  <c r="L32" i="48"/>
  <c r="L34" i="48" s="1"/>
  <c r="L36" i="48" s="1"/>
  <c r="L38" i="48" s="1"/>
  <c r="H85" i="1" s="1"/>
  <c r="H90" i="1" s="1"/>
  <c r="H97" i="1" s="1"/>
  <c r="H17" i="49"/>
  <c r="F67" i="12" l="1"/>
  <c r="G67" i="12" s="1"/>
  <c r="F72" i="12"/>
  <c r="G72" i="12" s="1"/>
  <c r="F73" i="12"/>
  <c r="G73" i="12" s="1"/>
  <c r="F68" i="12"/>
  <c r="G68" i="12" s="1"/>
  <c r="F71" i="12"/>
  <c r="G71" i="12" s="1"/>
  <c r="F70" i="12"/>
  <c r="G70" i="12" s="1"/>
  <c r="F69" i="12"/>
  <c r="G69" i="12" s="1"/>
  <c r="F75" i="12"/>
  <c r="G75" i="12" s="1"/>
  <c r="F66" i="12"/>
  <c r="G66" i="12" s="1"/>
  <c r="H125" i="1"/>
  <c r="H272" i="1" s="1"/>
  <c r="G93" i="12" l="1"/>
  <c r="H127" i="1"/>
  <c r="H238" i="1" s="1"/>
  <c r="H273" i="1" l="1"/>
  <c r="I16" i="8"/>
  <c r="I56" i="8" s="1"/>
  <c r="I82" i="8" s="1"/>
  <c r="I84" i="8" s="1"/>
  <c r="I9" i="8" s="1"/>
  <c r="H307" i="1" s="1"/>
  <c r="H278" i="1"/>
  <c r="I43" i="12" s="1"/>
  <c r="I44" i="12" s="1"/>
  <c r="H264" i="1"/>
  <c r="H266" i="1" s="1"/>
  <c r="H279" i="1" s="1"/>
  <c r="I39" i="12" l="1"/>
  <c r="I40" i="12" s="1"/>
  <c r="L40" i="12" s="1"/>
  <c r="H281" i="1"/>
  <c r="H288" i="1" s="1"/>
  <c r="H289" i="1" s="1"/>
  <c r="H295" i="1" s="1"/>
  <c r="L44" i="12"/>
  <c r="I46" i="12" l="1"/>
  <c r="H298" i="1"/>
  <c r="H306" i="1"/>
  <c r="H308" i="1" s="1"/>
  <c r="H313" i="1"/>
  <c r="L46" i="12"/>
  <c r="H311" i="1" l="1"/>
  <c r="K13" i="47" s="1"/>
  <c r="H310" i="1"/>
  <c r="I75" i="12"/>
  <c r="J75" i="12" s="1"/>
  <c r="L75" i="12" s="1"/>
  <c r="O75" i="12" s="1"/>
  <c r="Q75" i="12" s="1"/>
  <c r="I68" i="12"/>
  <c r="J68" i="12" s="1"/>
  <c r="L68" i="12" s="1"/>
  <c r="O68" i="12" s="1"/>
  <c r="Q68" i="12" s="1"/>
  <c r="I69" i="12"/>
  <c r="J69" i="12" s="1"/>
  <c r="L69" i="12" s="1"/>
  <c r="O69" i="12" s="1"/>
  <c r="Q69" i="12" s="1"/>
  <c r="I71" i="12"/>
  <c r="J71" i="12" s="1"/>
  <c r="L71" i="12" s="1"/>
  <c r="I67" i="12"/>
  <c r="J67" i="12" s="1"/>
  <c r="L67" i="12" s="1"/>
  <c r="I70" i="12"/>
  <c r="J70" i="12" s="1"/>
  <c r="L70" i="12" s="1"/>
  <c r="I74" i="12"/>
  <c r="J74" i="12" s="1"/>
  <c r="L74" i="12" s="1"/>
  <c r="O74" i="12" s="1"/>
  <c r="Q74" i="12" s="1"/>
  <c r="I73" i="12"/>
  <c r="J73" i="12" s="1"/>
  <c r="L73" i="12" s="1"/>
  <c r="O73" i="12" s="1"/>
  <c r="Q73" i="12" s="1"/>
  <c r="I66" i="12"/>
  <c r="J66" i="12" s="1"/>
  <c r="I72" i="12"/>
  <c r="J72" i="12" s="1"/>
  <c r="L72" i="12" s="1"/>
  <c r="H302" i="1"/>
  <c r="K18" i="47" s="1"/>
  <c r="H300" i="1"/>
  <c r="H301" i="1"/>
  <c r="K12" i="47" s="1"/>
  <c r="AO29" i="47" l="1"/>
  <c r="AR72" i="47" s="1"/>
  <c r="AS29" i="47"/>
  <c r="E29" i="47"/>
  <c r="Y29" i="47"/>
  <c r="AK29" i="47"/>
  <c r="U29" i="47"/>
  <c r="AG29" i="47"/>
  <c r="I29" i="47"/>
  <c r="AC29" i="47"/>
  <c r="Q29" i="47"/>
  <c r="M29" i="47"/>
  <c r="J93" i="12"/>
  <c r="L66" i="12"/>
  <c r="K14" i="47"/>
  <c r="AO30" i="47" s="1"/>
  <c r="AR70" i="47" l="1"/>
  <c r="AR68" i="47"/>
  <c r="AR66" i="47"/>
  <c r="AR62" i="47"/>
  <c r="AR74" i="47"/>
  <c r="AR58" i="47"/>
  <c r="AR64" i="47"/>
  <c r="AR60" i="47"/>
  <c r="AS30" i="47"/>
  <c r="AV58" i="47"/>
  <c r="AV60" i="47"/>
  <c r="AV62" i="47"/>
  <c r="AV64" i="47"/>
  <c r="AV66" i="47"/>
  <c r="AV68" i="47"/>
  <c r="AV70" i="47"/>
  <c r="AV72" i="47"/>
  <c r="AV74" i="47"/>
  <c r="AR59" i="47"/>
  <c r="AR61" i="47"/>
  <c r="AR63" i="47"/>
  <c r="AR65" i="47"/>
  <c r="AR67" i="47"/>
  <c r="AR69" i="47"/>
  <c r="AR71" i="47"/>
  <c r="AR73" i="47"/>
  <c r="AR75" i="47"/>
  <c r="T70" i="47"/>
  <c r="T62" i="47"/>
  <c r="T74" i="47"/>
  <c r="T66" i="47"/>
  <c r="T58" i="47"/>
  <c r="T68" i="47"/>
  <c r="T60" i="47"/>
  <c r="T64" i="47"/>
  <c r="T72" i="47"/>
  <c r="X68" i="47"/>
  <c r="X66" i="47"/>
  <c r="X74" i="47"/>
  <c r="X64" i="47"/>
  <c r="X58" i="47"/>
  <c r="X62" i="47"/>
  <c r="X72" i="47"/>
  <c r="X60" i="47"/>
  <c r="X70" i="47"/>
  <c r="AB64" i="47"/>
  <c r="AB74" i="47"/>
  <c r="AB62" i="47"/>
  <c r="AB66" i="47"/>
  <c r="AB68" i="47"/>
  <c r="AB72" i="47"/>
  <c r="AB60" i="47"/>
  <c r="AB58" i="47"/>
  <c r="AB70" i="47"/>
  <c r="O66" i="12"/>
  <c r="L93" i="12"/>
  <c r="AF68" i="47"/>
  <c r="AF62" i="47"/>
  <c r="AF72" i="47"/>
  <c r="AF66" i="47"/>
  <c r="AF74" i="47"/>
  <c r="AF64" i="47"/>
  <c r="AF70" i="47"/>
  <c r="AF60" i="47"/>
  <c r="AF58" i="47"/>
  <c r="AN58" i="47"/>
  <c r="AN74" i="47"/>
  <c r="AN60" i="47"/>
  <c r="AN68" i="47"/>
  <c r="AN72" i="47"/>
  <c r="AN64" i="47"/>
  <c r="AN66" i="47"/>
  <c r="AN70" i="47"/>
  <c r="AN62" i="47"/>
  <c r="L70" i="47"/>
  <c r="L72" i="47"/>
  <c r="L74" i="47"/>
  <c r="L64" i="47"/>
  <c r="L60" i="47"/>
  <c r="L62" i="47"/>
  <c r="L66" i="47"/>
  <c r="L68" i="47"/>
  <c r="L58" i="47"/>
  <c r="M30" i="47"/>
  <c r="AC30" i="47"/>
  <c r="Q30" i="47"/>
  <c r="AG30" i="47"/>
  <c r="U30" i="47"/>
  <c r="AK30" i="47"/>
  <c r="I30" i="47"/>
  <c r="Y30" i="47"/>
  <c r="E30" i="47"/>
  <c r="P74" i="47"/>
  <c r="P70" i="47"/>
  <c r="P58" i="47"/>
  <c r="P66" i="47"/>
  <c r="P64" i="47"/>
  <c r="P68" i="47"/>
  <c r="P72" i="47"/>
  <c r="P60" i="47"/>
  <c r="P62" i="47"/>
  <c r="AJ66" i="47"/>
  <c r="AJ64" i="47"/>
  <c r="AJ74" i="47"/>
  <c r="AJ68" i="47"/>
  <c r="AJ70" i="47"/>
  <c r="AJ60" i="47"/>
  <c r="AJ62" i="47"/>
  <c r="AJ58" i="47"/>
  <c r="AJ72" i="47"/>
  <c r="H68" i="47"/>
  <c r="H74" i="47"/>
  <c r="H62" i="47"/>
  <c r="H70" i="47"/>
  <c r="H60" i="47"/>
  <c r="H64" i="47"/>
  <c r="H66" i="47"/>
  <c r="H58" i="47"/>
  <c r="H72" i="47"/>
  <c r="AW60" i="47" l="1"/>
  <c r="AV59" i="47"/>
  <c r="AV61" i="47"/>
  <c r="AV63" i="47"/>
  <c r="AV65" i="47"/>
  <c r="AV67" i="47"/>
  <c r="AV69" i="47"/>
  <c r="AV71" i="47"/>
  <c r="AV73" i="47"/>
  <c r="AV75" i="47"/>
  <c r="AW74" i="47"/>
  <c r="AW68" i="47"/>
  <c r="AW70" i="47"/>
  <c r="AY70" i="47" s="1"/>
  <c r="AW72" i="47"/>
  <c r="AY72" i="47" s="1"/>
  <c r="AW58" i="47"/>
  <c r="AY58" i="47" s="1"/>
  <c r="AW62" i="47"/>
  <c r="AY62" i="47" s="1"/>
  <c r="AW66" i="47"/>
  <c r="AY66" i="47" s="1"/>
  <c r="AW64" i="47"/>
  <c r="AY60" i="47"/>
  <c r="AY68" i="47"/>
  <c r="L69" i="47"/>
  <c r="L75" i="47"/>
  <c r="L63" i="47"/>
  <c r="L71" i="47"/>
  <c r="L59" i="47"/>
  <c r="L67" i="47"/>
  <c r="L65" i="47"/>
  <c r="L61" i="47"/>
  <c r="L73" i="47"/>
  <c r="AN59" i="47"/>
  <c r="AN71" i="47"/>
  <c r="AN67" i="47"/>
  <c r="AN63" i="47"/>
  <c r="AN69" i="47"/>
  <c r="AN61" i="47"/>
  <c r="AN75" i="47"/>
  <c r="AN65" i="47"/>
  <c r="AN73" i="47"/>
  <c r="AF69" i="47"/>
  <c r="AF59" i="47"/>
  <c r="AF71" i="47"/>
  <c r="AF61" i="47"/>
  <c r="AF67" i="47"/>
  <c r="AF73" i="47"/>
  <c r="AF63" i="47"/>
  <c r="AF75" i="47"/>
  <c r="AF65" i="47"/>
  <c r="AB59" i="47"/>
  <c r="AB75" i="47"/>
  <c r="AB63" i="47"/>
  <c r="AB67" i="47"/>
  <c r="AB65" i="47"/>
  <c r="AB71" i="47"/>
  <c r="AB73" i="47"/>
  <c r="AB69" i="47"/>
  <c r="AB61" i="47"/>
  <c r="N72" i="12" s="1"/>
  <c r="AJ63" i="47"/>
  <c r="AJ61" i="47"/>
  <c r="AJ65" i="47"/>
  <c r="AJ75" i="47"/>
  <c r="AJ67" i="47"/>
  <c r="AJ59" i="47"/>
  <c r="AJ69" i="47"/>
  <c r="AJ71" i="47"/>
  <c r="AJ73" i="47"/>
  <c r="Q66" i="12"/>
  <c r="T71" i="47"/>
  <c r="T67" i="47"/>
  <c r="T61" i="47"/>
  <c r="N70" i="12" s="1"/>
  <c r="T63" i="47"/>
  <c r="T59" i="47"/>
  <c r="T75" i="47"/>
  <c r="T73" i="47"/>
  <c r="T65" i="47"/>
  <c r="T69" i="47"/>
  <c r="AY64" i="47"/>
  <c r="AY74" i="47"/>
  <c r="H63" i="47"/>
  <c r="H59" i="47"/>
  <c r="H67" i="47"/>
  <c r="H61" i="47"/>
  <c r="G29" i="47"/>
  <c r="H75" i="47"/>
  <c r="H73" i="47"/>
  <c r="H65" i="47"/>
  <c r="H71" i="47"/>
  <c r="H69" i="47"/>
  <c r="X61" i="47"/>
  <c r="N71" i="12" s="1"/>
  <c r="X65" i="47"/>
  <c r="X75" i="47"/>
  <c r="X59" i="47"/>
  <c r="X63" i="47"/>
  <c r="X67" i="47"/>
  <c r="X71" i="47"/>
  <c r="X69" i="47"/>
  <c r="X73" i="47"/>
  <c r="P75" i="47"/>
  <c r="P65" i="47"/>
  <c r="P67" i="47"/>
  <c r="P73" i="47"/>
  <c r="P61" i="47"/>
  <c r="P59" i="47"/>
  <c r="P63" i="47"/>
  <c r="P69" i="47"/>
  <c r="P71" i="47"/>
  <c r="AW73" i="47" l="1"/>
  <c r="AW75" i="47"/>
  <c r="N67" i="12"/>
  <c r="AW61" i="47"/>
  <c r="AX61" i="47" s="1"/>
  <c r="H315" i="1" s="1"/>
  <c r="AW67" i="47"/>
  <c r="AX67" i="47" s="1"/>
  <c r="AW69" i="47"/>
  <c r="AX69" i="47" s="1"/>
  <c r="AW59" i="47"/>
  <c r="AX59" i="47" s="1"/>
  <c r="AW71" i="47"/>
  <c r="AX71" i="47" s="1"/>
  <c r="AW63" i="47"/>
  <c r="AX63" i="47" s="1"/>
  <c r="AW65" i="47"/>
  <c r="AX65" i="47" s="1"/>
  <c r="O71" i="12"/>
  <c r="Q71" i="12" s="1"/>
  <c r="O72" i="12"/>
  <c r="Q72" i="12" s="1"/>
  <c r="O70" i="12"/>
  <c r="Q70" i="12" s="1"/>
  <c r="AX75" i="47"/>
  <c r="AY78" i="47"/>
  <c r="AX73" i="47"/>
  <c r="N93" i="12" l="1"/>
  <c r="O67" i="12"/>
  <c r="AX78" i="47"/>
  <c r="H317" i="1" l="1"/>
  <c r="Q67" i="12"/>
  <c r="Q93" i="12" s="1"/>
  <c r="O93" i="12"/>
  <c r="H321" i="1" l="1"/>
  <c r="H323" i="1" s="1"/>
</calcChain>
</file>

<file path=xl/sharedStrings.xml><?xml version="1.0" encoding="utf-8"?>
<sst xmlns="http://schemas.openxmlformats.org/spreadsheetml/2006/main" count="4861" uniqueCount="1813">
  <si>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</si>
  <si>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</si>
  <si>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</si>
  <si>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</si>
  <si>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</si>
  <si>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</si>
  <si>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</si>
  <si>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</si>
  <si>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</si>
  <si>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</si>
  <si>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</si>
  <si>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</si>
  <si>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</si>
  <si>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</si>
  <si>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</si>
  <si>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</si>
  <si>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</si>
  <si>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</si>
  <si>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</si>
  <si>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</si>
  <si>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</si>
  <si>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</si>
  <si>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</si>
  <si>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</si>
  <si>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</si>
  <si>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</si>
  <si>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</si>
  <si>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</si>
  <si>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</si>
  <si>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</si>
  <si>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</si>
  <si>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</si>
  <si>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</si>
  <si>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</si>
  <si>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</si>
  <si>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</si>
  <si>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</si>
  <si>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</si>
  <si>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</si>
  <si>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</si>
  <si>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</si>
  <si>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</si>
  <si>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</si>
  <si>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</si>
  <si>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</si>
  <si>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</si>
  <si>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</si>
  <si>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</si>
  <si>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</si>
  <si>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</si>
  <si>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</si>
  <si>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</si>
  <si>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</si>
  <si>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</si>
  <si>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</si>
  <si>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</si>
  <si>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</si>
  <si>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</si>
  <si>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</si>
  <si>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</si>
  <si>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</si>
  <si>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</si>
  <si>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</si>
  <si>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</si>
  <si>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</si>
  <si>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</si>
  <si>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</si>
  <si>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</si>
  <si>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</si>
  <si>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</si>
  <si>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</si>
  <si>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</si>
  <si>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</si>
  <si>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</si>
  <si>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</si>
  <si>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</si>
  <si>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</si>
  <si>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</si>
  <si>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</si>
  <si>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</si>
  <si>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</si>
  <si>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</si>
  <si>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</si>
  <si>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</si>
  <si>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</si>
  <si>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</si>
  <si>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</si>
  <si>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</si>
  <si>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</si>
  <si>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</si>
  <si>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</si>
  <si>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</si>
  <si>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</si>
  <si>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</si>
  <si>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</si>
  <si>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</si>
  <si>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</si>
  <si>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</si>
  <si>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</si>
  <si>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</si>
  <si>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</si>
  <si>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</si>
  <si>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</si>
  <si>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</si>
  <si>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</si>
  <si>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</si>
  <si>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</si>
  <si>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</si>
  <si>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</si>
  <si>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</si>
  <si>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</si>
  <si>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</si>
  <si>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</si>
  <si>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</si>
  <si>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</si>
  <si>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</si>
  <si>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</si>
  <si>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</si>
  <si>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</si>
  <si>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</si>
  <si>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</si>
  <si>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</si>
  <si>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</si>
  <si>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</si>
  <si>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</si>
  <si>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</si>
  <si>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</si>
  <si>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</si>
  <si>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</si>
  <si>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</si>
  <si>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</si>
  <si>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</si>
  <si>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</si>
  <si>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</si>
  <si>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</si>
  <si>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</si>
  <si>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</si>
  <si>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</si>
  <si>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</si>
  <si>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</si>
  <si>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</si>
  <si>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</si>
  <si>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</si>
  <si>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</si>
  <si>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</si>
  <si>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</si>
  <si>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</si>
  <si>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</si>
  <si>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</si>
  <si>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</si>
  <si>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</si>
  <si>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</si>
  <si>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</si>
  <si>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</si>
  <si>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</si>
  <si>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</si>
  <si>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</si>
  <si>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</si>
  <si>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</si>
  <si>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</si>
  <si>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</si>
  <si>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</si>
  <si>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</si>
  <si>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</si>
  <si>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</si>
  <si>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</si>
  <si>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</si>
  <si>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</si>
  <si>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</si>
  <si>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</si>
  <si>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</si>
  <si>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</si>
  <si>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</si>
  <si>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</si>
  <si>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</si>
  <si>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</si>
  <si>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</si>
  <si>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</si>
  <si>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</si>
  <si>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</si>
  <si>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</si>
  <si>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</si>
  <si>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</si>
  <si>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</si>
  <si>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</si>
  <si>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</si>
  <si>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</si>
  <si>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</si>
  <si>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</si>
  <si>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</si>
  <si>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</si>
  <si>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</si>
  <si>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</si>
  <si>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</si>
  <si>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</si>
  <si>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</si>
  <si>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</si>
  <si>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</si>
  <si>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</si>
  <si>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</si>
  <si>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</si>
  <si>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</si>
  <si>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</si>
  <si>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</si>
  <si>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</si>
  <si>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</si>
  <si>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</si>
  <si>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</si>
  <si>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</si>
  <si>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</si>
  <si>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</si>
  <si>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</si>
  <si>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</si>
  <si>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</si>
  <si>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</si>
  <si>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</si>
  <si>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</si>
  <si>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</si>
  <si>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</si>
  <si>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</si>
  <si>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</si>
  <si>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</si>
  <si>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</si>
  <si>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</si>
  <si>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</si>
  <si>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</si>
  <si>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</si>
  <si>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</si>
  <si>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</si>
  <si>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</si>
  <si>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</si>
  <si>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</si>
  <si>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</si>
  <si>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</si>
  <si>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</si>
  <si>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</si>
  <si>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</si>
  <si>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</si>
  <si>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</si>
  <si>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</si>
  <si>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</si>
  <si>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</si>
  <si>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</si>
  <si>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</si>
  <si>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</si>
  <si>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</si>
  <si>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</si>
  <si>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</si>
  <si>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</si>
  <si>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</si>
  <si>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</si>
  <si>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</si>
  <si>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</si>
  <si>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</si>
  <si>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</si>
  <si>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</si>
  <si>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</si>
  <si>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</si>
  <si>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</si>
  <si>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</si>
  <si>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</si>
  <si>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</si>
  <si>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</si>
  <si>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</si>
  <si>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</si>
  <si>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</si>
  <si>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Deferred Compensation</t>
  </si>
  <si>
    <t>Allowance for Doubtful Accounts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</si>
  <si>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</si>
  <si>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</si>
  <si>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</si>
  <si>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</si>
  <si>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</si>
  <si>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</si>
  <si>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</si>
  <si>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</si>
  <si>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</si>
  <si>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</si>
  <si>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</si>
  <si>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</si>
  <si>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</si>
  <si>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</si>
  <si>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</si>
  <si>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</si>
  <si>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</si>
  <si>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</si>
  <si>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</si>
  <si>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</si>
  <si>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</si>
  <si>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</si>
  <si>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</si>
  <si>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</si>
  <si>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</si>
  <si>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</si>
  <si>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</si>
  <si>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</si>
  <si>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</si>
  <si>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</si>
  <si>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</si>
  <si>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</si>
  <si>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</si>
  <si>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</si>
  <si>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</si>
  <si>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</si>
  <si>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</si>
  <si>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</si>
  <si>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</si>
  <si>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</si>
  <si>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</si>
  <si>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</si>
  <si>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</si>
  <si>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</si>
  <si>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</si>
  <si>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</si>
  <si>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</si>
  <si>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</si>
  <si>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</si>
  <si>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</si>
  <si>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</si>
  <si>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</si>
  <si>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</si>
  <si>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</si>
  <si>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</si>
  <si>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</si>
  <si>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</si>
  <si>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</si>
  <si>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</si>
  <si>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</si>
  <si>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</si>
  <si>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</si>
  <si>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</si>
  <si>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</si>
  <si>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</si>
  <si>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</si>
  <si>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</si>
  <si>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</si>
  <si>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</si>
  <si>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</si>
  <si>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</si>
  <si>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</si>
  <si>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</si>
  <si>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</si>
  <si>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</si>
  <si>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</si>
  <si>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</si>
  <si>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</si>
  <si>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</si>
  <si>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</si>
  <si>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</si>
  <si>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</si>
  <si>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</si>
  <si>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</si>
  <si>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</si>
  <si>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</si>
  <si>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</si>
  <si>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</si>
  <si>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</si>
  <si>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</si>
  <si>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</si>
  <si>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</si>
  <si>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</si>
  <si>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</si>
  <si>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</si>
  <si>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</si>
  <si>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</si>
  <si>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</si>
  <si>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</si>
  <si>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</si>
  <si>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</si>
  <si>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</si>
  <si>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</si>
  <si>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</si>
  <si>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</si>
  <si>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</si>
  <si>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</si>
  <si>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</si>
  <si>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</si>
  <si>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</si>
  <si>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</si>
  <si>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</si>
  <si>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</si>
  <si>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</si>
  <si>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</si>
  <si>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</si>
  <si>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</si>
  <si>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</si>
  <si>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</si>
  <si>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</si>
  <si>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</si>
  <si>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</si>
  <si>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</si>
  <si>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</si>
  <si>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</si>
  <si>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</si>
  <si>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</si>
  <si>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</si>
  <si>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</si>
  <si>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</si>
  <si>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</si>
  <si>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</si>
  <si>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</si>
  <si>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</si>
  <si>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</si>
  <si>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</si>
  <si>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</si>
  <si>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</si>
  <si>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</si>
  <si>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</si>
  <si>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</si>
  <si>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</si>
  <si>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</si>
  <si>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</si>
  <si>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</si>
  <si>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</si>
  <si>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</si>
  <si>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</si>
  <si>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</si>
  <si>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</si>
  <si>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</si>
  <si>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</si>
  <si>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</si>
  <si>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</si>
  <si>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</si>
  <si>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</si>
  <si>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</si>
  <si>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</si>
  <si>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</si>
  <si>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</si>
  <si>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</si>
  <si>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</si>
  <si>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</si>
  <si>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</si>
  <si>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</si>
  <si>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</si>
  <si>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</si>
  <si>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</si>
  <si>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</si>
  <si>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</si>
  <si>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</si>
  <si>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</si>
  <si>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</si>
  <si>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</si>
  <si>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</si>
  <si>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</si>
  <si>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</si>
  <si>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</si>
  <si>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</si>
  <si>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</si>
  <si>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</si>
  <si>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</si>
  <si>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</si>
  <si>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</si>
  <si>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</si>
  <si>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</si>
  <si>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</si>
  <si>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</si>
  <si>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</si>
  <si>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</si>
  <si>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</si>
  <si>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</si>
  <si>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</si>
  <si>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</si>
  <si>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</si>
  <si>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</si>
  <si>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</si>
  <si>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</si>
  <si>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</si>
  <si>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</si>
  <si>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</si>
  <si>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</si>
  <si>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</si>
  <si>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</si>
  <si>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</si>
  <si>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</si>
  <si>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</si>
  <si>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</si>
  <si>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</si>
  <si>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</si>
  <si>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</si>
  <si>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</si>
  <si>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</si>
  <si>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</si>
  <si>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</si>
  <si>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</si>
  <si>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</si>
  <si>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</si>
  <si>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</si>
  <si>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</si>
  <si>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</si>
  <si>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</si>
  <si>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</si>
  <si>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</si>
  <si>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</si>
  <si>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</si>
  <si>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</si>
  <si>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</si>
  <si>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</si>
  <si>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</si>
  <si>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</si>
  <si>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</si>
  <si>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</si>
  <si>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</si>
  <si>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</si>
  <si>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</si>
  <si>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</si>
  <si>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</si>
  <si>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</si>
  <si>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</si>
  <si>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</si>
  <si>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</si>
  <si>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</si>
  <si>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</si>
  <si>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</si>
  <si>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</si>
  <si>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</si>
  <si>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</si>
  <si>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</si>
  <si>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</si>
  <si>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</si>
  <si>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</si>
  <si>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</si>
  <si>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</si>
  <si>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</si>
  <si>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</si>
  <si>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</si>
  <si>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</si>
  <si>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</si>
  <si>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</si>
  <si>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</si>
  <si>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</si>
  <si>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</si>
  <si>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</si>
  <si>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</si>
  <si>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</si>
  <si>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</si>
  <si>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</si>
  <si>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</si>
  <si>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</si>
  <si>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</si>
  <si>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</si>
  <si>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</si>
  <si>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</si>
  <si>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</si>
  <si>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</si>
  <si>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</si>
  <si>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</si>
  <si>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</si>
  <si>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</si>
  <si>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</si>
  <si>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</si>
  <si>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</si>
  <si>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</si>
  <si>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</si>
  <si>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</si>
  <si>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</si>
  <si>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</si>
  <si>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</si>
  <si>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</si>
  <si>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</si>
  <si>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</si>
  <si>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</si>
  <si>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</si>
  <si>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</si>
  <si>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</si>
  <si>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</si>
  <si>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</si>
  <si>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</si>
  <si>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</si>
  <si>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</si>
  <si>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</si>
  <si>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</si>
  <si>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</si>
  <si>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</si>
  <si>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</si>
  <si>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</si>
  <si>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</si>
  <si>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</si>
  <si>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</si>
  <si>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</si>
  <si>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</si>
  <si>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</si>
  <si>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</si>
  <si>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</si>
  <si>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</si>
  <si>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</si>
  <si>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</si>
  <si>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</si>
  <si>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</si>
  <si>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</si>
  <si>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</si>
  <si>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</si>
  <si>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</si>
  <si>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</si>
  <si>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</si>
  <si>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</si>
  <si>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</si>
  <si>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</si>
  <si>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</si>
  <si>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</si>
  <si>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</si>
  <si>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</si>
  <si>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</si>
  <si>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</si>
  <si>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</si>
  <si>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</si>
  <si>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</si>
  <si>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</si>
  <si>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</si>
  <si>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</si>
  <si>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</si>
  <si>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</si>
  <si>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</si>
  <si>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</si>
  <si>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</si>
  <si>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</si>
  <si>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</si>
  <si>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</si>
  <si>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</si>
  <si>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</si>
  <si>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</si>
  <si>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</si>
  <si>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</si>
  <si>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</si>
  <si>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</si>
  <si>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</si>
  <si>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</si>
  <si>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</si>
  <si>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</si>
  <si>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</si>
  <si>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</si>
  <si>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</si>
  <si>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</si>
  <si>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</si>
  <si>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</si>
  <si>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</si>
  <si>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</si>
  <si>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</si>
  <si>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</si>
  <si>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</si>
  <si>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</si>
  <si>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</si>
  <si>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</si>
  <si>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</si>
  <si>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</si>
  <si>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</si>
  <si>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</si>
  <si>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</si>
  <si>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</si>
  <si>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</si>
  <si>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</si>
  <si>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</si>
  <si>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</si>
  <si>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</si>
  <si>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</si>
  <si>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</si>
  <si>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</si>
  <si>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</si>
  <si>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</si>
  <si>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</si>
  <si>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</si>
  <si>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</si>
  <si>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</si>
  <si>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</si>
  <si>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</si>
  <si>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</si>
  <si>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</si>
  <si>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</si>
  <si>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</si>
  <si>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</si>
  <si>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</si>
  <si>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</si>
  <si>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</si>
  <si>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</si>
  <si>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</si>
  <si>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</si>
  <si>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</si>
  <si>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</si>
  <si>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</si>
  <si>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</si>
  <si>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</si>
  <si>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</si>
  <si>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</si>
  <si>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</si>
  <si>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</si>
  <si>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</si>
  <si>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</si>
  <si>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</si>
  <si>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</si>
  <si>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</si>
  <si>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</si>
  <si>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</si>
  <si>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</si>
  <si>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</si>
  <si>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</si>
  <si>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</si>
  <si>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</si>
  <si>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</si>
  <si>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</si>
  <si>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</si>
  <si>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</si>
  <si>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</si>
  <si>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</si>
  <si>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</si>
  <si>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</si>
  <si>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</si>
  <si>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</si>
  <si>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</si>
  <si>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</si>
  <si>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</si>
  <si>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</si>
  <si>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</si>
  <si>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</si>
  <si>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</si>
  <si>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</si>
  <si>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</si>
  <si>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</si>
  <si>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</si>
  <si>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</si>
  <si>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</si>
  <si>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</si>
  <si>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</si>
  <si>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</si>
  <si>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</si>
  <si>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</si>
  <si>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</si>
  <si>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</si>
  <si>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</si>
  <si>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</si>
  <si>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</si>
  <si>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</si>
  <si>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</si>
  <si>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</si>
  <si>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</si>
  <si>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</si>
  <si>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</si>
  <si>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</si>
  <si>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</si>
  <si>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</si>
  <si>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</si>
  <si>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</si>
  <si>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</si>
  <si>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</si>
  <si>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</si>
  <si>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</si>
  <si>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</si>
  <si>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</si>
  <si>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</si>
  <si>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</si>
  <si>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</si>
  <si>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</si>
  <si>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</si>
  <si>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</si>
  <si>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</si>
  <si>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</si>
  <si>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</si>
  <si>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</si>
  <si>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</si>
  <si>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</si>
  <si>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</si>
  <si>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</si>
  <si>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</si>
  <si>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</si>
  <si>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</si>
  <si>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</si>
  <si>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</si>
  <si>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</si>
  <si>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</si>
  <si>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</si>
  <si>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</si>
  <si>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</si>
  <si>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</si>
  <si>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</si>
  <si>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</si>
  <si>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</si>
  <si>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</si>
  <si>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</si>
  <si>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</si>
  <si>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</si>
  <si>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</si>
  <si>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</si>
  <si>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</si>
  <si>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</si>
  <si>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</si>
  <si>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</si>
  <si>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</si>
  <si>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</si>
  <si>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</si>
  <si>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</si>
  <si>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</si>
  <si>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</si>
  <si>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</si>
  <si>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</si>
  <si>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</si>
  <si>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</si>
  <si>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</si>
  <si>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</si>
  <si>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</si>
  <si>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</si>
  <si>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</si>
  <si>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</si>
  <si>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</si>
  <si>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</si>
  <si>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</si>
  <si>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</si>
  <si>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</si>
  <si>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</si>
  <si>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</si>
  <si>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</si>
  <si>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</si>
  <si>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</si>
  <si>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</si>
  <si>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</si>
  <si>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</si>
  <si>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</si>
  <si>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</si>
  <si>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</si>
  <si>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</si>
  <si>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</si>
  <si>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</si>
  <si>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</si>
  <si>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</si>
  <si>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</si>
  <si>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</si>
  <si>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</si>
  <si>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</si>
  <si>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</si>
  <si>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</si>
  <si>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</si>
  <si>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</si>
  <si>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</si>
  <si>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</si>
  <si>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</si>
  <si>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</si>
  <si>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</si>
  <si>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</si>
  <si>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</si>
  <si>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</si>
  <si>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</si>
  <si>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</si>
  <si>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</si>
  <si>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</si>
  <si>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</si>
  <si>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</si>
  <si>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</si>
  <si>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</si>
  <si>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</si>
  <si>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</si>
  <si>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</si>
  <si>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</si>
  <si>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</si>
  <si>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</si>
  <si>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</si>
  <si>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</si>
  <si>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</si>
  <si>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</si>
  <si>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</si>
  <si>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</si>
  <si>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</si>
  <si>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</si>
  <si>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</si>
  <si>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</si>
  <si>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</si>
  <si>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</si>
  <si>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</si>
  <si>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</si>
  <si>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</si>
  <si>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</si>
  <si>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</si>
  <si>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</si>
  <si>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</si>
  <si>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</si>
  <si>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</si>
  <si>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</si>
  <si>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</si>
  <si>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</si>
  <si>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</si>
  <si>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</si>
  <si>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</si>
  <si>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</si>
  <si>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</si>
  <si>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</si>
  <si>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</si>
  <si>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</si>
  <si>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</si>
  <si>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</si>
  <si>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</si>
  <si>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</si>
  <si>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</si>
  <si>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</si>
  <si>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</si>
  <si>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</si>
  <si>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</si>
  <si>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</si>
  <si>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</si>
  <si>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</si>
  <si>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</si>
  <si>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</si>
  <si>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</si>
  <si>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</si>
  <si>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</si>
  <si>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</si>
  <si>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</si>
  <si>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</si>
  <si>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</si>
  <si>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</si>
  <si>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</si>
  <si>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</si>
  <si>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</si>
  <si>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</si>
  <si>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</si>
  <si>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</si>
  <si>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</si>
  <si>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</si>
  <si>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</si>
  <si>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</si>
  <si>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</si>
  <si>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</si>
  <si>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</si>
  <si>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</si>
  <si>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</si>
  <si>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</si>
  <si>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</si>
  <si>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</si>
  <si>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</si>
  <si>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</si>
  <si>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</si>
  <si>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</si>
  <si>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</si>
  <si>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</si>
  <si>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</si>
  <si>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</si>
  <si>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</si>
  <si>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</si>
  <si>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</si>
  <si>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</si>
  <si>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</si>
  <si>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</si>
  <si>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</si>
  <si>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</si>
  <si>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</si>
  <si>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</si>
  <si>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</si>
  <si>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</si>
  <si>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</si>
  <si>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</si>
  <si>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</si>
  <si>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</si>
  <si>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</si>
  <si>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</si>
  <si>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</si>
  <si>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</si>
  <si>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</si>
  <si>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</si>
  <si>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</si>
  <si>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</si>
  <si>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</si>
  <si>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</si>
  <si>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</si>
  <si>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</si>
  <si>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</si>
  <si>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</si>
  <si>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</si>
  <si>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</si>
  <si>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</si>
  <si>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</si>
  <si>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</si>
  <si>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</si>
  <si>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</si>
  <si>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</si>
  <si>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</si>
  <si>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</si>
  <si>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</si>
  <si>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</si>
  <si>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</si>
  <si>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</si>
  <si>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</si>
  <si>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</si>
  <si>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</si>
  <si>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</si>
  <si>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</si>
  <si>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</si>
  <si>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</si>
  <si>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</si>
  <si>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</si>
  <si>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</si>
  <si>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</si>
  <si>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</si>
  <si>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</si>
  <si>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</si>
  <si>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</si>
  <si>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</si>
  <si>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</si>
  <si>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</si>
  <si>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</si>
  <si>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</si>
  <si>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</si>
  <si>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</si>
  <si>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</si>
  <si>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</si>
  <si>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</si>
  <si>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</si>
  <si>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</si>
  <si>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</si>
  <si>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</si>
  <si>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</si>
  <si>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</si>
  <si>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</si>
  <si>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</si>
  <si>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</si>
  <si>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</si>
  <si>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</si>
  <si>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</si>
  <si>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</si>
  <si>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</si>
  <si>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</si>
  <si>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</si>
  <si>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</si>
  <si>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</si>
  <si>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</si>
  <si>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</si>
  <si>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</si>
  <si>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</si>
  <si>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</si>
  <si>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</si>
  <si>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</si>
  <si>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</si>
  <si>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</si>
  <si>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</si>
  <si>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</si>
  <si>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</si>
  <si>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</si>
  <si>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</si>
  <si>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</si>
  <si>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</si>
  <si>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</si>
  <si>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</si>
  <si>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</si>
  <si>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</si>
  <si>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</si>
  <si>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</si>
  <si>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</si>
  <si>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</si>
  <si>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</si>
  <si>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</si>
  <si>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</si>
  <si>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</si>
  <si>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</si>
  <si>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</si>
  <si>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</si>
  <si>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</si>
  <si>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</si>
  <si>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</si>
  <si>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</si>
  <si>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</si>
  <si>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</si>
  <si>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</si>
  <si>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</si>
  <si>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</si>
  <si>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</si>
  <si>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</si>
  <si>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</si>
  <si>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</si>
  <si>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</si>
  <si>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</si>
  <si>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</si>
  <si>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</si>
  <si>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</si>
  <si>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</si>
  <si>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</si>
  <si>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</si>
  <si>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</si>
  <si>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</si>
  <si>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</si>
  <si>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</si>
  <si>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</si>
  <si>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</si>
  <si>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</si>
  <si>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</si>
  <si>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</si>
  <si>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</si>
  <si>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</si>
  <si>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</si>
  <si>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</si>
  <si>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</si>
  <si>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</si>
  <si>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</si>
  <si>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</si>
  <si>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</si>
  <si>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</si>
  <si>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</si>
  <si>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</si>
  <si>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</si>
  <si>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</si>
  <si>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</si>
  <si>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</si>
  <si>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</si>
  <si>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</si>
  <si>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</si>
  <si>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</si>
  <si>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</si>
  <si>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</si>
  <si>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</si>
  <si>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</si>
  <si>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</si>
  <si>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</si>
  <si>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</si>
  <si>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</si>
  <si>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</si>
  <si>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</si>
  <si>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</si>
  <si>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</si>
  <si>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</si>
  <si>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</si>
  <si>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</si>
  <si>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</si>
  <si>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</si>
  <si>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</si>
  <si>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</si>
  <si>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</si>
  <si>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</si>
  <si>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</si>
  <si>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</si>
  <si>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</si>
  <si>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</si>
  <si>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</si>
  <si>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</si>
  <si>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</si>
  <si>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</si>
  <si>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</si>
  <si>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</si>
  <si>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</si>
  <si>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</si>
  <si>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</si>
  <si>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</si>
  <si>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</si>
  <si>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</si>
  <si>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</si>
  <si>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</si>
  <si>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</si>
  <si>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</si>
  <si>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</si>
  <si>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</si>
  <si>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</si>
  <si>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</si>
  <si>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</si>
  <si>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</si>
  <si>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</si>
  <si>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</si>
  <si>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</si>
  <si>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</si>
  <si>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</si>
  <si>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</si>
  <si>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</si>
  <si>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</si>
  <si>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</si>
  <si>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</si>
  <si>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</si>
  <si>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</si>
  <si>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</si>
  <si>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</si>
  <si>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</si>
  <si>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</si>
  <si>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</si>
  <si>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</si>
  <si>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</si>
  <si>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</si>
  <si>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</si>
  <si>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</si>
  <si>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</si>
  <si>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</si>
  <si>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</si>
  <si>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</si>
  <si>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</si>
  <si>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</si>
  <si>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</si>
  <si>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</si>
  <si>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</si>
  <si>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</si>
  <si>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</si>
  <si>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</si>
  <si>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</si>
  <si>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</si>
  <si>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</si>
  <si>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</si>
  <si>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</si>
  <si>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</si>
  <si>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</si>
  <si>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</si>
  <si>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</si>
  <si>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</si>
  <si>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</si>
  <si>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</si>
  <si>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</si>
  <si>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</si>
  <si>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</si>
  <si>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</si>
  <si>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</si>
  <si>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</si>
  <si>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</si>
  <si>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</si>
  <si>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</si>
  <si>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</si>
  <si>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</si>
  <si>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</si>
  <si>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</si>
  <si>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</si>
  <si>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</si>
  <si>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</si>
  <si>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</si>
  <si>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</si>
  <si>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</si>
  <si>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</si>
  <si>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</si>
  <si>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</si>
  <si>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</si>
  <si>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</si>
  <si>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</si>
  <si>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</si>
  <si>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</si>
  <si>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</si>
  <si>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</si>
  <si>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</si>
  <si>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</si>
  <si>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</si>
  <si>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</si>
  <si>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</si>
  <si>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</si>
  <si>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</si>
  <si>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</si>
  <si>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</si>
  <si>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</si>
  <si>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</si>
  <si>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</si>
  <si>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</si>
  <si>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</si>
  <si>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</si>
  <si>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</si>
  <si>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</si>
  <si>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</si>
  <si>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</si>
  <si>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</si>
  <si>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</si>
  <si>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</si>
  <si>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</si>
  <si>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</si>
  <si>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</si>
  <si>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</si>
  <si>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</si>
  <si>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</si>
  <si>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</si>
  <si>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</si>
  <si>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</si>
  <si>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</si>
  <si>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</si>
  <si>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</si>
  <si>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</si>
  <si>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</si>
  <si>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</si>
  <si>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</si>
  <si>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</si>
  <si>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</si>
  <si>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</si>
  <si>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</si>
  <si>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</si>
  <si>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</si>
  <si>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</si>
  <si>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</si>
  <si>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</si>
  <si>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</si>
  <si>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</si>
  <si>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</si>
  <si>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</si>
  <si>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</si>
  <si>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</si>
  <si>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</si>
  <si>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</si>
  <si>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</si>
  <si>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</si>
  <si>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</si>
  <si>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</si>
  <si>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</si>
  <si>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</si>
  <si>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</si>
  <si>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</si>
  <si>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</si>
  <si>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</si>
  <si>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</si>
  <si>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</si>
  <si>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</si>
  <si>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</si>
  <si>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</si>
  <si>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</si>
  <si>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</si>
  <si>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</si>
  <si>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</si>
  <si>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</si>
  <si>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</si>
  <si>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</si>
  <si>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</si>
  <si>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</si>
  <si>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</si>
  <si>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</si>
  <si>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</si>
  <si>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</si>
  <si>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</si>
  <si>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</si>
  <si>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</si>
  <si>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</si>
  <si>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</si>
  <si>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</si>
  <si>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</si>
  <si>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</si>
  <si>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</si>
  <si>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</si>
  <si>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</si>
  <si>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</si>
  <si>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</si>
  <si>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</si>
  <si>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</si>
  <si>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</si>
  <si>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</si>
  <si>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</si>
  <si>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</si>
  <si>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</si>
  <si>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</si>
  <si>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</si>
  <si>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</si>
  <si>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</si>
  <si>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</si>
  <si>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</si>
  <si>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</si>
  <si>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</si>
  <si>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</si>
  <si>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</si>
  <si>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</si>
  <si>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</si>
  <si>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</si>
  <si>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</si>
  <si>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</si>
  <si>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</si>
  <si>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</si>
  <si>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</si>
  <si>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</si>
  <si>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</si>
  <si>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</si>
  <si>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</si>
  <si>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</si>
  <si>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</si>
  <si>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</si>
  <si>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</si>
  <si>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</si>
  <si>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</si>
  <si>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</si>
  <si>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</si>
  <si>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</si>
  <si>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</si>
  <si>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</si>
  <si>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</si>
  <si>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</si>
  <si>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</si>
  <si>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</si>
  <si>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</si>
  <si>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</si>
  <si>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</si>
  <si>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</si>
  <si>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</si>
  <si>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</si>
  <si>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</si>
  <si>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</si>
  <si>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</si>
  <si>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</si>
  <si>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</si>
  <si>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</si>
  <si>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</si>
  <si>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</si>
  <si>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</si>
  <si>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</si>
  <si>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</si>
  <si>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</si>
  <si>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</si>
  <si>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</si>
  <si>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</si>
  <si>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</si>
  <si>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</si>
  <si>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</si>
  <si>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</si>
  <si>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</si>
  <si>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</si>
  <si>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</si>
  <si>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</si>
  <si>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</si>
  <si>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</si>
  <si>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</si>
  <si>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</si>
  <si>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</si>
  <si>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</si>
  <si>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</si>
  <si>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</si>
  <si>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</si>
  <si>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</si>
  <si>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</si>
  <si>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</si>
  <si>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</si>
  <si>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</si>
  <si>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</si>
  <si>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</si>
  <si>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</si>
  <si>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</si>
  <si>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</si>
  <si>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</si>
  <si>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</si>
  <si>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</si>
  <si>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</si>
  <si>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</si>
  <si>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</si>
  <si>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</si>
  <si>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</si>
  <si>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</si>
  <si>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</si>
  <si>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</si>
  <si>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</si>
  <si>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</si>
  <si>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</si>
  <si>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</si>
  <si>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</si>
  <si>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</si>
  <si>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</si>
  <si>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</si>
  <si>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</si>
  <si>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</si>
  <si>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</si>
  <si>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</si>
  <si>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</si>
  <si>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</si>
  <si>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</si>
  <si>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</si>
  <si>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</si>
  <si>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</si>
  <si>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</si>
  <si>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</si>
  <si>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</si>
  <si>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</si>
  <si>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</si>
  <si>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</si>
  <si>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</si>
  <si>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</si>
  <si>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</si>
  <si>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</si>
  <si>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</si>
  <si>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</si>
  <si>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</si>
  <si>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</si>
  <si>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</si>
  <si>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</si>
  <si>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</si>
  <si>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</si>
  <si>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</si>
  <si>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</si>
  <si>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</si>
  <si>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</si>
  <si>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</si>
  <si>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</si>
  <si>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</si>
  <si>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</si>
  <si>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</si>
  <si>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</si>
  <si>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</si>
  <si>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</si>
  <si>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</si>
  <si>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</si>
  <si>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</si>
  <si>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</si>
  <si>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</si>
  <si>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</si>
  <si>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Charitable Contribution Carryforward</t>
  </si>
  <si>
    <t>Acc Liab - Deferred Comp LT -Old Plans</t>
  </si>
  <si>
    <t>Accrued Liab-OPEB</t>
  </si>
  <si>
    <t>Merger Commitments</t>
  </si>
  <si>
    <t>Plant</t>
  </si>
  <si>
    <t>Other Regulatory Liability - General</t>
  </si>
  <si>
    <t>State NOL</t>
  </si>
  <si>
    <t>Federal NOL</t>
  </si>
  <si>
    <t>FAS109 Non-TCJA</t>
  </si>
  <si>
    <t>N/A</t>
  </si>
  <si>
    <t>FAS 109 - Regulatory Asset Electric</t>
  </si>
  <si>
    <t>SFAS109-Regulatory Liability Electric</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</si>
  <si>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</si>
  <si>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</si>
  <si>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</si>
  <si>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</si>
  <si>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</si>
  <si>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</si>
  <si>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</si>
  <si>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</si>
  <si>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</si>
  <si>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</si>
  <si>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</si>
  <si>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</si>
  <si>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</si>
  <si>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</si>
  <si>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</si>
  <si>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</si>
  <si>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</si>
  <si>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</si>
  <si>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</si>
  <si>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</si>
  <si>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</si>
  <si>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</si>
  <si>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December 31, 2019</t>
  </si>
  <si>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</si>
  <si>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</si>
  <si>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</si>
  <si>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</si>
  <si>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</si>
  <si>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</si>
  <si>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</si>
  <si>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</si>
  <si>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</si>
  <si>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</si>
  <si>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</si>
  <si>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</si>
  <si>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</si>
  <si>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</si>
  <si>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</si>
  <si>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</si>
  <si>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</si>
  <si>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</si>
  <si>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</si>
  <si>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Plant Deferred Taxes - Flow-through</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</si>
  <si>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</si>
  <si>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</si>
  <si>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</si>
  <si>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</si>
  <si>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</si>
  <si>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</si>
  <si>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</si>
  <si>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</si>
  <si>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</si>
  <si>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</si>
  <si>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</si>
  <si>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</si>
  <si>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</si>
  <si>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</si>
  <si>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</si>
  <si>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</si>
  <si>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</si>
  <si>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</si>
  <si>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</si>
  <si>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</si>
  <si>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</si>
  <si>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</si>
  <si>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</si>
  <si>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</si>
  <si>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t>
  </si>
  <si>
    <t>Real property (State, Municipal or Local)</t>
  </si>
  <si>
    <t>Personal property</t>
  </si>
  <si>
    <t>City License</t>
  </si>
  <si>
    <t>Federal Excise</t>
  </si>
  <si>
    <t>State Franchise tax</t>
  </si>
  <si>
    <t xml:space="preserve">TEFA </t>
  </si>
  <si>
    <t>Use &amp; Sales Tax</t>
  </si>
  <si>
    <t xml:space="preserve">  </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</si>
  <si>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</si>
  <si>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</si>
  <si>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</si>
  <si>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</si>
  <si>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</si>
  <si>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</si>
  <si>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</si>
  <si>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</si>
  <si>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</si>
  <si>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</si>
  <si>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</si>
  <si>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</si>
  <si>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</si>
  <si>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</si>
  <si>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</si>
  <si>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</si>
  <si>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</si>
  <si>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</si>
  <si>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</si>
  <si>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</si>
  <si>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</si>
  <si>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</si>
  <si>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</si>
  <si>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</si>
  <si>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</si>
  <si>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</si>
  <si>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</si>
  <si>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may be weighted average of small projects</t>
  </si>
  <si>
    <t>Annual Depreciation Exp</t>
  </si>
  <si>
    <t>….</t>
  </si>
  <si>
    <t>…..</t>
  </si>
  <si>
    <t>Pages 256-257 "Long Term Debt (Account 221, 222, 223, and 224)"</t>
  </si>
  <si>
    <t>Line 17 "Note Payable to ACE Transition Funding - variable"</t>
  </si>
  <si>
    <t>LTD Interest on Securitization Bonds in column (i)</t>
  </si>
  <si>
    <t>LTD on Securitization Bonds in column (h)</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</si>
  <si>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</si>
  <si>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</si>
  <si>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</si>
  <si>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</si>
  <si>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</si>
  <si>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</si>
  <si>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</si>
  <si>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</si>
  <si>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</si>
  <si>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Practice Areas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</si>
  <si>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</si>
  <si>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</si>
  <si>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</si>
  <si>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</si>
  <si>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</si>
  <si>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</si>
  <si>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</si>
  <si>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</si>
  <si>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</si>
  <si>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</si>
  <si>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</si>
  <si>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</si>
  <si>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</si>
  <si>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</si>
  <si>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</si>
  <si>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</si>
  <si>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</si>
  <si>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</si>
  <si>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</si>
  <si>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</si>
  <si>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ACE capital structure is initially fixed at 50% common equity and 50% debt per settlement in ER05-515 subject to moratorium provisions in the settlement.</t>
  </si>
  <si>
    <t>(Line 113 / 116)</t>
  </si>
  <si>
    <t>(Line 114 / 116)</t>
  </si>
  <si>
    <t>(Line 115 / 116)</t>
  </si>
  <si>
    <t>NJ AMA Credit</t>
  </si>
  <si>
    <t>ADIT relates to all functions and attributable to plant in service that is included in rate base.</t>
  </si>
  <si>
    <t>Materials Reserve</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</si>
  <si>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</si>
  <si>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</si>
  <si>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Regulatory Asset - Accrued Vacation</t>
  </si>
  <si>
    <t>Renewable Energy Credits</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</si>
  <si>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</si>
  <si>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</si>
  <si>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</si>
  <si>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</si>
  <si>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</si>
  <si>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1999 AMT</t>
  </si>
  <si>
    <t>Accrual Labor Related</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</si>
  <si>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</si>
  <si>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</si>
  <si>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</si>
  <si>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</si>
  <si>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</si>
  <si>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</si>
  <si>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</si>
  <si>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</si>
  <si>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</si>
  <si>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</si>
  <si>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Accrued Liab - Auto</t>
  </si>
  <si>
    <t>Accrued Liab - Misc.</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</si>
  <si>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</si>
  <si>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</si>
  <si>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</si>
  <si>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</si>
  <si>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</si>
  <si>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</si>
  <si>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</si>
  <si>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</si>
  <si>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</si>
  <si>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</si>
  <si>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</si>
  <si>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</si>
  <si>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</si>
  <si>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</si>
  <si>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Accrued Liability - General</t>
  </si>
  <si>
    <t>Oth Reg Liab-Asset Retirement Obligation</t>
  </si>
  <si>
    <t>Accrued Charitable Contributions-NJ</t>
  </si>
  <si>
    <t>Accrued Charitable Contributions-NJ-Long Term</t>
  </si>
  <si>
    <t>Accumulated Deferred Investment Tax Credit</t>
  </si>
  <si>
    <t>Provision for Uncollectible Accounts-Special Billing</t>
  </si>
  <si>
    <t>BAD DEBT RESERVE</t>
  </si>
  <si>
    <t>Provision for Uncollectible Accounts-NJ</t>
  </si>
  <si>
    <t>Charitable Contributions - Fed</t>
  </si>
  <si>
    <t>Charitable Contribution Limit</t>
  </si>
  <si>
    <t>Charitable Contributions - NJ</t>
  </si>
  <si>
    <t>Accrued Liab-Environmental Site Exp</t>
  </si>
  <si>
    <t>ENVIRONMENTAL EXPENSE</t>
  </si>
  <si>
    <t>Liability-Environmental (925300)-Contra</t>
  </si>
  <si>
    <t>Accrued Liab-Environmental Site Exp - Long Term</t>
  </si>
  <si>
    <t>OPEB</t>
  </si>
  <si>
    <t>Accrued Liability - LTIP - Long-Term</t>
  </si>
  <si>
    <t>SERP Asset</t>
  </si>
  <si>
    <t>SERP</t>
  </si>
  <si>
    <t>Liabilities-SERP (92420L) - Contra</t>
  </si>
  <si>
    <t>Deferred Credits - Deferred MTC Tax Rev</t>
  </si>
  <si>
    <t>Stranded Costs</t>
  </si>
  <si>
    <t>NJ Oth Reg Liability-Tax Benefits</t>
  </si>
  <si>
    <t>Use Tax Payable</t>
  </si>
  <si>
    <t>Use Tax Reserve</t>
  </si>
  <si>
    <t>NJ NOL</t>
  </si>
  <si>
    <t>FAS 109 Regulatory Liability</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</si>
  <si>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</si>
  <si>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</si>
  <si>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</si>
  <si>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</si>
  <si>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</si>
  <si>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</si>
  <si>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</si>
  <si>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</si>
  <si>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</si>
  <si>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</si>
  <si>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</si>
  <si>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BGS Deferred Related - Retail</t>
  </si>
  <si>
    <t>Regulatory Assets - NJ NGC Deferral</t>
  </si>
  <si>
    <t>Loss on Reacquired Debt</t>
  </si>
  <si>
    <t>Miscellaneous Deferred Debits - General</t>
  </si>
  <si>
    <t>Misc. Deferred Debits - Retail</t>
  </si>
  <si>
    <t>NUG Buy-out</t>
  </si>
  <si>
    <t>NUG BUYOUT</t>
  </si>
  <si>
    <t>Renewable Energy Credits - NJ</t>
  </si>
  <si>
    <t>Other- 283</t>
  </si>
  <si>
    <t>Solar Renewable Energy Credits II - NJ</t>
  </si>
  <si>
    <t>Def'd Credits - Def'd Transitional Bond</t>
  </si>
  <si>
    <t>PENSION PAYMENT RESERVE</t>
  </si>
  <si>
    <t>Reg Assets-FERC Formula Rate Adj-Transmission</t>
  </si>
  <si>
    <t>Reg Asset - FERC Formula Rate Adj. Trans. Svc</t>
  </si>
  <si>
    <t>Regulatory Assets - NJ Recovery - Base</t>
  </si>
  <si>
    <t>Reg Asset-NJ Rec-Base</t>
  </si>
  <si>
    <t>Regulatory Assets - NJ</t>
  </si>
  <si>
    <t>Regulatory Assets-Current-Corp Acctg</t>
  </si>
  <si>
    <t>Regulatory Asset - General</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</si>
  <si>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</si>
  <si>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</si>
  <si>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</si>
  <si>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</si>
  <si>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</si>
  <si>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</si>
  <si>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</si>
  <si>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</si>
  <si>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Regulatory Asset - SREC Program</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</si>
  <si>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</si>
  <si>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</si>
  <si>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</si>
  <si>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</si>
  <si>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</si>
  <si>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</si>
  <si>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</si>
  <si>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</si>
  <si>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</si>
  <si>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</si>
  <si>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</si>
  <si>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</si>
  <si>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</si>
  <si>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</si>
  <si>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</si>
  <si>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</si>
  <si>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</si>
  <si>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</si>
  <si>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</si>
  <si>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</si>
  <si>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</si>
  <si>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</si>
  <si>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</si>
  <si>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</si>
  <si>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</si>
  <si>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</si>
  <si>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</si>
  <si>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</si>
  <si>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</si>
  <si>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</si>
  <si>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</si>
  <si>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</si>
  <si>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</si>
  <si>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</si>
  <si>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</si>
  <si>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</si>
  <si>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</si>
  <si>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</si>
  <si>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</si>
  <si>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</si>
  <si>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</si>
  <si>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</si>
  <si>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 xml:space="preserve">Atlantic City Electric Company  elected to amortize investment tax credits against recoverable income tax expense, rather than to reduce rate base by unamortized investment tax credit.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</si>
  <si>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</si>
  <si>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</si>
  <si>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</si>
  <si>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</si>
  <si>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</si>
  <si>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</si>
  <si>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 xml:space="preserve">2020
</t>
  </si>
  <si>
    <t>General Capital Lease $15,364,358</t>
  </si>
  <si>
    <t>General Capital Lease $2,551,013</t>
  </si>
  <si>
    <t>Inputs from Atlantic City Electric Company 2020 FERC Form 1</t>
  </si>
  <si>
    <t>Government Affairs</t>
  </si>
  <si>
    <t>Deferred Comp Plan - Level 2</t>
  </si>
  <si>
    <t>Kenneth Square Rent Revenue</t>
  </si>
  <si>
    <t>Acct 454</t>
  </si>
  <si>
    <t>Excluded State Dist RA Amort in line 5</t>
  </si>
  <si>
    <t>BPU Assessment</t>
  </si>
  <si>
    <t>Federal FICA &amp; Unemployment and Unemployment( State)</t>
  </si>
  <si>
    <t>December 31, 2020</t>
  </si>
  <si>
    <t>12/31/2019 (Actual)</t>
  </si>
  <si>
    <t>12 Months Ended December 31, 2020</t>
  </si>
  <si>
    <t>December 31, 2019 (Actual)</t>
  </si>
  <si>
    <t>December 31, 2020 (Actual)</t>
  </si>
  <si>
    <t>Accrued Liability - Legal</t>
  </si>
  <si>
    <t>Deferred Revenue</t>
  </si>
  <si>
    <t>Prepaid Taxes</t>
  </si>
  <si>
    <t>State Income Taxes</t>
  </si>
  <si>
    <t>Accrued Property Taxes</t>
  </si>
  <si>
    <t>Total - Pg. 275  (Form 1-F filer:  see note 7, below)</t>
  </si>
  <si>
    <t>Separation Costs</t>
  </si>
  <si>
    <t>b0210.1 Orchard-Cumberland - Install second 230kV line</t>
  </si>
  <si>
    <t>b0212 Corson upgrade 138kV line trap</t>
  </si>
  <si>
    <t>12/31/2020 (Actual)</t>
  </si>
  <si>
    <t>The actuarially determined amount of OPEB expense in FERC 926 decreased $0.9 million from the prior year; The decrease was mainly due to favorable asset returns which were 14.40% in 2020 compared to the expected return of 6.7%. Returns in 2019 were unfavorable at -4.66% compared to the expected return of 6.7%. Further, interest rates decreased from 4.27% in 2019 to 3.27% in 2020. The impact of the decrease in the discount rate decreases interest cost and increases service cost; however, the decrease in interest cost more than offset the increase in service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</si>
</sst>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0.000000"/>
    <numFmt numFmtId="187" formatCode="_(* #,##0.0_);_(* \(#,##0.0\);_(* &quot;-&quot;?_);_(@_)"/>
    <numFmt numFmtId="188" formatCode="_(&quot;$&quot;* #,##0.0_);_(&quot;$&quot;* \(#,##0.0\);_(&quot;$&quot;* &quot;-&quot;?_);_(@_)"/>
    <numFmt numFmtId="189" formatCode="#0._)"/>
    <numFmt numFmtId="190" formatCode="#,##0.0_);\(#,##0.0\)"/>
    <numFmt numFmtId="191" formatCode="#,##0.000"/>
    <numFmt numFmtId="192" formatCode="#,##0.0000"/>
    <numFmt numFmtId="193" formatCode="_-* #,##0.00_-;\-* #,##0.00_-;_-* &quot;-&quot;??_-;_-@_-"/>
    <numFmt numFmtId="194" formatCode="_-* #,##0.00\ _€_-;\-* #,##0.00\ _€_-;_-* &quot;-&quot;??\ _€_-;_-@_-"/>
    <numFmt numFmtId="195" formatCode="_-* #,##0.00\ &quot;€&quot;_-;\-* #,##0.00\ &quot;€&quot;_-;_-* &quot;-&quot;??\ &quot;€&quot;_-;_-@_-"/>
    <numFmt numFmtId="196" formatCode="_(* #,##0.0_);_(* \(#,##0.0\);_(* &quot;-&quot;?_);@_)"/>
    <numFmt numFmtId="197" formatCode="0.000_)"/>
    <numFmt numFmtId="198" formatCode="0.00_)"/>
  </numFmts>
  <fonts count="212">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8"/>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9"/>
      <name val="Arial"/>
      <family val="2"/>
    </font>
    <font>
      <sz val="11"/>
      <color indexed="8"/>
      <name val="Calibri"/>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7.2"/>
      <color indexed="8"/>
      <name val="Arial"/>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Arial"/>
      <family val="2"/>
    </font>
    <font>
      <u/>
      <sz val="7"/>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1"/>
      <color rgb="FF9C6500"/>
      <name val="Calibri"/>
      <family val="2"/>
      <scheme val="minor"/>
    </font>
    <font>
      <sz val="7"/>
      <name val="Small Fonts"/>
      <family val="2"/>
    </font>
    <font>
      <sz val="12"/>
      <color theme="1"/>
      <name val="Times New Roman"/>
      <family val="2"/>
    </font>
    <font>
      <sz val="10"/>
      <color theme="1"/>
      <name val="Arial Unicode MS"/>
      <family val="2"/>
    </font>
    <font>
      <sz val="10"/>
      <name val="Bookman Old Style"/>
      <family val="1"/>
    </font>
    <font>
      <sz val="8"/>
      <name val="Helv"/>
    </font>
    <font>
      <b/>
      <sz val="11"/>
      <color indexed="63"/>
      <name val="Calibri"/>
      <family val="2"/>
    </font>
    <font>
      <b/>
      <sz val="10"/>
      <color indexed="39"/>
      <name val="Arial"/>
      <family val="2"/>
    </font>
    <font>
      <b/>
      <sz val="8"/>
      <name val="Arial"/>
      <family val="2"/>
    </font>
    <font>
      <sz val="19"/>
      <color indexed="48"/>
      <name val="Arial"/>
      <family val="2"/>
    </font>
    <font>
      <b/>
      <sz val="18"/>
      <color indexed="62"/>
      <name val="Cambria"/>
      <family val="2"/>
    </font>
    <font>
      <b/>
      <sz val="14"/>
      <color indexed="8"/>
      <name val="Times New Roman"/>
      <family val="1"/>
    </font>
    <font>
      <sz val="14"/>
      <color indexed="8"/>
      <name val="Times New Roman"/>
      <family val="1"/>
    </font>
    <font>
      <b/>
      <sz val="18"/>
      <color theme="3"/>
      <name val="Calibri Light"/>
      <family val="2"/>
      <scheme val="major"/>
    </font>
    <font>
      <sz val="11"/>
      <color indexed="10"/>
      <name val="Calibri"/>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s>
  <fills count="1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9"/>
      </patternFill>
    </fill>
    <fill>
      <patternFill patternType="solid">
        <fgColor indexed="54"/>
      </patternFill>
    </fill>
    <fill>
      <patternFill patternType="solid">
        <fgColor indexed="15"/>
      </patternFill>
    </fill>
    <fill>
      <patternFill patternType="solid">
        <fgColor indexed="20"/>
      </patternFill>
    </fill>
  </fills>
  <borders count="70">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43658">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3" fillId="0" borderId="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1" fillId="0" borderId="0"/>
    <xf numFmtId="168" fontId="35" fillId="0" borderId="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168" fontId="35" fillId="0" borderId="0" applyProtection="0"/>
    <xf numFmtId="168" fontId="35" fillId="0" borderId="0" applyProtection="0"/>
    <xf numFmtId="0" fontId="8" fillId="0" borderId="0"/>
    <xf numFmtId="0" fontId="82" fillId="0" borderId="0"/>
    <xf numFmtId="0" fontId="61" fillId="0" borderId="0"/>
    <xf numFmtId="0" fontId="8" fillId="0" borderId="0"/>
    <xf numFmtId="168" fontId="35" fillId="0" borderId="0" applyProtection="0"/>
    <xf numFmtId="0" fontId="8" fillId="0" borderId="0"/>
    <xf numFmtId="168" fontId="35" fillId="0" borderId="0" applyProtection="0"/>
    <xf numFmtId="44" fontId="61" fillId="0" borderId="0" applyFont="0" applyFill="0" applyBorder="0" applyAlignment="0" applyProtection="0"/>
    <xf numFmtId="44" fontId="8" fillId="0" borderId="0" applyFont="0" applyFill="0" applyBorder="0" applyAlignment="0" applyProtection="0"/>
    <xf numFmtId="0" fontId="61" fillId="0" borderId="0"/>
    <xf numFmtId="0" fontId="8"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8"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4" fillId="0" borderId="0"/>
    <xf numFmtId="0" fontId="8" fillId="0" borderId="0"/>
    <xf numFmtId="0" fontId="100"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7"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8" fillId="0" borderId="0"/>
    <xf numFmtId="0" fontId="8" fillId="0" borderId="0"/>
    <xf numFmtId="0" fontId="136" fillId="0" borderId="0"/>
    <xf numFmtId="0" fontId="138" fillId="45"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52" borderId="0" applyNumberFormat="0" applyBorder="0" applyAlignment="0" applyProtection="0"/>
    <xf numFmtId="0" fontId="138" fillId="53" borderId="0" applyNumberFormat="0" applyBorder="0" applyAlignment="0" applyProtection="0"/>
    <xf numFmtId="0" fontId="138" fillId="48" borderId="0" applyNumberFormat="0" applyBorder="0" applyAlignment="0" applyProtection="0"/>
    <xf numFmtId="0" fontId="138" fillId="51" borderId="0" applyNumberFormat="0" applyBorder="0" applyAlignment="0" applyProtection="0"/>
    <xf numFmtId="0" fontId="138" fillId="54" borderId="0" applyNumberFormat="0" applyBorder="0" applyAlignment="0" applyProtection="0"/>
    <xf numFmtId="0" fontId="139" fillId="55" borderId="0" applyNumberFormat="0" applyBorder="0" applyAlignment="0" applyProtection="0"/>
    <xf numFmtId="0" fontId="139" fillId="52" borderId="0" applyNumberFormat="0" applyBorder="0" applyAlignment="0" applyProtection="0"/>
    <xf numFmtId="0" fontId="139" fillId="53" borderId="0" applyNumberFormat="0" applyBorder="0" applyAlignment="0" applyProtection="0"/>
    <xf numFmtId="0" fontId="139" fillId="56" borderId="0" applyNumberFormat="0" applyBorder="0" applyAlignment="0" applyProtection="0"/>
    <xf numFmtId="0" fontId="139" fillId="57" borderId="0" applyNumberFormat="0" applyBorder="0" applyAlignment="0" applyProtection="0"/>
    <xf numFmtId="0" fontId="139" fillId="58" borderId="0" applyNumberFormat="0" applyBorder="0" applyAlignment="0" applyProtection="0"/>
    <xf numFmtId="0" fontId="139" fillId="59" borderId="0" applyNumberFormat="0" applyBorder="0" applyAlignment="0" applyProtection="0"/>
    <xf numFmtId="0" fontId="139" fillId="60" borderId="0" applyNumberFormat="0" applyBorder="0" applyAlignment="0" applyProtection="0"/>
    <xf numFmtId="0" fontId="139" fillId="61" borderId="0" applyNumberFormat="0" applyBorder="0" applyAlignment="0" applyProtection="0"/>
    <xf numFmtId="0" fontId="139" fillId="56" borderId="0" applyNumberFormat="0" applyBorder="0" applyAlignment="0" applyProtection="0"/>
    <xf numFmtId="0" fontId="139" fillId="57" borderId="0" applyNumberFormat="0" applyBorder="0" applyAlignment="0" applyProtection="0"/>
    <xf numFmtId="0" fontId="139" fillId="62" borderId="0" applyNumberFormat="0" applyBorder="0" applyAlignment="0" applyProtection="0"/>
    <xf numFmtId="0" fontId="140" fillId="46" borderId="0" applyNumberFormat="0" applyBorder="0" applyAlignment="0" applyProtection="0"/>
    <xf numFmtId="0" fontId="141" fillId="63" borderId="51" applyNumberFormat="0" applyAlignment="0" applyProtection="0"/>
    <xf numFmtId="0" fontId="142" fillId="64" borderId="5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0" fontId="143" fillId="0" borderId="0" applyNumberFormat="0" applyFill="0" applyBorder="0" applyAlignment="0" applyProtection="0"/>
    <xf numFmtId="0" fontId="144" fillId="47" borderId="0" applyNumberFormat="0" applyBorder="0" applyAlignment="0" applyProtection="0"/>
    <xf numFmtId="0" fontId="145" fillId="0" borderId="53" applyNumberFormat="0" applyFill="0" applyAlignment="0" applyProtection="0"/>
    <xf numFmtId="0" fontId="146" fillId="0" borderId="54" applyNumberFormat="0" applyFill="0" applyAlignment="0" applyProtection="0"/>
    <xf numFmtId="0" fontId="147" fillId="0" borderId="55" applyNumberFormat="0" applyFill="0" applyAlignment="0" applyProtection="0"/>
    <xf numFmtId="0" fontId="147" fillId="0" borderId="0" applyNumberFormat="0" applyFill="0" applyBorder="0" applyAlignment="0" applyProtection="0"/>
    <xf numFmtId="0" fontId="148" fillId="50" borderId="51" applyNumberFormat="0" applyAlignment="0" applyProtection="0"/>
    <xf numFmtId="0" fontId="149" fillId="0" borderId="56" applyNumberFormat="0" applyFill="0" applyAlignment="0" applyProtection="0"/>
    <xf numFmtId="0" fontId="150" fillId="65" borderId="0" applyNumberFormat="0" applyBorder="0" applyAlignment="0" applyProtection="0"/>
    <xf numFmtId="0" fontId="138" fillId="66" borderId="57" applyNumberFormat="0" applyFont="0" applyAlignment="0" applyProtection="0"/>
    <xf numFmtId="0" fontId="151" fillId="63" borderId="58" applyNumberFormat="0" applyAlignment="0" applyProtection="0"/>
    <xf numFmtId="9" fontId="8" fillId="0" borderId="0" applyFont="0" applyFill="0" applyBorder="0" applyAlignment="0" applyProtection="0"/>
    <xf numFmtId="0" fontId="152" fillId="0" borderId="0" applyNumberFormat="0" applyFont="0" applyFill="0" applyBorder="0" applyAlignment="0" applyProtection="0">
      <alignment horizontal="left"/>
    </xf>
    <xf numFmtId="15" fontId="152" fillId="0" borderId="0" applyFont="0" applyFill="0" applyBorder="0" applyAlignment="0" applyProtection="0"/>
    <xf numFmtId="4" fontId="152" fillId="0" borderId="0" applyFont="0" applyFill="0" applyBorder="0" applyAlignment="0" applyProtection="0"/>
    <xf numFmtId="0" fontId="153" fillId="0" borderId="1">
      <alignment horizontal="center"/>
    </xf>
    <xf numFmtId="3" fontId="152" fillId="0" borderId="0" applyFont="0" applyFill="0" applyBorder="0" applyAlignment="0" applyProtection="0"/>
    <xf numFmtId="0" fontId="152" fillId="67" borderId="0" applyNumberFormat="0" applyFont="0" applyBorder="0" applyAlignment="0" applyProtection="0"/>
    <xf numFmtId="0" fontId="154" fillId="0" borderId="0" applyNumberFormat="0" applyFill="0" applyBorder="0" applyAlignment="0" applyProtection="0"/>
    <xf numFmtId="0" fontId="155" fillId="0" borderId="59" applyNumberFormat="0" applyFill="0" applyAlignment="0" applyProtection="0"/>
    <xf numFmtId="0" fontId="156" fillId="0" borderId="0" applyNumberFormat="0" applyFill="0" applyBorder="0" applyAlignment="0" applyProtection="0"/>
    <xf numFmtId="0" fontId="8" fillId="0" borderId="0"/>
    <xf numFmtId="186" fontId="8" fillId="0" borderId="0">
      <alignment horizontal="left" wrapText="1"/>
    </xf>
    <xf numFmtId="186" fontId="8" fillId="0" borderId="0">
      <alignment horizontal="left" wrapText="1"/>
    </xf>
    <xf numFmtId="187" fontId="8" fillId="0" borderId="0" applyFont="0" applyFill="0" applyBorder="0" applyAlignment="0" applyProtection="0"/>
    <xf numFmtId="18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3"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3" fillId="0" borderId="0"/>
    <xf numFmtId="0" fontId="83" fillId="0" borderId="0"/>
    <xf numFmtId="0" fontId="83" fillId="0" borderId="0"/>
    <xf numFmtId="0" fontId="8" fillId="0" borderId="0"/>
    <xf numFmtId="0" fontId="8" fillId="0" borderId="0"/>
    <xf numFmtId="0" fontId="8" fillId="0" borderId="0"/>
    <xf numFmtId="0" fontId="83" fillId="0" borderId="0"/>
    <xf numFmtId="0" fontId="8" fillId="0" borderId="0"/>
    <xf numFmtId="0" fontId="152" fillId="0" borderId="0"/>
    <xf numFmtId="37" fontId="25" fillId="0" borderId="0"/>
    <xf numFmtId="0" fontId="8" fillId="0" borderId="0"/>
    <xf numFmtId="0" fontId="8" fillId="0" borderId="0"/>
    <xf numFmtId="0" fontId="8" fillId="0" borderId="0"/>
    <xf numFmtId="0" fontId="158" fillId="0" borderId="0"/>
    <xf numFmtId="0" fontId="8" fillId="0" borderId="0"/>
    <xf numFmtId="0" fontId="8" fillId="0" borderId="0"/>
    <xf numFmtId="0" fontId="8" fillId="0" borderId="0"/>
    <xf numFmtId="0" fontId="83" fillId="0" borderId="0"/>
    <xf numFmtId="0" fontId="159" fillId="0" borderId="0"/>
    <xf numFmtId="175"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0" fontId="160" fillId="0" borderId="60"/>
    <xf numFmtId="189" fontId="161" fillId="0" borderId="0" applyFont="0" applyBorder="0" applyAlignment="0" applyProtection="0"/>
    <xf numFmtId="4" fontId="83" fillId="2" borderId="58" applyNumberFormat="0" applyProtection="0">
      <alignment vertical="center"/>
    </xf>
    <xf numFmtId="4" fontId="162" fillId="2" borderId="58" applyNumberFormat="0" applyProtection="0">
      <alignment vertical="center"/>
    </xf>
    <xf numFmtId="4" fontId="83" fillId="2" borderId="58" applyNumberFormat="0" applyProtection="0">
      <alignment horizontal="left" vertical="center" indent="1"/>
    </xf>
    <xf numFmtId="4" fontId="83" fillId="2" borderId="58" applyNumberFormat="0" applyProtection="0">
      <alignment horizontal="left" vertical="center" indent="1"/>
    </xf>
    <xf numFmtId="0" fontId="8" fillId="68" borderId="58" applyNumberFormat="0" applyProtection="0">
      <alignment horizontal="left" vertical="center" indent="1"/>
    </xf>
    <xf numFmtId="4" fontId="83" fillId="69" borderId="58" applyNumberFormat="0" applyProtection="0">
      <alignment horizontal="right" vertical="center"/>
    </xf>
    <xf numFmtId="4" fontId="83" fillId="70" borderId="58" applyNumberFormat="0" applyProtection="0">
      <alignment horizontal="right" vertical="center"/>
    </xf>
    <xf numFmtId="4" fontId="83" fillId="71" borderId="58" applyNumberFormat="0" applyProtection="0">
      <alignment horizontal="right" vertical="center"/>
    </xf>
    <xf numFmtId="4" fontId="83" fillId="72" borderId="58" applyNumberFormat="0" applyProtection="0">
      <alignment horizontal="right" vertical="center"/>
    </xf>
    <xf numFmtId="4" fontId="83" fillId="73" borderId="58" applyNumberFormat="0" applyProtection="0">
      <alignment horizontal="right" vertical="center"/>
    </xf>
    <xf numFmtId="4" fontId="83" fillId="74" borderId="58" applyNumberFormat="0" applyProtection="0">
      <alignment horizontal="right" vertical="center"/>
    </xf>
    <xf numFmtId="4" fontId="83" fillId="75" borderId="58" applyNumberFormat="0" applyProtection="0">
      <alignment horizontal="right" vertical="center"/>
    </xf>
    <xf numFmtId="4" fontId="83" fillId="76" borderId="58" applyNumberFormat="0" applyProtection="0">
      <alignment horizontal="right" vertical="center"/>
    </xf>
    <xf numFmtId="4" fontId="83" fillId="77" borderId="58" applyNumberFormat="0" applyProtection="0">
      <alignment horizontal="right" vertical="center"/>
    </xf>
    <xf numFmtId="4" fontId="163" fillId="78" borderId="58" applyNumberFormat="0" applyProtection="0">
      <alignment horizontal="left" vertical="center" indent="1"/>
    </xf>
    <xf numFmtId="4" fontId="83" fillId="79" borderId="61" applyNumberFormat="0" applyProtection="0">
      <alignment horizontal="left" vertical="center" indent="1"/>
    </xf>
    <xf numFmtId="4" fontId="164" fillId="80" borderId="0" applyNumberFormat="0" applyProtection="0">
      <alignment horizontal="left" vertical="center" indent="1"/>
    </xf>
    <xf numFmtId="0" fontId="8" fillId="68" borderId="58" applyNumberFormat="0" applyProtection="0">
      <alignment horizontal="left" vertical="center" indent="1"/>
    </xf>
    <xf numFmtId="4" fontId="83" fillId="79" borderId="58" applyNumberFormat="0" applyProtection="0">
      <alignment horizontal="left" vertical="center" indent="1"/>
    </xf>
    <xf numFmtId="4" fontId="83"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83" fillId="84" borderId="58" applyNumberFormat="0" applyProtection="0">
      <alignment vertical="center"/>
    </xf>
    <xf numFmtId="4" fontId="162" fillId="84" borderId="58" applyNumberFormat="0" applyProtection="0">
      <alignment vertical="center"/>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79" borderId="58" applyNumberFormat="0" applyProtection="0">
      <alignment horizontal="right" vertical="center"/>
    </xf>
    <xf numFmtId="4" fontId="162" fillId="79" borderId="58" applyNumberFormat="0" applyProtection="0">
      <alignment horizontal="right" vertical="center"/>
    </xf>
    <xf numFmtId="4" fontId="164" fillId="85" borderId="62" applyNumberFormat="0" applyProtection="0">
      <alignment horizontal="left" vertical="center" indent="1"/>
    </xf>
    <xf numFmtId="0" fontId="8" fillId="68" borderId="58" applyNumberFormat="0" applyProtection="0">
      <alignment horizontal="left" vertical="center" indent="1"/>
    </xf>
    <xf numFmtId="0" fontId="165" fillId="0" borderId="0"/>
    <xf numFmtId="4" fontId="4" fillId="79" borderId="58" applyNumberFormat="0" applyProtection="0">
      <alignment horizontal="right" vertical="center"/>
    </xf>
    <xf numFmtId="186" fontId="8" fillId="0" borderId="0">
      <alignment horizontal="left" wrapText="1"/>
    </xf>
    <xf numFmtId="0" fontId="83" fillId="0" borderId="0" applyNumberFormat="0" applyBorder="0" applyAlignment="0"/>
    <xf numFmtId="0" fontId="166" fillId="0" borderId="0" applyNumberFormat="0" applyBorder="0" applyAlignment="0"/>
    <xf numFmtId="0" fontId="167" fillId="0" borderId="0" applyNumberFormat="0" applyBorder="0" applyAlignment="0"/>
    <xf numFmtId="0" fontId="168" fillId="0" borderId="0" applyNumberFormat="0" applyBorder="0" applyAlignment="0"/>
    <xf numFmtId="0" fontId="166" fillId="0" borderId="0" applyNumberFormat="0" applyBorder="0" applyAlignment="0"/>
    <xf numFmtId="0" fontId="169" fillId="0" borderId="63"/>
    <xf numFmtId="0" fontId="83" fillId="0" borderId="0"/>
    <xf numFmtId="43" fontId="76" fillId="0" borderId="0" applyFont="0" applyFill="0" applyBorder="0" applyAlignment="0" applyProtection="0"/>
    <xf numFmtId="44"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3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158"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3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158"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3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158"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3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158"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3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3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3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3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3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158"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3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3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3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39" fillId="55" borderId="0" applyNumberFormat="0" applyBorder="0" applyAlignment="0" applyProtection="0"/>
    <xf numFmtId="0" fontId="170" fillId="55" borderId="0" applyNumberFormat="0" applyBorder="0" applyAlignment="0" applyProtection="0"/>
    <xf numFmtId="0" fontId="135" fillId="24" borderId="0" applyNumberFormat="0" applyBorder="0" applyAlignment="0" applyProtection="0"/>
    <xf numFmtId="0" fontId="135" fillId="24"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35" fillId="24" borderId="0" applyNumberFormat="0" applyBorder="0" applyAlignment="0" applyProtection="0"/>
    <xf numFmtId="0" fontId="135" fillId="24"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5"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39" fillId="52" borderId="0" applyNumberFormat="0" applyBorder="0" applyAlignment="0" applyProtection="0"/>
    <xf numFmtId="0" fontId="170" fillId="52" borderId="0" applyNumberFormat="0" applyBorder="0" applyAlignment="0" applyProtection="0"/>
    <xf numFmtId="0" fontId="135" fillId="28" borderId="0" applyNumberFormat="0" applyBorder="0" applyAlignment="0" applyProtection="0"/>
    <xf numFmtId="0" fontId="135" fillId="28"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35" fillId="28" borderId="0" applyNumberFormat="0" applyBorder="0" applyAlignment="0" applyProtection="0"/>
    <xf numFmtId="0" fontId="135" fillId="28"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39" fillId="53" borderId="0" applyNumberFormat="0" applyBorder="0" applyAlignment="0" applyProtection="0"/>
    <xf numFmtId="0" fontId="170" fillId="53" borderId="0" applyNumberFormat="0" applyBorder="0" applyAlignment="0" applyProtection="0"/>
    <xf numFmtId="0" fontId="135" fillId="32" borderId="0" applyNumberFormat="0" applyBorder="0" applyAlignment="0" applyProtection="0"/>
    <xf numFmtId="0" fontId="135" fillId="32" borderId="0" applyNumberFormat="0" applyBorder="0" applyAlignment="0" applyProtection="0"/>
    <xf numFmtId="0" fontId="170" fillId="53" borderId="0" applyNumberFormat="0" applyBorder="0" applyAlignment="0" applyProtection="0"/>
    <xf numFmtId="0" fontId="135"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9" fillId="56" borderId="0" applyNumberFormat="0" applyBorder="0" applyAlignment="0" applyProtection="0"/>
    <xf numFmtId="0" fontId="170" fillId="5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70" fillId="56" borderId="0" applyNumberFormat="0" applyBorder="0" applyAlignment="0" applyProtection="0"/>
    <xf numFmtId="0" fontId="135"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5" fillId="56" borderId="0" applyNumberFormat="0" applyBorder="0" applyAlignment="0" applyProtection="0"/>
    <xf numFmtId="0" fontId="135"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9" fillId="57" borderId="0" applyNumberFormat="0" applyBorder="0" applyAlignment="0" applyProtection="0"/>
    <xf numFmtId="0" fontId="170" fillId="57"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39" fillId="58" borderId="0" applyNumberFormat="0" applyBorder="0" applyAlignment="0" applyProtection="0"/>
    <xf numFmtId="0" fontId="170" fillId="58"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70" fillId="58" borderId="0" applyNumberFormat="0" applyBorder="0" applyAlignment="0" applyProtection="0"/>
    <xf numFmtId="0" fontId="135"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158" fillId="86" borderId="0" applyNumberFormat="0" applyBorder="0" applyAlignment="0" applyProtection="0"/>
    <xf numFmtId="0" fontId="158" fillId="87" borderId="0" applyNumberFormat="0" applyBorder="0" applyAlignment="0" applyProtection="0"/>
    <xf numFmtId="0" fontId="170" fillId="88"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9" fillId="59"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5" fillId="2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39"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58" fillId="89" borderId="0" applyNumberFormat="0" applyBorder="0" applyAlignment="0" applyProtection="0"/>
    <xf numFmtId="0" fontId="158" fillId="90" borderId="0" applyNumberFormat="0" applyBorder="0" applyAlignment="0" applyProtection="0"/>
    <xf numFmtId="0" fontId="170" fillId="91"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9" fillId="60"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5" fillId="25"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39"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58" fillId="92" borderId="0" applyNumberFormat="0" applyBorder="0" applyAlignment="0" applyProtection="0"/>
    <xf numFmtId="0" fontId="158" fillId="93" borderId="0" applyNumberFormat="0" applyBorder="0" applyAlignment="0" applyProtection="0"/>
    <xf numFmtId="0" fontId="170" fillId="94"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9" fillId="61"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5" fillId="29"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39"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70" fillId="61" borderId="0" applyNumberFormat="0" applyBorder="0" applyAlignment="0" applyProtection="0"/>
    <xf numFmtId="0" fontId="158" fillId="89" borderId="0" applyNumberFormat="0" applyBorder="0" applyAlignment="0" applyProtection="0"/>
    <xf numFmtId="0" fontId="158" fillId="95" borderId="0" applyNumberFormat="0" applyBorder="0" applyAlignment="0" applyProtection="0"/>
    <xf numFmtId="0" fontId="170" fillId="90"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9" fillId="56"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5" fillId="33"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39"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70" fillId="56" borderId="0" applyNumberFormat="0" applyBorder="0" applyAlignment="0" applyProtection="0"/>
    <xf numFmtId="0" fontId="158" fillId="96" borderId="0" applyNumberFormat="0" applyBorder="0" applyAlignment="0" applyProtection="0"/>
    <xf numFmtId="0" fontId="158" fillId="97" borderId="0" applyNumberFormat="0" applyBorder="0" applyAlignment="0" applyProtection="0"/>
    <xf numFmtId="0" fontId="170" fillId="88"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9" fillId="5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5" fillId="3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39"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70" fillId="57" borderId="0" applyNumberFormat="0" applyBorder="0" applyAlignment="0" applyProtection="0"/>
    <xf numFmtId="0" fontId="158" fillId="98" borderId="0" applyNumberFormat="0" applyBorder="0" applyAlignment="0" applyProtection="0"/>
    <xf numFmtId="0" fontId="158" fillId="99" borderId="0" applyNumberFormat="0" applyBorder="0" applyAlignment="0" applyProtection="0"/>
    <xf numFmtId="0" fontId="170" fillId="100"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9" fillId="62"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5" fillId="41"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39"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40" fillId="46" borderId="0" applyNumberFormat="0" applyBorder="0" applyAlignment="0" applyProtection="0"/>
    <xf numFmtId="0" fontId="171" fillId="46"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41"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41"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31" fillId="18" borderId="45" applyNumberFormat="0" applyAlignment="0" applyProtection="0"/>
    <xf numFmtId="0" fontId="131" fillId="18" borderId="45"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31" fillId="18" borderId="45"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31" fillId="18" borderId="45"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31" fillId="18" borderId="45"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41"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2" fillId="63" borderId="51"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42" fillId="64" borderId="52" applyNumberFormat="0" applyAlignment="0" applyProtection="0"/>
    <xf numFmtId="0" fontId="173" fillId="64" borderId="52" applyNumberFormat="0" applyAlignment="0" applyProtection="0"/>
    <xf numFmtId="0" fontId="133" fillId="19" borderId="48" applyNumberFormat="0" applyAlignment="0" applyProtection="0"/>
    <xf numFmtId="0" fontId="133" fillId="19" borderId="48"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33" fillId="19" borderId="48" applyNumberFormat="0" applyAlignment="0" applyProtection="0"/>
    <xf numFmtId="0" fontId="133" fillId="19" borderId="48"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0" fontId="173" fillId="64" borderId="52" applyNumberFormat="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7"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7"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7"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7"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7"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82"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82"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82"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82"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82"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43" fontId="1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158" fillId="0" borderId="0" applyNumberFormat="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8" fillId="0" borderId="0" applyFont="0" applyFill="0" applyBorder="0" applyAlignment="0" applyProtection="0"/>
    <xf numFmtId="193" fontId="8" fillId="0" borderId="0" applyFont="0" applyFill="0" applyBorder="0" applyAlignment="0" applyProtection="0"/>
    <xf numFmtId="0" fontId="68" fillId="0" borderId="0" applyFont="0" applyFill="0" applyBorder="0" applyAlignment="0" applyProtection="0"/>
    <xf numFmtId="43" fontId="8" fillId="0" borderId="0" applyFont="0" applyFill="0" applyBorder="0" applyAlignment="0" applyProtection="0"/>
    <xf numFmtId="0" fontId="6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194"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68" fillId="0" borderId="0" applyFont="0" applyFill="0" applyBorder="0" applyAlignment="0" applyProtection="0"/>
    <xf numFmtId="19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46"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19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9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1" fillId="0" borderId="0" applyFont="0" applyFill="0" applyBorder="0" applyAlignment="0" applyProtection="0"/>
    <xf numFmtId="43" fontId="83"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4"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158" fillId="0" borderId="0" applyNumberFormat="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5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75" fillId="101" borderId="0" applyNumberFormat="0" applyBorder="0" applyAlignment="0" applyProtection="0"/>
    <xf numFmtId="0" fontId="175" fillId="102" borderId="0" applyNumberFormat="0" applyBorder="0" applyAlignment="0" applyProtection="0"/>
    <xf numFmtId="0" fontId="175" fillId="103" borderId="0" applyNumberFormat="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3" fillId="0" borderId="0" applyNumberFormat="0" applyFill="0" applyBorder="0" applyAlignment="0" applyProtection="0"/>
    <xf numFmtId="0" fontId="17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58" fillId="0" borderId="0" applyNumberFormat="0" applyFont="0" applyFill="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44" fillId="47" borderId="0" applyNumberFormat="0" applyBorder="0" applyAlignment="0" applyProtection="0"/>
    <xf numFmtId="0" fontId="177" fillId="47"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45" fillId="0" borderId="53" applyNumberFormat="0" applyFill="0" applyAlignment="0" applyProtection="0"/>
    <xf numFmtId="0" fontId="178" fillId="0" borderId="53"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8" fillId="0" borderId="53"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46" fillId="0" borderId="54" applyNumberFormat="0" applyFill="0" applyAlignment="0" applyProtection="0"/>
    <xf numFmtId="0" fontId="179" fillId="0" borderId="54"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79" fillId="0" borderId="54"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47" fillId="0" borderId="55" applyNumberFormat="0" applyFill="0" applyAlignment="0" applyProtection="0"/>
    <xf numFmtId="0" fontId="180" fillId="0" borderId="55"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55"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7" fillId="0" borderId="0" applyNumberFormat="0" applyFill="0" applyBorder="0" applyAlignment="0" applyProtection="0"/>
    <xf numFmtId="0" fontId="180"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58" fillId="0" borderId="0" applyNumberFormat="0" applyFont="0" applyFill="0" applyBorder="0" applyAlignment="0" applyProtection="0"/>
    <xf numFmtId="0" fontId="181"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48"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48"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29" fillId="17" borderId="45" applyNumberFormat="0" applyAlignment="0" applyProtection="0"/>
    <xf numFmtId="0" fontId="129" fillId="17" borderId="45"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29" fillId="17" borderId="45"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29" fillId="17" borderId="45"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29" fillId="17" borderId="45"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48"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5" fillId="50" borderId="51" applyNumberFormat="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49" fillId="0" borderId="56" applyNumberFormat="0" applyFill="0" applyAlignment="0" applyProtection="0"/>
    <xf numFmtId="0" fontId="186" fillId="0" borderId="56" applyNumberFormat="0" applyFill="0" applyAlignment="0" applyProtection="0"/>
    <xf numFmtId="0" fontId="132" fillId="0" borderId="47" applyNumberFormat="0" applyFill="0" applyAlignment="0" applyProtection="0"/>
    <xf numFmtId="0" fontId="132" fillId="0" borderId="47"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32" fillId="0" borderId="47" applyNumberFormat="0" applyFill="0" applyAlignment="0" applyProtection="0"/>
    <xf numFmtId="0" fontId="132" fillId="0" borderId="47"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6" fillId="0" borderId="56" applyNumberFormat="0" applyFill="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50" fillId="65" borderId="0" applyNumberFormat="0" applyBorder="0" applyAlignment="0" applyProtection="0"/>
    <xf numFmtId="0" fontId="187" fillId="65"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0" fontId="187" fillId="65" borderId="0" applyNumberFormat="0" applyBorder="0" applyAlignment="0" applyProtection="0"/>
    <xf numFmtId="37" fontId="189" fillId="0" borderId="0"/>
    <xf numFmtId="0" fontId="8" fillId="0" borderId="0"/>
    <xf numFmtId="0" fontId="8" fillId="0" borderId="0"/>
    <xf numFmtId="0" fontId="8" fillId="0" borderId="0"/>
    <xf numFmtId="0" fontId="8" fillId="0" borderId="0"/>
    <xf numFmtId="0" fontId="8" fillId="0" borderId="0"/>
    <xf numFmtId="0" fontId="8" fillId="0" borderId="0"/>
    <xf numFmtId="0" fontId="83" fillId="0" borderId="0"/>
    <xf numFmtId="0" fontId="46" fillId="0" borderId="0"/>
    <xf numFmtId="0" fontId="46"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8" fillId="0" borderId="0"/>
    <xf numFmtId="0" fontId="46" fillId="0" borderId="0"/>
    <xf numFmtId="0" fontId="8" fillId="0" borderId="0"/>
    <xf numFmtId="0" fontId="46" fillId="0" borderId="0"/>
    <xf numFmtId="0" fontId="46" fillId="0" borderId="0"/>
    <xf numFmtId="0" fontId="46" fillId="0" borderId="0"/>
    <xf numFmtId="0" fontId="61" fillId="0" borderId="0"/>
    <xf numFmtId="0" fontId="46" fillId="0" borderId="0"/>
    <xf numFmtId="0" fontId="83" fillId="0" borderId="0"/>
    <xf numFmtId="0" fontId="6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58" fillId="0" borderId="0"/>
    <xf numFmtId="0" fontId="190" fillId="0" borderId="0"/>
    <xf numFmtId="0" fontId="190" fillId="0" borderId="0"/>
    <xf numFmtId="0" fontId="190" fillId="0" borderId="0"/>
    <xf numFmtId="0" fontId="190" fillId="0" borderId="0"/>
    <xf numFmtId="0" fontId="8" fillId="0" borderId="0"/>
    <xf numFmtId="0" fontId="8" fillId="0" borderId="0"/>
    <xf numFmtId="0" fontId="8" fillId="0" borderId="0"/>
    <xf numFmtId="0" fontId="190" fillId="0" borderId="0"/>
    <xf numFmtId="0" fontId="8" fillId="0" borderId="0"/>
    <xf numFmtId="0" fontId="8" fillId="0" borderId="0"/>
    <xf numFmtId="0" fontId="8" fillId="0" borderId="0"/>
    <xf numFmtId="0" fontId="61"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xf numFmtId="0" fontId="15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7" fontId="25" fillId="0" borderId="0"/>
    <xf numFmtId="0" fontId="8" fillId="0" borderId="0"/>
    <xf numFmtId="0" fontId="8" fillId="0" borderId="0"/>
    <xf numFmtId="37" fontId="25" fillId="0" borderId="0"/>
    <xf numFmtId="0" fontId="8" fillId="0" borderId="0"/>
    <xf numFmtId="0" fontId="8" fillId="0" borderId="0"/>
    <xf numFmtId="0" fontId="158" fillId="0" borderId="0"/>
    <xf numFmtId="0" fontId="8" fillId="0" borderId="0"/>
    <xf numFmtId="37" fontId="25" fillId="0" borderId="0"/>
    <xf numFmtId="0" fontId="61" fillId="0" borderId="0"/>
    <xf numFmtId="0" fontId="61" fillId="0" borderId="0"/>
    <xf numFmtId="0" fontId="61" fillId="0" borderId="0"/>
    <xf numFmtId="0" fontId="68" fillId="0" borderId="0"/>
    <xf numFmtId="0" fontId="6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158" fillId="0" borderId="0"/>
    <xf numFmtId="0" fontId="61"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158" fillId="0" borderId="0"/>
    <xf numFmtId="0" fontId="46" fillId="0" borderId="0"/>
    <xf numFmtId="0" fontId="46"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46" fillId="0" borderId="0"/>
    <xf numFmtId="0" fontId="8" fillId="0" borderId="0"/>
    <xf numFmtId="0" fontId="46" fillId="0" borderId="0"/>
    <xf numFmtId="0" fontId="8" fillId="0" borderId="0"/>
    <xf numFmtId="0" fontId="46" fillId="0" borderId="0"/>
    <xf numFmtId="0" fontId="8"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46" fillId="0" borderId="0"/>
    <xf numFmtId="0" fontId="8" fillId="0" borderId="0"/>
    <xf numFmtId="0" fontId="61" fillId="0" borderId="0"/>
    <xf numFmtId="0" fontId="61" fillId="0" borderId="0"/>
    <xf numFmtId="0" fontId="61" fillId="0" borderId="0"/>
    <xf numFmtId="0" fontId="46"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46" fillId="0" borderId="0"/>
    <xf numFmtId="0" fontId="8" fillId="0" borderId="0"/>
    <xf numFmtId="0" fontId="61" fillId="0" borderId="0"/>
    <xf numFmtId="0" fontId="61" fillId="0" borderId="0"/>
    <xf numFmtId="0" fontId="61" fillId="0" borderId="0"/>
    <xf numFmtId="0" fontId="46" fillId="0" borderId="0"/>
    <xf numFmtId="0" fontId="8" fillId="0" borderId="0"/>
    <xf numFmtId="0" fontId="46" fillId="0" borderId="0"/>
    <xf numFmtId="0" fontId="46" fillId="0" borderId="0"/>
    <xf numFmtId="0" fontId="46" fillId="0" borderId="0"/>
    <xf numFmtId="0" fontId="46"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5" fillId="0" borderId="0"/>
    <xf numFmtId="0" fontId="8" fillId="0" borderId="0"/>
    <xf numFmtId="37" fontId="25" fillId="0" borderId="0"/>
    <xf numFmtId="0" fontId="8" fillId="0" borderId="0"/>
    <xf numFmtId="0" fontId="8" fillId="0" borderId="0"/>
    <xf numFmtId="37" fontId="25"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8" fillId="0" borderId="0"/>
    <xf numFmtId="0" fontId="61" fillId="0" borderId="0" applyNumberFormat="0" applyFont="0" applyFill="0" applyBorder="0" applyAlignment="0" applyProtection="0"/>
    <xf numFmtId="0" fontId="61"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158"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46" fillId="0" borderId="0"/>
    <xf numFmtId="0" fontId="8" fillId="0" borderId="0"/>
    <xf numFmtId="0" fontId="83"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8" fillId="0" borderId="0"/>
    <xf numFmtId="0" fontId="61"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46"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1" fillId="0" borderId="0"/>
    <xf numFmtId="0" fontId="191"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193"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191" fillId="0" borderId="0"/>
    <xf numFmtId="0" fontId="8" fillId="0" borderId="0"/>
    <xf numFmtId="0" fontId="191" fillId="0" borderId="0"/>
    <xf numFmtId="0" fontId="8"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8" fillId="0" borderId="0"/>
    <xf numFmtId="0" fontId="61" fillId="0" borderId="0"/>
    <xf numFmtId="0" fontId="61" fillId="0" borderId="0"/>
    <xf numFmtId="0" fontId="61" fillId="0" borderId="0"/>
    <xf numFmtId="0" fontId="137"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152"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8" fillId="0" borderId="0"/>
    <xf numFmtId="0" fontId="61" fillId="0" borderId="0"/>
    <xf numFmtId="0" fontId="61" fillId="0" borderId="0"/>
    <xf numFmtId="0" fontId="8" fillId="0" borderId="0"/>
    <xf numFmtId="0" fontId="61" fillId="0" borderId="0"/>
    <xf numFmtId="0" fontId="8" fillId="0" borderId="0"/>
    <xf numFmtId="0" fontId="61" fillId="0" borderId="0"/>
    <xf numFmtId="0" fontId="61" fillId="0" borderId="0"/>
    <xf numFmtId="0" fontId="8" fillId="0" borderId="0"/>
    <xf numFmtId="0" fontId="61" fillId="0" borderId="0"/>
    <xf numFmtId="0" fontId="8" fillId="0" borderId="0"/>
    <xf numFmtId="0" fontId="61"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5" fillId="0" borderId="0"/>
    <xf numFmtId="0" fontId="8" fillId="0" borderId="0"/>
    <xf numFmtId="0" fontId="8" fillId="0" borderId="0"/>
    <xf numFmtId="37" fontId="25" fillId="0" borderId="0"/>
    <xf numFmtId="0" fontId="8" fillId="0" borderId="0"/>
    <xf numFmtId="37" fontId="25" fillId="0" borderId="0"/>
    <xf numFmtId="0" fontId="8" fillId="0" borderId="0"/>
    <xf numFmtId="0" fontId="8" fillId="0" borderId="0"/>
    <xf numFmtId="37" fontId="25" fillId="0" borderId="0"/>
    <xf numFmtId="0" fontId="8" fillId="0" borderId="0"/>
    <xf numFmtId="37" fontId="25" fillId="0" borderId="0"/>
    <xf numFmtId="37" fontId="25"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xf numFmtId="0" fontId="8" fillId="0" borderId="0"/>
    <xf numFmtId="0" fontId="61" fillId="0" borderId="0"/>
    <xf numFmtId="0" fontId="61" fillId="0" borderId="0"/>
    <xf numFmtId="0" fontId="8" fillId="0" borderId="0"/>
    <xf numFmtId="0" fontId="8" fillId="0" borderId="0"/>
    <xf numFmtId="0" fontId="61" fillId="0" borderId="0"/>
    <xf numFmtId="0" fontId="46" fillId="0" borderId="0"/>
    <xf numFmtId="0" fontId="8" fillId="0" borderId="0"/>
    <xf numFmtId="0" fontId="61"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8" fillId="0" borderId="0"/>
    <xf numFmtId="0" fontId="158" fillId="0" borderId="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0"/>
    <xf numFmtId="0" fontId="8" fillId="0" borderId="0"/>
    <xf numFmtId="0" fontId="8" fillId="0" borderId="0"/>
    <xf numFmtId="0" fontId="159"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46" fillId="0" borderId="0"/>
    <xf numFmtId="0" fontId="46" fillId="0" borderId="0"/>
    <xf numFmtId="0" fontId="8" fillId="0" borderId="0"/>
    <xf numFmtId="0" fontId="61" fillId="0" borderId="0"/>
    <xf numFmtId="0" fontId="46" fillId="0" borderId="0"/>
    <xf numFmtId="0" fontId="8" fillId="0" borderId="0"/>
    <xf numFmtId="0" fontId="61" fillId="0" borderId="0"/>
    <xf numFmtId="0" fontId="8" fillId="0" borderId="0"/>
    <xf numFmtId="0" fontId="61" fillId="0" borderId="0"/>
    <xf numFmtId="0" fontId="61" fillId="0" borderId="0"/>
    <xf numFmtId="0" fontId="8"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61" fillId="0" borderId="0"/>
    <xf numFmtId="0" fontId="8" fillId="0" borderId="0"/>
    <xf numFmtId="0" fontId="8"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61" fillId="0" borderId="0"/>
    <xf numFmtId="0" fontId="61" fillId="0" borderId="0"/>
    <xf numFmtId="0" fontId="190" fillId="0" borderId="0"/>
    <xf numFmtId="0" fontId="190" fillId="0" borderId="0"/>
    <xf numFmtId="0" fontId="61" fillId="0" borderId="0"/>
    <xf numFmtId="0" fontId="190" fillId="0" borderId="0"/>
    <xf numFmtId="0" fontId="190" fillId="0" borderId="0"/>
    <xf numFmtId="0" fontId="8" fillId="0" borderId="0"/>
    <xf numFmtId="0" fontId="8" fillId="0" borderId="0"/>
    <xf numFmtId="0" fontId="190" fillId="0" borderId="0"/>
    <xf numFmtId="0" fontId="190" fillId="0" borderId="0"/>
    <xf numFmtId="0" fontId="190" fillId="0" borderId="0"/>
    <xf numFmtId="0" fontId="190" fillId="0" borderId="0"/>
    <xf numFmtId="0" fontId="61" fillId="0" borderId="0"/>
    <xf numFmtId="0" fontId="61" fillId="0" borderId="0"/>
    <xf numFmtId="0" fontId="190" fillId="0" borderId="0"/>
    <xf numFmtId="0" fontId="61" fillId="0" borderId="0"/>
    <xf numFmtId="0" fontId="190" fillId="0" borderId="0"/>
    <xf numFmtId="0" fontId="61" fillId="0" borderId="0"/>
    <xf numFmtId="0" fontId="190" fillId="0" borderId="0"/>
    <xf numFmtId="0" fontId="190" fillId="0" borderId="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3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20" borderId="49"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20" borderId="49"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13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158"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25"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158"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15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58" fillId="66" borderId="57" applyNumberFormat="0" applyFont="0" applyAlignment="0" applyProtection="0"/>
    <xf numFmtId="0" fontId="13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8" fillId="66" borderId="57" applyNumberFormat="0" applyFon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51"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51"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30" fillId="18" borderId="46" applyNumberFormat="0" applyAlignment="0" applyProtection="0"/>
    <xf numFmtId="0" fontId="130" fillId="18" borderId="46"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30" fillId="18" borderId="46"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30" fillId="18" borderId="46"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30" fillId="18" borderId="46"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51"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194" fillId="63" borderId="58" applyNumberFormat="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0"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0"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0"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0"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0"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46"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46"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3"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6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15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0" fontId="152" fillId="0" borderId="0" applyNumberFormat="0" applyFont="0" applyFill="0" applyBorder="0" applyAlignment="0" applyProtection="0">
      <alignment horizontal="left"/>
    </xf>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15"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4" fontId="152" fillId="0" borderId="0" applyFont="0" applyFill="0" applyBorder="0" applyAlignment="0" applyProtection="0"/>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0" fontId="153" fillId="0" borderId="1">
      <alignment horizontal="center"/>
    </xf>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3" fontId="152" fillId="0" borderId="0" applyFont="0" applyFill="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52" fillId="67" borderId="0" applyNumberFormat="0" applyFont="0" applyBorder="0" applyAlignment="0" applyProtection="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61" fillId="0" borderId="0" applyNumberFormat="0" applyFont="0" applyFill="0" applyBorder="0" applyAlignment="0" applyProtection="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61" fillId="0" borderId="0" applyNumberFormat="0" applyFont="0" applyFill="0" applyBorder="0" applyAlignment="0" applyProtection="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160" fillId="0" borderId="60"/>
    <xf numFmtId="0" fontId="8" fillId="0" borderId="0" applyNumberFormat="0" applyFill="0" applyBorder="0" applyAlignment="0" applyProtection="0"/>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63" fillId="65" borderId="62" applyNumberFormat="0" applyProtection="0">
      <alignment vertical="center"/>
    </xf>
    <xf numFmtId="4" fontId="163" fillId="65" borderId="62" applyNumberFormat="0" applyProtection="0">
      <alignment vertical="center"/>
    </xf>
    <xf numFmtId="4" fontId="163" fillId="65" borderId="62"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63" fillId="65" borderId="62" applyNumberFormat="0" applyProtection="0">
      <alignment vertical="center"/>
    </xf>
    <xf numFmtId="4" fontId="163" fillId="65" borderId="62" applyNumberFormat="0" applyProtection="0">
      <alignment vertical="center"/>
    </xf>
    <xf numFmtId="4" fontId="163" fillId="65" borderId="62"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83"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95" fillId="2" borderId="62" applyNumberFormat="0" applyProtection="0">
      <alignment vertical="center"/>
    </xf>
    <xf numFmtId="4" fontId="195" fillId="2" borderId="62" applyNumberFormat="0" applyProtection="0">
      <alignment vertical="center"/>
    </xf>
    <xf numFmtId="4" fontId="195" fillId="2" borderId="62"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95" fillId="2" borderId="62" applyNumberFormat="0" applyProtection="0">
      <alignment vertical="center"/>
    </xf>
    <xf numFmtId="4" fontId="195" fillId="2" borderId="62" applyNumberFormat="0" applyProtection="0">
      <alignment vertical="center"/>
    </xf>
    <xf numFmtId="4" fontId="195" fillId="2" borderId="62"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162" fillId="2" borderId="58" applyNumberFormat="0" applyProtection="0">
      <alignment vertical="center"/>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63" fillId="2" borderId="62" applyNumberFormat="0" applyProtection="0">
      <alignment horizontal="left" vertical="center" indent="1"/>
    </xf>
    <xf numFmtId="4" fontId="163" fillId="2" borderId="62" applyNumberFormat="0" applyProtection="0">
      <alignment horizontal="left" vertical="center" indent="1"/>
    </xf>
    <xf numFmtId="4" fontId="163" fillId="2" borderId="62"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63" fillId="2" borderId="62" applyNumberFormat="0" applyProtection="0">
      <alignment horizontal="left" vertical="center" indent="1"/>
    </xf>
    <xf numFmtId="4" fontId="163" fillId="2" borderId="62" applyNumberFormat="0" applyProtection="0">
      <alignment horizontal="left" vertical="center" indent="1"/>
    </xf>
    <xf numFmtId="4" fontId="163" fillId="2" borderId="62"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0" fontId="163" fillId="2" borderId="62" applyNumberFormat="0" applyProtection="0">
      <alignment horizontal="left" vertical="top" indent="1"/>
    </xf>
    <xf numFmtId="0" fontId="163" fillId="2" borderId="62" applyNumberFormat="0" applyProtection="0">
      <alignment horizontal="left" vertical="top" indent="1"/>
    </xf>
    <xf numFmtId="0" fontId="163" fillId="2" borderId="62" applyNumberFormat="0" applyProtection="0">
      <alignment horizontal="left" vertical="top"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0" fontId="163" fillId="2" borderId="62" applyNumberFormat="0" applyProtection="0">
      <alignment horizontal="left" vertical="top" indent="1"/>
    </xf>
    <xf numFmtId="0" fontId="163" fillId="2" borderId="62" applyNumberFormat="0" applyProtection="0">
      <alignment horizontal="left" vertical="top" indent="1"/>
    </xf>
    <xf numFmtId="0" fontId="163" fillId="2" borderId="62" applyNumberFormat="0" applyProtection="0">
      <alignment horizontal="left" vertical="top"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83" fillId="2" borderId="58" applyNumberFormat="0" applyProtection="0">
      <alignment horizontal="left" vertical="center" indent="1"/>
    </xf>
    <xf numFmtId="4" fontId="163" fillId="104" borderId="0"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163" fillId="104" borderId="0"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46" borderId="62" applyNumberFormat="0" applyProtection="0">
      <alignment horizontal="right" vertical="center"/>
    </xf>
    <xf numFmtId="4" fontId="83" fillId="46" borderId="62" applyNumberFormat="0" applyProtection="0">
      <alignment horizontal="right" vertical="center"/>
    </xf>
    <xf numFmtId="4" fontId="83" fillId="46" borderId="62"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46" borderId="62" applyNumberFormat="0" applyProtection="0">
      <alignment horizontal="right" vertical="center"/>
    </xf>
    <xf numFmtId="4" fontId="83" fillId="46" borderId="62" applyNumberFormat="0" applyProtection="0">
      <alignment horizontal="right" vertical="center"/>
    </xf>
    <xf numFmtId="4" fontId="83" fillId="46" borderId="62"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69"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52" borderId="62" applyNumberFormat="0" applyProtection="0">
      <alignment horizontal="right" vertical="center"/>
    </xf>
    <xf numFmtId="4" fontId="83" fillId="52" borderId="62" applyNumberFormat="0" applyProtection="0">
      <alignment horizontal="right" vertical="center"/>
    </xf>
    <xf numFmtId="4" fontId="83" fillId="52" borderId="62"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52" borderId="62" applyNumberFormat="0" applyProtection="0">
      <alignment horizontal="right" vertical="center"/>
    </xf>
    <xf numFmtId="4" fontId="83" fillId="52" borderId="62" applyNumberFormat="0" applyProtection="0">
      <alignment horizontal="right" vertical="center"/>
    </xf>
    <xf numFmtId="4" fontId="83" fillId="52" borderId="62"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0"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60" borderId="62" applyNumberFormat="0" applyProtection="0">
      <alignment horizontal="right" vertical="center"/>
    </xf>
    <xf numFmtId="4" fontId="83" fillId="60" borderId="62" applyNumberFormat="0" applyProtection="0">
      <alignment horizontal="right" vertical="center"/>
    </xf>
    <xf numFmtId="4" fontId="83" fillId="60" borderId="62"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60" borderId="62" applyNumberFormat="0" applyProtection="0">
      <alignment horizontal="right" vertical="center"/>
    </xf>
    <xf numFmtId="4" fontId="83" fillId="60" borderId="62" applyNumberFormat="0" applyProtection="0">
      <alignment horizontal="right" vertical="center"/>
    </xf>
    <xf numFmtId="4" fontId="83" fillId="60" borderId="62"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1"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54" borderId="62" applyNumberFormat="0" applyProtection="0">
      <alignment horizontal="right" vertical="center"/>
    </xf>
    <xf numFmtId="4" fontId="83" fillId="54" borderId="62" applyNumberFormat="0" applyProtection="0">
      <alignment horizontal="right" vertical="center"/>
    </xf>
    <xf numFmtId="4" fontId="83" fillId="54" borderId="62"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54" borderId="62" applyNumberFormat="0" applyProtection="0">
      <alignment horizontal="right" vertical="center"/>
    </xf>
    <xf numFmtId="4" fontId="83" fillId="54" borderId="62" applyNumberFormat="0" applyProtection="0">
      <alignment horizontal="right" vertical="center"/>
    </xf>
    <xf numFmtId="4" fontId="83" fillId="54" borderId="62"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2"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58" borderId="62" applyNumberFormat="0" applyProtection="0">
      <alignment horizontal="right" vertical="center"/>
    </xf>
    <xf numFmtId="4" fontId="83" fillId="58" borderId="62" applyNumberFormat="0" applyProtection="0">
      <alignment horizontal="right" vertical="center"/>
    </xf>
    <xf numFmtId="4" fontId="83" fillId="58" borderId="62"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58" borderId="62" applyNumberFormat="0" applyProtection="0">
      <alignment horizontal="right" vertical="center"/>
    </xf>
    <xf numFmtId="4" fontId="83" fillId="58" borderId="62" applyNumberFormat="0" applyProtection="0">
      <alignment horizontal="right" vertical="center"/>
    </xf>
    <xf numFmtId="4" fontId="83" fillId="58" borderId="62"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3"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62" borderId="62" applyNumberFormat="0" applyProtection="0">
      <alignment horizontal="right" vertical="center"/>
    </xf>
    <xf numFmtId="4" fontId="83" fillId="62" borderId="62" applyNumberFormat="0" applyProtection="0">
      <alignment horizontal="right" vertical="center"/>
    </xf>
    <xf numFmtId="4" fontId="83" fillId="62" borderId="62"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62" borderId="62" applyNumberFormat="0" applyProtection="0">
      <alignment horizontal="right" vertical="center"/>
    </xf>
    <xf numFmtId="4" fontId="83" fillId="62" borderId="62" applyNumberFormat="0" applyProtection="0">
      <alignment horizontal="right" vertical="center"/>
    </xf>
    <xf numFmtId="4" fontId="83" fillId="62" borderId="62"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4"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61" borderId="62" applyNumberFormat="0" applyProtection="0">
      <alignment horizontal="right" vertical="center"/>
    </xf>
    <xf numFmtId="4" fontId="83" fillId="61" borderId="62" applyNumberFormat="0" applyProtection="0">
      <alignment horizontal="right" vertical="center"/>
    </xf>
    <xf numFmtId="4" fontId="83" fillId="61" borderId="62"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61" borderId="62" applyNumberFormat="0" applyProtection="0">
      <alignment horizontal="right" vertical="center"/>
    </xf>
    <xf numFmtId="4" fontId="83" fillId="61" borderId="62" applyNumberFormat="0" applyProtection="0">
      <alignment horizontal="right" vertical="center"/>
    </xf>
    <xf numFmtId="4" fontId="83" fillId="61" borderId="62"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5"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105" borderId="62" applyNumberFormat="0" applyProtection="0">
      <alignment horizontal="right" vertical="center"/>
    </xf>
    <xf numFmtId="4" fontId="83" fillId="105" borderId="62" applyNumberFormat="0" applyProtection="0">
      <alignment horizontal="right" vertical="center"/>
    </xf>
    <xf numFmtId="4" fontId="83" fillId="105" borderId="62"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105" borderId="62" applyNumberFormat="0" applyProtection="0">
      <alignment horizontal="right" vertical="center"/>
    </xf>
    <xf numFmtId="4" fontId="83" fillId="105" borderId="62" applyNumberFormat="0" applyProtection="0">
      <alignment horizontal="right" vertical="center"/>
    </xf>
    <xf numFmtId="4" fontId="83" fillId="105" borderId="62"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6"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53" borderId="62" applyNumberFormat="0" applyProtection="0">
      <alignment horizontal="right" vertical="center"/>
    </xf>
    <xf numFmtId="4" fontId="83" fillId="53" borderId="62" applyNumberFormat="0" applyProtection="0">
      <alignment horizontal="right" vertical="center"/>
    </xf>
    <xf numFmtId="4" fontId="83" fillId="53" borderId="62"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53" borderId="62" applyNumberFormat="0" applyProtection="0">
      <alignment horizontal="right" vertical="center"/>
    </xf>
    <xf numFmtId="4" fontId="83" fillId="53" borderId="62" applyNumberFormat="0" applyProtection="0">
      <alignment horizontal="right" vertical="center"/>
    </xf>
    <xf numFmtId="4" fontId="83" fillId="53" borderId="62"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83" fillId="77" borderId="58" applyNumberFormat="0" applyProtection="0">
      <alignment horizontal="right" vertical="center"/>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106" borderId="64"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106" borderId="64"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163" fillId="78" borderId="58"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107" borderId="0"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107" borderId="0"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83" fillId="79" borderId="61" applyNumberFormat="0" applyProtection="0">
      <alignment horizontal="left" vertical="center" indent="1"/>
    </xf>
    <xf numFmtId="4" fontId="164" fillId="80" borderId="0" applyNumberFormat="0" applyProtection="0">
      <alignment horizontal="left" vertical="center" indent="1"/>
    </xf>
    <xf numFmtId="4" fontId="164" fillId="80" borderId="0" applyNumberFormat="0" applyProtection="0">
      <alignment horizontal="left" vertical="center" indent="1"/>
    </xf>
    <xf numFmtId="4" fontId="164" fillId="80" borderId="0" applyNumberFormat="0" applyProtection="0">
      <alignment horizontal="left" vertical="center" indent="1"/>
    </xf>
    <xf numFmtId="4" fontId="164" fillId="80" borderId="0" applyNumberFormat="0" applyProtection="0">
      <alignment horizontal="left" vertical="center" indent="1"/>
    </xf>
    <xf numFmtId="4" fontId="83" fillId="108" borderId="62" applyNumberFormat="0" applyProtection="0">
      <alignment horizontal="right" vertical="center"/>
    </xf>
    <xf numFmtId="4" fontId="83" fillId="108" borderId="62" applyNumberFormat="0" applyProtection="0">
      <alignment horizontal="right" vertical="center"/>
    </xf>
    <xf numFmtId="4" fontId="83" fillId="108" borderId="62" applyNumberFormat="0" applyProtection="0">
      <alignment horizontal="right" vertical="center"/>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83" fillId="108" borderId="62" applyNumberFormat="0" applyProtection="0">
      <alignment horizontal="right" vertical="center"/>
    </xf>
    <xf numFmtId="4" fontId="83" fillId="108" borderId="62" applyNumberFormat="0" applyProtection="0">
      <alignment horizontal="right" vertical="center"/>
    </xf>
    <xf numFmtId="4" fontId="83" fillId="108" borderId="62" applyNumberFormat="0" applyProtection="0">
      <alignment horizontal="right" vertical="center"/>
    </xf>
    <xf numFmtId="0" fontId="61" fillId="0" borderId="0" applyNumberFormat="0" applyFont="0" applyFill="0" applyBorder="0" applyAlignment="0" applyProtection="0"/>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107" borderId="0"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107" borderId="0"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79"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104" borderId="0"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104" borderId="0"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4" fontId="83" fillId="81" borderId="58" applyNumberFormat="0" applyProtection="0">
      <alignment horizontal="left" vertical="center" indent="1"/>
    </xf>
    <xf numFmtId="0" fontId="8" fillId="80" borderId="62" applyNumberFormat="0" applyProtection="0">
      <alignment horizontal="left" vertical="center" indent="1"/>
    </xf>
    <xf numFmtId="0" fontId="8" fillId="80" borderId="62" applyNumberFormat="0" applyProtection="0">
      <alignment horizontal="left" vertical="center" indent="1"/>
    </xf>
    <xf numFmtId="0" fontId="8" fillId="80" borderId="62"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0" borderId="62" applyNumberFormat="0" applyProtection="0">
      <alignment horizontal="left" vertical="center" indent="1"/>
    </xf>
    <xf numFmtId="0" fontId="8" fillId="80" borderId="62" applyNumberFormat="0" applyProtection="0">
      <alignment horizontal="left" vertical="center" indent="1"/>
    </xf>
    <xf numFmtId="0" fontId="8" fillId="80" borderId="62"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0" borderId="62" applyNumberFormat="0" applyProtection="0">
      <alignment horizontal="left" vertical="top" indent="1"/>
    </xf>
    <xf numFmtId="0" fontId="8" fillId="80" borderId="62" applyNumberFormat="0" applyProtection="0">
      <alignment horizontal="left" vertical="top" indent="1"/>
    </xf>
    <xf numFmtId="0" fontId="8" fillId="80" borderId="62" applyNumberFormat="0" applyProtection="0">
      <alignment horizontal="left" vertical="top"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0" borderId="62" applyNumberFormat="0" applyProtection="0">
      <alignment horizontal="left" vertical="top" indent="1"/>
    </xf>
    <xf numFmtId="0" fontId="8" fillId="80" borderId="62" applyNumberFormat="0" applyProtection="0">
      <alignment horizontal="left" vertical="top" indent="1"/>
    </xf>
    <xf numFmtId="0" fontId="8" fillId="80" borderId="62" applyNumberFormat="0" applyProtection="0">
      <alignment horizontal="left" vertical="top" indent="1"/>
    </xf>
    <xf numFmtId="0" fontId="61" fillId="0" borderId="0" applyNumberFormat="0" applyFont="0" applyFill="0" applyBorder="0" applyAlignment="0" applyProtection="0"/>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81" borderId="58" applyNumberFormat="0" applyProtection="0">
      <alignment horizontal="left" vertical="center" indent="1"/>
    </xf>
    <xf numFmtId="0" fontId="8" fillId="104" borderId="62" applyNumberFormat="0" applyProtection="0">
      <alignment horizontal="left" vertical="center" indent="1"/>
    </xf>
    <xf numFmtId="0" fontId="8" fillId="104" borderId="62" applyNumberFormat="0" applyProtection="0">
      <alignment horizontal="left" vertical="center" indent="1"/>
    </xf>
    <xf numFmtId="0" fontId="8" fillId="104" borderId="62"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104" borderId="62" applyNumberFormat="0" applyProtection="0">
      <alignment horizontal="left" vertical="center" indent="1"/>
    </xf>
    <xf numFmtId="0" fontId="8" fillId="104" borderId="62" applyNumberFormat="0" applyProtection="0">
      <alignment horizontal="left" vertical="center" indent="1"/>
    </xf>
    <xf numFmtId="0" fontId="8" fillId="104" borderId="62"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104" borderId="62" applyNumberFormat="0" applyProtection="0">
      <alignment horizontal="left" vertical="top" indent="1"/>
    </xf>
    <xf numFmtId="0" fontId="8" fillId="104" borderId="62" applyNumberFormat="0" applyProtection="0">
      <alignment horizontal="left" vertical="top" indent="1"/>
    </xf>
    <xf numFmtId="0" fontId="8" fillId="104" borderId="62" applyNumberFormat="0" applyProtection="0">
      <alignment horizontal="left" vertical="top"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104" borderId="62" applyNumberFormat="0" applyProtection="0">
      <alignment horizontal="left" vertical="top" indent="1"/>
    </xf>
    <xf numFmtId="0" fontId="8" fillId="104" borderId="62" applyNumberFormat="0" applyProtection="0">
      <alignment horizontal="left" vertical="top" indent="1"/>
    </xf>
    <xf numFmtId="0" fontId="8" fillId="104" borderId="62" applyNumberFormat="0" applyProtection="0">
      <alignment horizontal="left" vertical="top" indent="1"/>
    </xf>
    <xf numFmtId="0" fontId="61" fillId="0" borderId="0" applyNumberFormat="0" applyFont="0" applyFill="0" applyBorder="0" applyAlignment="0" applyProtection="0"/>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2" borderId="58" applyNumberFormat="0" applyProtection="0">
      <alignment horizontal="left" vertical="center" indent="1"/>
    </xf>
    <xf numFmtId="0" fontId="8" fillId="85" borderId="62" applyNumberFormat="0" applyProtection="0">
      <alignment horizontal="left" vertical="center" indent="1"/>
    </xf>
    <xf numFmtId="0" fontId="8" fillId="85" borderId="62" applyNumberFormat="0" applyProtection="0">
      <alignment horizontal="left" vertical="center" indent="1"/>
    </xf>
    <xf numFmtId="0" fontId="8" fillId="85" borderId="62"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5" borderId="62" applyNumberFormat="0" applyProtection="0">
      <alignment horizontal="left" vertical="center" indent="1"/>
    </xf>
    <xf numFmtId="0" fontId="8" fillId="85" borderId="62" applyNumberFormat="0" applyProtection="0">
      <alignment horizontal="left" vertical="center" indent="1"/>
    </xf>
    <xf numFmtId="0" fontId="8" fillId="85" borderId="62"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5" borderId="62" applyNumberFormat="0" applyProtection="0">
      <alignment horizontal="left" vertical="top" indent="1"/>
    </xf>
    <xf numFmtId="0" fontId="8" fillId="85" borderId="62" applyNumberFormat="0" applyProtection="0">
      <alignment horizontal="left" vertical="top" indent="1"/>
    </xf>
    <xf numFmtId="0" fontId="8" fillId="85" borderId="62" applyNumberFormat="0" applyProtection="0">
      <alignment horizontal="left" vertical="top"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5" borderId="62" applyNumberFormat="0" applyProtection="0">
      <alignment horizontal="left" vertical="top" indent="1"/>
    </xf>
    <xf numFmtId="0" fontId="8" fillId="85" borderId="62" applyNumberFormat="0" applyProtection="0">
      <alignment horizontal="left" vertical="top" indent="1"/>
    </xf>
    <xf numFmtId="0" fontId="8" fillId="85" borderId="62" applyNumberFormat="0" applyProtection="0">
      <alignment horizontal="left" vertical="top" indent="1"/>
    </xf>
    <xf numFmtId="0" fontId="61" fillId="0" borderId="0" applyNumberFormat="0" applyFont="0" applyFill="0" applyBorder="0" applyAlignment="0" applyProtection="0"/>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83" borderId="58" applyNumberFormat="0" applyProtection="0">
      <alignment horizontal="left" vertical="center" indent="1"/>
    </xf>
    <xf numFmtId="0" fontId="8" fillId="7" borderId="62" applyNumberFormat="0" applyProtection="0">
      <alignment horizontal="left" vertical="center" indent="1"/>
    </xf>
    <xf numFmtId="0" fontId="8" fillId="7" borderId="62" applyNumberFormat="0" applyProtection="0">
      <alignment horizontal="left" vertical="center" indent="1"/>
    </xf>
    <xf numFmtId="0" fontId="8" fillId="7" borderId="62"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7" borderId="62" applyNumberFormat="0" applyProtection="0">
      <alignment horizontal="left" vertical="center" indent="1"/>
    </xf>
    <xf numFmtId="0" fontId="8" fillId="7" borderId="62" applyNumberFormat="0" applyProtection="0">
      <alignment horizontal="left" vertical="center" indent="1"/>
    </xf>
    <xf numFmtId="0" fontId="8" fillId="7" borderId="62"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7" borderId="62" applyNumberFormat="0" applyProtection="0">
      <alignment horizontal="left" vertical="top" indent="1"/>
    </xf>
    <xf numFmtId="0" fontId="8" fillId="7" borderId="62" applyNumberFormat="0" applyProtection="0">
      <alignment horizontal="left" vertical="top" indent="1"/>
    </xf>
    <xf numFmtId="0" fontId="8" fillId="7" borderId="62" applyNumberFormat="0" applyProtection="0">
      <alignment horizontal="left" vertical="top"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7" borderId="62" applyNumberFormat="0" applyProtection="0">
      <alignment horizontal="left" vertical="top" indent="1"/>
    </xf>
    <xf numFmtId="0" fontId="8" fillId="7" borderId="62" applyNumberFormat="0" applyProtection="0">
      <alignment horizontal="left" vertical="top" indent="1"/>
    </xf>
    <xf numFmtId="0" fontId="8" fillId="7" borderId="62" applyNumberFormat="0" applyProtection="0">
      <alignment horizontal="left" vertical="top" indent="1"/>
    </xf>
    <xf numFmtId="0" fontId="61" fillId="0" borderId="0" applyNumberFormat="0" applyFont="0" applyFill="0" applyBorder="0" applyAlignment="0" applyProtection="0"/>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137" fillId="109" borderId="65" applyNumberFormat="0">
      <protection locked="0"/>
    </xf>
    <xf numFmtId="0" fontId="137" fillId="109" borderId="65" applyNumberFormat="0">
      <protection locked="0"/>
    </xf>
    <xf numFmtId="0" fontId="196" fillId="110" borderId="66" applyBorder="0"/>
    <xf numFmtId="0" fontId="196" fillId="110" borderId="66" applyBorder="0"/>
    <xf numFmtId="0" fontId="196" fillId="110" borderId="66" applyBorder="0"/>
    <xf numFmtId="0" fontId="196" fillId="110" borderId="66" applyBorder="0"/>
    <xf numFmtId="0" fontId="196" fillId="110" borderId="66" applyBorder="0"/>
    <xf numFmtId="0" fontId="196" fillId="110" borderId="66" applyBorder="0"/>
    <xf numFmtId="0" fontId="196" fillId="110" borderId="66" applyBorder="0"/>
    <xf numFmtId="0" fontId="196" fillId="110" borderId="66" applyBorder="0"/>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62" applyNumberFormat="0" applyProtection="0">
      <alignment vertical="center"/>
    </xf>
    <xf numFmtId="4" fontId="83" fillId="84" borderId="62" applyNumberFormat="0" applyProtection="0">
      <alignment vertical="center"/>
    </xf>
    <xf numFmtId="4" fontId="83" fillId="84" borderId="62"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62" applyNumberFormat="0" applyProtection="0">
      <alignment vertical="center"/>
    </xf>
    <xf numFmtId="4" fontId="83" fillId="84" borderId="62" applyNumberFormat="0" applyProtection="0">
      <alignment vertical="center"/>
    </xf>
    <xf numFmtId="4" fontId="83" fillId="84" borderId="62"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83"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62" applyNumberFormat="0" applyProtection="0">
      <alignment vertical="center"/>
    </xf>
    <xf numFmtId="4" fontId="162" fillId="84" borderId="62" applyNumberFormat="0" applyProtection="0">
      <alignment vertical="center"/>
    </xf>
    <xf numFmtId="4" fontId="162" fillId="84" borderId="62"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62" applyNumberFormat="0" applyProtection="0">
      <alignment vertical="center"/>
    </xf>
    <xf numFmtId="4" fontId="162" fillId="84" borderId="62" applyNumberFormat="0" applyProtection="0">
      <alignment vertical="center"/>
    </xf>
    <xf numFmtId="4" fontId="162" fillId="84" borderId="62"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162" fillId="84" borderId="58" applyNumberFormat="0" applyProtection="0">
      <alignment vertical="center"/>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62" applyNumberFormat="0" applyProtection="0">
      <alignment horizontal="left" vertical="center" indent="1"/>
    </xf>
    <xf numFmtId="4" fontId="83" fillId="84" borderId="62" applyNumberFormat="0" applyProtection="0">
      <alignment horizontal="left" vertical="center" indent="1"/>
    </xf>
    <xf numFmtId="4" fontId="83" fillId="84" borderId="62"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62" applyNumberFormat="0" applyProtection="0">
      <alignment horizontal="left" vertical="center" indent="1"/>
    </xf>
    <xf numFmtId="4" fontId="83" fillId="84" borderId="62" applyNumberFormat="0" applyProtection="0">
      <alignment horizontal="left" vertical="center" indent="1"/>
    </xf>
    <xf numFmtId="4" fontId="83" fillId="84" borderId="62"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0" fontId="83" fillId="84" borderId="62" applyNumberFormat="0" applyProtection="0">
      <alignment horizontal="left" vertical="top" indent="1"/>
    </xf>
    <xf numFmtId="0" fontId="83" fillId="84" borderId="62" applyNumberFormat="0" applyProtection="0">
      <alignment horizontal="left" vertical="top" indent="1"/>
    </xf>
    <xf numFmtId="0" fontId="83" fillId="84" borderId="62" applyNumberFormat="0" applyProtection="0">
      <alignment horizontal="left" vertical="top"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0" fontId="83" fillId="84" borderId="62" applyNumberFormat="0" applyProtection="0">
      <alignment horizontal="left" vertical="top" indent="1"/>
    </xf>
    <xf numFmtId="0" fontId="83" fillId="84" borderId="62" applyNumberFormat="0" applyProtection="0">
      <alignment horizontal="left" vertical="top" indent="1"/>
    </xf>
    <xf numFmtId="0" fontId="83" fillId="84" borderId="62" applyNumberFormat="0" applyProtection="0">
      <alignment horizontal="left" vertical="top"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84" borderId="58" applyNumberFormat="0" applyProtection="0">
      <alignment horizontal="left" vertical="center" indent="1"/>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107" borderId="62" applyNumberFormat="0" applyProtection="0">
      <alignment horizontal="right" vertical="center"/>
    </xf>
    <xf numFmtId="4" fontId="83" fillId="107" borderId="62" applyNumberFormat="0" applyProtection="0">
      <alignment horizontal="right" vertical="center"/>
    </xf>
    <xf numFmtId="4" fontId="83" fillId="107" borderId="62"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107" borderId="62" applyNumberFormat="0" applyProtection="0">
      <alignment horizontal="right" vertical="center"/>
    </xf>
    <xf numFmtId="4" fontId="83" fillId="107" borderId="62" applyNumberFormat="0" applyProtection="0">
      <alignment horizontal="right" vertical="center"/>
    </xf>
    <xf numFmtId="4" fontId="83" fillId="107" borderId="62"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83"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107" borderId="62" applyNumberFormat="0" applyProtection="0">
      <alignment horizontal="right" vertical="center"/>
    </xf>
    <xf numFmtId="4" fontId="162" fillId="107" borderId="62" applyNumberFormat="0" applyProtection="0">
      <alignment horizontal="right" vertical="center"/>
    </xf>
    <xf numFmtId="4" fontId="162" fillId="107" borderId="62"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107" borderId="62" applyNumberFormat="0" applyProtection="0">
      <alignment horizontal="right" vertical="center"/>
    </xf>
    <xf numFmtId="4" fontId="162" fillId="107" borderId="62" applyNumberFormat="0" applyProtection="0">
      <alignment horizontal="right" vertical="center"/>
    </xf>
    <xf numFmtId="4" fontId="162" fillId="107" borderId="62"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2" fillId="79" borderId="58" applyNumberFormat="0" applyProtection="0">
      <alignment horizontal="right" vertical="center"/>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68" borderId="58" applyNumberFormat="0" applyProtection="0">
      <alignment horizontal="left" vertical="center" indent="1"/>
    </xf>
    <xf numFmtId="4" fontId="164" fillId="85" borderId="62" applyNumberFormat="0" applyProtection="0">
      <alignment horizontal="left" vertical="center" indent="1"/>
    </xf>
    <xf numFmtId="0" fontId="8" fillId="68"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 fillId="68" borderId="58" applyNumberFormat="0" applyProtection="0">
      <alignment horizontal="left" vertical="center" indent="1"/>
    </xf>
    <xf numFmtId="0" fontId="61" fillId="0" borderId="0" applyNumberFormat="0" applyFont="0" applyFill="0" applyBorder="0" applyAlignment="0" applyProtection="0"/>
    <xf numFmtId="0" fontId="8" fillId="68" borderId="58" applyNumberFormat="0" applyProtection="0">
      <alignment horizontal="left" vertical="center" indent="1"/>
    </xf>
    <xf numFmtId="0" fontId="61" fillId="0" borderId="0" applyNumberFormat="0" applyFont="0" applyFill="0" applyBorder="0" applyAlignment="0" applyProtection="0"/>
    <xf numFmtId="0" fontId="8" fillId="68" borderId="58"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61" fillId="0" borderId="0" applyNumberFormat="0" applyFont="0" applyFill="0" applyBorder="0" applyAlignment="0" applyProtection="0"/>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4" fontId="164" fillId="85" borderId="62" applyNumberFormat="0" applyProtection="0">
      <alignment horizontal="left" vertical="center" indent="1"/>
    </xf>
    <xf numFmtId="0" fontId="83" fillId="104" borderId="62" applyNumberFormat="0" applyProtection="0">
      <alignment horizontal="left" vertical="top" indent="1"/>
    </xf>
    <xf numFmtId="0" fontId="83" fillId="104" borderId="62" applyNumberFormat="0" applyProtection="0">
      <alignment horizontal="left" vertical="top" indent="1"/>
    </xf>
    <xf numFmtId="0" fontId="83" fillId="104" borderId="62" applyNumberFormat="0" applyProtection="0">
      <alignment horizontal="left" vertical="top"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3" fillId="104" borderId="62" applyNumberFormat="0" applyProtection="0">
      <alignment horizontal="left" vertical="top" indent="1"/>
    </xf>
    <xf numFmtId="0" fontId="83" fillId="104" borderId="62" applyNumberFormat="0" applyProtection="0">
      <alignment horizontal="left" vertical="top" indent="1"/>
    </xf>
    <xf numFmtId="0" fontId="83" fillId="104" borderId="62" applyNumberFormat="0" applyProtection="0">
      <alignment horizontal="left" vertical="top"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8" fillId="68" borderId="58" applyNumberFormat="0" applyProtection="0">
      <alignment horizontal="left" vertical="center" indent="1"/>
    </xf>
    <xf numFmtId="0" fontId="165" fillId="0" borderId="0"/>
    <xf numFmtId="0" fontId="165" fillId="0" borderId="0"/>
    <xf numFmtId="4" fontId="197" fillId="111" borderId="0" applyNumberFormat="0" applyProtection="0">
      <alignment horizontal="left" vertical="center" indent="1"/>
    </xf>
    <xf numFmtId="0" fontId="165" fillId="0" borderId="0"/>
    <xf numFmtId="0" fontId="165" fillId="0" borderId="0"/>
    <xf numFmtId="4" fontId="197" fillId="111" borderId="0" applyNumberFormat="0" applyProtection="0">
      <alignment horizontal="left" vertical="center" indent="1"/>
    </xf>
    <xf numFmtId="0" fontId="137" fillId="112" borderId="23"/>
    <xf numFmtId="0" fontId="137" fillId="112" borderId="23"/>
    <xf numFmtId="0" fontId="137" fillId="112" borderId="23"/>
    <xf numFmtId="0" fontId="137" fillId="112" borderId="23"/>
    <xf numFmtId="0" fontId="137" fillId="112" borderId="23"/>
    <xf numFmtId="0" fontId="137" fillId="112" borderId="23"/>
    <xf numFmtId="0" fontId="137" fillId="112" borderId="23"/>
    <xf numFmtId="0" fontId="137" fillId="112" borderId="23"/>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107" borderId="62" applyNumberFormat="0" applyProtection="0">
      <alignment horizontal="right" vertical="center"/>
    </xf>
    <xf numFmtId="4" fontId="4" fillId="107" borderId="62" applyNumberFormat="0" applyProtection="0">
      <alignment horizontal="right" vertical="center"/>
    </xf>
    <xf numFmtId="4" fontId="4" fillId="107" borderId="62"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107" borderId="62" applyNumberFormat="0" applyProtection="0">
      <alignment horizontal="right" vertical="center"/>
    </xf>
    <xf numFmtId="4" fontId="4" fillId="107" borderId="62" applyNumberFormat="0" applyProtection="0">
      <alignment horizontal="right" vertical="center"/>
    </xf>
    <xf numFmtId="4" fontId="4" fillId="107" borderId="62"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4" fontId="4" fillId="79" borderId="58" applyNumberFormat="0" applyProtection="0">
      <alignment horizontal="right" vertical="center"/>
    </xf>
    <xf numFmtId="0" fontId="19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86" fontId="8" fillId="0" borderId="0">
      <alignment horizontal="left" wrapTex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86" fontId="8" fillId="0" borderId="0">
      <alignment horizontal="left" wrapTex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86" fontId="8" fillId="0" borderId="0">
      <alignment horizontal="left" wrapTex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86" fontId="8" fillId="0" borderId="0">
      <alignment horizontal="left" wrapTex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186" fontId="8" fillId="0" borderId="0">
      <alignment horizontal="left" wrapText="1"/>
    </xf>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61" fillId="0" borderId="0" applyNumberFormat="0" applyFont="0" applyFill="0" applyBorder="0" applyAlignment="0" applyProtection="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68"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66" fillId="0" borderId="0" applyNumberFormat="0" applyBorder="0" applyAlignment="0"/>
    <xf numFmtId="0" fontId="199"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99"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66"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199" fillId="0" borderId="0" applyNumberFormat="0" applyBorder="0" applyAlignment="0"/>
    <xf numFmtId="0" fontId="61" fillId="0" borderId="0" applyNumberFormat="0" applyFont="0" applyFill="0" applyBorder="0" applyAlignment="0" applyProtection="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167" fillId="0" borderId="0" applyNumberFormat="0" applyBorder="0" applyAlignment="0"/>
    <xf numFmtId="0" fontId="200"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200"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200"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6" fillId="0" borderId="0" applyNumberFormat="0" applyBorder="0" applyAlignment="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169" fillId="0" borderId="63"/>
    <xf numFmtId="0" fontId="8" fillId="0" borderId="0"/>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169" fillId="0" borderId="63"/>
    <xf numFmtId="0" fontId="61" fillId="0" borderId="0" applyNumberFormat="0" applyFont="0" applyFill="0" applyBorder="0" applyAlignment="0" applyProtection="0"/>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169" fillId="0" borderId="63"/>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61" fillId="0" borderId="0" applyNumberFormat="0" applyFont="0" applyFill="0" applyBorder="0" applyAlignment="0" applyProtection="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61" fillId="0" borderId="0" applyNumberFormat="0" applyFont="0" applyFill="0" applyBorder="0" applyAlignment="0" applyProtection="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61" fillId="0" borderId="0" applyNumberFormat="0" applyFont="0" applyFill="0" applyBorder="0" applyAlignment="0" applyProtection="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8" fillId="0" borderId="0"/>
    <xf numFmtId="0" fontId="8" fillId="0" borderId="0"/>
    <xf numFmtId="0" fontId="169" fillId="0" borderId="63"/>
    <xf numFmtId="0" fontId="8" fillId="0" borderId="0"/>
    <xf numFmtId="0" fontId="8" fillId="0" borderId="0"/>
    <xf numFmtId="0" fontId="8" fillId="0" borderId="0"/>
    <xf numFmtId="0" fontId="169" fillId="0" borderId="63"/>
    <xf numFmtId="0" fontId="169" fillId="0" borderId="63"/>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8" fillId="0" borderId="0"/>
    <xf numFmtId="0" fontId="201" fillId="0" borderId="0" applyNumberFormat="0" applyFill="0" applyBorder="0" applyAlignment="0" applyProtection="0"/>
    <xf numFmtId="0" fontId="201" fillId="0" borderId="0" applyNumberFormat="0" applyFill="0" applyBorder="0" applyAlignment="0" applyProtection="0"/>
    <xf numFmtId="0" fontId="154"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8"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54" fillId="0" borderId="0" applyNumberFormat="0" applyFill="0" applyBorder="0" applyAlignment="0" applyProtection="0"/>
    <xf numFmtId="0" fontId="8" fillId="0" borderId="0"/>
    <xf numFmtId="0" fontId="8"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8" fillId="0" borderId="0"/>
    <xf numFmtId="0" fontId="154" fillId="0" borderId="0" applyNumberFormat="0" applyFill="0" applyBorder="0" applyAlignment="0" applyProtection="0"/>
    <xf numFmtId="0" fontId="154" fillId="0" borderId="0" applyNumberFormat="0" applyFill="0" applyBorder="0" applyAlignment="0" applyProtection="0"/>
    <xf numFmtId="0" fontId="8"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5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5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62" fillId="0" borderId="50" applyNumberFormat="0" applyFill="0" applyAlignment="0" applyProtection="0"/>
    <xf numFmtId="0" fontId="175" fillId="0" borderId="59" applyNumberFormat="0" applyFill="0" applyAlignment="0" applyProtection="0"/>
    <xf numFmtId="0" fontId="62" fillId="0" borderId="50"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62" fillId="0" borderId="50"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62" fillId="0" borderId="50"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5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8" fillId="0" borderId="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175" fillId="0" borderId="59" applyNumberFormat="0" applyFill="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5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8" fillId="0" borderId="0"/>
    <xf numFmtId="0" fontId="107" fillId="0" borderId="0" applyNumberFormat="0" applyFill="0" applyBorder="0" applyAlignment="0" applyProtection="0"/>
    <xf numFmtId="0" fontId="107" fillId="0" borderId="0" applyNumberFormat="0" applyFill="0" applyBorder="0" applyAlignment="0" applyProtection="0"/>
    <xf numFmtId="0" fontId="202" fillId="0" borderId="0" applyNumberFormat="0" applyFill="0" applyBorder="0" applyAlignment="0" applyProtection="0"/>
    <xf numFmtId="0" fontId="107" fillId="0" borderId="0" applyNumberFormat="0" applyFill="0" applyBorder="0" applyAlignment="0" applyProtection="0"/>
    <xf numFmtId="0" fontId="8"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02" fillId="0" borderId="0" applyNumberFormat="0" applyFill="0" applyBorder="0" applyAlignment="0" applyProtection="0"/>
    <xf numFmtId="0" fontId="8" fillId="0" borderId="0"/>
    <xf numFmtId="0" fontId="8"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8" fillId="0" borderId="0"/>
    <xf numFmtId="0" fontId="202" fillId="0" borderId="0" applyNumberFormat="0" applyFill="0" applyBorder="0" applyAlignment="0" applyProtection="0"/>
    <xf numFmtId="0" fontId="202" fillId="0" borderId="0" applyNumberFormat="0" applyFill="0" applyBorder="0" applyAlignment="0" applyProtection="0"/>
    <xf numFmtId="0" fontId="8"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68" fillId="0" borderId="0"/>
    <xf numFmtId="37" fontId="25" fillId="0" borderId="0"/>
    <xf numFmtId="0" fontId="61" fillId="0" borderId="0"/>
    <xf numFmtId="9" fontId="8" fillId="0" borderId="0" applyFont="0" applyFill="0" applyBorder="0" applyAlignment="0" applyProtection="0"/>
    <xf numFmtId="0" fontId="61" fillId="0" borderId="0"/>
    <xf numFmtId="0" fontId="61" fillId="0" borderId="0"/>
    <xf numFmtId="41" fontId="8" fillId="0" borderId="0" applyFont="0" applyFill="0" applyBorder="0" applyAlignment="0" applyProtection="0"/>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5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38" fillId="45"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5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38"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5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38"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5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138" fillId="4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5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138" fillId="4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5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38" fillId="5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5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138" fillId="5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5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38" fillId="5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5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38"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5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138" fillId="48"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5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38" fillId="51"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5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38" fillId="5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135" fillId="24" borderId="0" applyNumberFormat="0" applyBorder="0" applyAlignment="0" applyProtection="0"/>
    <xf numFmtId="0" fontId="135" fillId="24" borderId="0" applyNumberFormat="0" applyBorder="0" applyAlignment="0" applyProtection="0"/>
    <xf numFmtId="0" fontId="139" fillId="55" borderId="0" applyNumberFormat="0" applyBorder="0" applyAlignment="0" applyProtection="0"/>
    <xf numFmtId="0" fontId="135" fillId="28" borderId="0" applyNumberFormat="0" applyBorder="0" applyAlignment="0" applyProtection="0"/>
    <xf numFmtId="0" fontId="135" fillId="28" borderId="0" applyNumberFormat="0" applyBorder="0" applyAlignment="0" applyProtection="0"/>
    <xf numFmtId="0" fontId="139" fillId="52"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9" fillId="53" borderId="0" applyNumberFormat="0" applyBorder="0" applyAlignment="0" applyProtection="0"/>
    <xf numFmtId="0" fontId="135" fillId="32" borderId="0" applyNumberFormat="0" applyBorder="0" applyAlignment="0" applyProtection="0"/>
    <xf numFmtId="0" fontId="135" fillId="56" borderId="0" applyNumberFormat="0" applyBorder="0" applyAlignment="0" applyProtection="0"/>
    <xf numFmtId="0" fontId="135" fillId="56" borderId="0" applyNumberFormat="0" applyBorder="0" applyAlignment="0" applyProtection="0"/>
    <xf numFmtId="0" fontId="139" fillId="56" borderId="0" applyNumberFormat="0" applyBorder="0" applyAlignment="0" applyProtection="0"/>
    <xf numFmtId="0" fontId="135" fillId="36"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9" fillId="57"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9" fillId="58" borderId="0" applyNumberFormat="0" applyBorder="0" applyAlignment="0" applyProtection="0"/>
    <xf numFmtId="0" fontId="135" fillId="44" borderId="0" applyNumberFormat="0" applyBorder="0" applyAlignment="0" applyProtection="0"/>
    <xf numFmtId="0" fontId="158" fillId="86" borderId="0" applyNumberFormat="0" applyBorder="0" applyAlignment="0" applyProtection="0"/>
    <xf numFmtId="0" fontId="158" fillId="87"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9" fillId="59" borderId="0" applyNumberFormat="0" applyBorder="0" applyAlignment="0" applyProtection="0"/>
    <xf numFmtId="0" fontId="139" fillId="59" borderId="0" applyNumberFormat="0" applyBorder="0" applyAlignment="0" applyProtection="0"/>
    <xf numFmtId="0" fontId="139" fillId="59"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35" fillId="21" borderId="0" applyNumberFormat="0" applyBorder="0" applyAlignment="0" applyProtection="0"/>
    <xf numFmtId="0" fontId="158" fillId="89" borderId="0" applyNumberFormat="0" applyBorder="0" applyAlignment="0" applyProtection="0"/>
    <xf numFmtId="0" fontId="158" fillId="9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9" fillId="60" borderId="0" applyNumberFormat="0" applyBorder="0" applyAlignment="0" applyProtection="0"/>
    <xf numFmtId="0" fontId="139" fillId="60" borderId="0" applyNumberFormat="0" applyBorder="0" applyAlignment="0" applyProtection="0"/>
    <xf numFmtId="0" fontId="139" fillId="60"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158" fillId="92" borderId="0" applyNumberFormat="0" applyBorder="0" applyAlignment="0" applyProtection="0"/>
    <xf numFmtId="0" fontId="158" fillId="93"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9" fillId="61" borderId="0" applyNumberFormat="0" applyBorder="0" applyAlignment="0" applyProtection="0"/>
    <xf numFmtId="0" fontId="139" fillId="61" borderId="0" applyNumberFormat="0" applyBorder="0" applyAlignment="0" applyProtection="0"/>
    <xf numFmtId="0" fontId="139" fillId="61"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35" fillId="29" borderId="0" applyNumberFormat="0" applyBorder="0" applyAlignment="0" applyProtection="0"/>
    <xf numFmtId="0" fontId="158" fillId="89" borderId="0" applyNumberFormat="0" applyBorder="0" applyAlignment="0" applyProtection="0"/>
    <xf numFmtId="0" fontId="158" fillId="95"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9" fillId="56" borderId="0" applyNumberFormat="0" applyBorder="0" applyAlignment="0" applyProtection="0"/>
    <xf numFmtId="0" fontId="139" fillId="56" borderId="0" applyNumberFormat="0" applyBorder="0" applyAlignment="0" applyProtection="0"/>
    <xf numFmtId="0" fontId="139" fillId="56"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58" fillId="96" borderId="0" applyNumberFormat="0" applyBorder="0" applyAlignment="0" applyProtection="0"/>
    <xf numFmtId="0" fontId="158" fillId="9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9" fillId="57" borderId="0" applyNumberFormat="0" applyBorder="0" applyAlignment="0" applyProtection="0"/>
    <xf numFmtId="0" fontId="139" fillId="57" borderId="0" applyNumberFormat="0" applyBorder="0" applyAlignment="0" applyProtection="0"/>
    <xf numFmtId="0" fontId="139" fillId="5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58" fillId="98" borderId="0" applyNumberFormat="0" applyBorder="0" applyAlignment="0" applyProtection="0"/>
    <xf numFmtId="0" fontId="158" fillId="99"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9" fillId="62" borderId="0" applyNumberFormat="0" applyBorder="0" applyAlignment="0" applyProtection="0"/>
    <xf numFmtId="0" fontId="139" fillId="62" borderId="0" applyNumberFormat="0" applyBorder="0" applyAlignment="0" applyProtection="0"/>
    <xf numFmtId="0" fontId="139" fillId="62"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40" fillId="46" borderId="0" applyNumberFormat="0" applyBorder="0" applyAlignment="0" applyProtection="0"/>
    <xf numFmtId="49" fontId="203" fillId="0" borderId="0" applyFont="0" applyFill="0" applyBorder="0" applyAlignment="0" applyProtection="0">
      <alignment horizontal="left"/>
    </xf>
    <xf numFmtId="196" fontId="157" fillId="0" borderId="0" applyAlignment="0" applyProtection="0"/>
    <xf numFmtId="175" fontId="137" fillId="0" borderId="0" applyFill="0" applyBorder="0" applyAlignment="0" applyProtection="0"/>
    <xf numFmtId="49" fontId="137" fillId="0" borderId="0" applyNumberFormat="0" applyAlignment="0" applyProtection="0">
      <alignment horizontal="left"/>
    </xf>
    <xf numFmtId="49" fontId="204" fillId="0" borderId="67" applyNumberFormat="0" applyAlignment="0" applyProtection="0">
      <alignment horizontal="left" wrapText="1"/>
    </xf>
    <xf numFmtId="49" fontId="204" fillId="0" borderId="67" applyNumberFormat="0" applyAlignment="0" applyProtection="0">
      <alignment horizontal="left" wrapText="1"/>
    </xf>
    <xf numFmtId="49" fontId="204" fillId="0" borderId="67" applyNumberFormat="0" applyAlignment="0" applyProtection="0">
      <alignment horizontal="left" wrapText="1"/>
    </xf>
    <xf numFmtId="49" fontId="204" fillId="0" borderId="67" applyNumberFormat="0" applyAlignment="0" applyProtection="0">
      <alignment horizontal="left" wrapText="1"/>
    </xf>
    <xf numFmtId="49" fontId="204" fillId="0" borderId="0" applyNumberFormat="0" applyAlignment="0" applyProtection="0">
      <alignment horizontal="left" wrapText="1"/>
    </xf>
    <xf numFmtId="49" fontId="205" fillId="0" borderId="0" applyAlignment="0" applyProtection="0">
      <alignment horizontal="left"/>
    </xf>
    <xf numFmtId="0" fontId="206" fillId="0" borderId="0"/>
    <xf numFmtId="0" fontId="133" fillId="19" borderId="48" applyNumberFormat="0" applyAlignment="0" applyProtection="0"/>
    <xf numFmtId="0" fontId="133" fillId="19" borderId="48" applyNumberFormat="0" applyAlignment="0" applyProtection="0"/>
    <xf numFmtId="0" fontId="142" fillId="64" borderId="52" applyNumberFormat="0" applyAlignment="0" applyProtection="0"/>
    <xf numFmtId="197" fontId="207" fillId="0" borderId="0"/>
    <xf numFmtId="197" fontId="207" fillId="0" borderId="0"/>
    <xf numFmtId="197" fontId="207" fillId="0" borderId="0"/>
    <xf numFmtId="197" fontId="207" fillId="0" borderId="0"/>
    <xf numFmtId="197" fontId="207" fillId="0" borderId="0"/>
    <xf numFmtId="197" fontId="207" fillId="0" borderId="0"/>
    <xf numFmtId="197" fontId="207" fillId="0" borderId="0"/>
    <xf numFmtId="197" fontId="207" fillId="0" borderId="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3"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8" fillId="0" borderId="0" applyFont="0" applyFill="0" applyBorder="0" applyAlignment="0" applyProtection="0"/>
    <xf numFmtId="41" fontId="61"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61"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40" fontId="8" fillId="83" borderId="0"/>
    <xf numFmtId="40" fontId="9" fillId="82" borderId="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3" fillId="0" borderId="0" applyNumberFormat="0" applyFill="0" applyBorder="0" applyAlignment="0" applyProtection="0"/>
    <xf numFmtId="2" fontId="8" fillId="0" borderId="0" applyFont="0" applyFill="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44" fillId="47" borderId="0" applyNumberFormat="0" applyBorder="0" applyAlignment="0" applyProtection="0"/>
    <xf numFmtId="38" fontId="137" fillId="83" borderId="0" applyNumberFormat="0" applyBorder="0" applyAlignment="0" applyProtection="0"/>
    <xf numFmtId="0" fontId="124" fillId="0" borderId="42" applyNumberFormat="0" applyFill="0" applyAlignment="0" applyProtection="0"/>
    <xf numFmtId="0" fontId="124" fillId="0" borderId="42" applyNumberFormat="0" applyFill="0" applyAlignment="0" applyProtection="0"/>
    <xf numFmtId="0" fontId="145" fillId="0" borderId="53"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146" fillId="0" borderId="54"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147" fillId="0" borderId="55"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7" fillId="0" borderId="0" applyNumberFormat="0" applyFill="0" applyBorder="0" applyAlignment="0" applyProtection="0"/>
    <xf numFmtId="10" fontId="137" fillId="84" borderId="23" applyNumberFormat="0" applyBorder="0" applyAlignment="0" applyProtection="0"/>
    <xf numFmtId="10" fontId="137" fillId="84" borderId="23" applyNumberFormat="0" applyBorder="0" applyAlignment="0" applyProtection="0"/>
    <xf numFmtId="10" fontId="137" fillId="84" borderId="23" applyNumberFormat="0" applyBorder="0" applyAlignment="0" applyProtection="0"/>
    <xf numFmtId="10" fontId="137" fillId="84" borderId="23" applyNumberFormat="0" applyBorder="0" applyAlignment="0" applyProtection="0"/>
    <xf numFmtId="10" fontId="137" fillId="84" borderId="23" applyNumberFormat="0" applyBorder="0" applyAlignment="0" applyProtection="0"/>
    <xf numFmtId="10" fontId="137" fillId="84" borderId="23" applyNumberFormat="0" applyBorder="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129" fillId="17" borderId="45" applyNumberFormat="0" applyAlignment="0" applyProtection="0"/>
    <xf numFmtId="0" fontId="31" fillId="0" borderId="68"/>
    <xf numFmtId="0" fontId="132" fillId="0" borderId="47" applyNumberFormat="0" applyFill="0" applyAlignment="0" applyProtection="0"/>
    <xf numFmtId="0" fontId="132" fillId="0" borderId="47" applyNumberFormat="0" applyFill="0" applyAlignment="0" applyProtection="0"/>
    <xf numFmtId="0" fontId="149" fillId="0" borderId="56" applyNumberFormat="0" applyFill="0" applyAlignment="0" applyProtection="0"/>
    <xf numFmtId="38" fontId="152" fillId="0" borderId="0" applyFont="0" applyFill="0" applyBorder="0" applyAlignment="0" applyProtection="0"/>
    <xf numFmtId="40" fontId="152" fillId="0" borderId="0" applyFont="0" applyFill="0" applyBorder="0" applyAlignment="0" applyProtection="0"/>
    <xf numFmtId="6" fontId="152" fillId="0" borderId="0" applyFont="0" applyFill="0" applyBorder="0" applyAlignment="0" applyProtection="0"/>
    <xf numFmtId="8" fontId="152" fillId="0" borderId="0" applyFont="0" applyFill="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50" fillId="65" borderId="0" applyNumberFormat="0" applyBorder="0" applyAlignment="0" applyProtection="0"/>
    <xf numFmtId="3" fontId="8" fillId="0" borderId="0" applyFont="0" applyFill="0" applyBorder="0" applyAlignment="0" applyProtection="0">
      <alignment horizontal="right" vertical="top"/>
    </xf>
    <xf numFmtId="198" fontId="209" fillId="0" borderId="0"/>
    <xf numFmtId="198" fontId="210" fillId="0" borderId="0"/>
    <xf numFmtId="198" fontId="209" fillId="0" borderId="0"/>
    <xf numFmtId="198" fontId="209" fillId="0" borderId="0"/>
    <xf numFmtId="198" fontId="209" fillId="0" borderId="0"/>
    <xf numFmtId="198" fontId="210" fillId="0" borderId="0"/>
    <xf numFmtId="0" fontId="83"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191" fillId="0" borderId="0"/>
    <xf numFmtId="0" fontId="61" fillId="0" borderId="0"/>
    <xf numFmtId="0" fontId="61"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37" fontId="25"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2" fillId="0" borderId="0"/>
    <xf numFmtId="0" fontId="152" fillId="0" borderId="0"/>
    <xf numFmtId="0" fontId="152" fillId="0" borderId="0"/>
    <xf numFmtId="0" fontId="152" fillId="0" borderId="0"/>
    <xf numFmtId="0" fontId="152" fillId="0" borderId="0"/>
    <xf numFmtId="0" fontId="83" fillId="0" borderId="0"/>
    <xf numFmtId="0" fontId="83" fillId="0" borderId="0"/>
    <xf numFmtId="0" fontId="83" fillId="0" borderId="0"/>
    <xf numFmtId="0" fontId="83" fillId="0" borderId="0"/>
    <xf numFmtId="0" fontId="83" fillId="0" borderId="0"/>
    <xf numFmtId="0" fontId="152" fillId="0" borderId="0"/>
    <xf numFmtId="0" fontId="8" fillId="0" borderId="0"/>
    <xf numFmtId="0" fontId="8" fillId="0" borderId="0"/>
    <xf numFmtId="0" fontId="8" fillId="0" borderId="0"/>
    <xf numFmtId="0" fontId="8" fillId="0" borderId="0"/>
    <xf numFmtId="0" fontId="8" fillId="0" borderId="0"/>
    <xf numFmtId="0" fontId="83" fillId="0" borderId="0"/>
    <xf numFmtId="0" fontId="83" fillId="0" borderId="0"/>
    <xf numFmtId="0" fontId="83" fillId="0" borderId="0"/>
    <xf numFmtId="0" fontId="83" fillId="0" borderId="0"/>
    <xf numFmtId="0" fontId="8" fillId="0" borderId="0"/>
    <xf numFmtId="0" fontId="8" fillId="0" borderId="0"/>
    <xf numFmtId="0" fontId="8" fillId="0" borderId="0"/>
    <xf numFmtId="0" fontId="152" fillId="0" borderId="0"/>
    <xf numFmtId="0" fontId="152" fillId="0" borderId="0"/>
    <xf numFmtId="0" fontId="8" fillId="0" borderId="0"/>
    <xf numFmtId="0" fontId="152" fillId="0" borderId="0"/>
    <xf numFmtId="0" fontId="152" fillId="0" borderId="0"/>
    <xf numFmtId="0" fontId="152" fillId="0" borderId="0"/>
    <xf numFmtId="0" fontId="15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8" fillId="0" borderId="0"/>
    <xf numFmtId="37" fontId="8" fillId="0" borderId="0"/>
    <xf numFmtId="37" fontId="8" fillId="0" borderId="0"/>
    <xf numFmtId="37"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8" fillId="0" borderId="0"/>
    <xf numFmtId="0" fontId="8" fillId="0" borderId="0"/>
    <xf numFmtId="0" fontId="8" fillId="0" borderId="0"/>
    <xf numFmtId="0" fontId="61"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6" fillId="0" borderId="0"/>
    <xf numFmtId="0" fontId="8" fillId="0" borderId="0"/>
    <xf numFmtId="0" fontId="61" fillId="0" borderId="0"/>
    <xf numFmtId="0" fontId="8" fillId="0" borderId="0"/>
    <xf numFmtId="0" fontId="61" fillId="0" borderId="0"/>
    <xf numFmtId="0" fontId="61" fillId="0" borderId="0"/>
    <xf numFmtId="0" fontId="61" fillId="0" borderId="0"/>
    <xf numFmtId="0" fontId="46" fillId="0" borderId="0"/>
    <xf numFmtId="0" fontId="8" fillId="0" borderId="0"/>
    <xf numFmtId="0" fontId="8" fillId="0" borderId="0"/>
    <xf numFmtId="0" fontId="8" fillId="0" borderId="0"/>
    <xf numFmtId="0" fontId="8" fillId="0" borderId="0"/>
    <xf numFmtId="0" fontId="8" fillId="0" borderId="0"/>
    <xf numFmtId="0" fontId="159" fillId="0" borderId="0"/>
    <xf numFmtId="0" fontId="8" fillId="0" borderId="0"/>
    <xf numFmtId="0" fontId="8" fillId="0" borderId="0"/>
    <xf numFmtId="0" fontId="1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2" fillId="0" borderId="0"/>
    <xf numFmtId="0" fontId="8" fillId="0" borderId="0"/>
    <xf numFmtId="0" fontId="61" fillId="0" borderId="0"/>
    <xf numFmtId="0" fontId="8"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61" fillId="0" borderId="0"/>
    <xf numFmtId="0" fontId="152" fillId="0" borderId="0"/>
    <xf numFmtId="0" fontId="61" fillId="0" borderId="0"/>
    <xf numFmtId="0" fontId="61" fillId="0" borderId="0"/>
    <xf numFmtId="0" fontId="152" fillId="0" borderId="0"/>
    <xf numFmtId="0" fontId="152" fillId="0" borderId="0"/>
    <xf numFmtId="0" fontId="152" fillId="0" borderId="0"/>
    <xf numFmtId="0" fontId="15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46" fillId="0" borderId="0"/>
    <xf numFmtId="0" fontId="152" fillId="0" borderId="0"/>
    <xf numFmtId="0" fontId="61" fillId="0" borderId="0"/>
    <xf numFmtId="0" fontId="159" fillId="0" borderId="0"/>
    <xf numFmtId="0" fontId="159" fillId="0" borderId="0"/>
    <xf numFmtId="0" fontId="8" fillId="0" borderId="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138"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8" fillId="66" borderId="57" applyNumberFormat="0" applyFont="0" applyAlignment="0" applyProtection="0"/>
    <xf numFmtId="0" fontId="138" fillId="66" borderId="57" applyNumberFormat="0" applyFont="0" applyAlignment="0" applyProtection="0"/>
    <xf numFmtId="0" fontId="8" fillId="66" borderId="57"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0" fontId="61" fillId="20" borderId="49" applyNumberFormat="0" applyFont="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3"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9" fontId="152" fillId="0" borderId="4" applyNumberFormat="0" applyBorder="0"/>
    <xf numFmtId="9" fontId="152" fillId="0" borderId="4" applyNumberFormat="0" applyBorder="0"/>
    <xf numFmtId="9" fontId="152" fillId="0" borderId="4" applyNumberFormat="0" applyBorder="0"/>
    <xf numFmtId="9" fontId="152" fillId="0" borderId="4" applyNumberFormat="0" applyBorder="0"/>
    <xf numFmtId="3" fontId="8" fillId="0" borderId="0">
      <alignment horizontal="left" vertical="top"/>
    </xf>
    <xf numFmtId="3" fontId="8" fillId="0" borderId="0">
      <alignment horizontal="right" vertical="top"/>
    </xf>
    <xf numFmtId="4" fontId="8" fillId="110" borderId="69" applyNumberFormat="0" applyProtection="0">
      <alignment horizontal="left" vertical="center" indent="1"/>
    </xf>
    <xf numFmtId="4" fontId="8" fillId="110" borderId="69" applyNumberFormat="0" applyProtection="0">
      <alignment horizontal="left" vertical="center" indent="1"/>
    </xf>
    <xf numFmtId="4" fontId="8" fillId="110" borderId="69" applyNumberFormat="0" applyProtection="0">
      <alignment horizontal="left" vertical="center" indent="1"/>
    </xf>
    <xf numFmtId="4" fontId="8" fillId="110" borderId="69" applyNumberFormat="0" applyProtection="0">
      <alignment horizontal="left" vertical="center" indent="1"/>
    </xf>
    <xf numFmtId="4" fontId="8" fillId="110" borderId="69" applyNumberFormat="0" applyProtection="0">
      <alignment horizontal="left" vertical="center" indent="1"/>
    </xf>
    <xf numFmtId="4" fontId="8" fillId="110" borderId="69" applyNumberFormat="0" applyProtection="0">
      <alignment horizontal="left" vertical="center" indent="1"/>
    </xf>
    <xf numFmtId="4" fontId="8" fillId="110" borderId="69" applyNumberFormat="0" applyProtection="0">
      <alignment horizontal="left" vertical="center" indent="1"/>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37" fillId="109" borderId="65" applyNumberFormat="0">
      <protection locked="0"/>
    </xf>
    <xf numFmtId="0" fontId="196" fillId="110" borderId="66" applyBorder="0"/>
    <xf numFmtId="0" fontId="196" fillId="110" borderId="66" applyBorder="0"/>
    <xf numFmtId="0" fontId="196" fillId="110" borderId="66" applyBorder="0"/>
    <xf numFmtId="0" fontId="196" fillId="110" borderId="66" applyBorder="0"/>
    <xf numFmtId="4" fontId="211" fillId="111" borderId="69" applyNumberFormat="0" applyProtection="0">
      <alignment horizontal="left" vertical="center" indent="1"/>
    </xf>
    <xf numFmtId="4" fontId="211" fillId="111" borderId="69" applyNumberFormat="0" applyProtection="0">
      <alignment horizontal="left" vertical="center" indent="1"/>
    </xf>
    <xf numFmtId="4" fontId="211" fillId="111" borderId="69" applyNumberFormat="0" applyProtection="0">
      <alignment horizontal="left" vertical="center" indent="1"/>
    </xf>
    <xf numFmtId="4" fontId="211" fillId="111" borderId="69" applyNumberFormat="0" applyProtection="0">
      <alignment horizontal="left" vertical="center" indent="1"/>
    </xf>
    <xf numFmtId="4" fontId="211" fillId="111" borderId="69" applyNumberFormat="0" applyProtection="0">
      <alignment horizontal="left" vertical="center" indent="1"/>
    </xf>
    <xf numFmtId="4" fontId="211" fillId="111" borderId="69" applyNumberFormat="0" applyProtection="0">
      <alignment horizontal="left" vertical="center" inden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186" fontId="8" fillId="0" borderId="0">
      <alignment horizontal="left" wrapText="1"/>
    </xf>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3" fillId="0" borderId="0" applyNumberFormat="0" applyBorder="0" applyAlignment="0"/>
    <xf numFmtId="0" fontId="8" fillId="0" borderId="0"/>
    <xf numFmtId="0" fontId="201" fillId="0" borderId="0" applyNumberFormat="0" applyFill="0" applyBorder="0" applyAlignment="0" applyProtection="0"/>
    <xf numFmtId="0" fontId="8" fillId="0" borderId="0"/>
    <xf numFmtId="0" fontId="154" fillId="0" borderId="0" applyNumberFormat="0" applyFill="0" applyBorder="0" applyAlignment="0" applyProtection="0"/>
    <xf numFmtId="0" fontId="8" fillId="0" borderId="0"/>
    <xf numFmtId="0" fontId="154" fillId="0" borderId="0" applyNumberFormat="0" applyFill="0" applyBorder="0" applyAlignment="0" applyProtection="0"/>
    <xf numFmtId="0" fontId="175" fillId="0" borderId="59" applyNumberFormat="0" applyFill="0" applyAlignment="0" applyProtection="0"/>
    <xf numFmtId="0" fontId="8" fillId="0" borderId="0"/>
    <xf numFmtId="0" fontId="155" fillId="0" borderId="59" applyNumberFormat="0" applyFill="0" applyAlignment="0" applyProtection="0"/>
    <xf numFmtId="0" fontId="8" fillId="0" borderId="0"/>
    <xf numFmtId="0" fontId="107" fillId="0" borderId="0" applyNumberFormat="0" applyFill="0" applyBorder="0" applyAlignment="0" applyProtection="0"/>
    <xf numFmtId="0" fontId="8" fillId="0" borderId="0"/>
    <xf numFmtId="0" fontId="202" fillId="0" borderId="0" applyNumberFormat="0" applyFill="0" applyBorder="0" applyAlignment="0" applyProtection="0"/>
    <xf numFmtId="0" fontId="8" fillId="0" borderId="0"/>
    <xf numFmtId="0" fontId="156" fillId="0" borderId="0" applyNumberFormat="0" applyFill="0" applyBorder="0" applyAlignment="0" applyProtection="0"/>
    <xf numFmtId="0" fontId="202" fillId="0" borderId="0" applyNumberForma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135" fillId="41" borderId="0" applyNumberFormat="0" applyBorder="0" applyAlignment="0" applyProtection="0"/>
    <xf numFmtId="0" fontId="135" fillId="37" borderId="0" applyNumberFormat="0" applyBorder="0" applyAlignment="0" applyProtection="0"/>
    <xf numFmtId="0" fontId="129" fillId="17" borderId="45" applyNumberFormat="0" applyAlignment="0" applyProtection="0"/>
    <xf numFmtId="0" fontId="61" fillId="0" borderId="0"/>
    <xf numFmtId="0" fontId="61" fillId="20" borderId="49" applyNumberFormat="0" applyFont="0" applyAlignment="0" applyProtection="0"/>
    <xf numFmtId="0" fontId="135"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35"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35"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35"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35"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35" fillId="29" borderId="0" applyNumberFormat="0" applyBorder="0" applyAlignment="0" applyProtection="0"/>
    <xf numFmtId="0" fontId="61" fillId="20" borderId="49" applyNumberFormat="0" applyFont="0" applyAlignment="0" applyProtection="0"/>
    <xf numFmtId="0" fontId="61" fillId="0" borderId="0"/>
    <xf numFmtId="0" fontId="61" fillId="0" borderId="0"/>
    <xf numFmtId="0" fontId="135" fillId="41" borderId="0" applyNumberFormat="0" applyBorder="0" applyAlignment="0" applyProtection="0"/>
    <xf numFmtId="0" fontId="61" fillId="20" borderId="49" applyNumberFormat="0" applyFont="0" applyAlignment="0" applyProtection="0"/>
    <xf numFmtId="0" fontId="135" fillId="33" borderId="0" applyNumberFormat="0" applyBorder="0" applyAlignment="0" applyProtection="0"/>
    <xf numFmtId="0" fontId="135" fillId="21" borderId="0" applyNumberFormat="0" applyBorder="0" applyAlignment="0" applyProtection="0"/>
    <xf numFmtId="0" fontId="61" fillId="0" borderId="0"/>
    <xf numFmtId="0" fontId="61" fillId="20" borderId="49" applyNumberFormat="0" applyFont="0" applyAlignment="0" applyProtection="0"/>
    <xf numFmtId="0" fontId="135" fillId="25" borderId="0" applyNumberFormat="0" applyBorder="0" applyAlignment="0" applyProtection="0"/>
    <xf numFmtId="0" fontId="135" fillId="21" borderId="0" applyNumberFormat="0" applyBorder="0" applyAlignment="0" applyProtection="0"/>
    <xf numFmtId="0" fontId="135" fillId="41" borderId="0" applyNumberFormat="0" applyBorder="0" applyAlignment="0" applyProtection="0"/>
    <xf numFmtId="0" fontId="61" fillId="20" borderId="49" applyNumberFormat="0" applyFont="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0" fontId="61" fillId="30" borderId="0" applyNumberFormat="0" applyBorder="0" applyAlignment="0" applyProtection="0"/>
    <xf numFmtId="0" fontId="61" fillId="27" borderId="0" applyNumberFormat="0" applyBorder="0" applyAlignment="0" applyProtection="0"/>
    <xf numFmtId="0" fontId="61" fillId="26" borderId="0" applyNumberFormat="0" applyBorder="0" applyAlignment="0" applyProtection="0"/>
    <xf numFmtId="0" fontId="61" fillId="23" borderId="0" applyNumberFormat="0" applyBorder="0" applyAlignment="0" applyProtection="0"/>
    <xf numFmtId="0" fontId="61" fillId="22" borderId="0" applyNumberFormat="0" applyBorder="0" applyAlignment="0" applyProtection="0"/>
    <xf numFmtId="0" fontId="61" fillId="31"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0" fontId="61" fillId="20" borderId="49" applyNumberFormat="0" applyFont="0" applyAlignment="0" applyProtection="0"/>
    <xf numFmtId="0" fontId="61" fillId="0" borderId="0"/>
    <xf numFmtId="0" fontId="61" fillId="0" borderId="0"/>
    <xf numFmtId="0" fontId="61" fillId="0" borderId="0"/>
    <xf numFmtId="0" fontId="61" fillId="20" borderId="49" applyNumberFormat="0" applyFont="0" applyAlignment="0" applyProtection="0"/>
    <xf numFmtId="0" fontId="129" fillId="17" borderId="45" applyNumberFormat="0" applyAlignment="0" applyProtection="0"/>
    <xf numFmtId="0" fontId="61" fillId="0" borderId="0"/>
    <xf numFmtId="0" fontId="61" fillId="20" borderId="49" applyNumberFormat="0" applyFont="0" applyAlignment="0" applyProtection="0"/>
    <xf numFmtId="43" fontId="61" fillId="0" borderId="0" applyFont="0" applyFill="0" applyBorder="0" applyAlignment="0" applyProtection="0"/>
    <xf numFmtId="0" fontId="61" fillId="20" borderId="49" applyNumberFormat="0" applyFont="0" applyAlignment="0" applyProtection="0"/>
    <xf numFmtId="0" fontId="61" fillId="22" borderId="0" applyNumberFormat="0" applyBorder="0" applyAlignment="0" applyProtection="0"/>
    <xf numFmtId="0" fontId="61" fillId="23"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3" fontId="61" fillId="0" borderId="0" applyFont="0" applyFill="0" applyBorder="0" applyAlignment="0" applyProtection="0"/>
    <xf numFmtId="0" fontId="61" fillId="20" borderId="49" applyNumberFormat="0" applyFont="0" applyAlignment="0" applyProtection="0"/>
    <xf numFmtId="0" fontId="61" fillId="22" borderId="0" applyNumberFormat="0" applyBorder="0" applyAlignment="0" applyProtection="0"/>
    <xf numFmtId="0" fontId="61" fillId="23"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0" borderId="0"/>
    <xf numFmtId="43" fontId="61" fillId="0" borderId="0" applyFont="0" applyFill="0" applyBorder="0" applyAlignment="0" applyProtection="0"/>
    <xf numFmtId="0" fontId="61" fillId="20" borderId="49" applyNumberFormat="0" applyFont="0" applyAlignment="0" applyProtection="0"/>
    <xf numFmtId="0" fontId="61" fillId="22" borderId="0" applyNumberFormat="0" applyBorder="0" applyAlignment="0" applyProtection="0"/>
    <xf numFmtId="0" fontId="61" fillId="23"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35" fillId="29" borderId="0" applyNumberFormat="0" applyBorder="0" applyAlignment="0" applyProtection="0"/>
    <xf numFmtId="0" fontId="135" fillId="21" borderId="0" applyNumberFormat="0" applyBorder="0" applyAlignment="0" applyProtection="0"/>
    <xf numFmtId="0" fontId="135" fillId="33" borderId="0" applyNumberFormat="0" applyBorder="0" applyAlignment="0" applyProtection="0"/>
    <xf numFmtId="0" fontId="129" fillId="17" borderId="45" applyNumberFormat="0" applyAlignment="0" applyProtection="0"/>
    <xf numFmtId="0" fontId="135" fillId="25" borderId="0" applyNumberFormat="0" applyBorder="0" applyAlignment="0" applyProtection="0"/>
    <xf numFmtId="0" fontId="135" fillId="29" borderId="0" applyNumberFormat="0" applyBorder="0" applyAlignment="0" applyProtection="0"/>
    <xf numFmtId="0" fontId="61" fillId="20" borderId="49" applyNumberFormat="0" applyFont="0" applyAlignment="0" applyProtection="0"/>
    <xf numFmtId="0" fontId="135" fillId="25" borderId="0" applyNumberFormat="0" applyBorder="0" applyAlignment="0" applyProtection="0"/>
    <xf numFmtId="0" fontId="61" fillId="20" borderId="49" applyNumberFormat="0" applyFont="0" applyAlignment="0" applyProtection="0"/>
    <xf numFmtId="0" fontId="129" fillId="17" borderId="45" applyNumberFormat="0" applyAlignment="0" applyProtection="0"/>
    <xf numFmtId="0" fontId="135" fillId="37" borderId="0" applyNumberFormat="0" applyBorder="0" applyAlignment="0" applyProtection="0"/>
    <xf numFmtId="0" fontId="135" fillId="37"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29" fillId="17" borderId="45" applyNumberFormat="0" applyAlignment="0" applyProtection="0"/>
    <xf numFmtId="0" fontId="61" fillId="20" borderId="49" applyNumberFormat="0" applyFont="0" applyAlignment="0" applyProtection="0"/>
    <xf numFmtId="0" fontId="135"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135"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35"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35"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35"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35"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46" fillId="0" borderId="0"/>
    <xf numFmtId="43" fontId="46"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168" fontId="35" fillId="0" borderId="0" applyProtection="0"/>
    <xf numFmtId="168" fontId="35" fillId="0" borderId="0" applyProtection="0"/>
    <xf numFmtId="0" fontId="61" fillId="0" borderId="0"/>
    <xf numFmtId="168" fontId="35" fillId="0" borderId="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8"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cellStyleXfs>
  <cellXfs count="1909">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7" fillId="0" borderId="0" xfId="0" applyFont="1" applyAlignment="1">
      <alignment horizontal="center"/>
    </xf>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164" fontId="12" fillId="0" borderId="6" xfId="4" applyNumberFormat="1" applyFont="1" applyBorder="1"/>
    <xf numFmtId="164" fontId="12" fillId="2" borderId="5" xfId="4" applyNumberFormat="1" applyFont="1" applyFill="1" applyBorder="1"/>
    <xf numFmtId="164" fontId="12" fillId="0" borderId="0" xfId="4" applyNumberFormat="1" applyFont="1" applyBorder="1"/>
    <xf numFmtId="164" fontId="12" fillId="0" borderId="0" xfId="1" applyNumberFormat="1" applyFont="1" applyBorder="1"/>
    <xf numFmtId="164" fontId="12" fillId="0" borderId="5" xfId="4"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42" fontId="0" fillId="0" borderId="0" xfId="0" applyNumberFormat="1"/>
    <xf numFmtId="37" fontId="0" fillId="2" borderId="0" xfId="0" applyNumberFormat="1" applyFill="1" applyAlignment="1">
      <alignment horizontal="right" wrapText="1"/>
    </xf>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44"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4"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5"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56" fillId="0" borderId="0" xfId="0" applyFont="1"/>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7"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164" fontId="25" fillId="0" borderId="0" xfId="0" applyNumberFormat="1" applyFont="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8"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9"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0"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0" applyFont="1"/>
    <xf numFmtId="0" fontId="11" fillId="0" borderId="0" xfId="7" applyFont="1" applyBorder="1"/>
    <xf numFmtId="0" fontId="9" fillId="0" borderId="0" xfId="7" applyFont="1" applyBorder="1"/>
    <xf numFmtId="0" fontId="8" fillId="0" borderId="0" xfId="7" applyFont="1"/>
    <xf numFmtId="0" fontId="9" fillId="0" borderId="0" xfId="20"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6" fillId="0" borderId="0" xfId="21" applyFont="1"/>
    <xf numFmtId="177" fontId="63" fillId="8" borderId="0" xfId="20" applyNumberFormat="1" applyFill="1" applyBorder="1"/>
    <xf numFmtId="177" fontId="62" fillId="0" borderId="0" xfId="8" applyNumberFormat="1" applyFont="1" applyAlignment="1">
      <alignment horizontal="center"/>
    </xf>
    <xf numFmtId="177" fontId="0" fillId="0" borderId="0" xfId="10" applyNumberFormat="1" applyFont="1" applyBorder="1"/>
    <xf numFmtId="177" fontId="63" fillId="8" borderId="0" xfId="20" applyNumberFormat="1" applyFill="1"/>
    <xf numFmtId="177" fontId="46" fillId="0" borderId="0" xfId="22" applyNumberFormat="1" applyFont="1" applyBorder="1"/>
    <xf numFmtId="177" fontId="64" fillId="8" borderId="0" xfId="23" applyNumberFormat="1" applyFont="1" applyFill="1"/>
    <xf numFmtId="177" fontId="46" fillId="0" borderId="0" xfId="24" applyNumberFormat="1" applyFont="1" applyBorder="1"/>
    <xf numFmtId="177" fontId="46" fillId="8" borderId="0" xfId="23" applyNumberFormat="1" applyFont="1" applyFill="1"/>
    <xf numFmtId="177" fontId="46" fillId="8" borderId="0" xfId="23" applyNumberFormat="1" applyFont="1" applyFill="1" applyBorder="1"/>
    <xf numFmtId="177" fontId="0" fillId="0" borderId="0" xfId="8" applyNumberFormat="1" applyFont="1" applyBorder="1"/>
    <xf numFmtId="177" fontId="63" fillId="0" borderId="0" xfId="20"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0" applyNumberFormat="1" applyFont="1"/>
    <xf numFmtId="166" fontId="65"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7" fillId="0" borderId="0" xfId="25" applyNumberFormat="1" applyFont="1" applyFill="1" applyAlignment="1">
      <alignment horizontal="center"/>
    </xf>
    <xf numFmtId="168" fontId="68" fillId="0" borderId="0" xfId="25" applyFont="1" applyFill="1" applyAlignment="1"/>
    <xf numFmtId="0" fontId="68" fillId="0" borderId="0" xfId="26" applyFont="1" applyFill="1"/>
    <xf numFmtId="0" fontId="68" fillId="0" borderId="0" xfId="27" applyNumberFormat="1" applyFont="1" applyFill="1" applyBorder="1" applyAlignment="1" applyProtection="1">
      <alignment horizontal="center"/>
      <protection locked="0"/>
    </xf>
    <xf numFmtId="0" fontId="68" fillId="0" borderId="0" xfId="26" applyFont="1" applyFill="1" applyAlignment="1">
      <alignment horizontal="right"/>
    </xf>
    <xf numFmtId="0" fontId="68" fillId="0" borderId="0" xfId="25" applyNumberFormat="1" applyFont="1" applyFill="1" applyAlignment="1">
      <alignment horizontal="center"/>
    </xf>
    <xf numFmtId="0" fontId="68" fillId="0" borderId="0" xfId="26" applyFont="1" applyFill="1" applyAlignment="1">
      <alignment horizontal="center"/>
    </xf>
    <xf numFmtId="168" fontId="68" fillId="0" borderId="0" xfId="25" applyFont="1" applyFill="1" applyAlignment="1">
      <alignment horizontal="right"/>
    </xf>
    <xf numFmtId="0" fontId="68" fillId="0" borderId="0" xfId="28" applyNumberFormat="1" applyFont="1" applyFill="1" applyAlignment="1">
      <alignment horizontal="center"/>
    </xf>
    <xf numFmtId="0" fontId="69" fillId="0" borderId="0" xfId="26" applyFont="1" applyFill="1" applyAlignment="1">
      <alignment horizontal="centerContinuous"/>
    </xf>
    <xf numFmtId="0" fontId="69" fillId="0" borderId="0" xfId="26" applyFont="1" applyFill="1" applyAlignment="1">
      <alignment horizontal="center"/>
    </xf>
    <xf numFmtId="0" fontId="68" fillId="0" borderId="0" xfId="25" applyNumberFormat="1" applyFont="1" applyFill="1" applyAlignment="1">
      <alignment horizontal="center" wrapText="1"/>
    </xf>
    <xf numFmtId="0" fontId="69" fillId="0" borderId="0" xfId="26" applyFont="1" applyFill="1" applyAlignment="1">
      <alignment horizontal="center" wrapText="1"/>
    </xf>
    <xf numFmtId="168" fontId="69" fillId="0" borderId="0" xfId="25" applyFont="1" applyFill="1" applyAlignment="1">
      <alignment horizontal="center" wrapText="1"/>
    </xf>
    <xf numFmtId="168" fontId="68" fillId="0" borderId="0" xfId="25" applyFont="1" applyFill="1" applyAlignment="1">
      <alignment wrapText="1"/>
    </xf>
    <xf numFmtId="0" fontId="69" fillId="0" borderId="0" xfId="29" applyFont="1" applyFill="1" applyBorder="1" applyAlignment="1">
      <alignment horizontal="center" wrapText="1"/>
    </xf>
    <xf numFmtId="168" fontId="67" fillId="0" borderId="0" xfId="25" applyFont="1" applyFill="1" applyAlignment="1"/>
    <xf numFmtId="0" fontId="68" fillId="0" borderId="0" xfId="30" applyFont="1" applyFill="1" applyAlignment="1">
      <alignment horizontal="left" wrapText="1"/>
    </xf>
    <xf numFmtId="37" fontId="68" fillId="0" borderId="0" xfId="8" applyNumberFormat="1" applyFont="1" applyFill="1" applyAlignment="1">
      <alignment horizontal="center"/>
    </xf>
    <xf numFmtId="37" fontId="68" fillId="0" borderId="0" xfId="8" applyNumberFormat="1" applyFont="1" applyFill="1" applyAlignment="1">
      <alignment horizontal="center" wrapText="1"/>
    </xf>
    <xf numFmtId="3" fontId="68" fillId="0" borderId="0" xfId="31" applyNumberFormat="1" applyFont="1" applyFill="1" applyAlignment="1">
      <alignment horizontal="left" wrapText="1"/>
    </xf>
    <xf numFmtId="3" fontId="68" fillId="0" borderId="0" xfId="31" applyNumberFormat="1" applyFont="1" applyFill="1" applyAlignment="1">
      <alignment wrapText="1"/>
    </xf>
    <xf numFmtId="3" fontId="68" fillId="0" borderId="0" xfId="31" applyNumberFormat="1" applyFont="1" applyFill="1" applyAlignment="1">
      <alignment horizontal="center" wrapText="1"/>
    </xf>
    <xf numFmtId="0" fontId="68" fillId="0" borderId="0" xfId="26" quotePrefix="1" applyFont="1" applyFill="1" applyAlignment="1">
      <alignment horizontal="left"/>
    </xf>
    <xf numFmtId="41" fontId="68" fillId="10" borderId="0" xfId="26" applyNumberFormat="1" applyFont="1" applyFill="1"/>
    <xf numFmtId="164" fontId="68" fillId="10" borderId="0" xfId="8" applyNumberFormat="1" applyFont="1" applyFill="1"/>
    <xf numFmtId="164" fontId="68" fillId="0" borderId="20" xfId="8" applyNumberFormat="1" applyFont="1" applyFill="1" applyBorder="1"/>
    <xf numFmtId="37" fontId="68" fillId="0" borderId="0" xfId="26" applyNumberFormat="1" applyFont="1" applyFill="1"/>
    <xf numFmtId="168" fontId="68" fillId="0" borderId="0" xfId="32" applyFont="1" applyFill="1" applyAlignment="1"/>
    <xf numFmtId="0" fontId="69" fillId="0" borderId="0" xfId="26" applyFont="1" applyFill="1" applyAlignment="1">
      <alignment horizontal="centerContinuous" wrapText="1"/>
    </xf>
    <xf numFmtId="168" fontId="69" fillId="0" borderId="0" xfId="25" applyFont="1" applyFill="1" applyAlignment="1">
      <alignment horizontal="center"/>
    </xf>
    <xf numFmtId="0" fontId="68" fillId="0" borderId="0" xfId="29" applyFont="1" applyFill="1" applyBorder="1" applyAlignment="1">
      <alignment horizontal="center" wrapText="1"/>
    </xf>
    <xf numFmtId="168" fontId="68" fillId="0" borderId="0" xfId="25" applyFont="1" applyFill="1" applyAlignment="1">
      <alignment horizontal="center"/>
    </xf>
    <xf numFmtId="41" fontId="70" fillId="11" borderId="0" xfId="26" applyNumberFormat="1" applyFont="1" applyFill="1"/>
    <xf numFmtId="0" fontId="68" fillId="0" borderId="0" xfId="26" applyFont="1" applyFill="1" applyAlignment="1">
      <alignment horizontal="left"/>
    </xf>
    <xf numFmtId="43" fontId="68" fillId="0" borderId="20" xfId="8" applyFont="1" applyFill="1" applyBorder="1"/>
    <xf numFmtId="164" fontId="68" fillId="10" borderId="0" xfId="8" applyNumberFormat="1" applyFont="1" applyFill="1" applyBorder="1"/>
    <xf numFmtId="43" fontId="68" fillId="0" borderId="0" xfId="8" applyFont="1" applyFill="1" applyBorder="1" applyAlignment="1">
      <alignment horizontal="center"/>
    </xf>
    <xf numFmtId="164" fontId="68" fillId="0" borderId="0" xfId="8" applyNumberFormat="1" applyFont="1" applyFill="1" applyBorder="1"/>
    <xf numFmtId="164" fontId="68" fillId="0" borderId="0" xfId="8" applyNumberFormat="1" applyFont="1" applyFill="1" applyBorder="1" applyAlignment="1">
      <alignment horizontal="center"/>
    </xf>
    <xf numFmtId="0" fontId="71" fillId="0" borderId="0" xfId="25" applyNumberFormat="1" applyFont="1" applyFill="1" applyAlignment="1">
      <alignment horizontal="center"/>
    </xf>
    <xf numFmtId="168" fontId="71" fillId="0" borderId="0" xfId="25" applyFont="1" applyFill="1" applyAlignment="1">
      <alignment horizontal="center"/>
    </xf>
    <xf numFmtId="44" fontId="71" fillId="0" borderId="0" xfId="25" applyNumberFormat="1" applyFont="1" applyFill="1" applyBorder="1" applyAlignment="1"/>
    <xf numFmtId="168" fontId="68" fillId="0" borderId="0" xfId="25" applyFont="1" applyFill="1" applyAlignment="1">
      <alignment vertical="center" wrapText="1"/>
    </xf>
    <xf numFmtId="168" fontId="68" fillId="0" borderId="0" xfId="25" applyFont="1" applyFill="1" applyAlignment="1">
      <alignment horizontal="left" vertical="center"/>
    </xf>
    <xf numFmtId="168" fontId="68" fillId="0" borderId="0" xfId="25" applyFont="1" applyFill="1" applyAlignment="1">
      <alignment horizontal="left" vertical="center" wrapText="1"/>
    </xf>
    <xf numFmtId="0" fontId="68" fillId="0" borderId="0" xfId="25" applyNumberFormat="1" applyFont="1" applyFill="1" applyBorder="1" applyAlignment="1">
      <alignment vertical="top"/>
    </xf>
    <xf numFmtId="0" fontId="72" fillId="0" borderId="0" xfId="34" applyFont="1" applyFill="1" applyAlignment="1">
      <alignment horizontal="center"/>
    </xf>
    <xf numFmtId="0" fontId="72" fillId="0" borderId="0" xfId="34" applyFont="1" applyFill="1"/>
    <xf numFmtId="0" fontId="69" fillId="0" borderId="0" xfId="27" applyNumberFormat="1" applyFont="1" applyFill="1" applyBorder="1" applyAlignment="1" applyProtection="1">
      <alignment horizontal="center"/>
      <protection locked="0"/>
    </xf>
    <xf numFmtId="0" fontId="73" fillId="0" borderId="0" xfId="34" applyFont="1" applyFill="1" applyAlignment="1">
      <alignment horizontal="center"/>
    </xf>
    <xf numFmtId="168" fontId="68"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9" fillId="0" borderId="0" xfId="26" quotePrefix="1" applyFont="1" applyFill="1" applyAlignment="1">
      <alignment horizontal="left"/>
    </xf>
    <xf numFmtId="0" fontId="68" fillId="10" borderId="0" xfId="26" quotePrefix="1" applyFont="1" applyFill="1" applyAlignment="1">
      <alignment horizontal="left"/>
    </xf>
    <xf numFmtId="168" fontId="35" fillId="10" borderId="0" xfId="35" applyFill="1" applyAlignment="1"/>
    <xf numFmtId="0" fontId="68" fillId="0" borderId="0" xfId="26" quotePrefix="1" applyFont="1" applyFill="1" applyAlignment="1">
      <alignment horizontal="center"/>
    </xf>
    <xf numFmtId="0" fontId="68" fillId="10" borderId="0" xfId="26" quotePrefix="1" applyFont="1" applyFill="1" applyAlignment="1">
      <alignment horizontal="center"/>
    </xf>
    <xf numFmtId="166" fontId="68" fillId="0" borderId="0" xfId="10" quotePrefix="1" applyNumberFormat="1" applyFont="1" applyFill="1" applyAlignment="1">
      <alignment horizontal="left"/>
    </xf>
    <xf numFmtId="39" fontId="68" fillId="10" borderId="0" xfId="8" quotePrefix="1" applyNumberFormat="1" applyFont="1" applyFill="1" applyAlignment="1">
      <alignment horizontal="left"/>
    </xf>
    <xf numFmtId="164" fontId="68" fillId="0" borderId="0" xfId="8" quotePrefix="1" applyNumberFormat="1" applyFont="1" applyFill="1" applyAlignment="1">
      <alignment horizontal="left"/>
    </xf>
    <xf numFmtId="164" fontId="68" fillId="10" borderId="0" xfId="26" applyNumberFormat="1" applyFont="1" applyFill="1"/>
    <xf numFmtId="166" fontId="68" fillId="10" borderId="0" xfId="46" quotePrefix="1" applyNumberFormat="1" applyFont="1" applyFill="1" applyAlignment="1">
      <alignment horizontal="center"/>
    </xf>
    <xf numFmtId="168" fontId="68" fillId="0" borderId="0" xfId="27" applyFont="1" applyFill="1" applyBorder="1" applyAlignment="1"/>
    <xf numFmtId="168" fontId="68" fillId="0" borderId="0" xfId="27" applyFont="1" applyFill="1" applyBorder="1" applyAlignment="1">
      <alignment horizontal="right"/>
    </xf>
    <xf numFmtId="164" fontId="68" fillId="0" borderId="0" xfId="8" applyNumberFormat="1" applyFont="1" applyFill="1" applyBorder="1" applyAlignment="1"/>
    <xf numFmtId="0" fontId="68" fillId="0" borderId="0" xfId="27" applyNumberFormat="1" applyFont="1" applyFill="1" applyBorder="1" applyAlignment="1" applyProtection="1">
      <protection locked="0"/>
    </xf>
    <xf numFmtId="0" fontId="68" fillId="0" borderId="0" xfId="27" applyNumberFormat="1" applyFont="1" applyFill="1" applyBorder="1" applyProtection="1">
      <protection locked="0"/>
    </xf>
    <xf numFmtId="0" fontId="68" fillId="0" borderId="0" xfId="31" applyFont="1" applyFill="1"/>
    <xf numFmtId="0" fontId="68" fillId="0" borderId="0" xfId="27" applyNumberFormat="1" applyFont="1" applyFill="1" applyAlignment="1">
      <alignment horizontal="right"/>
    </xf>
    <xf numFmtId="0" fontId="68" fillId="0" borderId="0" xfId="27" applyNumberFormat="1" applyFont="1" applyFill="1" applyBorder="1"/>
    <xf numFmtId="164" fontId="74" fillId="0" borderId="0" xfId="8" applyNumberFormat="1" applyFont="1" applyFill="1" applyBorder="1"/>
    <xf numFmtId="3" fontId="68" fillId="0" borderId="0" xfId="27" applyNumberFormat="1" applyFont="1" applyFill="1" applyBorder="1" applyAlignment="1"/>
    <xf numFmtId="0" fontId="74" fillId="0" borderId="0" xfId="27" applyNumberFormat="1" applyFont="1" applyFill="1" applyBorder="1" applyAlignment="1">
      <alignment horizontal="center"/>
    </xf>
    <xf numFmtId="0" fontId="74" fillId="0" borderId="0" xfId="27" applyNumberFormat="1" applyFont="1" applyFill="1" applyBorder="1"/>
    <xf numFmtId="49" fontId="68" fillId="0" borderId="0" xfId="27" applyNumberFormat="1" applyFont="1" applyFill="1" applyBorder="1"/>
    <xf numFmtId="3" fontId="68" fillId="0" borderId="0" xfId="27" applyNumberFormat="1" applyFont="1" applyFill="1" applyBorder="1"/>
    <xf numFmtId="0" fontId="68" fillId="0" borderId="0" xfId="27" applyNumberFormat="1" applyFont="1" applyFill="1" applyBorder="1" applyAlignment="1">
      <alignment horizontal="center"/>
    </xf>
    <xf numFmtId="49" fontId="68" fillId="0" borderId="0" xfId="27" applyNumberFormat="1" applyFont="1" applyFill="1" applyBorder="1" applyAlignment="1">
      <alignment horizontal="center"/>
    </xf>
    <xf numFmtId="0" fontId="68" fillId="0" borderId="0" xfId="27" applyNumberFormat="1" applyFont="1" applyFill="1" applyBorder="1" applyAlignment="1"/>
    <xf numFmtId="3" fontId="69" fillId="0" borderId="0" xfId="27" applyNumberFormat="1" applyFont="1" applyFill="1" applyBorder="1" applyAlignment="1">
      <alignment horizontal="center"/>
    </xf>
    <xf numFmtId="168" fontId="69" fillId="0" borderId="0" xfId="27" applyFont="1" applyFill="1" applyBorder="1" applyAlignment="1">
      <alignment horizontal="center"/>
    </xf>
    <xf numFmtId="0" fontId="69" fillId="0" borderId="0" xfId="27" applyNumberFormat="1" applyFont="1" applyFill="1" applyBorder="1" applyAlignment="1">
      <alignment horizontal="center"/>
    </xf>
    <xf numFmtId="0" fontId="69" fillId="0" borderId="0" xfId="27" applyNumberFormat="1" applyFont="1" applyFill="1" applyBorder="1" applyAlignment="1"/>
    <xf numFmtId="0" fontId="75" fillId="0" borderId="0" xfId="27" applyNumberFormat="1" applyFont="1" applyFill="1" applyBorder="1" applyAlignment="1" applyProtection="1">
      <alignment horizontal="center"/>
      <protection locked="0"/>
    </xf>
    <xf numFmtId="3" fontId="68" fillId="0" borderId="0" xfId="27" applyNumberFormat="1" applyFont="1" applyFill="1" applyBorder="1" applyAlignment="1">
      <alignment horizontal="center"/>
    </xf>
    <xf numFmtId="3" fontId="68" fillId="0" borderId="0" xfId="27" applyNumberFormat="1" applyFont="1" applyFill="1" applyBorder="1" applyAlignment="1">
      <alignment horizontal="left"/>
    </xf>
    <xf numFmtId="43" fontId="68" fillId="0" borderId="0" xfId="8" applyNumberFormat="1" applyFont="1" applyFill="1" applyBorder="1" applyAlignment="1"/>
    <xf numFmtId="43" fontId="76" fillId="0" borderId="0" xfId="8" applyNumberFormat="1" applyFont="1" applyFill="1" applyBorder="1" applyAlignment="1"/>
    <xf numFmtId="10" fontId="76" fillId="0" borderId="0" xfId="12" applyNumberFormat="1" applyFont="1" applyFill="1" applyBorder="1" applyAlignment="1"/>
    <xf numFmtId="10" fontId="69" fillId="0" borderId="0" xfId="27" applyNumberFormat="1" applyFont="1" applyFill="1" applyBorder="1" applyAlignment="1"/>
    <xf numFmtId="3" fontId="69" fillId="0" borderId="0" xfId="27" applyNumberFormat="1" applyFont="1" applyFill="1" applyBorder="1" applyAlignment="1"/>
    <xf numFmtId="179" fontId="69" fillId="0" borderId="0" xfId="27" applyNumberFormat="1" applyFont="1" applyFill="1" applyBorder="1" applyAlignment="1"/>
    <xf numFmtId="10" fontId="68" fillId="0" borderId="0" xfId="27" applyNumberFormat="1" applyFont="1" applyFill="1" applyBorder="1" applyAlignment="1"/>
    <xf numFmtId="168" fontId="68" fillId="0" borderId="0" xfId="27" applyFont="1" applyFill="1" applyBorder="1" applyAlignment="1">
      <alignment horizontal="left"/>
    </xf>
    <xf numFmtId="168" fontId="68" fillId="0" borderId="0" xfId="27" applyFont="1" applyFill="1" applyBorder="1" applyAlignment="1">
      <alignment horizontal="center"/>
    </xf>
    <xf numFmtId="43" fontId="68" fillId="0" borderId="0" xfId="8" applyFont="1" applyFill="1" applyBorder="1" applyAlignment="1"/>
    <xf numFmtId="49" fontId="69" fillId="0" borderId="0" xfId="27" applyNumberFormat="1" applyFont="1" applyFill="1" applyBorder="1" applyAlignment="1">
      <alignment horizontal="center"/>
    </xf>
    <xf numFmtId="168" fontId="69" fillId="0" borderId="0" xfId="27" applyFont="1" applyFill="1" applyBorder="1" applyAlignment="1"/>
    <xf numFmtId="3" fontId="69" fillId="0" borderId="0" xfId="27" applyNumberFormat="1" applyFont="1" applyFill="1" applyBorder="1" applyAlignment="1">
      <alignment horizontal="left"/>
    </xf>
    <xf numFmtId="43" fontId="69" fillId="0" borderId="0" xfId="8" applyNumberFormat="1" applyFont="1" applyFill="1" applyBorder="1" applyAlignment="1"/>
    <xf numFmtId="10" fontId="69" fillId="0" borderId="0" xfId="12" applyNumberFormat="1" applyFont="1" applyFill="1" applyBorder="1" applyAlignment="1"/>
    <xf numFmtId="0" fontId="68" fillId="0" borderId="0" xfId="27" applyNumberFormat="1" applyFont="1" applyFill="1" applyBorder="1" applyAlignment="1">
      <alignment horizontal="fill"/>
    </xf>
    <xf numFmtId="168" fontId="77" fillId="0" borderId="0" xfId="27" applyFont="1" applyFill="1" applyBorder="1" applyAlignment="1"/>
    <xf numFmtId="3" fontId="77" fillId="0" borderId="0" xfId="27" applyNumberFormat="1" applyFont="1" applyFill="1" applyBorder="1" applyAlignment="1"/>
    <xf numFmtId="167" fontId="68" fillId="0" borderId="0" xfId="27" applyNumberFormat="1" applyFont="1" applyFill="1" applyBorder="1" applyAlignment="1">
      <alignment horizontal="left"/>
    </xf>
    <xf numFmtId="167" fontId="68" fillId="0" borderId="0" xfId="27" applyNumberFormat="1" applyFont="1" applyFill="1" applyBorder="1" applyAlignment="1">
      <alignment horizontal="center"/>
    </xf>
    <xf numFmtId="180" fontId="68" fillId="0" borderId="0" xfId="27" applyNumberFormat="1" applyFont="1" applyFill="1" applyBorder="1" applyAlignment="1"/>
    <xf numFmtId="0" fontId="77" fillId="0" borderId="0" xfId="27" applyNumberFormat="1" applyFont="1" applyFill="1" applyBorder="1"/>
    <xf numFmtId="49" fontId="68" fillId="0" borderId="0" xfId="27" applyNumberFormat="1" applyFont="1" applyFill="1" applyBorder="1" applyAlignment="1">
      <alignment horizontal="left"/>
    </xf>
    <xf numFmtId="0" fontId="68" fillId="0" borderId="0" xfId="27" applyNumberFormat="1" applyFont="1" applyFill="1" applyBorder="1" applyAlignment="1">
      <alignment horizontal="right"/>
    </xf>
    <xf numFmtId="178" fontId="69" fillId="0" borderId="0" xfId="27" applyNumberFormat="1" applyFont="1" applyFill="1" applyBorder="1" applyAlignment="1">
      <alignment horizontal="center"/>
    </xf>
    <xf numFmtId="178" fontId="69" fillId="0" borderId="0" xfId="27" quotePrefix="1" applyNumberFormat="1" applyFont="1" applyFill="1" applyBorder="1" applyAlignment="1">
      <alignment horizontal="center"/>
    </xf>
    <xf numFmtId="168" fontId="69" fillId="0" borderId="22" xfId="27" applyFont="1" applyFill="1" applyBorder="1" applyAlignment="1">
      <alignment horizontal="center" wrapText="1"/>
    </xf>
    <xf numFmtId="168" fontId="69" fillId="0" borderId="21" xfId="27" applyFont="1" applyFill="1" applyBorder="1" applyAlignment="1"/>
    <xf numFmtId="0" fontId="69" fillId="0" borderId="21" xfId="27" applyNumberFormat="1" applyFont="1" applyFill="1" applyBorder="1" applyAlignment="1">
      <alignment horizontal="center" wrapText="1"/>
    </xf>
    <xf numFmtId="168" fontId="69" fillId="0" borderId="23" xfId="27" applyFont="1" applyFill="1" applyBorder="1" applyAlignment="1">
      <alignment horizontal="center" wrapText="1"/>
    </xf>
    <xf numFmtId="3" fontId="69" fillId="0" borderId="23" xfId="27" applyNumberFormat="1" applyFont="1" applyFill="1" applyBorder="1" applyAlignment="1">
      <alignment horizontal="center" wrapText="1"/>
    </xf>
    <xf numFmtId="0" fontId="68" fillId="0" borderId="22" xfId="27" applyNumberFormat="1" applyFont="1" applyFill="1" applyBorder="1"/>
    <xf numFmtId="0" fontId="68" fillId="0" borderId="21" xfId="27" applyNumberFormat="1" applyFont="1" applyFill="1" applyBorder="1"/>
    <xf numFmtId="0" fontId="68" fillId="0" borderId="21" xfId="27" applyNumberFormat="1" applyFont="1" applyFill="1" applyBorder="1" applyAlignment="1">
      <alignment horizontal="center"/>
    </xf>
    <xf numFmtId="0" fontId="68" fillId="0" borderId="23" xfId="27" applyNumberFormat="1" applyFont="1" applyFill="1" applyBorder="1" applyAlignment="1">
      <alignment horizontal="center"/>
    </xf>
    <xf numFmtId="0" fontId="68" fillId="0" borderId="23" xfId="27" applyNumberFormat="1" applyFont="1" applyFill="1" applyBorder="1" applyAlignment="1">
      <alignment horizontal="center" wrapText="1"/>
    </xf>
    <xf numFmtId="3" fontId="68" fillId="0" borderId="23" xfId="27" applyNumberFormat="1" applyFont="1" applyFill="1" applyBorder="1" applyAlignment="1">
      <alignment horizontal="center" wrapText="1"/>
    </xf>
    <xf numFmtId="3" fontId="68" fillId="0" borderId="21" xfId="27" applyNumberFormat="1" applyFont="1" applyFill="1" applyBorder="1" applyAlignment="1">
      <alignment horizontal="center"/>
    </xf>
    <xf numFmtId="0" fontId="68" fillId="0" borderId="31" xfId="27" applyNumberFormat="1" applyFont="1" applyFill="1" applyBorder="1"/>
    <xf numFmtId="0" fontId="68" fillId="0" borderId="27" xfId="27" applyNumberFormat="1" applyFont="1" applyFill="1" applyBorder="1"/>
    <xf numFmtId="0" fontId="68" fillId="0" borderId="29" xfId="27" applyNumberFormat="1" applyFont="1" applyFill="1" applyBorder="1"/>
    <xf numFmtId="3" fontId="68" fillId="0" borderId="27" xfId="27" applyNumberFormat="1" applyFont="1" applyFill="1" applyBorder="1" applyAlignment="1"/>
    <xf numFmtId="168" fontId="68" fillId="0" borderId="31" xfId="50" applyFont="1" applyFill="1" applyBorder="1" applyAlignment="1"/>
    <xf numFmtId="168" fontId="68" fillId="0" borderId="0" xfId="50" applyFont="1" applyFill="1" applyBorder="1" applyAlignment="1"/>
    <xf numFmtId="43" fontId="68" fillId="0" borderId="27" xfId="8" applyFont="1" applyFill="1" applyBorder="1" applyAlignment="1"/>
    <xf numFmtId="164" fontId="68" fillId="0" borderId="27" xfId="8" applyNumberFormat="1" applyFont="1" applyFill="1" applyBorder="1" applyAlignment="1"/>
    <xf numFmtId="168" fontId="68" fillId="10" borderId="0" xfId="50" applyFont="1" applyFill="1" applyBorder="1" applyAlignment="1"/>
    <xf numFmtId="0" fontId="68" fillId="10" borderId="0" xfId="8" applyNumberFormat="1" applyFont="1" applyFill="1" applyBorder="1" applyAlignment="1">
      <alignment horizontal="left"/>
    </xf>
    <xf numFmtId="166" fontId="68" fillId="10" borderId="0" xfId="10" applyNumberFormat="1" applyFont="1" applyFill="1" applyBorder="1" applyAlignment="1"/>
    <xf numFmtId="164" fontId="68" fillId="10" borderId="0" xfId="8" applyNumberFormat="1" applyFont="1" applyFill="1" applyBorder="1" applyAlignment="1"/>
    <xf numFmtId="164" fontId="68" fillId="10" borderId="31" xfId="8" applyNumberFormat="1" applyFont="1" applyFill="1" applyBorder="1" applyAlignment="1"/>
    <xf numFmtId="168" fontId="68" fillId="10" borderId="0" xfId="27" applyFont="1" applyFill="1" applyBorder="1" applyAlignment="1">
      <alignment horizontal="left"/>
    </xf>
    <xf numFmtId="166" fontId="70" fillId="10" borderId="0" xfId="10" applyNumberFormat="1" applyFont="1" applyFill="1" applyBorder="1" applyAlignment="1"/>
    <xf numFmtId="164" fontId="70" fillId="10" borderId="0" xfId="8" applyNumberFormat="1" applyFont="1" applyFill="1" applyBorder="1" applyAlignment="1"/>
    <xf numFmtId="168" fontId="68" fillId="0" borderId="31" xfId="27" applyFont="1" applyFill="1" applyBorder="1" applyAlignment="1"/>
    <xf numFmtId="168" fontId="68" fillId="10" borderId="0" xfId="27" applyFont="1" applyFill="1" applyBorder="1" applyAlignment="1"/>
    <xf numFmtId="168" fontId="68" fillId="0" borderId="32" xfId="27" applyFont="1" applyFill="1" applyBorder="1" applyAlignment="1"/>
    <xf numFmtId="168" fontId="68" fillId="0" borderId="12" xfId="27" applyFont="1" applyFill="1" applyBorder="1" applyAlignment="1"/>
    <xf numFmtId="168" fontId="68" fillId="10" borderId="12" xfId="27" applyFont="1" applyFill="1" applyBorder="1" applyAlignment="1"/>
    <xf numFmtId="168" fontId="68" fillId="0" borderId="25" xfId="27" applyFont="1" applyFill="1" applyBorder="1" applyAlignment="1"/>
    <xf numFmtId="164" fontId="68" fillId="0" borderId="25" xfId="8" applyNumberFormat="1" applyFont="1" applyFill="1" applyBorder="1" applyAlignment="1"/>
    <xf numFmtId="164" fontId="68" fillId="10" borderId="12" xfId="8" applyNumberFormat="1" applyFont="1" applyFill="1" applyBorder="1" applyAlignment="1"/>
    <xf numFmtId="164" fontId="71" fillId="10" borderId="32" xfId="8" applyNumberFormat="1" applyFont="1" applyFill="1" applyBorder="1" applyAlignment="1"/>
    <xf numFmtId="164" fontId="71" fillId="0" borderId="25" xfId="8" applyNumberFormat="1" applyFont="1" applyFill="1" applyBorder="1" applyAlignment="1"/>
    <xf numFmtId="1" fontId="68" fillId="0" borderId="0" xfId="8" applyNumberFormat="1" applyFont="1" applyFill="1" applyBorder="1" applyAlignment="1">
      <alignment horizontal="center"/>
    </xf>
    <xf numFmtId="168" fontId="68" fillId="0" borderId="1" xfId="27" applyFont="1" applyFill="1" applyBorder="1" applyAlignment="1"/>
    <xf numFmtId="168" fontId="68" fillId="0" borderId="0" xfId="27" applyFont="1" applyFill="1" applyBorder="1" applyAlignment="1">
      <alignment horizontal="center" vertical="top"/>
    </xf>
    <xf numFmtId="168" fontId="68" fillId="0" borderId="0" xfId="35" applyFont="1" applyFill="1" applyAlignment="1"/>
    <xf numFmtId="168" fontId="78" fillId="0" borderId="0" xfId="27" applyFont="1" applyFill="1" applyBorder="1" applyAlignment="1"/>
    <xf numFmtId="0" fontId="68" fillId="0" borderId="0" xfId="8" applyNumberFormat="1" applyFont="1" applyFill="1" applyBorder="1" applyAlignment="1">
      <alignment horizontal="center"/>
    </xf>
    <xf numFmtId="0" fontId="68"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8" fillId="0" borderId="0" xfId="8" applyNumberFormat="1" applyFont="1" applyFill="1" applyAlignment="1">
      <alignment horizontal="center"/>
    </xf>
    <xf numFmtId="168" fontId="68" fillId="0" borderId="0" xfId="35" applyFont="1" applyFill="1"/>
    <xf numFmtId="168" fontId="68" fillId="0" borderId="0" xfId="35" applyFont="1" applyFill="1" applyAlignment="1">
      <alignment horizontal="center"/>
    </xf>
    <xf numFmtId="168" fontId="68" fillId="0" borderId="29" xfId="35" applyFont="1" applyFill="1" applyBorder="1"/>
    <xf numFmtId="168" fontId="68" fillId="0" borderId="33" xfId="35" applyFont="1" applyFill="1" applyBorder="1" applyAlignment="1">
      <alignment horizontal="center"/>
    </xf>
    <xf numFmtId="168" fontId="68" fillId="0" borderId="19" xfId="35" applyFont="1" applyFill="1" applyBorder="1"/>
    <xf numFmtId="168" fontId="68" fillId="0" borderId="30" xfId="35" applyFont="1" applyFill="1" applyBorder="1"/>
    <xf numFmtId="168" fontId="68" fillId="0" borderId="32" xfId="35" applyFont="1" applyFill="1" applyBorder="1" applyAlignment="1"/>
    <xf numFmtId="168" fontId="68" fillId="0" borderId="25" xfId="35" applyFont="1" applyFill="1" applyBorder="1" applyAlignment="1">
      <alignment horizontal="center"/>
    </xf>
    <xf numFmtId="168" fontId="68" fillId="0" borderId="12" xfId="35" applyFont="1" applyFill="1" applyBorder="1" applyAlignment="1"/>
    <xf numFmtId="168" fontId="68" fillId="0" borderId="26" xfId="35" applyFont="1" applyFill="1" applyBorder="1" applyAlignment="1"/>
    <xf numFmtId="168" fontId="68" fillId="0" borderId="33" xfId="35" applyFont="1" applyFill="1" applyBorder="1"/>
    <xf numFmtId="168" fontId="68" fillId="0" borderId="27" xfId="35" applyFont="1" applyFill="1" applyBorder="1"/>
    <xf numFmtId="168" fontId="68" fillId="0" borderId="23" xfId="35" applyFont="1" applyFill="1" applyBorder="1" applyAlignment="1">
      <alignment horizontal="center"/>
    </xf>
    <xf numFmtId="168" fontId="68" fillId="0" borderId="27" xfId="35" applyFont="1" applyFill="1" applyBorder="1" applyAlignment="1">
      <alignment horizontal="center"/>
    </xf>
    <xf numFmtId="168" fontId="68" fillId="0" borderId="31" xfId="35" applyFont="1" applyFill="1" applyBorder="1" applyAlignment="1">
      <alignment horizontal="center"/>
    </xf>
    <xf numFmtId="168" fontId="68" fillId="0" borderId="0" xfId="35" applyFont="1" applyFill="1" applyBorder="1" applyAlignment="1">
      <alignment horizontal="center"/>
    </xf>
    <xf numFmtId="168" fontId="12" fillId="0" borderId="25" xfId="27" applyFont="1" applyFill="1" applyBorder="1" applyAlignment="1">
      <alignment horizontal="center"/>
    </xf>
    <xf numFmtId="164" fontId="68" fillId="10" borderId="28" xfId="8" applyNumberFormat="1" applyFont="1" applyFill="1" applyBorder="1" applyAlignment="1">
      <alignment horizontal="center"/>
    </xf>
    <xf numFmtId="164" fontId="68" fillId="10" borderId="27" xfId="8" applyNumberFormat="1" applyFont="1" applyFill="1" applyBorder="1" applyAlignment="1">
      <alignment horizontal="center"/>
    </xf>
    <xf numFmtId="164" fontId="68" fillId="10" borderId="27" xfId="8" applyNumberFormat="1" applyFont="1" applyFill="1" applyBorder="1"/>
    <xf numFmtId="43" fontId="68" fillId="10" borderId="27" xfId="8" applyFont="1" applyFill="1" applyBorder="1"/>
    <xf numFmtId="168" fontId="68" fillId="10" borderId="27" xfId="35" applyFont="1" applyFill="1" applyBorder="1"/>
    <xf numFmtId="43" fontId="68" fillId="10" borderId="0" xfId="8" applyFont="1" applyFill="1" applyBorder="1"/>
    <xf numFmtId="43" fontId="68" fillId="10" borderId="28" xfId="8" applyFont="1" applyFill="1" applyBorder="1"/>
    <xf numFmtId="43" fontId="68" fillId="10" borderId="27" xfId="8" applyFont="1" applyFill="1" applyBorder="1" applyAlignment="1">
      <alignment horizontal="center"/>
    </xf>
    <xf numFmtId="168" fontId="68" fillId="0" borderId="25" xfId="35" applyFont="1" applyFill="1" applyBorder="1"/>
    <xf numFmtId="168" fontId="68" fillId="0" borderId="12" xfId="35" applyFont="1" applyFill="1" applyBorder="1"/>
    <xf numFmtId="166" fontId="68" fillId="0" borderId="25" xfId="10" applyNumberFormat="1" applyFont="1" applyFill="1" applyBorder="1"/>
    <xf numFmtId="168" fontId="68" fillId="0" borderId="26" xfId="35" applyFont="1" applyFill="1" applyBorder="1"/>
    <xf numFmtId="164" fontId="68" fillId="0" borderId="0" xfId="8" applyNumberFormat="1" applyFont="1" applyFill="1"/>
    <xf numFmtId="43" fontId="68" fillId="0" borderId="0" xfId="8" applyFont="1" applyFill="1"/>
    <xf numFmtId="172" fontId="68" fillId="0" borderId="0" xfId="8" applyNumberFormat="1" applyFont="1" applyFill="1"/>
    <xf numFmtId="168" fontId="68" fillId="0" borderId="0" xfId="35" applyNumberFormat="1" applyFont="1" applyFill="1" applyBorder="1" applyAlignment="1" applyProtection="1"/>
    <xf numFmtId="168" fontId="68" fillId="0" borderId="0" xfId="27" applyFont="1" applyFill="1" applyAlignment="1"/>
    <xf numFmtId="43" fontId="68" fillId="0" borderId="0" xfId="8" applyFont="1" applyFill="1" applyAlignment="1"/>
    <xf numFmtId="0" fontId="69" fillId="0" borderId="0" xfId="8" applyNumberFormat="1" applyFont="1" applyFill="1" applyBorder="1" applyAlignment="1">
      <alignment horizontal="left"/>
    </xf>
    <xf numFmtId="168" fontId="68" fillId="0" borderId="12" xfId="27" applyFont="1" applyFill="1" applyBorder="1" applyAlignment="1">
      <alignment horizontal="center"/>
    </xf>
    <xf numFmtId="168" fontId="68" fillId="0" borderId="0" xfId="27" applyFont="1" applyFill="1" applyAlignment="1">
      <alignment horizontal="center"/>
    </xf>
    <xf numFmtId="168" fontId="68" fillId="0" borderId="29" xfId="27" applyFont="1" applyFill="1" applyBorder="1" applyAlignment="1">
      <alignment horizontal="center"/>
    </xf>
    <xf numFmtId="168" fontId="68" fillId="0" borderId="33" xfId="27" applyFont="1" applyFill="1" applyBorder="1" applyAlignment="1">
      <alignment horizontal="center"/>
    </xf>
    <xf numFmtId="168" fontId="68" fillId="0" borderId="31" xfId="27" applyFont="1" applyFill="1" applyBorder="1" applyAlignment="1">
      <alignment horizontal="center"/>
    </xf>
    <xf numFmtId="168" fontId="68" fillId="0" borderId="27" xfId="27" applyFont="1" applyFill="1" applyBorder="1" applyAlignment="1">
      <alignment horizontal="center"/>
    </xf>
    <xf numFmtId="43" fontId="68" fillId="10" borderId="31" xfId="8" applyFont="1" applyFill="1" applyBorder="1" applyAlignment="1">
      <alignment horizontal="center"/>
    </xf>
    <xf numFmtId="164" fontId="68" fillId="10" borderId="27" xfId="8" applyNumberFormat="1" applyFont="1" applyFill="1" applyBorder="1" applyAlignment="1"/>
    <xf numFmtId="168" fontId="68" fillId="0" borderId="32" xfId="27" applyFont="1" applyFill="1" applyBorder="1" applyAlignment="1">
      <alignment horizontal="center"/>
    </xf>
    <xf numFmtId="164" fontId="68" fillId="0" borderId="0" xfId="8" applyNumberFormat="1" applyFont="1" applyFill="1" applyAlignment="1"/>
    <xf numFmtId="0" fontId="68" fillId="0" borderId="0" xfId="52" applyFont="1" applyFill="1"/>
    <xf numFmtId="0" fontId="68" fillId="0" borderId="0" xfId="8" applyNumberFormat="1" applyFont="1" applyFill="1" applyAlignment="1">
      <alignment horizontal="center" vertical="top"/>
    </xf>
    <xf numFmtId="0" fontId="68" fillId="0" borderId="0" xfId="35" applyNumberFormat="1" applyFont="1" applyFill="1" applyAlignment="1">
      <alignment horizontal="center" vertical="top"/>
    </xf>
    <xf numFmtId="0" fontId="68" fillId="0" borderId="0" xfId="0" applyFont="1" applyFill="1" applyAlignment="1"/>
    <xf numFmtId="0" fontId="68" fillId="0" borderId="0" xfId="0" applyFont="1" applyFill="1" applyAlignment="1">
      <alignment horizontal="right"/>
    </xf>
    <xf numFmtId="0" fontId="68" fillId="0" borderId="0" xfId="0" applyFont="1" applyFill="1" applyAlignment="1">
      <alignment horizontal="center"/>
    </xf>
    <xf numFmtId="0" fontId="68"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7" fillId="0" borderId="0" xfId="27" quotePrefix="1" applyFont="1" applyFill="1" applyAlignment="1">
      <alignment horizontal="left"/>
    </xf>
    <xf numFmtId="168" fontId="7" fillId="0" borderId="0" xfId="27" applyFont="1" applyFill="1" applyAlignment="1"/>
    <xf numFmtId="0" fontId="83" fillId="0" borderId="0" xfId="53" applyFont="1" applyFill="1" applyAlignment="1">
      <alignment horizontal="center" wrapText="1"/>
    </xf>
    <xf numFmtId="0" fontId="83"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4" fillId="10" borderId="0" xfId="8" applyNumberFormat="1" applyFont="1" applyFill="1"/>
    <xf numFmtId="10" fontId="84" fillId="0" borderId="0" xfId="53" applyNumberFormat="1" applyFont="1" applyFill="1" applyBorder="1"/>
    <xf numFmtId="43" fontId="83" fillId="0" borderId="0" xfId="8" applyFont="1" applyFill="1" applyBorder="1"/>
    <xf numFmtId="0" fontId="83" fillId="0" borderId="0" xfId="53" applyFont="1" applyFill="1" applyBorder="1"/>
    <xf numFmtId="0" fontId="25" fillId="0" borderId="0" xfId="53" applyNumberFormat="1" applyFont="1" applyFill="1" applyBorder="1" applyAlignment="1">
      <alignment horizontal="center"/>
    </xf>
    <xf numFmtId="0" fontId="83" fillId="0" borderId="0" xfId="53" applyFont="1" applyFill="1" applyBorder="1" applyAlignment="1">
      <alignment horizontal="center"/>
    </xf>
    <xf numFmtId="10" fontId="83"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5" fillId="0" borderId="0" xfId="53" applyFont="1" applyFill="1" applyBorder="1"/>
    <xf numFmtId="168" fontId="25" fillId="0" borderId="0" xfId="27" applyFont="1" applyFill="1" applyBorder="1" applyAlignment="1"/>
    <xf numFmtId="0" fontId="83" fillId="0" borderId="0" xfId="53" applyFont="1" applyFill="1"/>
    <xf numFmtId="0" fontId="68" fillId="0" borderId="0" xfId="0" applyFont="1" applyFill="1"/>
    <xf numFmtId="0" fontId="68" fillId="0" borderId="0" xfId="0" applyFont="1" applyFill="1" applyBorder="1"/>
    <xf numFmtId="166" fontId="68" fillId="0" borderId="0" xfId="10" applyNumberFormat="1" applyFont="1" applyFill="1" applyBorder="1"/>
    <xf numFmtId="0" fontId="68" fillId="0" borderId="29" xfId="0" applyFont="1" applyFill="1" applyBorder="1" applyAlignment="1">
      <alignment horizontal="center"/>
    </xf>
    <xf numFmtId="0" fontId="68" fillId="0" borderId="19" xfId="0" applyFont="1" applyFill="1" applyBorder="1" applyAlignment="1">
      <alignment horizontal="center"/>
    </xf>
    <xf numFmtId="0" fontId="68" fillId="0" borderId="30" xfId="0" applyFont="1" applyFill="1" applyBorder="1" applyAlignment="1">
      <alignment horizontal="center"/>
    </xf>
    <xf numFmtId="0" fontId="68" fillId="0" borderId="31" xfId="0" applyFont="1" applyFill="1" applyBorder="1"/>
    <xf numFmtId="168" fontId="12" fillId="0" borderId="28" xfId="27" applyFont="1" applyFill="1" applyBorder="1" applyAlignment="1"/>
    <xf numFmtId="0" fontId="68" fillId="0" borderId="31" xfId="0" applyFont="1" applyFill="1" applyBorder="1" applyAlignment="1">
      <alignment horizontal="center"/>
    </xf>
    <xf numFmtId="0" fontId="68" fillId="0" borderId="28" xfId="0" applyFont="1" applyFill="1" applyBorder="1" applyAlignment="1">
      <alignment horizontal="center"/>
    </xf>
    <xf numFmtId="168" fontId="68" fillId="0" borderId="0" xfId="27" applyFont="1" applyFill="1" applyBorder="1" applyAlignment="1">
      <alignment horizontal="center" wrapText="1"/>
    </xf>
    <xf numFmtId="0" fontId="68"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8" fillId="0" borderId="28" xfId="0" applyFont="1" applyFill="1" applyBorder="1" applyAlignment="1">
      <alignment horizontal="center" wrapText="1"/>
    </xf>
    <xf numFmtId="43" fontId="68" fillId="0" borderId="0" xfId="8" applyFont="1" applyFill="1" applyBorder="1"/>
    <xf numFmtId="172" fontId="68" fillId="0" borderId="0" xfId="8" applyNumberFormat="1" applyFont="1" applyFill="1" applyBorder="1"/>
    <xf numFmtId="43" fontId="68" fillId="0" borderId="28" xfId="8" applyFont="1" applyFill="1" applyBorder="1"/>
    <xf numFmtId="0" fontId="68" fillId="10" borderId="31" xfId="0" applyFont="1" applyFill="1" applyBorder="1"/>
    <xf numFmtId="0" fontId="68" fillId="10" borderId="0" xfId="0" applyFont="1" applyFill="1" applyBorder="1"/>
    <xf numFmtId="181" fontId="68" fillId="0" borderId="0" xfId="8" applyNumberFormat="1" applyFont="1" applyFill="1" applyBorder="1" applyAlignment="1"/>
    <xf numFmtId="0" fontId="68" fillId="0" borderId="12" xfId="0" applyFont="1" applyFill="1" applyBorder="1"/>
    <xf numFmtId="43" fontId="68" fillId="0" borderId="12" xfId="8" applyFont="1" applyFill="1" applyBorder="1"/>
    <xf numFmtId="10" fontId="68" fillId="0" borderId="0" xfId="12" applyNumberFormat="1" applyFont="1" applyFill="1" applyBorder="1"/>
    <xf numFmtId="164" fontId="68" fillId="0" borderId="28" xfId="48" applyNumberFormat="1" applyFont="1" applyFill="1" applyBorder="1"/>
    <xf numFmtId="164" fontId="68" fillId="0" borderId="12" xfId="8" applyNumberFormat="1" applyFont="1" applyFill="1" applyBorder="1"/>
    <xf numFmtId="164" fontId="68" fillId="0" borderId="26" xfId="8" applyNumberFormat="1" applyFont="1" applyFill="1" applyBorder="1"/>
    <xf numFmtId="168" fontId="86" fillId="10" borderId="0" xfId="35" applyFont="1" applyFill="1" applyAlignment="1"/>
    <xf numFmtId="164" fontId="68" fillId="0" borderId="21" xfId="8" applyNumberFormat="1" applyFont="1" applyFill="1" applyBorder="1"/>
    <xf numFmtId="168" fontId="68" fillId="0" borderId="0" xfId="35" applyFont="1" applyFill="1" applyBorder="1"/>
    <xf numFmtId="168" fontId="68" fillId="10" borderId="27" xfId="50" applyFont="1" applyFill="1" applyBorder="1" applyAlignment="1"/>
    <xf numFmtId="168" fontId="68" fillId="10" borderId="0" xfId="35" applyFont="1" applyFill="1" applyBorder="1"/>
    <xf numFmtId="10" fontId="68" fillId="0" borderId="26" xfId="12" applyNumberFormat="1" applyFont="1" applyFill="1" applyBorder="1"/>
    <xf numFmtId="43" fontId="68" fillId="0" borderId="0" xfId="8" applyNumberFormat="1" applyFont="1" applyFill="1"/>
    <xf numFmtId="0" fontId="68" fillId="0" borderId="0" xfId="56" applyNumberFormat="1" applyFont="1" applyFill="1" applyAlignment="1">
      <alignment horizontal="center"/>
    </xf>
    <xf numFmtId="168" fontId="68" fillId="0" borderId="0" xfId="56" applyFont="1" applyFill="1" applyAlignment="1"/>
    <xf numFmtId="0" fontId="67" fillId="0" borderId="0" xfId="56" applyNumberFormat="1" applyFont="1" applyFill="1" applyAlignment="1">
      <alignment horizontal="center"/>
    </xf>
    <xf numFmtId="0" fontId="68" fillId="0" borderId="0" xfId="56" applyNumberFormat="1" applyFont="1" applyFill="1" applyAlignment="1">
      <alignment horizontal="center" wrapText="1"/>
    </xf>
    <xf numFmtId="0" fontId="68" fillId="0" borderId="0" xfId="57" applyFont="1" applyFill="1" applyAlignment="1">
      <alignment horizontal="left" wrapText="1"/>
    </xf>
    <xf numFmtId="168" fontId="69" fillId="0" borderId="0" xfId="56" applyFont="1" applyFill="1" applyAlignment="1">
      <alignment horizontal="center" wrapText="1"/>
    </xf>
    <xf numFmtId="168" fontId="68" fillId="0" borderId="0" xfId="56" applyFont="1" applyFill="1" applyAlignment="1">
      <alignment wrapText="1"/>
    </xf>
    <xf numFmtId="168" fontId="67" fillId="0" borderId="0" xfId="56" applyFont="1" applyFill="1" applyAlignment="1"/>
    <xf numFmtId="168" fontId="68" fillId="0" borderId="29" xfId="35" applyFont="1" applyFill="1" applyBorder="1" applyAlignment="1">
      <alignment horizontal="center"/>
    </xf>
    <xf numFmtId="0" fontId="68"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8" fillId="10" borderId="0" xfId="59" quotePrefix="1" applyNumberFormat="1" applyFont="1" applyFill="1" applyAlignment="1">
      <alignment horizontal="center"/>
    </xf>
    <xf numFmtId="168" fontId="86" fillId="10" borderId="0" xfId="58" applyFont="1" applyFill="1" applyAlignment="1"/>
    <xf numFmtId="166" fontId="68" fillId="0" borderId="0" xfId="60" quotePrefix="1" applyNumberFormat="1" applyFont="1" applyFill="1" applyAlignment="1">
      <alignment horizontal="left"/>
    </xf>
    <xf numFmtId="0" fontId="69" fillId="0" borderId="0" xfId="26" quotePrefix="1" applyFont="1" applyFill="1" applyAlignment="1">
      <alignment horizontal="center"/>
    </xf>
    <xf numFmtId="175" fontId="25" fillId="0" borderId="0" xfId="0" applyNumberFormat="1" applyFont="1" applyAlignment="1">
      <alignment horizontal="center"/>
    </xf>
    <xf numFmtId="0" fontId="89" fillId="0" borderId="0" xfId="0" applyFont="1"/>
    <xf numFmtId="0" fontId="88" fillId="0" borderId="0" xfId="0" applyFont="1"/>
    <xf numFmtId="0" fontId="90" fillId="10" borderId="0" xfId="0" applyFont="1" applyFill="1"/>
    <xf numFmtId="0" fontId="89" fillId="10" borderId="0" xfId="0" applyFont="1" applyFill="1"/>
    <xf numFmtId="0" fontId="64" fillId="0" borderId="0" xfId="0" applyFont="1"/>
    <xf numFmtId="0" fontId="92" fillId="12" borderId="0" xfId="0" applyFont="1" applyFill="1"/>
    <xf numFmtId="41" fontId="68" fillId="0" borderId="0" xfId="26" applyNumberFormat="1" applyFont="1" applyFill="1"/>
    <xf numFmtId="0" fontId="81" fillId="0" borderId="0" xfId="0" applyFont="1" applyAlignment="1">
      <alignment wrapText="1"/>
    </xf>
    <xf numFmtId="0" fontId="93"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7"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6"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8" fillId="0" borderId="0" xfId="26" applyNumberFormat="1" applyFont="1" applyFill="1" applyAlignment="1">
      <alignment horizontal="center"/>
    </xf>
    <xf numFmtId="164" fontId="68" fillId="0" borderId="0" xfId="52" applyNumberFormat="1" applyFont="1" applyFill="1"/>
    <xf numFmtId="0" fontId="62" fillId="0" borderId="0" xfId="0" applyFont="1"/>
    <xf numFmtId="0" fontId="62" fillId="0" borderId="0" xfId="0" applyFont="1" applyAlignment="1">
      <alignment horizontal="center"/>
    </xf>
    <xf numFmtId="0" fontId="95" fillId="0" borderId="0" xfId="34" applyFont="1" applyFill="1" applyAlignment="1">
      <alignment horizontal="center"/>
    </xf>
    <xf numFmtId="164" fontId="62" fillId="0" borderId="0" xfId="8" applyNumberFormat="1" applyFont="1" applyAlignment="1">
      <alignment horizontal="center"/>
    </xf>
    <xf numFmtId="0" fontId="69" fillId="0" borderId="0" xfId="26" applyFont="1" applyFill="1"/>
    <xf numFmtId="0" fontId="84" fillId="0" borderId="0" xfId="53" applyNumberFormat="1" applyFont="1" applyFill="1" applyBorder="1"/>
    <xf numFmtId="0" fontId="69" fillId="0" borderId="0" xfId="0" applyFont="1" applyFill="1" applyAlignment="1"/>
    <xf numFmtId="168" fontId="96"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8"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9" fillId="0" borderId="5" xfId="26" quotePrefix="1" applyFont="1" applyFill="1" applyBorder="1" applyAlignment="1">
      <alignment horizontal="left" wrapText="1"/>
    </xf>
    <xf numFmtId="0" fontId="69" fillId="0" borderId="0" xfId="26" applyFont="1" applyFill="1" applyAlignment="1">
      <alignment wrapText="1"/>
    </xf>
    <xf numFmtId="182" fontId="46" fillId="0" borderId="6" xfId="0"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48"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9" fillId="0" borderId="35" xfId="26" quotePrefix="1" applyFont="1" applyFill="1" applyBorder="1" applyAlignment="1">
      <alignment horizontal="left" wrapText="1"/>
    </xf>
    <xf numFmtId="0" fontId="69" fillId="0" borderId="12" xfId="26" applyFont="1" applyFill="1" applyBorder="1"/>
    <xf numFmtId="0" fontId="69" fillId="0" borderId="12" xfId="26" applyFont="1" applyFill="1" applyBorder="1" applyAlignment="1">
      <alignment wrapText="1"/>
    </xf>
    <xf numFmtId="0" fontId="69" fillId="0" borderId="12" xfId="26" applyFont="1" applyFill="1" applyBorder="1" applyAlignment="1">
      <alignment horizontal="center" wrapText="1"/>
    </xf>
    <xf numFmtId="3" fontId="68" fillId="0" borderId="35" xfId="33" applyNumberFormat="1" applyFont="1" applyFill="1" applyBorder="1" applyAlignment="1">
      <alignment horizontal="center" wrapText="1"/>
    </xf>
    <xf numFmtId="0" fontId="68" fillId="0" borderId="12" xfId="33" applyFont="1" applyFill="1" applyBorder="1" applyAlignment="1">
      <alignment horizontal="center" wrapText="1"/>
    </xf>
    <xf numFmtId="3" fontId="68"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8" fillId="0" borderId="0" xfId="25" applyFont="1" applyFill="1" applyAlignment="1">
      <alignment horizontal="left"/>
    </xf>
    <xf numFmtId="164" fontId="68" fillId="0" borderId="0" xfId="8" applyNumberFormat="1" applyFont="1" applyFill="1" applyAlignment="1">
      <alignment horizontal="center"/>
    </xf>
    <xf numFmtId="10" fontId="68" fillId="0" borderId="0" xfId="8" applyNumberFormat="1" applyFont="1" applyFill="1" applyAlignment="1">
      <alignment horizontal="center"/>
    </xf>
    <xf numFmtId="164" fontId="68" fillId="0" borderId="0" xfId="48" applyNumberFormat="1" applyFont="1" applyFill="1"/>
    <xf numFmtId="164" fontId="68" fillId="0" borderId="0" xfId="48" applyNumberFormat="1" applyFont="1" applyFill="1" applyAlignment="1">
      <alignment horizontal="center" wrapText="1"/>
    </xf>
    <xf numFmtId="182" fontId="0" fillId="0" borderId="6" xfId="0" applyNumberFormat="1" applyFill="1" applyBorder="1"/>
    <xf numFmtId="164" fontId="68" fillId="0" borderId="0" xfId="8" applyNumberFormat="1" applyFont="1" applyFill="1" applyAlignment="1">
      <alignment horizontal="center" wrapText="1"/>
    </xf>
    <xf numFmtId="164" fontId="13" fillId="0" borderId="38" xfId="48" applyNumberFormat="1" applyFont="1" applyFill="1" applyBorder="1"/>
    <xf numFmtId="164" fontId="98" fillId="0" borderId="40" xfId="48" applyNumberFormat="1" applyFont="1" applyFill="1" applyBorder="1"/>
    <xf numFmtId="164" fontId="13" fillId="0" borderId="41" xfId="48" applyNumberFormat="1" applyFont="1" applyFill="1" applyBorder="1"/>
    <xf numFmtId="168" fontId="68" fillId="0" borderId="0" xfId="25" applyFont="1" applyFill="1"/>
    <xf numFmtId="164" fontId="98" fillId="0" borderId="0" xfId="48" applyNumberFormat="1" applyFont="1" applyFill="1"/>
    <xf numFmtId="164" fontId="13" fillId="0" borderId="0" xfId="48" applyNumberFormat="1" applyFont="1" applyFill="1"/>
    <xf numFmtId="182" fontId="0" fillId="0" borderId="0" xfId="0" applyNumberFormat="1" applyFill="1"/>
    <xf numFmtId="0" fontId="66" fillId="0" borderId="1" xfId="0" applyFont="1" applyFill="1" applyBorder="1" applyAlignment="1">
      <alignment horizontal="left"/>
    </xf>
    <xf numFmtId="164" fontId="12" fillId="0" borderId="5" xfId="48" applyNumberFormat="1" applyFont="1" applyFill="1" applyBorder="1"/>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9" fillId="0" borderId="0" xfId="0" applyFont="1"/>
    <xf numFmtId="164" fontId="101" fillId="10" borderId="0" xfId="48" applyNumberFormat="1" applyFont="1" applyFill="1" applyProtection="1">
      <protection locked="0"/>
    </xf>
    <xf numFmtId="0" fontId="101" fillId="0" borderId="0" xfId="0" applyFont="1"/>
    <xf numFmtId="0" fontId="73" fillId="0" borderId="0" xfId="0" applyFont="1"/>
    <xf numFmtId="0" fontId="73" fillId="0" borderId="0" xfId="150" applyFont="1" applyAlignment="1">
      <alignment horizontal="center"/>
    </xf>
    <xf numFmtId="43" fontId="73" fillId="0" borderId="0" xfId="8" applyFont="1" applyAlignment="1">
      <alignment horizontal="center"/>
    </xf>
    <xf numFmtId="164" fontId="99" fillId="0" borderId="0" xfId="8" applyNumberFormat="1" applyFont="1"/>
    <xf numFmtId="0" fontId="73" fillId="0" borderId="0" xfId="150" applyFont="1"/>
    <xf numFmtId="10" fontId="73" fillId="0" borderId="0" xfId="12" applyNumberFormat="1" applyFont="1" applyAlignment="1">
      <alignment horizontal="center"/>
    </xf>
    <xf numFmtId="0" fontId="95" fillId="0" borderId="0" xfId="150" applyFont="1" applyAlignment="1">
      <alignment horizontal="center" vertical="center"/>
    </xf>
    <xf numFmtId="10" fontId="73" fillId="0" borderId="0" xfId="12" applyNumberFormat="1" applyFont="1" applyAlignment="1">
      <alignment horizontal="center" vertical="center"/>
    </xf>
    <xf numFmtId="0" fontId="73" fillId="0" borderId="0" xfId="150" applyFont="1" applyAlignment="1">
      <alignment horizontal="left"/>
    </xf>
    <xf numFmtId="172" fontId="73" fillId="0" borderId="0" xfId="8" applyNumberFormat="1" applyFont="1"/>
    <xf numFmtId="0" fontId="95" fillId="0" borderId="0" xfId="150" applyFont="1" applyAlignment="1">
      <alignment horizontal="left" vertical="center"/>
    </xf>
    <xf numFmtId="169" fontId="95" fillId="0" borderId="0" xfId="8" applyNumberFormat="1" applyFont="1" applyAlignment="1">
      <alignment horizontal="center"/>
    </xf>
    <xf numFmtId="0" fontId="73" fillId="0" borderId="0" xfId="150" applyFont="1" applyAlignment="1">
      <alignment horizontal="left" indent="1"/>
    </xf>
    <xf numFmtId="0" fontId="99" fillId="0" borderId="0" xfId="0" applyFont="1" applyAlignment="1">
      <alignment vertical="center" wrapText="1"/>
    </xf>
    <xf numFmtId="0" fontId="53" fillId="0" borderId="0" xfId="20" applyFont="1" applyAlignment="1"/>
    <xf numFmtId="3" fontId="25" fillId="0" borderId="12" xfId="0" applyNumberFormat="1" applyFont="1" applyBorder="1"/>
    <xf numFmtId="3" fontId="25" fillId="0" borderId="12" xfId="0" applyNumberFormat="1" applyFont="1" applyBorder="1" applyAlignment="1">
      <alignment horizontal="center"/>
    </xf>
    <xf numFmtId="175" fontId="25" fillId="0" borderId="0" xfId="0" applyNumberFormat="1" applyFont="1"/>
    <xf numFmtId="3" fontId="38" fillId="0" borderId="0" xfId="0" applyNumberFormat="1" applyFont="1" applyAlignment="1">
      <alignment horizontal="center"/>
    </xf>
    <xf numFmtId="166" fontId="101" fillId="10" borderId="0" xfId="46" applyNumberFormat="1" applyFont="1" applyFill="1" applyProtection="1">
      <protection locked="0"/>
    </xf>
    <xf numFmtId="0" fontId="103" fillId="0" borderId="0" xfId="0" applyFont="1"/>
    <xf numFmtId="0" fontId="103" fillId="0" borderId="0" xfId="26" applyFont="1" applyAlignment="1">
      <alignment horizontal="center"/>
    </xf>
    <xf numFmtId="0" fontId="101" fillId="0" borderId="0" xfId="0" applyFont="1" applyAlignment="1">
      <alignment horizontal="center" wrapText="1"/>
    </xf>
    <xf numFmtId="1" fontId="101" fillId="0" borderId="12" xfId="0" applyNumberFormat="1" applyFont="1" applyBorder="1" applyAlignment="1">
      <alignment horizontal="center"/>
    </xf>
    <xf numFmtId="0" fontId="101" fillId="0" borderId="12" xfId="0" applyFont="1" applyBorder="1"/>
    <xf numFmtId="0" fontId="103" fillId="0" borderId="0" xfId="149" applyFont="1" applyAlignment="1">
      <alignment horizontal="center"/>
    </xf>
    <xf numFmtId="0" fontId="101" fillId="0" borderId="0" xfId="48" applyNumberFormat="1" applyFont="1" applyAlignment="1">
      <alignment horizontal="left"/>
    </xf>
    <xf numFmtId="1" fontId="101" fillId="0" borderId="0" xfId="149" applyNumberFormat="1" applyFont="1" applyAlignment="1">
      <alignment horizontal="center"/>
    </xf>
    <xf numFmtId="164" fontId="101" fillId="0" borderId="12" xfId="149" applyNumberFormat="1" applyFont="1" applyBorder="1" applyAlignment="1" applyProtection="1">
      <alignment horizontal="center"/>
      <protection locked="0"/>
    </xf>
    <xf numFmtId="0" fontId="101" fillId="0" borderId="0" xfId="0" applyFont="1" applyAlignment="1">
      <alignment horizontal="center"/>
    </xf>
    <xf numFmtId="183" fontId="101" fillId="0" borderId="0" xfId="149" applyNumberFormat="1" applyFont="1" applyAlignment="1">
      <alignment horizontal="left"/>
    </xf>
    <xf numFmtId="184" fontId="101" fillId="0" borderId="0" xfId="149" applyNumberFormat="1" applyFont="1" applyAlignment="1">
      <alignment horizontal="center"/>
    </xf>
    <xf numFmtId="166" fontId="101" fillId="0" borderId="0" xfId="46" applyNumberFormat="1" applyFont="1"/>
    <xf numFmtId="166" fontId="101" fillId="0" borderId="0" xfId="0" applyNumberFormat="1" applyFont="1" applyProtection="1">
      <protection locked="0"/>
    </xf>
    <xf numFmtId="164" fontId="101" fillId="0" borderId="0" xfId="48" applyNumberFormat="1" applyFont="1"/>
    <xf numFmtId="184" fontId="101" fillId="0" borderId="0" xfId="0" applyNumberFormat="1" applyFont="1" applyAlignment="1">
      <alignment horizontal="center"/>
    </xf>
    <xf numFmtId="0" fontId="101" fillId="0" borderId="0" xfId="149" applyFont="1" applyAlignment="1">
      <alignment horizontal="left"/>
    </xf>
    <xf numFmtId="166" fontId="101" fillId="0" borderId="21" xfId="46" applyNumberFormat="1" applyFont="1" applyBorder="1" applyProtection="1">
      <protection locked="0"/>
    </xf>
    <xf numFmtId="0" fontId="101" fillId="0" borderId="0" xfId="0" applyFont="1" applyAlignment="1">
      <alignment horizontal="right"/>
    </xf>
    <xf numFmtId="10" fontId="101" fillId="0" borderId="0" xfId="47" applyNumberFormat="1" applyFont="1"/>
    <xf numFmtId="180" fontId="101" fillId="0" borderId="0" xfId="0" applyNumberFormat="1" applyFont="1"/>
    <xf numFmtId="164" fontId="101" fillId="0" borderId="0" xfId="48" quotePrefix="1" applyNumberFormat="1" applyFont="1" applyAlignment="1">
      <alignment horizontal="left"/>
    </xf>
    <xf numFmtId="0" fontId="103" fillId="0" borderId="0" xfId="26" applyFont="1" applyAlignment="1">
      <alignment horizontal="center" wrapText="1"/>
    </xf>
    <xf numFmtId="185" fontId="101" fillId="0" borderId="0" xfId="46" applyNumberFormat="1" applyFont="1"/>
    <xf numFmtId="166" fontId="101" fillId="10" borderId="0" xfId="46" applyNumberFormat="1" applyFont="1" applyFill="1"/>
    <xf numFmtId="169" fontId="101" fillId="0" borderId="0" xfId="48" applyNumberFormat="1" applyFont="1"/>
    <xf numFmtId="164" fontId="101" fillId="10" borderId="0" xfId="48" applyNumberFormat="1" applyFont="1" applyFill="1"/>
    <xf numFmtId="164" fontId="101" fillId="0" borderId="0" xfId="48" applyNumberFormat="1" applyFont="1" applyProtection="1">
      <protection locked="0"/>
    </xf>
    <xf numFmtId="166" fontId="101" fillId="0" borderId="0" xfId="46" applyNumberFormat="1" applyFont="1" applyProtection="1">
      <protection locked="0"/>
    </xf>
    <xf numFmtId="185" fontId="101" fillId="0" borderId="21" xfId="46" applyNumberFormat="1" applyFont="1" applyBorder="1" applyProtection="1">
      <protection locked="0"/>
    </xf>
    <xf numFmtId="164" fontId="101"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8" fillId="0" borderId="0" xfId="25" applyNumberFormat="1" applyFont="1" applyAlignment="1">
      <alignment horizontal="center"/>
    </xf>
    <xf numFmtId="168" fontId="68" fillId="0" borderId="0" xfId="25" applyFont="1"/>
    <xf numFmtId="0" fontId="69"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0" fontId="14" fillId="0" borderId="0" xfId="5" applyFont="1" applyFill="1" applyAlignment="1">
      <alignment horizontal="center"/>
    </xf>
    <xf numFmtId="44" fontId="68" fillId="0" borderId="0" xfId="25" applyNumberFormat="1" applyFont="1" applyFill="1" applyBorder="1" applyAlignment="1"/>
    <xf numFmtId="164" fontId="99" fillId="0" borderId="0" xfId="48" applyNumberFormat="1" applyFont="1"/>
    <xf numFmtId="164" fontId="35" fillId="0" borderId="0" xfId="48" applyNumberFormat="1" applyFont="1" applyAlignment="1"/>
    <xf numFmtId="0" fontId="101" fillId="0" borderId="0" xfId="150" applyFont="1" applyFill="1" applyAlignment="1">
      <alignment horizontal="left" indent="1"/>
    </xf>
    <xf numFmtId="0" fontId="103" fillId="0" borderId="0" xfId="150" applyFont="1" applyFill="1" applyAlignment="1">
      <alignment horizontal="left" indent="1"/>
    </xf>
    <xf numFmtId="0" fontId="101" fillId="0" borderId="0" xfId="150" applyFont="1" applyAlignment="1">
      <alignment horizontal="left" indent="1"/>
    </xf>
    <xf numFmtId="164" fontId="101" fillId="0" borderId="0" xfId="0" applyNumberFormat="1" applyFont="1"/>
    <xf numFmtId="0" fontId="101" fillId="0" borderId="0" xfId="0" applyFont="1" applyAlignment="1">
      <alignment horizontal="left"/>
    </xf>
    <xf numFmtId="0" fontId="99" fillId="10" borderId="0" xfId="0" applyFont="1" applyFill="1"/>
    <xf numFmtId="0" fontId="10" fillId="3" borderId="4" xfId="0" applyFont="1" applyFill="1" applyBorder="1"/>
    <xf numFmtId="0" fontId="106"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0" xfId="7" applyAlignment="1">
      <alignment horizontal="center"/>
    </xf>
    <xf numFmtId="177" fontId="107" fillId="0" borderId="0" xfId="10" applyNumberFormat="1" applyFont="1"/>
    <xf numFmtId="0" fontId="24" fillId="0" borderId="0" xfId="33" applyFont="1"/>
    <xf numFmtId="177" fontId="107" fillId="0" borderId="0" xfId="8" applyNumberFormat="1" applyFont="1"/>
    <xf numFmtId="43" fontId="66" fillId="0" borderId="0" xfId="48" applyFont="1"/>
    <xf numFmtId="44" fontId="8" fillId="0" borderId="0" xfId="20" applyNumberFormat="1" applyFont="1"/>
    <xf numFmtId="0" fontId="62" fillId="0" borderId="0" xfId="0" applyFont="1" applyBorder="1"/>
    <xf numFmtId="164" fontId="0" fillId="0" borderId="0" xfId="0" applyNumberFormat="1" applyBorder="1"/>
    <xf numFmtId="164" fontId="12" fillId="0" borderId="0" xfId="8" applyNumberFormat="1" applyFont="1" applyFill="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0" fillId="0" borderId="0" xfId="0"/>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2" fillId="4" borderId="3" xfId="0" applyFont="1" applyFill="1" applyBorder="1" applyAlignment="1">
      <alignment horizontal="center"/>
    </xf>
    <xf numFmtId="0" fontId="68" fillId="0" borderId="0" xfId="27" applyNumberFormat="1" applyFont="1" applyAlignment="1" applyProtection="1">
      <alignment horizontal="center"/>
      <protection locked="0"/>
    </xf>
    <xf numFmtId="168" fontId="69" fillId="0" borderId="19" xfId="27" applyFont="1" applyBorder="1"/>
    <xf numFmtId="168" fontId="69" fillId="0" borderId="21" xfId="27" applyFont="1" applyBorder="1" applyAlignment="1">
      <alignment horizontal="center" wrapText="1"/>
    </xf>
    <xf numFmtId="0" fontId="68" fillId="0" borderId="0" xfId="51" applyNumberFormat="1" applyFont="1" applyAlignment="1" applyProtection="1">
      <alignment horizontal="center"/>
      <protection locked="0"/>
    </xf>
    <xf numFmtId="43" fontId="68" fillId="10" borderId="30" xfId="8" applyNumberFormat="1" applyFont="1" applyFill="1" applyBorder="1"/>
    <xf numFmtId="164" fontId="68" fillId="10" borderId="33" xfId="8" applyNumberFormat="1" applyFont="1" applyFill="1" applyBorder="1" applyAlignment="1">
      <alignment horizontal="center"/>
    </xf>
    <xf numFmtId="168" fontId="68" fillId="0" borderId="0" xfId="27" applyFont="1"/>
    <xf numFmtId="0" fontId="68" fillId="0" borderId="0" xfId="8" applyNumberFormat="1" applyFont="1" applyFill="1" applyBorder="1" applyAlignment="1"/>
    <xf numFmtId="164" fontId="12" fillId="0" borderId="6" xfId="4" applyNumberFormat="1" applyFont="1" applyFill="1" applyBorder="1"/>
    <xf numFmtId="164" fontId="12" fillId="0" borderId="0" xfId="4" applyNumberFormat="1" applyFont="1" applyFill="1" applyBorder="1"/>
    <xf numFmtId="0" fontId="68" fillId="10" borderId="27" xfId="0" applyFont="1" applyFill="1" applyBorder="1"/>
    <xf numFmtId="0" fontId="68"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4" fillId="8" borderId="0" xfId="0" applyFont="1" applyFill="1" applyAlignment="1">
      <alignment horizontal="center"/>
    </xf>
    <xf numFmtId="0" fontId="64" fillId="8" borderId="0" xfId="0" applyFont="1" applyFill="1" applyAlignment="1">
      <alignment horizontal="left"/>
    </xf>
    <xf numFmtId="2" fontId="64" fillId="8" borderId="0" xfId="0" applyNumberFormat="1" applyFont="1" applyFill="1" applyAlignment="1">
      <alignment horizontal="center"/>
    </xf>
    <xf numFmtId="164" fontId="64" fillId="8" borderId="0" xfId="8" applyNumberFormat="1" applyFont="1" applyFill="1" applyBorder="1"/>
    <xf numFmtId="164" fontId="43" fillId="8" borderId="0" xfId="8" applyNumberFormat="1" applyFont="1" applyFill="1" applyBorder="1" applyAlignment="1">
      <alignment horizontal="center"/>
    </xf>
    <xf numFmtId="164" fontId="64" fillId="8" borderId="0" xfId="0" applyNumberFormat="1" applyFont="1" applyFill="1"/>
    <xf numFmtId="0" fontId="43" fillId="8" borderId="0" xfId="0" applyFont="1" applyFill="1" applyAlignment="1">
      <alignment horizontal="center"/>
    </xf>
    <xf numFmtId="0" fontId="64" fillId="8" borderId="6" xfId="0" applyFont="1" applyFill="1" applyBorder="1" applyAlignment="1">
      <alignment horizontal="center"/>
    </xf>
    <xf numFmtId="0" fontId="43" fillId="8" borderId="0" xfId="0" applyFont="1" applyFill="1" applyAlignment="1">
      <alignment horizontal="left"/>
    </xf>
    <xf numFmtId="1" fontId="64" fillId="8" borderId="0" xfId="0" applyNumberFormat="1" applyFont="1" applyFill="1" applyAlignment="1">
      <alignment horizontal="center"/>
    </xf>
    <xf numFmtId="37" fontId="64" fillId="8" borderId="0" xfId="0" applyNumberFormat="1" applyFont="1" applyFill="1"/>
    <xf numFmtId="0" fontId="64" fillId="8" borderId="0" xfId="0" applyFont="1" applyFill="1"/>
    <xf numFmtId="0" fontId="64"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8" fillId="8" borderId="0" xfId="0" applyFont="1" applyFill="1" applyAlignment="1">
      <alignment horizontal="left"/>
    </xf>
    <xf numFmtId="164" fontId="64" fillId="8" borderId="0" xfId="8" applyNumberFormat="1" applyFont="1" applyFill="1" applyBorder="1" applyAlignment="1">
      <alignment horizontal="center"/>
    </xf>
    <xf numFmtId="166" fontId="64" fillId="10" borderId="0" xfId="60" applyNumberFormat="1" applyFont="1" applyFill="1" applyBorder="1"/>
    <xf numFmtId="166" fontId="64" fillId="8" borderId="0" xfId="60" applyNumberFormat="1" applyFont="1" applyFill="1" applyBorder="1" applyAlignment="1">
      <alignment horizontal="center"/>
    </xf>
    <xf numFmtId="10" fontId="64" fillId="10" borderId="0" xfId="153" applyNumberFormat="1" applyFont="1" applyFill="1" applyBorder="1" applyAlignment="1">
      <alignment horizontal="center"/>
    </xf>
    <xf numFmtId="164" fontId="64" fillId="8" borderId="0" xfId="8" quotePrefix="1" applyNumberFormat="1" applyFont="1" applyFill="1" applyBorder="1" applyAlignment="1">
      <alignment horizontal="center"/>
    </xf>
    <xf numFmtId="166" fontId="64" fillId="8" borderId="0" xfId="60" applyNumberFormat="1" applyFont="1" applyFill="1" applyBorder="1"/>
    <xf numFmtId="0" fontId="34" fillId="8" borderId="0" xfId="8" applyNumberFormat="1" applyFont="1" applyFill="1" applyBorder="1" applyAlignment="1"/>
    <xf numFmtId="0" fontId="34" fillId="8" borderId="6" xfId="8" applyNumberFormat="1" applyFont="1" applyFill="1" applyBorder="1" applyAlignment="1"/>
    <xf numFmtId="164" fontId="64" fillId="10" borderId="0" xfId="8" applyNumberFormat="1" applyFont="1" applyFill="1" applyBorder="1"/>
    <xf numFmtId="0" fontId="34" fillId="8" borderId="0" xfId="60" applyNumberFormat="1" applyFont="1" applyFill="1" applyBorder="1" applyAlignment="1"/>
    <xf numFmtId="0" fontId="34" fillId="8" borderId="6" xfId="60" applyNumberFormat="1" applyFont="1" applyFill="1" applyBorder="1" applyAlignment="1"/>
    <xf numFmtId="0" fontId="43" fillId="8" borderId="0" xfId="0" applyFont="1" applyFill="1" applyAlignment="1">
      <alignment horizontal="left" vertical="top"/>
    </xf>
    <xf numFmtId="166" fontId="64" fillId="8" borderId="20" xfId="60" applyNumberFormat="1" applyFont="1" applyFill="1" applyBorder="1"/>
    <xf numFmtId="0" fontId="64" fillId="8" borderId="1" xfId="0" applyFont="1" applyFill="1" applyBorder="1" applyAlignment="1">
      <alignment horizontal="center"/>
    </xf>
    <xf numFmtId="164" fontId="64" fillId="8" borderId="1" xfId="8" applyNumberFormat="1" applyFont="1" applyFill="1" applyBorder="1"/>
    <xf numFmtId="164" fontId="64" fillId="8" borderId="1" xfId="0" applyNumberFormat="1" applyFont="1" applyFill="1" applyBorder="1"/>
    <xf numFmtId="0" fontId="43" fillId="8" borderId="1" xfId="0" applyFont="1" applyFill="1" applyBorder="1" applyAlignment="1">
      <alignment horizontal="center"/>
    </xf>
    <xf numFmtId="0" fontId="64" fillId="8" borderId="8" xfId="0" applyFont="1" applyFill="1" applyBorder="1" applyAlignment="1">
      <alignment horizontal="center"/>
    </xf>
    <xf numFmtId="3" fontId="68" fillId="0" borderId="0" xfId="31" applyNumberFormat="1" applyFont="1" applyAlignment="1">
      <alignment wrapText="1"/>
    </xf>
    <xf numFmtId="0" fontId="25" fillId="0" borderId="0" xfId="0" applyFont="1" applyAlignment="1">
      <alignment horizontal="center"/>
    </xf>
    <xf numFmtId="0" fontId="64" fillId="8" borderId="5" xfId="0" applyFont="1" applyFill="1" applyBorder="1" applyAlignment="1">
      <alignment horizontal="center"/>
    </xf>
    <xf numFmtId="0" fontId="64" fillId="8" borderId="35" xfId="0" applyFont="1" applyFill="1" applyBorder="1" applyAlignment="1">
      <alignment horizontal="left"/>
    </xf>
    <xf numFmtId="0" fontId="108" fillId="8" borderId="5" xfId="0" applyFont="1" applyFill="1" applyBorder="1" applyAlignment="1">
      <alignment horizontal="left"/>
    </xf>
    <xf numFmtId="0" fontId="64" fillId="8" borderId="5" xfId="0" applyFont="1" applyFill="1" applyBorder="1" applyAlignment="1">
      <alignment horizontal="left" vertical="center"/>
    </xf>
    <xf numFmtId="0" fontId="64" fillId="8" borderId="7"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89" fillId="0" borderId="0" xfId="0" applyFont="1" applyAlignment="1">
      <alignment horizontal="center"/>
    </xf>
    <xf numFmtId="0" fontId="46" fillId="0" borderId="0" xfId="0" applyFont="1" applyAlignment="1">
      <alignment horizontal="center"/>
    </xf>
    <xf numFmtId="0" fontId="65" fillId="0" borderId="0" xfId="0" applyFont="1" applyAlignment="1">
      <alignment horizontal="center" vertical="center" wrapText="1"/>
    </xf>
    <xf numFmtId="0" fontId="65"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64" fontId="46" fillId="10" borderId="0" xfId="48" applyNumberFormat="1" applyFont="1" applyFill="1" applyBorder="1" applyAlignment="1">
      <alignment vertical="center" wrapText="1"/>
    </xf>
    <xf numFmtId="15" fontId="46" fillId="0" borderId="0" xfId="0" applyNumberFormat="1" applyFont="1" applyAlignment="1">
      <alignment horizontal="left" vertical="center" wrapText="1" indent="1"/>
    </xf>
    <xf numFmtId="164" fontId="46" fillId="10" borderId="0" xfId="48" applyNumberFormat="1" applyFont="1" applyFill="1" applyBorder="1" applyAlignment="1">
      <alignment horizontal="right" vertical="center" wrapText="1"/>
    </xf>
    <xf numFmtId="10" fontId="46" fillId="0" borderId="0" xfId="47" applyNumberFormat="1" applyFont="1" applyFill="1"/>
    <xf numFmtId="164" fontId="46" fillId="0" borderId="0" xfId="48" applyNumberFormat="1" applyFont="1" applyFill="1" applyBorder="1" applyAlignment="1">
      <alignment horizontal="right" vertical="center" wrapText="1"/>
    </xf>
    <xf numFmtId="164" fontId="46" fillId="0" borderId="0" xfId="48" applyNumberFormat="1" applyFont="1" applyFill="1" applyBorder="1" applyAlignment="1">
      <alignment vertical="center" wrapText="1"/>
    </xf>
    <xf numFmtId="15" fontId="46" fillId="0" borderId="12" xfId="0" applyNumberFormat="1" applyFont="1" applyBorder="1" applyAlignment="1">
      <alignment horizontal="left" vertical="center" wrapText="1" indent="1"/>
    </xf>
    <xf numFmtId="0" fontId="46" fillId="10" borderId="0" xfId="48" applyNumberFormat="1" applyFont="1" applyFill="1" applyBorder="1" applyAlignment="1">
      <alignment horizontal="right" vertical="center" wrapText="1"/>
    </xf>
    <xf numFmtId="3" fontId="8" fillId="0" borderId="0" xfId="0" applyNumberFormat="1" applyFont="1"/>
    <xf numFmtId="164" fontId="46" fillId="0" borderId="19" xfId="48" applyNumberFormat="1" applyFont="1" applyFill="1" applyBorder="1" applyAlignment="1">
      <alignment vertical="center" wrapText="1"/>
    </xf>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48" applyNumberFormat="1" applyFont="1" applyFill="1" applyBorder="1" applyAlignment="1">
      <alignment horizontal="right" vertical="center" wrapText="1"/>
    </xf>
    <xf numFmtId="164" fontId="46" fillId="0" borderId="19" xfId="48" applyNumberFormat="1" applyFont="1" applyFill="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9"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164" fontId="110" fillId="0" borderId="0" xfId="48" applyNumberFormat="1" applyFont="1" applyFill="1" applyBorder="1" applyAlignment="1">
      <alignment vertical="center" wrapText="1"/>
    </xf>
    <xf numFmtId="0" fontId="65" fillId="0" borderId="0" xfId="0" applyFont="1" applyAlignment="1">
      <alignment vertical="center"/>
    </xf>
    <xf numFmtId="164" fontId="46" fillId="0" borderId="34" xfId="48" applyNumberFormat="1" applyFont="1" applyFill="1" applyBorder="1" applyAlignment="1">
      <alignment vertical="center" wrapText="1"/>
    </xf>
    <xf numFmtId="0" fontId="65" fillId="0" borderId="12" xfId="0" quotePrefix="1" applyFont="1" applyBorder="1" applyAlignment="1">
      <alignment vertical="center"/>
    </xf>
    <xf numFmtId="0" fontId="65" fillId="0" borderId="12" xfId="0" applyFont="1" applyBorder="1" applyAlignment="1">
      <alignment vertical="center"/>
    </xf>
    <xf numFmtId="43" fontId="46" fillId="0" borderId="0" xfId="0" applyNumberFormat="1" applyFont="1"/>
    <xf numFmtId="0" fontId="111" fillId="12" borderId="0" xfId="0" applyFont="1" applyFill="1"/>
    <xf numFmtId="0" fontId="111"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164" fontId="8" fillId="0" borderId="12" xfId="48" applyNumberFormat="1" applyFont="1" applyFill="1" applyBorder="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164" fontId="8" fillId="0" borderId="0" xfId="18" applyNumberFormat="1" applyFont="1" applyFill="1"/>
    <xf numFmtId="0" fontId="8" fillId="0" borderId="0" xfId="17" applyFont="1" applyAlignment="1">
      <alignment horizontal="left" indent="1"/>
    </xf>
    <xf numFmtId="164" fontId="8" fillId="2" borderId="0" xfId="48" applyNumberFormat="1" applyFont="1" applyFill="1"/>
    <xf numFmtId="43" fontId="8" fillId="0" borderId="0" xfId="17" applyNumberFormat="1" applyFont="1"/>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5"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65"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12"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46" fillId="10" borderId="32" xfId="14" applyFont="1" applyFill="1" applyBorder="1"/>
    <xf numFmtId="0" fontId="8" fillId="10" borderId="26" xfId="14" applyFill="1" applyBorder="1"/>
    <xf numFmtId="0" fontId="8" fillId="10" borderId="23" xfId="14" applyFill="1" applyBorder="1"/>
    <xf numFmtId="0" fontId="65"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5"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65" fillId="0" borderId="0" xfId="14" applyFont="1" applyAlignment="1">
      <alignment horizontal="left"/>
    </xf>
    <xf numFmtId="0" fontId="112"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8" fillId="2" borderId="23" xfId="14" applyFill="1" applyBorder="1"/>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5" fillId="0" borderId="32" xfId="0" applyFont="1" applyBorder="1" applyAlignment="1">
      <alignment vertical="center"/>
    </xf>
    <xf numFmtId="0" fontId="46" fillId="0" borderId="26" xfId="0" applyFont="1" applyBorder="1" applyAlignment="1">
      <alignment vertical="center" wrapText="1"/>
    </xf>
    <xf numFmtId="0" fontId="65" fillId="0" borderId="32" xfId="0" applyFont="1" applyBorder="1" applyAlignment="1">
      <alignment horizontal="left" vertical="center" indent="1"/>
    </xf>
    <xf numFmtId="0" fontId="46" fillId="0" borderId="26" xfId="0" applyFont="1" applyBorder="1"/>
    <xf numFmtId="0" fontId="65" fillId="0" borderId="23" xfId="0" applyFont="1" applyBorder="1" applyAlignment="1">
      <alignment horizontal="center" wrapText="1"/>
    </xf>
    <xf numFmtId="0" fontId="65" fillId="0" borderId="22" xfId="0" applyFont="1" applyBorder="1" applyAlignment="1">
      <alignment vertical="center"/>
    </xf>
    <xf numFmtId="0" fontId="46" fillId="0" borderId="24" xfId="0" applyFont="1" applyBorder="1" applyAlignment="1">
      <alignment vertical="center" wrapText="1"/>
    </xf>
    <xf numFmtId="0" fontId="65"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0" borderId="0" xfId="46" applyNumberFormat="1" applyFont="1" applyFill="1"/>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5" fillId="0" borderId="21" xfId="46" applyNumberFormat="1" applyFont="1" applyBorder="1"/>
    <xf numFmtId="3" fontId="8" fillId="0" borderId="0" xfId="0" applyNumberFormat="1" applyFont="1" applyAlignment="1">
      <alignment horizontal="left"/>
    </xf>
    <xf numFmtId="0" fontId="91"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5"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109" fillId="0" borderId="0" xfId="48" applyNumberFormat="1" applyFont="1" applyFill="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46" fillId="0" borderId="0" xfId="152"/>
    <xf numFmtId="0" fontId="46" fillId="0" borderId="0" xfId="152" applyAlignment="1">
      <alignment horizontal="center"/>
    </xf>
    <xf numFmtId="0" fontId="46" fillId="0" borderId="0" xfId="152" applyAlignment="1">
      <alignment horizontal="left"/>
    </xf>
    <xf numFmtId="0" fontId="8" fillId="0" borderId="0" xfId="152" applyFont="1"/>
    <xf numFmtId="0" fontId="111" fillId="0" borderId="0" xfId="152" applyFont="1" applyAlignment="1">
      <alignment horizontal="left"/>
    </xf>
    <xf numFmtId="0" fontId="111" fillId="0" borderId="0" xfId="152" applyFont="1" applyAlignment="1">
      <alignment horizontal="center" wrapText="1"/>
    </xf>
    <xf numFmtId="0" fontId="115" fillId="0" borderId="0" xfId="152" applyFont="1"/>
    <xf numFmtId="0" fontId="116" fillId="0" borderId="0" xfId="152" applyFont="1" applyAlignment="1">
      <alignment horizontal="left"/>
    </xf>
    <xf numFmtId="0" fontId="116" fillId="0" borderId="0" xfId="152" applyFont="1" applyAlignment="1">
      <alignment horizontal="center"/>
    </xf>
    <xf numFmtId="0" fontId="65"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5"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5" fillId="0" borderId="0" xfId="0" applyFont="1" applyAlignment="1">
      <alignment horizontal="left"/>
    </xf>
    <xf numFmtId="164" fontId="46" fillId="0" borderId="0" xfId="8" applyNumberFormat="1" applyFont="1" applyFill="1" applyBorder="1"/>
    <xf numFmtId="0" fontId="24" fillId="0" borderId="0" xfId="0" applyFont="1" applyAlignment="1">
      <alignment vertical="top" wrapText="1"/>
    </xf>
    <xf numFmtId="0" fontId="8" fillId="0" borderId="0" xfId="152" applyFont="1" applyAlignment="1">
      <alignment horizontal="center" vertical="center"/>
    </xf>
    <xf numFmtId="164" fontId="46" fillId="0" borderId="0" xfId="152" applyNumberFormat="1"/>
    <xf numFmtId="0" fontId="46" fillId="0" borderId="0" xfId="152" applyAlignment="1">
      <alignment horizontal="center" vertical="center"/>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41" fontId="8" fillId="2" borderId="23" xfId="0" applyNumberFormat="1" applyFont="1" applyFill="1" applyBorder="1" applyAlignment="1">
      <alignment vertical="top"/>
    </xf>
    <xf numFmtId="0" fontId="8" fillId="2" borderId="24" xfId="14"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37" fontId="0" fillId="10" borderId="0" xfId="0" applyNumberFormat="1" applyFill="1" applyAlignment="1">
      <alignment horizontal="right" wrapText="1"/>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37" fontId="0" fillId="0" borderId="0" xfId="0" applyNumberFormat="1" applyAlignment="1">
      <alignment horizontal="lef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44" fillId="0" borderId="0" xfId="0" applyNumberFormat="1" applyFont="1"/>
    <xf numFmtId="41" fontId="0" fillId="0" borderId="12" xfId="0" applyNumberFormat="1" applyBorder="1" applyAlignment="1">
      <alignment horizontal="right"/>
    </xf>
    <xf numFmtId="37" fontId="8" fillId="0" borderId="0" xfId="0" applyNumberFormat="1" applyFont="1"/>
    <xf numFmtId="168" fontId="68" fillId="10" borderId="0" xfId="50" applyFont="1" applyFill="1"/>
    <xf numFmtId="0" fontId="117" fillId="0" borderId="0" xfId="155"/>
    <xf numFmtId="0" fontId="1" fillId="0" borderId="0" xfId="155" applyFont="1" applyAlignment="1">
      <alignment horizontal="center"/>
    </xf>
    <xf numFmtId="0" fontId="1" fillId="0" borderId="0" xfId="155" applyFont="1"/>
    <xf numFmtId="0" fontId="7" fillId="0" borderId="0" xfId="155" applyFont="1" applyAlignment="1">
      <alignment horizontal="center"/>
    </xf>
    <xf numFmtId="0" fontId="2" fillId="0" borderId="0" xfId="155" applyFont="1"/>
    <xf numFmtId="0" fontId="117" fillId="0" borderId="0" xfId="155" applyAlignment="1">
      <alignment horizontal="center"/>
    </xf>
    <xf numFmtId="164" fontId="8" fillId="0" borderId="0" xfId="4" applyNumberFormat="1"/>
    <xf numFmtId="0" fontId="9" fillId="0" borderId="0" xfId="155" applyFont="1" applyAlignment="1">
      <alignment horizontal="left"/>
    </xf>
    <xf numFmtId="0" fontId="117" fillId="0" borderId="0" xfId="155" applyAlignment="1">
      <alignment horizontal="left"/>
    </xf>
    <xf numFmtId="164" fontId="8" fillId="0" borderId="0" xfId="4" applyNumberFormat="1" applyFill="1"/>
    <xf numFmtId="0" fontId="10" fillId="0" borderId="0" xfId="155" applyFont="1"/>
    <xf numFmtId="0" fontId="117" fillId="0" borderId="0" xfId="155" applyAlignment="1">
      <alignment wrapText="1"/>
    </xf>
    <xf numFmtId="0" fontId="12" fillId="0" borderId="2" xfId="155" applyFont="1" applyBorder="1"/>
    <xf numFmtId="0" fontId="12" fillId="0" borderId="3" xfId="155" applyFont="1" applyBorder="1" applyAlignment="1">
      <alignment horizontal="center"/>
    </xf>
    <xf numFmtId="0" fontId="13" fillId="0" borderId="2" xfId="155" applyFont="1" applyBorder="1" applyAlignment="1">
      <alignment horizontal="left"/>
    </xf>
    <xf numFmtId="0" fontId="13" fillId="0" borderId="4" xfId="155" applyFont="1" applyBorder="1" applyAlignment="1">
      <alignment horizontal="left"/>
    </xf>
    <xf numFmtId="0" fontId="13" fillId="0" borderId="3" xfId="155" applyFont="1" applyBorder="1" applyAlignment="1">
      <alignment horizontal="left"/>
    </xf>
    <xf numFmtId="0" fontId="13" fillId="0" borderId="2" xfId="155" applyFont="1" applyBorder="1" applyAlignment="1">
      <alignment horizontal="centerContinuous"/>
    </xf>
    <xf numFmtId="0" fontId="13" fillId="0" borderId="4" xfId="155" applyFont="1" applyBorder="1" applyAlignment="1">
      <alignment horizontal="centerContinuous"/>
    </xf>
    <xf numFmtId="0" fontId="13" fillId="0" borderId="3" xfId="155" applyFont="1" applyBorder="1" applyAlignment="1">
      <alignment horizontal="centerContinuous"/>
    </xf>
    <xf numFmtId="0" fontId="12" fillId="0" borderId="3" xfId="155" applyFont="1" applyBorder="1"/>
    <xf numFmtId="0" fontId="12" fillId="0" borderId="5" xfId="155" applyFont="1" applyBorder="1"/>
    <xf numFmtId="0" fontId="12" fillId="0" borderId="6" xfId="155" applyFont="1" applyBorder="1" applyAlignment="1">
      <alignment horizontal="center"/>
    </xf>
    <xf numFmtId="0" fontId="12" fillId="2" borderId="5" xfId="155" applyFont="1" applyFill="1" applyBorder="1" applyAlignment="1">
      <alignment horizontal="center"/>
    </xf>
    <xf numFmtId="0" fontId="117" fillId="0" borderId="6" xfId="155" applyBorder="1" applyAlignment="1">
      <alignment horizontal="center"/>
    </xf>
    <xf numFmtId="0" fontId="8" fillId="0" borderId="0" xfId="155" applyFont="1" applyAlignment="1">
      <alignment horizontal="center"/>
    </xf>
    <xf numFmtId="0" fontId="8" fillId="0" borderId="6" xfId="155" applyFont="1" applyBorder="1" applyAlignment="1">
      <alignment horizontal="center"/>
    </xf>
    <xf numFmtId="0" fontId="13" fillId="2" borderId="5" xfId="155" applyFont="1" applyFill="1" applyBorder="1" applyAlignment="1">
      <alignment horizontal="center"/>
    </xf>
    <xf numFmtId="0" fontId="13" fillId="0" borderId="0" xfId="155" applyFont="1" applyAlignment="1">
      <alignment horizontal="center"/>
    </xf>
    <xf numFmtId="0" fontId="13" fillId="0" borderId="6" xfId="155" applyFont="1" applyBorder="1" applyAlignment="1">
      <alignment horizontal="center"/>
    </xf>
    <xf numFmtId="0" fontId="12" fillId="0" borderId="6" xfId="155" applyFont="1" applyBorder="1"/>
    <xf numFmtId="0" fontId="12" fillId="0" borderId="0" xfId="155" applyFont="1" applyAlignment="1">
      <alignment horizontal="center"/>
    </xf>
    <xf numFmtId="165" fontId="12" fillId="0" borderId="5" xfId="155" applyNumberFormat="1" applyFont="1" applyBorder="1"/>
    <xf numFmtId="0" fontId="12" fillId="0" borderId="0" xfId="155" applyFont="1"/>
    <xf numFmtId="167" fontId="12" fillId="0" borderId="0" xfId="145" applyNumberFormat="1" applyFont="1" applyBorder="1"/>
    <xf numFmtId="0" fontId="12" fillId="0" borderId="6" xfId="155" applyFont="1" applyBorder="1" applyAlignment="1">
      <alignment horizontal="center" wrapText="1"/>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164" fontId="14" fillId="2" borderId="5" xfId="4" applyNumberFormat="1" applyFont="1" applyFill="1" applyBorder="1"/>
    <xf numFmtId="164" fontId="118" fillId="0" borderId="0" xfId="4" applyNumberFormat="1" applyFont="1" applyBorder="1"/>
    <xf numFmtId="164" fontId="118" fillId="0" borderId="6" xfId="4" applyNumberFormat="1" applyFont="1" applyBorder="1"/>
    <xf numFmtId="0" fontId="12" fillId="0" borderId="0" xfId="3" applyFont="1" applyAlignment="1">
      <alignment wrapText="1"/>
    </xf>
    <xf numFmtId="43" fontId="12" fillId="2" borderId="5" xfId="4" applyFont="1" applyFill="1" applyBorder="1"/>
    <xf numFmtId="43" fontId="12" fillId="0" borderId="0" xfId="4" applyFont="1" applyFill="1" applyBorder="1"/>
    <xf numFmtId="43" fontId="12" fillId="0" borderId="6" xfId="4" applyFont="1" applyFill="1" applyBorder="1"/>
    <xf numFmtId="0" fontId="12" fillId="0" borderId="7" xfId="155" applyFont="1" applyBorder="1"/>
    <xf numFmtId="0" fontId="12" fillId="0" borderId="8" xfId="155" applyFont="1" applyBorder="1" applyAlignment="1">
      <alignment horizontal="center"/>
    </xf>
    <xf numFmtId="0" fontId="12" fillId="0" borderId="8" xfId="155" applyFont="1" applyBorder="1"/>
    <xf numFmtId="0" fontId="13" fillId="0" borderId="9" xfId="155" applyFont="1" applyBorder="1" applyAlignment="1">
      <alignment horizontal="center"/>
    </xf>
    <xf numFmtId="0" fontId="13" fillId="0" borderId="4" xfId="155" applyFont="1" applyBorder="1" applyAlignment="1">
      <alignment horizontal="center"/>
    </xf>
    <xf numFmtId="164" fontId="13" fillId="0" borderId="3" xfId="4" applyNumberFormat="1" applyFont="1" applyBorder="1" applyAlignment="1">
      <alignment horizontal="center"/>
    </xf>
    <xf numFmtId="0" fontId="13" fillId="0" borderId="3" xfId="155" applyFont="1" applyBorder="1" applyAlignment="1">
      <alignment horizontal="center"/>
    </xf>
    <xf numFmtId="0" fontId="13" fillId="0" borderId="2" xfId="155" applyFont="1" applyBorder="1" applyAlignment="1">
      <alignment horizontal="center"/>
    </xf>
    <xf numFmtId="0" fontId="12" fillId="0" borderId="10" xfId="155" applyFont="1" applyBorder="1" applyAlignment="1">
      <alignment horizontal="center"/>
    </xf>
    <xf numFmtId="164" fontId="12" fillId="0" borderId="0" xfId="155" applyNumberFormat="1" applyFont="1"/>
    <xf numFmtId="166" fontId="12" fillId="0" borderId="10" xfId="156" applyNumberFormat="1" applyFont="1" applyFill="1" applyBorder="1"/>
    <xf numFmtId="166" fontId="12" fillId="0" borderId="6" xfId="155" applyNumberFormat="1" applyFont="1" applyBorder="1"/>
    <xf numFmtId="166" fontId="12" fillId="0" borderId="0" xfId="155" applyNumberFormat="1" applyFont="1"/>
    <xf numFmtId="166" fontId="117" fillId="0" borderId="0" xfId="155" applyNumberFormat="1"/>
    <xf numFmtId="164" fontId="12" fillId="0" borderId="5" xfId="155" applyNumberFormat="1" applyFont="1" applyBorder="1"/>
    <xf numFmtId="164" fontId="117" fillId="0" borderId="0" xfId="155" applyNumberFormat="1"/>
    <xf numFmtId="166" fontId="12" fillId="0" borderId="10" xfId="156" applyNumberFormat="1" applyFont="1" applyBorder="1"/>
    <xf numFmtId="164" fontId="12" fillId="0" borderId="0" xfId="4" applyNumberFormat="1" applyFont="1"/>
    <xf numFmtId="164" fontId="13" fillId="0" borderId="10" xfId="155" applyNumberFormat="1" applyFont="1" applyBorder="1"/>
    <xf numFmtId="164" fontId="13" fillId="0" borderId="0" xfId="155" applyNumberFormat="1" applyFont="1"/>
    <xf numFmtId="164" fontId="13" fillId="0" borderId="6" xfId="4" applyNumberFormat="1" applyFont="1" applyBorder="1"/>
    <xf numFmtId="164" fontId="13" fillId="0" borderId="11" xfId="155" applyNumberFormat="1" applyFont="1" applyBorder="1"/>
    <xf numFmtId="164" fontId="13" fillId="0" borderId="1" xfId="155" applyNumberFormat="1" applyFont="1" applyBorder="1"/>
    <xf numFmtId="164" fontId="13" fillId="0" borderId="8" xfId="4" applyNumberFormat="1" applyFont="1" applyBorder="1"/>
    <xf numFmtId="166" fontId="12" fillId="0" borderId="11" xfId="156" applyNumberFormat="1" applyFont="1" applyBorder="1"/>
    <xf numFmtId="166" fontId="12" fillId="0" borderId="1" xfId="155" applyNumberFormat="1" applyFont="1" applyBorder="1"/>
    <xf numFmtId="166" fontId="12" fillId="0" borderId="0" xfId="156" applyNumberFormat="1" applyFont="1"/>
    <xf numFmtId="43" fontId="117" fillId="0" borderId="0" xfId="155" applyNumberFormat="1"/>
    <xf numFmtId="164" fontId="8" fillId="0" borderId="0" xfId="4" applyNumberFormat="1" applyFill="1" applyBorder="1"/>
    <xf numFmtId="168" fontId="68"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10" fontId="12" fillId="2" borderId="7" xfId="145" applyNumberFormat="1" applyFont="1" applyFill="1" applyBorder="1" applyAlignment="1">
      <alignment horizontal="center"/>
    </xf>
    <xf numFmtId="167" fontId="12" fillId="2" borderId="1" xfId="145" applyNumberFormat="1" applyFont="1" applyFill="1" applyBorder="1" applyAlignment="1">
      <alignment horizontal="center"/>
    </xf>
    <xf numFmtId="164" fontId="12" fillId="0" borderId="0" xfId="8" applyNumberFormat="1" applyFont="1" applyBorder="1"/>
    <xf numFmtId="0" fontId="18" fillId="0" borderId="0" xfId="0" applyFont="1" applyFill="1" applyAlignment="1">
      <alignment horizontal="left"/>
    </xf>
    <xf numFmtId="164" fontId="68" fillId="10" borderId="0" xfId="8" quotePrefix="1" applyNumberFormat="1" applyFont="1" applyFill="1" applyAlignment="1">
      <alignment horizontal="left"/>
    </xf>
    <xf numFmtId="164" fontId="68" fillId="10" borderId="0" xfId="48" quotePrefix="1" applyNumberFormat="1" applyFont="1" applyFill="1" applyAlignment="1">
      <alignment horizontal="left"/>
    </xf>
    <xf numFmtId="44" fontId="8" fillId="0" borderId="0" xfId="46" applyFont="1" applyFill="1" applyAlignment="1">
      <alignment horizontal="center"/>
    </xf>
    <xf numFmtId="43" fontId="24" fillId="0" borderId="0" xfId="48" applyFont="1" applyFill="1"/>
    <xf numFmtId="168" fontId="25" fillId="0" borderId="0" xfId="19" applyFont="1"/>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46" fillId="0" borderId="0" xfId="0" applyFont="1" applyAlignment="1">
      <alignment horizontal="left" vertical="top" wrapText="1"/>
    </xf>
    <xf numFmtId="0" fontId="65" fillId="0" borderId="0" xfId="0" applyFont="1" applyAlignment="1">
      <alignment horizontal="left" vertical="center" indent="1"/>
    </xf>
    <xf numFmtId="0" fontId="46" fillId="0" borderId="0" xfId="0" applyFont="1" applyAlignment="1">
      <alignment horizontal="center" vertical="center" wrapText="1"/>
    </xf>
    <xf numFmtId="0" fontId="8" fillId="0" borderId="0" xfId="0" applyFont="1" applyAlignment="1">
      <alignment horizontal="left" vertical="top" wrapText="1"/>
    </xf>
    <xf numFmtId="164" fontId="46" fillId="10" borderId="0" xfId="48" applyNumberFormat="1" applyFont="1" applyFill="1" applyAlignment="1">
      <alignment vertical="center" wrapText="1"/>
    </xf>
    <xf numFmtId="168" fontId="8" fillId="2" borderId="22" xfId="25" applyFont="1" applyFill="1" applyBorder="1" applyAlignment="1">
      <alignment vertical="top"/>
    </xf>
    <xf numFmtId="168" fontId="8" fillId="2" borderId="24" xfId="25" applyFont="1" applyFill="1" applyBorder="1" applyAlignment="1">
      <alignment wrapText="1"/>
    </xf>
    <xf numFmtId="164" fontId="8" fillId="2" borderId="23" xfId="157" applyNumberFormat="1" applyFill="1" applyBorder="1" applyAlignment="1">
      <alignment vertical="top" wrapText="1"/>
    </xf>
    <xf numFmtId="168" fontId="8" fillId="2" borderId="23" xfId="25" applyFont="1" applyFill="1" applyBorder="1" applyAlignment="1">
      <alignment wrapText="1"/>
    </xf>
    <xf numFmtId="164" fontId="8" fillId="2" borderId="23" xfId="157" applyNumberFormat="1" applyFill="1" applyBorder="1" applyAlignment="1">
      <alignment wrapText="1"/>
    </xf>
    <xf numFmtId="0" fontId="8" fillId="10" borderId="23" xfId="0" applyFont="1" applyFill="1" applyBorder="1" applyAlignment="1">
      <alignment horizontal="left" wrapText="1"/>
    </xf>
    <xf numFmtId="0" fontId="8" fillId="10" borderId="23" xfId="0" applyFont="1" applyFill="1" applyBorder="1" applyAlignment="1">
      <alignment horizontal="left" vertical="top" wrapText="1"/>
    </xf>
    <xf numFmtId="164" fontId="46" fillId="0" borderId="0" xfId="48" applyNumberFormat="1" applyFont="1" applyFill="1"/>
    <xf numFmtId="43" fontId="46" fillId="0" borderId="0" xfId="48" applyFont="1" applyFill="1"/>
    <xf numFmtId="0" fontId="65" fillId="0" borderId="12" xfId="0" applyFont="1" applyBorder="1" applyAlignment="1">
      <alignment horizontal="center" wrapText="1"/>
    </xf>
    <xf numFmtId="0" fontId="65" fillId="0" borderId="12" xfId="0" applyFont="1" applyBorder="1" applyAlignment="1">
      <alignment horizontal="left" wrapText="1"/>
    </xf>
    <xf numFmtId="0" fontId="65" fillId="0" borderId="0" xfId="0" applyFont="1" applyAlignment="1">
      <alignment horizontal="left" wrapText="1" indent="1"/>
    </xf>
    <xf numFmtId="0" fontId="65" fillId="0" borderId="0" xfId="0" applyFont="1" applyAlignment="1">
      <alignment horizontal="center" wrapText="1"/>
    </xf>
    <xf numFmtId="0" fontId="65" fillId="0" borderId="0" xfId="0" applyFont="1" applyAlignment="1">
      <alignment horizontal="left" wrapText="1"/>
    </xf>
    <xf numFmtId="0" fontId="120" fillId="0" borderId="0" xfId="0" applyFont="1"/>
    <xf numFmtId="42" fontId="46" fillId="10" borderId="0" xfId="8" applyNumberFormat="1" applyFont="1" applyFill="1"/>
    <xf numFmtId="42" fontId="46" fillId="0" borderId="0" xfId="8" applyNumberFormat="1" applyFont="1"/>
    <xf numFmtId="164" fontId="46" fillId="0" borderId="0" xfId="158" applyNumberFormat="1" applyFont="1" applyProtection="1">
      <protection locked="0"/>
    </xf>
    <xf numFmtId="164" fontId="46" fillId="0" borderId="0" xfId="158" applyNumberFormat="1" applyFont="1"/>
    <xf numFmtId="167" fontId="46" fillId="0" borderId="0" xfId="145" applyNumberFormat="1" applyFont="1"/>
    <xf numFmtId="164" fontId="46" fillId="10" borderId="0" xfId="8" applyNumberFormat="1" applyFont="1" applyFill="1"/>
    <xf numFmtId="164" fontId="46" fillId="0" borderId="0" xfId="8" applyNumberFormat="1" applyFont="1"/>
    <xf numFmtId="164" fontId="46" fillId="0" borderId="0" xfId="8" applyNumberFormat="1" applyFont="1" applyProtection="1">
      <protection locked="0"/>
    </xf>
    <xf numFmtId="164" fontId="65" fillId="0" borderId="0" xfId="0" applyNumberFormat="1" applyFont="1"/>
    <xf numFmtId="42" fontId="65" fillId="0" borderId="19" xfId="48" applyNumberFormat="1" applyFont="1" applyFill="1" applyBorder="1"/>
    <xf numFmtId="164" fontId="122" fillId="0" borderId="0" xfId="151" applyNumberFormat="1" applyFont="1" applyFill="1" applyBorder="1" applyProtection="1">
      <protection locked="0"/>
    </xf>
    <xf numFmtId="164" fontId="122" fillId="0" borderId="0" xfId="151" applyNumberFormat="1" applyFont="1" applyFill="1" applyProtection="1"/>
    <xf numFmtId="167" fontId="122" fillId="0" borderId="0" xfId="47" applyNumberFormat="1" applyFont="1" applyFill="1" applyProtection="1"/>
    <xf numFmtId="42" fontId="46" fillId="0" borderId="0" xfId="48" applyNumberFormat="1" applyFont="1" applyFill="1" applyBorder="1"/>
    <xf numFmtId="42" fontId="65" fillId="0" borderId="20" xfId="0" applyNumberFormat="1" applyFont="1" applyBorder="1"/>
    <xf numFmtId="166" fontId="46" fillId="0" borderId="19" xfId="46" applyNumberFormat="1" applyFont="1" applyFill="1" applyBorder="1"/>
    <xf numFmtId="166" fontId="46" fillId="0" borderId="20" xfId="46" applyNumberFormat="1" applyFont="1" applyFill="1" applyBorder="1"/>
    <xf numFmtId="164" fontId="46" fillId="0" borderId="0" xfId="48" applyNumberFormat="1" applyFont="1" applyFill="1" applyBorder="1"/>
    <xf numFmtId="0" fontId="123"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0" fontId="68" fillId="0" borderId="0" xfId="26" applyFont="1" applyFill="1" applyAlignment="1">
      <alignment horizontal="center" wrapText="1"/>
    </xf>
    <xf numFmtId="0" fontId="114" fillId="12" borderId="0" xfId="0" applyFont="1" applyFill="1"/>
    <xf numFmtId="0" fontId="25" fillId="0" borderId="0" xfId="0" applyNumberFormat="1" applyFont="1" applyBorder="1" applyAlignment="1">
      <alignment horizontal="left" indent="1"/>
    </xf>
    <xf numFmtId="0" fontId="89" fillId="0" borderId="0" xfId="152" applyFont="1"/>
    <xf numFmtId="0" fontId="89" fillId="0" borderId="0" xfId="152" applyFont="1" applyAlignment="1">
      <alignment horizontal="left"/>
    </xf>
    <xf numFmtId="0" fontId="113" fillId="0" borderId="0" xfId="152" applyFont="1"/>
    <xf numFmtId="0" fontId="89" fillId="0" borderId="0" xfId="152" applyFont="1" applyAlignment="1">
      <alignment horizontal="center"/>
    </xf>
    <xf numFmtId="0" fontId="25" fillId="0" borderId="0" xfId="0" applyNumberFormat="1" applyFont="1" applyFill="1" applyAlignment="1">
      <alignment horizontal="left" indent="1"/>
    </xf>
    <xf numFmtId="0" fontId="25" fillId="0" borderId="12" xfId="0" applyNumberFormat="1" applyFont="1" applyFill="1" applyBorder="1" applyAlignment="1">
      <alignment horizontal="left" indent="1"/>
    </xf>
    <xf numFmtId="0" fontId="8" fillId="0" borderId="0" xfId="14" applyFont="1" applyAlignment="1">
      <alignment vertical="top" wrapText="1"/>
    </xf>
    <xf numFmtId="0" fontId="8" fillId="0" borderId="0" xfId="14" applyFont="1"/>
    <xf numFmtId="0" fontId="8" fillId="10" borderId="23" xfId="154" applyFont="1" applyFill="1" applyBorder="1" applyAlignment="1">
      <alignment vertical="top" wrapText="1"/>
    </xf>
    <xf numFmtId="0" fontId="8" fillId="10" borderId="23" xfId="154" applyFont="1" applyFill="1" applyBorder="1" applyAlignment="1">
      <alignment wrapText="1"/>
    </xf>
    <xf numFmtId="0" fontId="8" fillId="0" borderId="23" xfId="14" applyFont="1" applyBorder="1" applyAlignment="1">
      <alignment wrapText="1"/>
    </xf>
    <xf numFmtId="0" fontId="8" fillId="2" borderId="23" xfId="14" applyFont="1" applyFill="1" applyBorder="1" applyAlignment="1">
      <alignment wrapText="1"/>
    </xf>
    <xf numFmtId="0" fontId="8" fillId="0" borderId="0" xfId="14" applyFont="1" applyAlignment="1">
      <alignment wrapText="1"/>
    </xf>
    <xf numFmtId="37" fontId="8" fillId="0" borderId="0" xfId="14" applyNumberFormat="1" applyFont="1" applyAlignment="1">
      <alignment wrapText="1"/>
    </xf>
    <xf numFmtId="0" fontId="8" fillId="2" borderId="23" xfId="14" applyFont="1" applyFill="1" applyBorder="1" applyAlignment="1">
      <alignment vertical="top" wrapText="1"/>
    </xf>
    <xf numFmtId="0" fontId="25" fillId="0" borderId="0" xfId="0" applyFont="1" applyFill="1" applyBorder="1" applyAlignment="1">
      <alignment horizontal="left" indent="1"/>
    </xf>
    <xf numFmtId="10" fontId="101" fillId="10" borderId="0" xfId="47" applyNumberFormat="1" applyFont="1" applyFill="1" applyAlignment="1">
      <alignment horizontal="center" vertical="center" wrapText="1"/>
    </xf>
    <xf numFmtId="10" fontId="73" fillId="10" borderId="0" xfId="12" applyNumberFormat="1" applyFont="1" applyFill="1" applyAlignment="1">
      <alignment horizontal="center"/>
    </xf>
    <xf numFmtId="169" fontId="95" fillId="10" borderId="0" xfId="8" applyNumberFormat="1" applyFont="1" applyFill="1" applyAlignment="1">
      <alignment horizontal="center"/>
    </xf>
    <xf numFmtId="0" fontId="25" fillId="8" borderId="0" xfId="0" applyFont="1" applyFill="1" applyAlignment="1">
      <alignment horizontal="left" indent="1"/>
    </xf>
    <xf numFmtId="0" fontId="46" fillId="0" borderId="12" xfId="0" applyFont="1" applyBorder="1" applyAlignment="1">
      <alignment horizontal="center" wrapText="1"/>
    </xf>
    <xf numFmtId="164" fontId="12" fillId="0" borderId="0" xfId="157" applyNumberFormat="1" applyFont="1" applyFill="1" applyBorder="1"/>
    <xf numFmtId="164" fontId="6" fillId="0" borderId="1" xfId="48" applyNumberFormat="1" applyFont="1" applyBorder="1"/>
    <xf numFmtId="43" fontId="12" fillId="0" borderId="0" xfId="0" applyNumberFormat="1" applyFont="1" applyBorder="1"/>
    <xf numFmtId="37" fontId="8" fillId="2" borderId="0" xfId="0" applyNumberFormat="1" applyFont="1" applyFill="1" applyAlignment="1">
      <alignment wrapText="1"/>
    </xf>
    <xf numFmtId="166" fontId="46" fillId="10" borderId="0" xfId="10" applyNumberFormat="1" applyFont="1" applyFill="1"/>
    <xf numFmtId="166" fontId="46" fillId="0" borderId="0" xfId="10" applyNumberFormat="1" applyFont="1" applyFill="1"/>
    <xf numFmtId="0" fontId="12" fillId="0" borderId="0" xfId="0" applyFont="1" applyAlignment="1">
      <alignment wrapText="1"/>
    </xf>
    <xf numFmtId="0" fontId="20" fillId="3" borderId="3" xfId="0" applyFont="1" applyFill="1" applyBorder="1" applyAlignment="1">
      <alignment wrapText="1"/>
    </xf>
    <xf numFmtId="0" fontId="20" fillId="3" borderId="4" xfId="0" applyFont="1" applyFill="1" applyBorder="1" applyAlignment="1">
      <alignment horizontal="center" wrapText="1"/>
    </xf>
    <xf numFmtId="166" fontId="101" fillId="10" borderId="0" xfId="46" applyNumberFormat="1" applyFont="1" applyFill="1" applyProtection="1">
      <protection locked="0"/>
    </xf>
    <xf numFmtId="164" fontId="12" fillId="0" borderId="0" xfId="8" applyNumberFormat="1" applyFont="1" applyFill="1"/>
    <xf numFmtId="0" fontId="13" fillId="0" borderId="2" xfId="155" applyFont="1"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0" xfId="0" applyFont="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0" borderId="0" xfId="0" applyNumberFormat="1" applyFont="1"/>
    <xf numFmtId="0" fontId="8" fillId="10" borderId="23" xfId="154" applyFill="1" applyBorder="1" applyAlignment="1">
      <alignment vertical="top" wrapText="1"/>
    </xf>
    <xf numFmtId="0" fontId="8" fillId="10" borderId="23" xfId="154" applyFill="1" applyBorder="1" applyAlignment="1">
      <alignment wrapText="1"/>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4" fillId="0" borderId="0" xfId="0" applyFont="1" applyAlignment="1">
      <alignment vertical="top" wrapText="1"/>
    </xf>
    <xf numFmtId="0" fontId="65" fillId="0" borderId="29" xfId="0" applyFont="1" applyBorder="1" applyAlignment="1">
      <alignment horizontal="center" vertical="center"/>
    </xf>
    <xf numFmtId="0" fontId="65" fillId="0" borderId="19" xfId="0" applyFont="1" applyBorder="1" applyAlignment="1">
      <alignment horizontal="center" vertical="center"/>
    </xf>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65" fillId="0" borderId="12" xfId="0" applyFont="1" applyBorder="1" applyAlignment="1">
      <alignment horizontal="center" vertical="center"/>
    </xf>
    <xf numFmtId="0" fontId="46" fillId="0" borderId="0" xfId="0" applyFont="1" applyAlignment="1">
      <alignment horizontal="left" vertical="top" wrapText="1"/>
    </xf>
    <xf numFmtId="0" fontId="46" fillId="0" borderId="0" xfId="0" applyFont="1" applyAlignment="1">
      <alignment horizontal="left" vertical="top"/>
    </xf>
    <xf numFmtId="0" fontId="46" fillId="10" borderId="0" xfId="0" applyFont="1" applyFill="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5" fillId="0" borderId="0" xfId="14" applyFont="1" applyAlignment="1">
      <alignment horizontal="left" vertical="top" wrapText="1"/>
    </xf>
    <xf numFmtId="0" fontId="113" fillId="13" borderId="0" xfId="0" applyFont="1" applyFill="1" applyAlignment="1">
      <alignment horizontal="center"/>
    </xf>
    <xf numFmtId="0" fontId="111" fillId="13" borderId="0" xfId="0" applyFont="1" applyFill="1" applyAlignment="1">
      <alignment horizontal="left"/>
    </xf>
    <xf numFmtId="0" fontId="111" fillId="13" borderId="12" xfId="0" applyFont="1" applyFill="1" applyBorder="1" applyAlignment="1">
      <alignment horizontal="left"/>
    </xf>
    <xf numFmtId="0" fontId="65" fillId="0" borderId="0" xfId="0" applyFont="1" applyAlignment="1">
      <alignment horizontal="left" vertical="center" indent="1"/>
    </xf>
    <xf numFmtId="0" fontId="65" fillId="0" borderId="12" xfId="0" applyFont="1" applyBorder="1" applyAlignment="1">
      <alignment horizontal="left" vertical="center" inden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0" xfId="0" applyFont="1" applyAlignment="1">
      <alignment horizontal="center" wrapText="1"/>
    </xf>
    <xf numFmtId="0" fontId="46" fillId="0" borderId="12" xfId="0" applyFont="1" applyBorder="1" applyAlignment="1">
      <alignment horizontal="center" wrapText="1"/>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65" fillId="0" borderId="0" xfId="0" applyFont="1" applyAlignment="1">
      <alignment horizontal="center" vertical="center"/>
    </xf>
    <xf numFmtId="0" fontId="65" fillId="0" borderId="0" xfId="0" applyFont="1" applyAlignment="1">
      <alignment horizontal="left" vertical="center"/>
    </xf>
    <xf numFmtId="0" fontId="65"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2" applyFont="1" applyAlignment="1">
      <alignment horizontal="left" vertical="top" wrapText="1"/>
    </xf>
    <xf numFmtId="0" fontId="46" fillId="0" borderId="0" xfId="152" applyAlignment="1">
      <alignment horizontal="left" vertical="top" wrapText="1"/>
    </xf>
    <xf numFmtId="0" fontId="114" fillId="13" borderId="22" xfId="0" applyFont="1" applyFill="1" applyBorder="1" applyAlignment="1">
      <alignment horizontal="center"/>
    </xf>
    <xf numFmtId="0" fontId="114" fillId="13" borderId="21" xfId="0" applyFont="1" applyFill="1" applyBorder="1" applyAlignment="1">
      <alignment horizontal="center"/>
    </xf>
    <xf numFmtId="0" fontId="114" fillId="13" borderId="24" xfId="0" applyFont="1" applyFill="1" applyBorder="1" applyAlignment="1">
      <alignment horizontal="center"/>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34" fillId="8" borderId="0" xfId="0" applyFont="1" applyFill="1" applyAlignment="1">
      <alignment horizontal="left" vertical="top" wrapText="1"/>
    </xf>
    <xf numFmtId="0" fontId="64"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64" fillId="8" borderId="0" xfId="0" applyFont="1" applyFill="1" applyAlignment="1">
      <alignment horizontal="left" vertical="top" wrapText="1"/>
    </xf>
    <xf numFmtId="0" fontId="64" fillId="8" borderId="0" xfId="0" applyFont="1" applyFill="1" applyAlignment="1">
      <alignment horizontal="left" vertic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3" fillId="0" borderId="0" xfId="0" applyFont="1" applyFill="1" applyBorder="1" applyAlignment="1">
      <alignment horizontal="center" wrapText="1"/>
    </xf>
    <xf numFmtId="0" fontId="13" fillId="0" borderId="6" xfId="0" applyFont="1" applyFill="1" applyBorder="1" applyAlignment="1">
      <alignment horizontal="center" wrapText="1"/>
    </xf>
    <xf numFmtId="0" fontId="19" fillId="4" borderId="2"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8"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20" fillId="3" borderId="3" xfId="0"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2" borderId="1" xfId="0" applyFont="1" applyFill="1" applyBorder="1" applyAlignment="1">
      <alignment horizontal="center" wrapText="1"/>
    </xf>
    <xf numFmtId="0" fontId="12" fillId="2"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 fillId="0" borderId="0" xfId="20" applyFont="1" applyAlignment="1">
      <alignment horizontal="center"/>
    </xf>
    <xf numFmtId="0" fontId="53" fillId="0" borderId="0" xfId="20" applyFont="1" applyAlignment="1"/>
    <xf numFmtId="168" fontId="68" fillId="0" borderId="0" xfId="27" applyFont="1" applyFill="1" applyBorder="1" applyAlignment="1">
      <alignment horizontal="left"/>
    </xf>
    <xf numFmtId="168" fontId="68" fillId="0" borderId="0" xfId="35" applyFont="1" applyAlignment="1">
      <alignment horizontal="left" vertical="center" wrapText="1"/>
    </xf>
    <xf numFmtId="168" fontId="68" fillId="0" borderId="0" xfId="27" applyFont="1" applyFill="1" applyBorder="1" applyAlignment="1">
      <alignment horizontal="left" vertical="top" wrapText="1"/>
    </xf>
    <xf numFmtId="168" fontId="68" fillId="0" borderId="0" xfId="27" applyFont="1" applyFill="1" applyBorder="1" applyAlignment="1">
      <alignment horizontal="left" wrapText="1"/>
    </xf>
    <xf numFmtId="168" fontId="68" fillId="0" borderId="0" xfId="27" applyFont="1" applyAlignment="1">
      <alignment horizontal="left" vertical="top" wrapText="1"/>
    </xf>
    <xf numFmtId="168" fontId="68" fillId="0" borderId="29" xfId="35" applyFont="1" applyFill="1" applyBorder="1" applyAlignment="1">
      <alignment horizontal="center"/>
    </xf>
    <xf numFmtId="168" fontId="68" fillId="0" borderId="30" xfId="35" applyFont="1" applyFill="1" applyBorder="1" applyAlignment="1">
      <alignment horizontal="center"/>
    </xf>
    <xf numFmtId="168" fontId="68" fillId="0" borderId="32" xfId="35" applyFont="1" applyFill="1" applyBorder="1" applyAlignment="1">
      <alignment horizontal="center"/>
    </xf>
    <xf numFmtId="168" fontId="68" fillId="0" borderId="26" xfId="35" applyFont="1" applyFill="1" applyBorder="1" applyAlignment="1">
      <alignment horizontal="center"/>
    </xf>
    <xf numFmtId="168" fontId="69" fillId="0" borderId="29" xfId="27" applyFont="1" applyBorder="1" applyAlignment="1">
      <alignment horizontal="center"/>
    </xf>
    <xf numFmtId="168" fontId="69" fillId="0" borderId="32" xfId="27" applyFont="1" applyBorder="1" applyAlignment="1">
      <alignment horizontal="center"/>
    </xf>
    <xf numFmtId="168" fontId="69" fillId="0" borderId="33" xfId="27" applyFont="1" applyBorder="1" applyAlignment="1">
      <alignment horizontal="center" wrapText="1"/>
    </xf>
    <xf numFmtId="168" fontId="69" fillId="0" borderId="25" xfId="27" applyFont="1" applyBorder="1" applyAlignment="1">
      <alignment horizontal="center" wrapText="1"/>
    </xf>
    <xf numFmtId="168" fontId="68" fillId="0" borderId="0" xfId="35" applyFont="1" applyAlignment="1">
      <alignment horizontal="left" vertical="top" wrapText="1"/>
    </xf>
    <xf numFmtId="0" fontId="68" fillId="0" borderId="0" xfId="0" applyFont="1" applyFill="1" applyBorder="1" applyAlignment="1">
      <alignment horizontal="center"/>
    </xf>
    <xf numFmtId="0" fontId="14" fillId="0" borderId="5" xfId="7" applyFont="1" applyBorder="1" applyAlignment="1">
      <alignment horizontal="left" wrapText="1"/>
    </xf>
    <xf numFmtId="0" fontId="14" fillId="0" borderId="6" xfId="7" applyFont="1" applyBorder="1" applyAlignment="1">
      <alignment horizontal="left" wrapText="1"/>
    </xf>
    <xf numFmtId="0" fontId="2" fillId="0" borderId="1" xfId="155" applyFont="1" applyBorder="1" applyAlignment="1">
      <alignment wrapText="1"/>
    </xf>
    <xf numFmtId="0" fontId="117" fillId="0" borderId="1" xfId="155" applyBorder="1" applyAlignment="1">
      <alignment wrapText="1"/>
    </xf>
    <xf numFmtId="0" fontId="13" fillId="0" borderId="2" xfId="155" applyFont="1" applyBorder="1" applyAlignment="1">
      <alignment horizontal="center"/>
    </xf>
    <xf numFmtId="0" fontId="117" fillId="0" borderId="4" xfId="155" applyBorder="1" applyAlignment="1">
      <alignment horizontal="center"/>
    </xf>
    <xf numFmtId="0" fontId="117" fillId="0" borderId="3" xfId="155"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0" fillId="0" borderId="0" xfId="0" applyAlignment="1">
      <alignment horizontal="center"/>
    </xf>
    <xf numFmtId="0" fontId="69" fillId="9" borderId="22" xfId="26" applyFont="1" applyFill="1" applyBorder="1" applyAlignment="1">
      <alignment horizontal="center"/>
    </xf>
    <xf numFmtId="0" fontId="69" fillId="9" borderId="21" xfId="26" applyFont="1" applyFill="1" applyBorder="1" applyAlignment="1">
      <alignment horizontal="center"/>
    </xf>
    <xf numFmtId="0" fontId="69" fillId="9" borderId="24" xfId="26" applyFont="1" applyFill="1" applyBorder="1" applyAlignment="1">
      <alignment horizontal="center"/>
    </xf>
    <xf numFmtId="168" fontId="69" fillId="9" borderId="22" xfId="56" applyFont="1" applyFill="1" applyBorder="1" applyAlignment="1">
      <alignment horizontal="center"/>
    </xf>
    <xf numFmtId="0" fontId="0" fillId="0" borderId="21" xfId="0" applyBorder="1" applyAlignment="1">
      <alignment horizontal="center"/>
    </xf>
    <xf numFmtId="168" fontId="69" fillId="0" borderId="0" xfId="25" applyFont="1" applyFill="1" applyAlignment="1">
      <alignment horizontal="center"/>
    </xf>
    <xf numFmtId="168" fontId="68" fillId="0" borderId="0" xfId="25" applyFont="1" applyAlignment="1">
      <alignment horizontal="left" vertical="center" wrapText="1"/>
    </xf>
    <xf numFmtId="0" fontId="0" fillId="0" borderId="24" xfId="0" applyBorder="1" applyAlignment="1"/>
    <xf numFmtId="0" fontId="0" fillId="0" borderId="24" xfId="0" applyBorder="1" applyAlignment="1">
      <alignment horizontal="center"/>
    </xf>
    <xf numFmtId="0" fontId="69"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9" fillId="9" borderId="15" xfId="26" applyFont="1" applyFill="1" applyBorder="1" applyAlignment="1">
      <alignment horizontal="center"/>
    </xf>
    <xf numFmtId="0" fontId="69" fillId="9" borderId="16" xfId="26"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5" applyFont="1" applyFill="1" applyAlignment="1">
      <alignment horizontal="center"/>
    </xf>
    <xf numFmtId="0" fontId="103" fillId="0" borderId="0" xfId="5" applyFont="1" applyAlignment="1">
      <alignment horizontal="center"/>
    </xf>
    <xf numFmtId="0" fontId="104" fillId="0" borderId="0" xfId="0" applyFont="1" applyAlignment="1">
      <alignment horizontal="center"/>
    </xf>
    <xf numFmtId="0" fontId="95" fillId="0" borderId="0" xfId="5" applyFont="1" applyAlignment="1">
      <alignment horizontal="center"/>
    </xf>
    <xf numFmtId="0" fontId="102" fillId="0" borderId="0" xfId="0" applyFont="1" applyAlignment="1">
      <alignment horizontal="center"/>
    </xf>
  </cellXfs>
  <cellStyles count="43658">
    <cellStyle name=" 1" xfId="315" xr:uid="{72758966-7389-4B51-A85A-60BB98E4900B}"/>
    <cellStyle name=" 1 2" xfId="316" xr:uid="{8640DBE1-B890-4681-9294-8AF4DCD68AF9}"/>
    <cellStyle name=" 1 2 2" xfId="33041" xr:uid="{02F43F7A-0EA7-4B86-84C8-4B2E0932F932}"/>
    <cellStyle name=" 1 3" xfId="33042" xr:uid="{5C552331-68BA-4A0D-8195-550B99000F26}"/>
    <cellStyle name="_Interim Rule" xfId="317" xr:uid="{8A8D1E78-99B4-49EB-8567-B58B3057213C}"/>
    <cellStyle name="_Interim Rule 10" xfId="318" xr:uid="{2576503C-2658-47A4-BA32-DF32BA55A3A9}"/>
    <cellStyle name="_Interim Rule 10 10" xfId="319" xr:uid="{EDFA6404-8B28-4DA6-8A93-182908C0D13E}"/>
    <cellStyle name="_Interim Rule 10 11" xfId="320" xr:uid="{81943BC4-4303-4491-8E7A-20568509E258}"/>
    <cellStyle name="_Interim Rule 10 12" xfId="321" xr:uid="{9E8D55B5-E7CA-4EFE-8410-01AE9F624055}"/>
    <cellStyle name="_Interim Rule 10 13" xfId="322" xr:uid="{A40C7CD6-59AB-42BB-888C-C9DABAD6A26F}"/>
    <cellStyle name="_Interim Rule 10 14" xfId="323" xr:uid="{EA142E90-01A5-404C-B477-A832DDDE443F}"/>
    <cellStyle name="_Interim Rule 10 15" xfId="324" xr:uid="{D428BB11-2FF8-406E-B31A-1A91984653CA}"/>
    <cellStyle name="_Interim Rule 10 16" xfId="325" xr:uid="{FDBF374C-7280-4D76-A3E1-DDED839E5CFF}"/>
    <cellStyle name="_Interim Rule 10 17" xfId="326" xr:uid="{5FDE3978-5035-4DC5-B436-4F1E178932C4}"/>
    <cellStyle name="_Interim Rule 10 18" xfId="327" xr:uid="{00D373B3-4436-41AF-BA99-F8258D46AB7B}"/>
    <cellStyle name="_Interim Rule 10 19" xfId="328" xr:uid="{B92C2ED1-8981-4EFA-BDB7-EBE801FEF740}"/>
    <cellStyle name="_Interim Rule 10 2" xfId="329" xr:uid="{FB20582D-3425-4F99-948D-3766FDEA5575}"/>
    <cellStyle name="_Interim Rule 10 20" xfId="330" xr:uid="{5BE9EE04-03CD-43F6-84F3-456B199B0500}"/>
    <cellStyle name="_Interim Rule 10 21" xfId="331" xr:uid="{E278D4B7-E30C-4C62-9685-FC85296DA7DD}"/>
    <cellStyle name="_Interim Rule 10 22" xfId="332" xr:uid="{1BAB61C6-ABDF-491B-B2BF-976DE323D786}"/>
    <cellStyle name="_Interim Rule 10 23" xfId="333" xr:uid="{9CC1AA6E-D42E-40D6-90D4-6D3E347DA07B}"/>
    <cellStyle name="_Interim Rule 10 3" xfId="334" xr:uid="{375C7E18-D990-47F6-A441-6C223F395F3D}"/>
    <cellStyle name="_Interim Rule 10 4" xfId="335" xr:uid="{2229B2EE-9CF0-42B0-A20B-FCC4B902A774}"/>
    <cellStyle name="_Interim Rule 10 5" xfId="336" xr:uid="{23996171-8C15-4611-8392-F7BBEBF46C7E}"/>
    <cellStyle name="_Interim Rule 10 6" xfId="337" xr:uid="{E8EE1BFE-D6AC-4FA9-A2DA-26CF21B0D68E}"/>
    <cellStyle name="_Interim Rule 10 7" xfId="338" xr:uid="{0912C874-CBF3-4F77-B7EF-DA10A27A5745}"/>
    <cellStyle name="_Interim Rule 10 8" xfId="339" xr:uid="{6D049D6A-B4BD-4665-B276-6B89771B41D7}"/>
    <cellStyle name="_Interim Rule 10 9" xfId="340" xr:uid="{AD22A6C8-691E-435A-9F9B-4484AE3F5E81}"/>
    <cellStyle name="_Interim Rule 11" xfId="341" xr:uid="{82C5FCFD-4B18-4BA4-9C5A-A4ECD5D62F4A}"/>
    <cellStyle name="_Interim Rule 11 10" xfId="342" xr:uid="{98C29CF4-B497-4D3C-907E-3B4045454567}"/>
    <cellStyle name="_Interim Rule 11 11" xfId="343" xr:uid="{9A4FCDFC-AB26-4CA2-B59C-26D2AB36BB5A}"/>
    <cellStyle name="_Interim Rule 11 12" xfId="344" xr:uid="{7C34991B-11EF-4B0C-8918-D26B5DD01500}"/>
    <cellStyle name="_Interim Rule 11 13" xfId="345" xr:uid="{8FCE5A52-2FAA-4A7C-A6DD-75759DECBE90}"/>
    <cellStyle name="_Interim Rule 11 14" xfId="346" xr:uid="{866A372C-B737-4690-8908-5E57A4C2CC98}"/>
    <cellStyle name="_Interim Rule 11 15" xfId="347" xr:uid="{B33F4BB5-FC00-457B-ADD0-0D22F1A5317A}"/>
    <cellStyle name="_Interim Rule 11 16" xfId="348" xr:uid="{6B269107-0744-4445-9205-2697EA39E470}"/>
    <cellStyle name="_Interim Rule 11 17" xfId="349" xr:uid="{804214A5-D801-49AB-BCA4-79F73C871A71}"/>
    <cellStyle name="_Interim Rule 11 18" xfId="350" xr:uid="{86FF2321-943F-47B4-A23C-28DBB8CD0CF5}"/>
    <cellStyle name="_Interim Rule 11 19" xfId="351" xr:uid="{F3E2A4CD-ED56-4D0A-ADD3-4A91BA8A5CC6}"/>
    <cellStyle name="_Interim Rule 11 2" xfId="352" xr:uid="{BC78808B-E776-423A-A5AE-1656C03E95A4}"/>
    <cellStyle name="_Interim Rule 11 20" xfId="353" xr:uid="{CD1E46A0-4608-4A5D-9F4D-67DB7FF2B43E}"/>
    <cellStyle name="_Interim Rule 11 21" xfId="354" xr:uid="{6672EA4C-368F-4FA4-B693-6116B30E60BB}"/>
    <cellStyle name="_Interim Rule 11 22" xfId="355" xr:uid="{E5C1AFA6-61EF-4E98-A30C-481FD5045F6B}"/>
    <cellStyle name="_Interim Rule 11 23" xfId="356" xr:uid="{1C6918DA-DDE2-4111-ACA1-155ADE92CAE8}"/>
    <cellStyle name="_Interim Rule 11 3" xfId="357" xr:uid="{906C774B-E68F-4A96-8A48-12218F360ABA}"/>
    <cellStyle name="_Interim Rule 11 4" xfId="358" xr:uid="{9933D7F1-2BF3-4102-B206-91D5F7745918}"/>
    <cellStyle name="_Interim Rule 11 5" xfId="359" xr:uid="{14A79B8F-7F4E-4BCF-9270-AC08B1FC00CF}"/>
    <cellStyle name="_Interim Rule 11 6" xfId="360" xr:uid="{72151E23-22E8-482F-A611-11A585608B1E}"/>
    <cellStyle name="_Interim Rule 11 7" xfId="361" xr:uid="{DA6CB69F-E8C4-42C8-90A3-F2B88BF45BC5}"/>
    <cellStyle name="_Interim Rule 11 8" xfId="362" xr:uid="{0A1A7D5C-1349-4ABD-A234-2F48DA367927}"/>
    <cellStyle name="_Interim Rule 11 9" xfId="363" xr:uid="{7682B598-C608-4F98-9589-1BC3E60A3EB7}"/>
    <cellStyle name="_Interim Rule 12" xfId="364" xr:uid="{A73BAC4B-875F-4846-84A9-6544DE0F5421}"/>
    <cellStyle name="_Interim Rule 12 2" xfId="365" xr:uid="{96E106C6-8847-426B-B494-73BB97ABA445}"/>
    <cellStyle name="_Interim Rule 12 3" xfId="366" xr:uid="{5ED67E73-A738-41DE-8BF9-D21AC4090B02}"/>
    <cellStyle name="_Interim Rule 12 4" xfId="367" xr:uid="{9CC7DCA1-0ABA-4EE4-99E2-FD21525E3092}"/>
    <cellStyle name="_Interim Rule 12_12.31.09 TELP #27 TBBS" xfId="368" xr:uid="{25F42CBD-9A19-4022-93CE-0D28A1CFBE49}"/>
    <cellStyle name="_Interim Rule 12_2009 Workpapers - #27-TELP" xfId="369" xr:uid="{FE41C91A-5298-4C29-A393-ABB256F2E686}"/>
    <cellStyle name="_Interim Rule 12_2009 Workpapers - #27-TELP 2" xfId="370" xr:uid="{9A8E77AC-80E1-4DCA-90E8-52892BC67155}"/>
    <cellStyle name="_Interim Rule 12_2009 Workpapers - #27-TELP_1" xfId="371" xr:uid="{B1CC4306-9AD8-48D0-8267-D687D3EC1F78}"/>
    <cellStyle name="_Interim Rule 12_2009 Workpapers - #27-TELP_1 2" xfId="372" xr:uid="{1BEA0397-3C11-43B0-9E1D-BD1596BD7F92}"/>
    <cellStyle name="_Interim Rule 12_Deprec Template" xfId="373" xr:uid="{B356D647-F095-42F3-8AE7-5F88B1C00354}"/>
    <cellStyle name="_Interim Rule 12_PES Prov to Ret 2009 true up" xfId="374" xr:uid="{5C1FF32A-5C91-454A-ABEB-DCB8CA714AE5}"/>
    <cellStyle name="_Interim Rule 12_Return 2009 - #26-AJTS" xfId="375" xr:uid="{9D8BAA18-03CF-4D40-AC8A-E99B49CEB12E}"/>
    <cellStyle name="_Interim Rule 13" xfId="376" xr:uid="{8ECD5888-E398-4443-8AD7-049DB4C749A9}"/>
    <cellStyle name="_Interim Rule 14" xfId="377" xr:uid="{6A4E4E1F-5C32-4C19-A935-7295A5EF6EE7}"/>
    <cellStyle name="_Interim Rule 15" xfId="378" xr:uid="{B0FAE3A9-D461-4C70-A5BE-D1A92FA4D4EA}"/>
    <cellStyle name="_Interim Rule 16" xfId="379" xr:uid="{40B37129-8488-4AE6-B39A-70A41A83CE3E}"/>
    <cellStyle name="_Interim Rule 2" xfId="380" xr:uid="{7211342F-FF3B-4CC5-99D7-FA81076D3C78}"/>
    <cellStyle name="_Interim Rule 2 10" xfId="381" xr:uid="{281F4CB2-AB89-47D0-BD6B-8959B6B638A8}"/>
    <cellStyle name="_Interim Rule 2 11" xfId="382" xr:uid="{C2A36AD2-7CB1-4F4A-8F81-FA79D9544643}"/>
    <cellStyle name="_Interim Rule 2 12" xfId="383" xr:uid="{E3DE0972-7530-4AB4-8B27-D2FC48247C0C}"/>
    <cellStyle name="_Interim Rule 2 13" xfId="384" xr:uid="{BF70ABA9-6FD5-41C7-BC28-868B50E89DF9}"/>
    <cellStyle name="_Interim Rule 2 14" xfId="385" xr:uid="{158F4A51-E386-4B27-A99F-F9A8DCB28901}"/>
    <cellStyle name="_Interim Rule 2 15" xfId="386" xr:uid="{6E979E91-7B1C-4E58-943E-70402BF210F8}"/>
    <cellStyle name="_Interim Rule 2 16" xfId="387" xr:uid="{51A0BEA2-7A5C-4BA7-B562-54CE9864F56A}"/>
    <cellStyle name="_Interim Rule 2 17" xfId="388" xr:uid="{10628409-191F-42BC-9DD9-9BE105C69A03}"/>
    <cellStyle name="_Interim Rule 2 18" xfId="389" xr:uid="{1D8408F2-3D22-4D04-93A1-83FCCFECA1AD}"/>
    <cellStyle name="_Interim Rule 2 19" xfId="390" xr:uid="{A076C6FB-A70D-445A-914E-8E8FE0E10724}"/>
    <cellStyle name="_Interim Rule 2 2" xfId="391" xr:uid="{603AD715-08BF-484C-8083-768207757656}"/>
    <cellStyle name="_Interim Rule 2 2 10" xfId="392" xr:uid="{C7E338FD-A3B7-433D-A125-B22B8803BCF7}"/>
    <cellStyle name="_Interim Rule 2 2 11" xfId="393" xr:uid="{B8BC1F21-C427-44EB-B387-B8644A39C381}"/>
    <cellStyle name="_Interim Rule 2 2 12" xfId="394" xr:uid="{9C48F5C2-6728-4C64-9D70-2A3434099573}"/>
    <cellStyle name="_Interim Rule 2 2 13" xfId="395" xr:uid="{08420034-3261-4353-B19D-581E4B18A7A4}"/>
    <cellStyle name="_Interim Rule 2 2 14" xfId="396" xr:uid="{A0E28B3C-4C95-4899-9212-30AAD1838743}"/>
    <cellStyle name="_Interim Rule 2 2 15" xfId="397" xr:uid="{20965592-7088-413F-8F42-20CDEB10EA68}"/>
    <cellStyle name="_Interim Rule 2 2 16" xfId="398" xr:uid="{17F74DBB-EB9B-4801-B14E-8BF33AE00F95}"/>
    <cellStyle name="_Interim Rule 2 2 17" xfId="399" xr:uid="{694CBF3A-151D-45C0-B858-CA89DC5575ED}"/>
    <cellStyle name="_Interim Rule 2 2 18" xfId="400" xr:uid="{814EAA05-0343-496B-B5C5-9DFEC1BDCFAD}"/>
    <cellStyle name="_Interim Rule 2 2 19" xfId="401" xr:uid="{36FBADC2-DA65-41E8-91CC-9EACC143EE45}"/>
    <cellStyle name="_Interim Rule 2 2 2" xfId="402" xr:uid="{3BBD3EC6-1F3F-442B-AB4F-4C5437F80D5E}"/>
    <cellStyle name="_Interim Rule 2 2 20" xfId="403" xr:uid="{1E2F953B-01C5-4EE3-A30E-B097A722AE87}"/>
    <cellStyle name="_Interim Rule 2 2 21" xfId="404" xr:uid="{284F33F7-1740-440B-AA8D-B4A4D09AD109}"/>
    <cellStyle name="_Interim Rule 2 2 22" xfId="405" xr:uid="{3660EF13-25D8-482A-92FA-FD938E01D671}"/>
    <cellStyle name="_Interim Rule 2 2 23" xfId="406" xr:uid="{0F8CC4A1-9ACE-49CA-94D8-3AE762E86280}"/>
    <cellStyle name="_Interim Rule 2 2 3" xfId="407" xr:uid="{712A4861-9A9B-4F9F-B944-4FDC87E9F6A4}"/>
    <cellStyle name="_Interim Rule 2 2 4" xfId="408" xr:uid="{90ED9A3A-E8F3-4FB7-B7CF-263582E74A55}"/>
    <cellStyle name="_Interim Rule 2 2 5" xfId="409" xr:uid="{221ABA4B-F145-41D8-AF32-052ED56D7EB4}"/>
    <cellStyle name="_Interim Rule 2 2 6" xfId="410" xr:uid="{F94F2627-311E-4691-A8E4-B580797A1D7F}"/>
    <cellStyle name="_Interim Rule 2 2 7" xfId="411" xr:uid="{C20DF9ED-5C5A-452D-A283-00762C63163F}"/>
    <cellStyle name="_Interim Rule 2 2 8" xfId="412" xr:uid="{AD109F4E-1859-4584-B9DF-AC565334D83E}"/>
    <cellStyle name="_Interim Rule 2 2 9" xfId="413" xr:uid="{C24F138D-3BD4-4A41-B6E0-C52187BCA589}"/>
    <cellStyle name="_Interim Rule 2 20" xfId="414" xr:uid="{0D862DC1-5B4A-4B3C-98C9-7B77A79846DC}"/>
    <cellStyle name="_Interim Rule 2 21" xfId="415" xr:uid="{59384312-0058-4346-A47C-947D19A13745}"/>
    <cellStyle name="_Interim Rule 2 22" xfId="416" xr:uid="{04088C42-8DC5-485A-AC4B-92291C55E452}"/>
    <cellStyle name="_Interim Rule 2 23" xfId="417" xr:uid="{844FAC3A-0083-4A5D-B946-24B489343578}"/>
    <cellStyle name="_Interim Rule 2 24" xfId="418" xr:uid="{293F2380-A891-455E-B7BA-8556116DA9EF}"/>
    <cellStyle name="_Interim Rule 2 25" xfId="419" xr:uid="{C161EE80-0873-411B-803C-8643BEFC4BDF}"/>
    <cellStyle name="_Interim Rule 2 26" xfId="420" xr:uid="{66B7FF8E-42A6-4702-B1EA-2FD6F09B2488}"/>
    <cellStyle name="_Interim Rule 2 27" xfId="421" xr:uid="{63A0B20F-0ACE-41EA-AE25-D598DC943308}"/>
    <cellStyle name="_Interim Rule 2 3" xfId="422" xr:uid="{7E5E769A-5A45-4407-AF26-EF59A4F85114}"/>
    <cellStyle name="_Interim Rule 2 3 10" xfId="423" xr:uid="{9CAFDBA4-C410-42FF-8D94-E188B0CBB7C3}"/>
    <cellStyle name="_Interim Rule 2 3 11" xfId="424" xr:uid="{0F5C6706-4524-49D4-B943-5C2AD10933DC}"/>
    <cellStyle name="_Interim Rule 2 3 12" xfId="425" xr:uid="{F02DC72D-14EA-4877-AB6C-3ADB332BF4A9}"/>
    <cellStyle name="_Interim Rule 2 3 13" xfId="426" xr:uid="{D92DBDDD-3BE3-42E2-AE06-2871EC3404E1}"/>
    <cellStyle name="_Interim Rule 2 3 14" xfId="427" xr:uid="{E57269CB-E32C-4EC9-93BA-F2522412847D}"/>
    <cellStyle name="_Interim Rule 2 3 15" xfId="428" xr:uid="{96B61CD9-E898-4CD0-941D-BA9181A2605A}"/>
    <cellStyle name="_Interim Rule 2 3 16" xfId="429" xr:uid="{6CAF7221-4D0E-466D-99F7-B81F962E5DD7}"/>
    <cellStyle name="_Interim Rule 2 3 17" xfId="430" xr:uid="{2861D397-8E49-42EB-B636-DF8DD8388B20}"/>
    <cellStyle name="_Interim Rule 2 3 18" xfId="431" xr:uid="{46B5542B-C0A4-488E-88C0-544BB84328B0}"/>
    <cellStyle name="_Interim Rule 2 3 19" xfId="432" xr:uid="{A518A4B8-785B-432B-99A2-EEC1C9B8B5E6}"/>
    <cellStyle name="_Interim Rule 2 3 2" xfId="433" xr:uid="{25C98C81-17C8-4555-9301-FDCBFBD51CAB}"/>
    <cellStyle name="_Interim Rule 2 3 20" xfId="434" xr:uid="{2525C4D4-9754-4191-B29A-9E96E3F7E6A1}"/>
    <cellStyle name="_Interim Rule 2 3 21" xfId="435" xr:uid="{18EEDE6E-DD6D-45B5-B8AA-C23D95C8B7CA}"/>
    <cellStyle name="_Interim Rule 2 3 22" xfId="436" xr:uid="{C225956B-7F09-45A4-A39C-F7A84CEC63F2}"/>
    <cellStyle name="_Interim Rule 2 3 23" xfId="437" xr:uid="{5AE32C73-D93B-4C66-8509-D63478162BA1}"/>
    <cellStyle name="_Interim Rule 2 3 3" xfId="438" xr:uid="{07B9A41F-2F6A-4938-B0CA-EE6C410A7FB9}"/>
    <cellStyle name="_Interim Rule 2 3 4" xfId="439" xr:uid="{21AFBC21-0342-4649-A813-E4C524238EAB}"/>
    <cellStyle name="_Interim Rule 2 3 5" xfId="440" xr:uid="{B65EB307-57A5-489B-BA42-9E793A5EE0A3}"/>
    <cellStyle name="_Interim Rule 2 3 6" xfId="441" xr:uid="{933A97D5-5D61-4D41-8FC3-3BA2F4F1F674}"/>
    <cellStyle name="_Interim Rule 2 3 7" xfId="442" xr:uid="{47628395-D2A5-490B-BC44-652F0CDF86EE}"/>
    <cellStyle name="_Interim Rule 2 3 8" xfId="443" xr:uid="{4BD0525C-EBD2-4527-A2BB-6D2FE998F81B}"/>
    <cellStyle name="_Interim Rule 2 3 9" xfId="444" xr:uid="{CB2CBF05-0599-4080-B87A-26360293AE36}"/>
    <cellStyle name="_Interim Rule 2 4" xfId="445" xr:uid="{B1288E11-C78E-4BCA-A427-F3961C7B4DDC}"/>
    <cellStyle name="_Interim Rule 2 4 10" xfId="446" xr:uid="{DE697D53-5A15-4089-87CB-6A15E9BA6CE5}"/>
    <cellStyle name="_Interim Rule 2 4 11" xfId="447" xr:uid="{3B57988D-DC58-4D88-AE72-AEB1D527981C}"/>
    <cellStyle name="_Interim Rule 2 4 12" xfId="448" xr:uid="{D7390A9A-F235-44F9-896C-437C19BBD3F4}"/>
    <cellStyle name="_Interim Rule 2 4 13" xfId="449" xr:uid="{726ED43B-F2D4-40E2-AE96-7F75FBA1B0A1}"/>
    <cellStyle name="_Interim Rule 2 4 14" xfId="450" xr:uid="{CB0CE508-D07B-497F-B31D-9CB1BC05E092}"/>
    <cellStyle name="_Interim Rule 2 4 15" xfId="451" xr:uid="{6B69F182-1CBE-4BB5-ADD1-26F9FD048584}"/>
    <cellStyle name="_Interim Rule 2 4 16" xfId="452" xr:uid="{94D8D49C-DED1-4029-B591-FF33188CAB37}"/>
    <cellStyle name="_Interim Rule 2 4 17" xfId="453" xr:uid="{D5F6D493-D3EE-498C-81F8-B95D4F011BA3}"/>
    <cellStyle name="_Interim Rule 2 4 18" xfId="454" xr:uid="{51452E05-48A5-48EB-A4E8-4BA3B72466D1}"/>
    <cellStyle name="_Interim Rule 2 4 19" xfId="455" xr:uid="{70E704F3-961A-4384-B4FF-3490009C0285}"/>
    <cellStyle name="_Interim Rule 2 4 2" xfId="456" xr:uid="{335A909A-BD67-41AE-B37F-494BA704F07E}"/>
    <cellStyle name="_Interim Rule 2 4 20" xfId="457" xr:uid="{0DD8D663-01D8-4FAD-8292-C28FE7B15008}"/>
    <cellStyle name="_Interim Rule 2 4 21" xfId="458" xr:uid="{7DDA1F77-A0C2-4AE9-9CAE-A03231B918C9}"/>
    <cellStyle name="_Interim Rule 2 4 22" xfId="459" xr:uid="{FEE50C1E-AE42-4944-BC3C-A7316D1ECD4E}"/>
    <cellStyle name="_Interim Rule 2 4 23" xfId="460" xr:uid="{0288905E-90DD-4584-A3CB-F123D3F6A6BE}"/>
    <cellStyle name="_Interim Rule 2 4 3" xfId="461" xr:uid="{BED4A126-A45F-491C-BAF1-8D05452E7C4B}"/>
    <cellStyle name="_Interim Rule 2 4 4" xfId="462" xr:uid="{644D40F1-0829-43EB-8612-971A57563D80}"/>
    <cellStyle name="_Interim Rule 2 4 5" xfId="463" xr:uid="{7D10A554-FF98-465E-A7A8-0D0FEE23C6E5}"/>
    <cellStyle name="_Interim Rule 2 4 6" xfId="464" xr:uid="{63A557C8-12D6-4CC1-BEC2-D5C660DD570D}"/>
    <cellStyle name="_Interim Rule 2 4 7" xfId="465" xr:uid="{DE826FC9-8BF0-49C5-850B-4FF02195DB56}"/>
    <cellStyle name="_Interim Rule 2 4 8" xfId="466" xr:uid="{FBA3EE10-8661-4C9A-9599-F056C642AFAF}"/>
    <cellStyle name="_Interim Rule 2 4 9" xfId="467" xr:uid="{BFB7AD28-C7B5-41DE-8BB0-4821B81C72F7}"/>
    <cellStyle name="_Interim Rule 2 5" xfId="468" xr:uid="{E99A14C5-11BC-46F2-B59F-CA5325EAF7A5}"/>
    <cellStyle name="_Interim Rule 2 5 10" xfId="469" xr:uid="{9581D76D-4F21-4E9C-ABAD-11207485BAEF}"/>
    <cellStyle name="_Interim Rule 2 5 11" xfId="470" xr:uid="{715214C1-FAA7-4185-9991-C94C8451CE09}"/>
    <cellStyle name="_Interim Rule 2 5 12" xfId="471" xr:uid="{2BF9A4E2-29C5-41BB-80C7-57DA1AD627A3}"/>
    <cellStyle name="_Interim Rule 2 5 13" xfId="472" xr:uid="{7EEB378F-1517-450D-BC4A-74BC61D890AB}"/>
    <cellStyle name="_Interim Rule 2 5 14" xfId="473" xr:uid="{8ADBE612-E501-45D5-818F-46AB5CED0DDD}"/>
    <cellStyle name="_Interim Rule 2 5 15" xfId="474" xr:uid="{E406026A-F3E1-465B-A94E-6E5299F23DDA}"/>
    <cellStyle name="_Interim Rule 2 5 16" xfId="475" xr:uid="{FB677CCC-0280-4BF8-AEE0-0FFE56E78F88}"/>
    <cellStyle name="_Interim Rule 2 5 17" xfId="476" xr:uid="{5E568BC4-0FD8-4D1E-9892-EE199B087D17}"/>
    <cellStyle name="_Interim Rule 2 5 18" xfId="477" xr:uid="{4B7BC6C7-E5FF-4523-B2CB-AEE40318BD41}"/>
    <cellStyle name="_Interim Rule 2 5 19" xfId="478" xr:uid="{8BC1112B-D99B-4DF9-BED8-13129777AE38}"/>
    <cellStyle name="_Interim Rule 2 5 2" xfId="479" xr:uid="{259B73FB-0925-4251-8984-E00DF008C06C}"/>
    <cellStyle name="_Interim Rule 2 5 20" xfId="480" xr:uid="{A51762C4-9E39-4698-A9D0-D64FAF87063E}"/>
    <cellStyle name="_Interim Rule 2 5 21" xfId="481" xr:uid="{B59BA7E9-3DB4-44F5-ABDF-94586E03868C}"/>
    <cellStyle name="_Interim Rule 2 5 22" xfId="482" xr:uid="{61556B7F-CA98-4D35-8CCF-EA22CCDF6D7F}"/>
    <cellStyle name="_Interim Rule 2 5 23" xfId="483" xr:uid="{89CC26FC-7158-4588-A5D4-3E4E99EBACE9}"/>
    <cellStyle name="_Interim Rule 2 5 3" xfId="484" xr:uid="{72CB8DA9-596E-4590-B4B9-C78736CE480B}"/>
    <cellStyle name="_Interim Rule 2 5 4" xfId="485" xr:uid="{970590A4-0AF6-4D13-867E-033ED35BD83B}"/>
    <cellStyle name="_Interim Rule 2 5 5" xfId="486" xr:uid="{DAC23068-2594-449B-897E-C079FA43C9E3}"/>
    <cellStyle name="_Interim Rule 2 5 6" xfId="487" xr:uid="{A91EBB34-8060-470A-8E4E-78A45764138D}"/>
    <cellStyle name="_Interim Rule 2 5 7" xfId="488" xr:uid="{5DA7872A-9FDB-4D4C-8601-8570BA659D18}"/>
    <cellStyle name="_Interim Rule 2 5 8" xfId="489" xr:uid="{233F0868-B63D-4DF1-BA59-32F3F7EB88F4}"/>
    <cellStyle name="_Interim Rule 2 5 9" xfId="490" xr:uid="{4EB3A6C4-DD30-47A8-B6EB-A78D8B1DA036}"/>
    <cellStyle name="_Interim Rule 2 6" xfId="491" xr:uid="{20F4AAE9-3C7E-4275-9D80-3510910F62CE}"/>
    <cellStyle name="_Interim Rule 2 7" xfId="492" xr:uid="{8F9A0CDB-71F7-47A4-A330-7137A416F4FB}"/>
    <cellStyle name="_Interim Rule 2 8" xfId="493" xr:uid="{C905512C-3D6E-4CEA-BBC7-5C7DE9B78AA0}"/>
    <cellStyle name="_Interim Rule 2 9" xfId="494" xr:uid="{10BD0B16-238B-4D69-AF57-7C927BC150AB}"/>
    <cellStyle name="_Interim Rule 3" xfId="495" xr:uid="{B1B82C5A-46D1-4F45-8AF9-947477A5762D}"/>
    <cellStyle name="_Interim Rule 3 10" xfId="496" xr:uid="{49AD4B00-DAA2-4788-94BE-CC7146E17383}"/>
    <cellStyle name="_Interim Rule 3 11" xfId="497" xr:uid="{89EBEBB3-A6E1-4476-90B7-68370A1737C0}"/>
    <cellStyle name="_Interim Rule 3 12" xfId="498" xr:uid="{F5E6AD37-A5E7-4C41-84C2-13AEB26EA770}"/>
    <cellStyle name="_Interim Rule 3 13" xfId="499" xr:uid="{02E0FBED-9EEC-437C-B8CD-2E4887E277A2}"/>
    <cellStyle name="_Interim Rule 3 14" xfId="500" xr:uid="{33F5C056-9A73-47D2-A343-56B6E4EB0F5F}"/>
    <cellStyle name="_Interim Rule 3 15" xfId="501" xr:uid="{B72A9F0B-400A-4A5A-872F-202F9256E54F}"/>
    <cellStyle name="_Interim Rule 3 16" xfId="502" xr:uid="{3B571B4C-2AAA-4EB1-AED1-07CFB7995AA2}"/>
    <cellStyle name="_Interim Rule 3 17" xfId="503" xr:uid="{57596551-CE7D-4A29-8C75-9E8378D98BB6}"/>
    <cellStyle name="_Interim Rule 3 18" xfId="504" xr:uid="{F5845866-0925-49A3-A452-F57183BA5429}"/>
    <cellStyle name="_Interim Rule 3 19" xfId="505" xr:uid="{8CC02183-2366-49DA-96FA-95A865EF5E46}"/>
    <cellStyle name="_Interim Rule 3 2" xfId="506" xr:uid="{997206D7-299A-4453-B64F-3B944B17F58E}"/>
    <cellStyle name="_Interim Rule 3 20" xfId="507" xr:uid="{64DDB56E-99CB-48A3-9B8D-1DF622E103AD}"/>
    <cellStyle name="_Interim Rule 3 21" xfId="508" xr:uid="{F4C56F59-7A82-49C7-97A8-D1D973C1A7FB}"/>
    <cellStyle name="_Interim Rule 3 22" xfId="509" xr:uid="{3B25F437-F337-48A9-9413-3C0D7662496C}"/>
    <cellStyle name="_Interim Rule 3 23" xfId="510" xr:uid="{880848E9-BFA4-432E-8DE6-1B21A5789398}"/>
    <cellStyle name="_Interim Rule 3 3" xfId="511" xr:uid="{B1432937-AD82-4173-92C2-336A335C7418}"/>
    <cellStyle name="_Interim Rule 3 4" xfId="512" xr:uid="{E55C1DAD-8085-444B-8007-E766BF26EB8E}"/>
    <cellStyle name="_Interim Rule 3 5" xfId="513" xr:uid="{2D3E353A-9166-47E3-9A1E-27E73DB9FF7F}"/>
    <cellStyle name="_Interim Rule 3 6" xfId="514" xr:uid="{B6E9499A-B083-4159-9ABC-2CC278D4D543}"/>
    <cellStyle name="_Interim Rule 3 7" xfId="515" xr:uid="{196BD45C-0CD8-488F-BA28-FA44677DFFFE}"/>
    <cellStyle name="_Interim Rule 3 8" xfId="516" xr:uid="{101D91C7-79C5-4681-B837-F32D4901BC5D}"/>
    <cellStyle name="_Interim Rule 3 9" xfId="517" xr:uid="{653465F5-878B-4CFD-81B6-F6AD475E9493}"/>
    <cellStyle name="_Interim Rule 4" xfId="518" xr:uid="{5841129C-1709-4C68-8AE7-3A20E325142A}"/>
    <cellStyle name="_Interim Rule 4 10" xfId="519" xr:uid="{7336BD56-4447-43A9-9909-0FF7FFFBA245}"/>
    <cellStyle name="_Interim Rule 4 11" xfId="520" xr:uid="{8F7A28DB-1D8B-41D0-BFB7-9DFEE77D9D89}"/>
    <cellStyle name="_Interim Rule 4 12" xfId="521" xr:uid="{68F1E158-2387-4E44-A5F2-68886D3D8A6B}"/>
    <cellStyle name="_Interim Rule 4 13" xfId="522" xr:uid="{D68AD9EC-FE5C-4F89-AE9C-749377DAB67A}"/>
    <cellStyle name="_Interim Rule 4 14" xfId="523" xr:uid="{105F4A1A-D1E7-4019-B68B-F30F6BAE5AC4}"/>
    <cellStyle name="_Interim Rule 4 15" xfId="524" xr:uid="{3C347FDE-E9D8-44C0-B567-472232B6550A}"/>
    <cellStyle name="_Interim Rule 4 16" xfId="525" xr:uid="{C5779DCE-6D8E-4AEE-BC99-22B9EA89C91C}"/>
    <cellStyle name="_Interim Rule 4 17" xfId="526" xr:uid="{5EE2DB00-938C-4593-B0B1-521FCE970AB4}"/>
    <cellStyle name="_Interim Rule 4 18" xfId="527" xr:uid="{0EF17969-0063-43D5-999F-3008DC8A553B}"/>
    <cellStyle name="_Interim Rule 4 19" xfId="528" xr:uid="{677DD1BF-5E49-4BBC-868E-A373BE783880}"/>
    <cellStyle name="_Interim Rule 4 2" xfId="529" xr:uid="{C78E8617-3392-4D76-88B7-F0E95D058B1A}"/>
    <cellStyle name="_Interim Rule 4 20" xfId="530" xr:uid="{BCCDB1E4-D808-4FE0-9A2A-00B5881682BC}"/>
    <cellStyle name="_Interim Rule 4 21" xfId="531" xr:uid="{932F9E27-A49B-4FEC-B634-0B9810DF259C}"/>
    <cellStyle name="_Interim Rule 4 22" xfId="532" xr:uid="{E0665878-8F77-4318-B6B9-296D8FA4147F}"/>
    <cellStyle name="_Interim Rule 4 23" xfId="533" xr:uid="{32AA971B-4915-42EE-A860-A1B10F7A4539}"/>
    <cellStyle name="_Interim Rule 4 3" xfId="534" xr:uid="{D458E5EC-E325-47C5-84CD-385345F8B8D6}"/>
    <cellStyle name="_Interim Rule 4 4" xfId="535" xr:uid="{86993597-6CCC-40EA-BCE5-73F8F9111582}"/>
    <cellStyle name="_Interim Rule 4 5" xfId="536" xr:uid="{04AE8378-60A4-480D-A8CC-98DE10BC513B}"/>
    <cellStyle name="_Interim Rule 4 6" xfId="537" xr:uid="{7C2AD783-0B72-41F8-BDB6-B73CB5A6B09D}"/>
    <cellStyle name="_Interim Rule 4 7" xfId="538" xr:uid="{F72ECF4D-4E5A-4D8D-9278-C706245436C7}"/>
    <cellStyle name="_Interim Rule 4 8" xfId="539" xr:uid="{8DAC87F2-CF32-46BD-89AB-DE638DA0C25A}"/>
    <cellStyle name="_Interim Rule 4 9" xfId="540" xr:uid="{18C538D0-A8E5-4689-B7DF-422C09ACE82B}"/>
    <cellStyle name="_Interim Rule 4_2009 Workpapers - #27-TELP" xfId="541" xr:uid="{6165EA9C-4780-46F2-BEAE-E9E7B53506DC}"/>
    <cellStyle name="_Interim Rule 4_2009 Workpapers - #27-TELP 2" xfId="542" xr:uid="{F36EA7C7-6E24-4562-A7C0-88A76CE2419D}"/>
    <cellStyle name="_Interim Rule 4_2009 Workpapers - #27-TELP_1" xfId="543" xr:uid="{150F8D6B-1F63-48D6-9A1D-E199A60E3079}"/>
    <cellStyle name="_Interim Rule 4_2009 Workpapers - #27-TELP_1 2" xfId="544" xr:uid="{067C2F55-459A-413E-88F7-5F8C574DDC25}"/>
    <cellStyle name="_Interim Rule 4_Deprec Template" xfId="545" xr:uid="{34D102E6-11BD-471E-BEEB-A7CB5B543183}"/>
    <cellStyle name="_Interim Rule 4_Return 2009 - #26-AJTS" xfId="546" xr:uid="{4D171FDE-CE59-426B-8EC6-C990DBCACAC3}"/>
    <cellStyle name="_Interim Rule 4_Return 2009 - #65-Unitemp" xfId="547" xr:uid="{AE26F551-9903-462C-95D5-BA8F4428D8B6}"/>
    <cellStyle name="_Interim Rule 5" xfId="548" xr:uid="{9270404A-79FD-48B9-A788-4306F679CD33}"/>
    <cellStyle name="_Interim Rule 5 10" xfId="549" xr:uid="{A97703ED-0720-411E-9199-8DCCC4258631}"/>
    <cellStyle name="_Interim Rule 5 11" xfId="550" xr:uid="{BE6C0B5C-CD92-4DF7-B91A-504A1CCAEE40}"/>
    <cellStyle name="_Interim Rule 5 12" xfId="551" xr:uid="{DCB59AD8-CCBE-4522-AC18-BB83E9F4DF08}"/>
    <cellStyle name="_Interim Rule 5 13" xfId="552" xr:uid="{741B5DA9-3F22-4672-ADB7-8F0990A885F2}"/>
    <cellStyle name="_Interim Rule 5 14" xfId="553" xr:uid="{C2334E29-3350-4EBA-AF65-9CD15F03E6CF}"/>
    <cellStyle name="_Interim Rule 5 15" xfId="554" xr:uid="{0E4155DF-C6B4-4B78-A83F-2EF5379002CA}"/>
    <cellStyle name="_Interim Rule 5 16" xfId="555" xr:uid="{F9910BAD-F5C8-4171-A1F5-ADB6A0E224E5}"/>
    <cellStyle name="_Interim Rule 5 17" xfId="556" xr:uid="{CC047CF4-E510-4C8C-8C1A-0CF88BABC0C1}"/>
    <cellStyle name="_Interim Rule 5 18" xfId="557" xr:uid="{1DC46A8F-09A1-4733-8493-989E757EF5E9}"/>
    <cellStyle name="_Interim Rule 5 19" xfId="558" xr:uid="{558D7F06-1786-4176-BCE4-22F79C8EFE43}"/>
    <cellStyle name="_Interim Rule 5 2" xfId="559" xr:uid="{EDC07A47-469D-4B8C-8DAE-41C7602C7C69}"/>
    <cellStyle name="_Interim Rule 5 20" xfId="560" xr:uid="{2981532E-4557-4082-858C-FE1F65B7EC34}"/>
    <cellStyle name="_Interim Rule 5 21" xfId="561" xr:uid="{CBEED93A-4ECE-4BE7-9D71-80BCD1F5CB46}"/>
    <cellStyle name="_Interim Rule 5 22" xfId="562" xr:uid="{02B5AF4C-EDBA-488B-9B21-D8182C2F188C}"/>
    <cellStyle name="_Interim Rule 5 23" xfId="563" xr:uid="{FDB640F6-E664-4F18-A1B2-FD643AFECB42}"/>
    <cellStyle name="_Interim Rule 5 3" xfId="564" xr:uid="{E58C6213-3179-48A0-86E4-E56252E572BB}"/>
    <cellStyle name="_Interim Rule 5 4" xfId="565" xr:uid="{692EEDF8-33BA-4446-9612-AF88FAA5822D}"/>
    <cellStyle name="_Interim Rule 5 5" xfId="566" xr:uid="{598F076F-515E-4C5B-A66C-5062D3915205}"/>
    <cellStyle name="_Interim Rule 5 6" xfId="567" xr:uid="{C0E62536-BD72-4CA2-8D3D-C423A9B6144C}"/>
    <cellStyle name="_Interim Rule 5 7" xfId="568" xr:uid="{37CEA6DB-9366-45E6-B8F2-B573BF2530F0}"/>
    <cellStyle name="_Interim Rule 5 8" xfId="569" xr:uid="{F96A7627-5225-4E10-ABBA-199A5E021DB1}"/>
    <cellStyle name="_Interim Rule 5 9" xfId="570" xr:uid="{09B6B8B4-C4C3-4A00-B2A0-02244AE98CED}"/>
    <cellStyle name="_Interim Rule 5_2009 Workpapers - #27-TELP" xfId="571" xr:uid="{46660B18-31FA-4FF9-9FF2-DC99641038D6}"/>
    <cellStyle name="_Interim Rule 5_2009 Workpapers - #27-TELP 2" xfId="572" xr:uid="{887FB3C7-175D-450F-A1DC-37E7E3FCB662}"/>
    <cellStyle name="_Interim Rule 5_2009 Workpapers - #27-TELP_1" xfId="573" xr:uid="{ECF62C26-C832-4D0B-BAAC-93DAFDED0B4D}"/>
    <cellStyle name="_Interim Rule 5_2009 Workpapers - #27-TELP_1 2" xfId="574" xr:uid="{83B4F657-3482-4B3C-8FBE-CD678FCC91D8}"/>
    <cellStyle name="_Interim Rule 5_Deprec Template" xfId="575" xr:uid="{11CA4279-525F-4A1B-91A5-4A15A874E890}"/>
    <cellStyle name="_Interim Rule 5_Return 2009 - #26-AJTS" xfId="576" xr:uid="{F499DAAA-E680-4601-B1FD-DF060CD1B444}"/>
    <cellStyle name="_Interim Rule 5_Return 2009 - #65-Unitemp" xfId="577" xr:uid="{D4E5EC50-4F13-48C7-9B02-BA1D188538FD}"/>
    <cellStyle name="_Interim Rule 6" xfId="578" xr:uid="{4358A798-BA90-4F0E-A0F3-B4AA8EFF0574}"/>
    <cellStyle name="_Interim Rule 6 10" xfId="579" xr:uid="{627E1E58-8D02-4B3E-BF68-BDA0DFF5B614}"/>
    <cellStyle name="_Interim Rule 6 11" xfId="580" xr:uid="{C08ABCA9-21E5-4061-9E70-D760671D0BDB}"/>
    <cellStyle name="_Interim Rule 6 12" xfId="581" xr:uid="{18F2559B-DA2F-407F-B137-612C07598000}"/>
    <cellStyle name="_Interim Rule 6 13" xfId="582" xr:uid="{24E61CA2-22E6-45DB-BE75-62E4BC078C7C}"/>
    <cellStyle name="_Interim Rule 6 14" xfId="583" xr:uid="{82D90E39-529A-4549-9271-36CA77D10D33}"/>
    <cellStyle name="_Interim Rule 6 15" xfId="584" xr:uid="{B05C40E3-C2E5-41BE-B706-8ADE50B0922D}"/>
    <cellStyle name="_Interim Rule 6 16" xfId="585" xr:uid="{2C31D1DD-8E48-4EE9-9E58-2A9D7B28FEFB}"/>
    <cellStyle name="_Interim Rule 6 17" xfId="586" xr:uid="{71B92396-7F19-4E38-8248-A602FD72DAE9}"/>
    <cellStyle name="_Interim Rule 6 18" xfId="587" xr:uid="{4F44BECA-8A83-46A3-A982-309E266569C0}"/>
    <cellStyle name="_Interim Rule 6 19" xfId="588" xr:uid="{F454D496-A2E9-4954-AB0D-7BF4163EFF3B}"/>
    <cellStyle name="_Interim Rule 6 2" xfId="589" xr:uid="{8237F864-865A-4D92-B11C-092D0C664EFB}"/>
    <cellStyle name="_Interim Rule 6 20" xfId="590" xr:uid="{68AA519D-4337-42DC-A31E-753A65182E29}"/>
    <cellStyle name="_Interim Rule 6 21" xfId="591" xr:uid="{521D2461-BD40-4130-8F1E-EB8DE14CAF69}"/>
    <cellStyle name="_Interim Rule 6 22" xfId="592" xr:uid="{D00A1203-BECA-482B-A7AC-0A79107B6D78}"/>
    <cellStyle name="_Interim Rule 6 23" xfId="593" xr:uid="{E14F0F59-407B-4F04-A200-5F2373003414}"/>
    <cellStyle name="_Interim Rule 6 3" xfId="594" xr:uid="{66F4AC1C-C363-4237-ACCE-5E55E1EC6884}"/>
    <cellStyle name="_Interim Rule 6 4" xfId="595" xr:uid="{DC9F533A-A8F7-4933-9FEB-3F1471E52C72}"/>
    <cellStyle name="_Interim Rule 6 5" xfId="596" xr:uid="{26D01F5C-2C69-4D70-AA8E-07DF0B07F663}"/>
    <cellStyle name="_Interim Rule 6 6" xfId="597" xr:uid="{FBA890C0-C75A-4827-B2D8-3E7C4D407F38}"/>
    <cellStyle name="_Interim Rule 6 7" xfId="598" xr:uid="{C59F49AB-2D0F-4181-BB6D-64E68E568C40}"/>
    <cellStyle name="_Interim Rule 6 8" xfId="599" xr:uid="{6234E71B-C3CE-404A-AEE2-ED570FF66B6A}"/>
    <cellStyle name="_Interim Rule 6 9" xfId="600" xr:uid="{79204EED-C779-45BF-BC41-4D74AE44154B}"/>
    <cellStyle name="_Interim Rule 6_2009 Workpapers - #27-TELP" xfId="601" xr:uid="{132C9882-847E-4850-B96F-C719F3D558C1}"/>
    <cellStyle name="_Interim Rule 6_2009 Workpapers - #27-TELP 2" xfId="602" xr:uid="{2A41FE3C-0B8D-45B9-AC87-9913EAE70677}"/>
    <cellStyle name="_Interim Rule 6_2009 Workpapers - #27-TELP_1" xfId="603" xr:uid="{DAA94B21-F557-4599-A30F-9E08D4211E07}"/>
    <cellStyle name="_Interim Rule 6_2009 Workpapers - #27-TELP_1 2" xfId="604" xr:uid="{0E421A83-534E-4FCA-808B-67AE5B2E15E8}"/>
    <cellStyle name="_Interim Rule 6_Deprec Template" xfId="605" xr:uid="{F13B8154-B652-4C87-9FBE-AA91465648E5}"/>
    <cellStyle name="_Interim Rule 6_Return 2009 - #26-AJTS" xfId="606" xr:uid="{6CD2A96F-85A0-49DE-94D5-D9ECA37FB7E3}"/>
    <cellStyle name="_Interim Rule 6_Return 2009 - #65-Unitemp" xfId="607" xr:uid="{394B796B-B9DF-4267-8712-4212CEFC0AC3}"/>
    <cellStyle name="_Interim Rule 7" xfId="608" xr:uid="{9288D7C4-4671-47E2-BE9D-A9EB3596EFE2}"/>
    <cellStyle name="_Interim Rule 7 10" xfId="609" xr:uid="{BF180ABA-2926-4FDE-8B75-DFDBACCBC6E3}"/>
    <cellStyle name="_Interim Rule 7 11" xfId="610" xr:uid="{92F57842-213A-41E6-9B26-584ECF77B7F7}"/>
    <cellStyle name="_Interim Rule 7 12" xfId="611" xr:uid="{9F67A00A-A718-459F-A380-8C5A46371C95}"/>
    <cellStyle name="_Interim Rule 7 13" xfId="612" xr:uid="{580EC73A-0121-4AC4-934B-BD6D87D60405}"/>
    <cellStyle name="_Interim Rule 7 14" xfId="613" xr:uid="{C5B1F2F6-A47C-4629-97A9-23CFF669A175}"/>
    <cellStyle name="_Interim Rule 7 15" xfId="614" xr:uid="{098633C0-421C-473E-B871-A5211A329EC6}"/>
    <cellStyle name="_Interim Rule 7 16" xfId="615" xr:uid="{5A0986F8-8595-4920-BF7B-1A5736BE0DD0}"/>
    <cellStyle name="_Interim Rule 7 17" xfId="616" xr:uid="{37D10FDB-2EFD-4695-8379-D3089A08EA1B}"/>
    <cellStyle name="_Interim Rule 7 18" xfId="617" xr:uid="{C6D24B34-D573-4433-BDBC-FE55061A7DAC}"/>
    <cellStyle name="_Interim Rule 7 19" xfId="618" xr:uid="{C2153801-468B-4951-B3E0-E35B9C61AC52}"/>
    <cellStyle name="_Interim Rule 7 2" xfId="619" xr:uid="{BC1CAF46-D212-4920-8A9B-61A96032E1B9}"/>
    <cellStyle name="_Interim Rule 7 20" xfId="620" xr:uid="{C97DDA6E-90F4-4066-B666-27D1BFBAC0A3}"/>
    <cellStyle name="_Interim Rule 7 21" xfId="621" xr:uid="{457FF3C5-4CD3-48A4-929E-AA0BB4277701}"/>
    <cellStyle name="_Interim Rule 7 22" xfId="622" xr:uid="{DCE46810-1F6B-4225-A95A-DECD54193289}"/>
    <cellStyle name="_Interim Rule 7 23" xfId="623" xr:uid="{A0CA631F-80CA-417F-B8DA-7D2FEEA62679}"/>
    <cellStyle name="_Interim Rule 7 3" xfId="624" xr:uid="{712ECE62-65DF-47E6-B8B6-D18AFEBF3EB8}"/>
    <cellStyle name="_Interim Rule 7 4" xfId="625" xr:uid="{23D68C2A-2F04-4C52-BB67-95CD10A63F27}"/>
    <cellStyle name="_Interim Rule 7 5" xfId="626" xr:uid="{7A4629BF-F312-4F11-8252-562A7AEF74F7}"/>
    <cellStyle name="_Interim Rule 7 6" xfId="627" xr:uid="{D694EA8D-8F25-4BBF-BE5B-082487C3ECCE}"/>
    <cellStyle name="_Interim Rule 7 7" xfId="628" xr:uid="{E7241DDD-5AD7-46C9-B465-68EB9F8B37C4}"/>
    <cellStyle name="_Interim Rule 7 8" xfId="629" xr:uid="{621DA448-FB9D-4A8E-B57E-984765B5A3AA}"/>
    <cellStyle name="_Interim Rule 7 9" xfId="630" xr:uid="{A55FF848-4FC7-468D-A0F9-8A0C5661F072}"/>
    <cellStyle name="_Interim Rule 7_2009 Workpapers - #27-TELP" xfId="631" xr:uid="{A7EBF4C5-D5C0-402C-A9D9-0B2F199D3274}"/>
    <cellStyle name="_Interim Rule 7_2009 Workpapers - #27-TELP 2" xfId="632" xr:uid="{90AF13D6-ECB7-4227-B4D0-83EBD1F73F0D}"/>
    <cellStyle name="_Interim Rule 7_2009 Workpapers - #27-TELP_1" xfId="633" xr:uid="{6A0B64AF-CD93-4DC9-B22D-6D71AC09529A}"/>
    <cellStyle name="_Interim Rule 7_2009 Workpapers - #27-TELP_1 2" xfId="634" xr:uid="{98A648A5-9271-4194-955F-DE8009C3D04B}"/>
    <cellStyle name="_Interim Rule 7_Deprec Template" xfId="635" xr:uid="{214D8141-54BC-45D6-8F33-2D6F9E43A0FF}"/>
    <cellStyle name="_Interim Rule 7_Return 2009 - #26-AJTS" xfId="636" xr:uid="{0D177425-18B1-48A1-BBBD-DF9AD1A4E9CD}"/>
    <cellStyle name="_Interim Rule 7_Return 2009 - #65-Unitemp" xfId="637" xr:uid="{DE5DF2A5-1B38-402F-BFAE-9ED8239B158C}"/>
    <cellStyle name="_Interim Rule 8" xfId="638" xr:uid="{D78F44D4-AD58-415F-884E-828275289B56}"/>
    <cellStyle name="_Interim Rule 8 10" xfId="639" xr:uid="{73CFE0FA-F69F-4112-8D21-144575544DD4}"/>
    <cellStyle name="_Interim Rule 8 11" xfId="640" xr:uid="{5ED93785-A833-472A-96AD-CDE6CE732EDE}"/>
    <cellStyle name="_Interim Rule 8 12" xfId="641" xr:uid="{4792E0E4-085D-4476-A137-1A2E88084190}"/>
    <cellStyle name="_Interim Rule 8 13" xfId="642" xr:uid="{B5A874B7-348F-42CD-A66A-E86BC3067178}"/>
    <cellStyle name="_Interim Rule 8 14" xfId="643" xr:uid="{0896DF32-F5B1-447D-B277-86B0068753E2}"/>
    <cellStyle name="_Interim Rule 8 15" xfId="644" xr:uid="{C5B1E1F7-9B8B-4A4F-935E-5F62A0B21694}"/>
    <cellStyle name="_Interim Rule 8 16" xfId="645" xr:uid="{45F71762-E067-41D1-BD17-D53EFDC30279}"/>
    <cellStyle name="_Interim Rule 8 17" xfId="646" xr:uid="{6E039FA6-FBB8-4490-8B31-3BB817254E25}"/>
    <cellStyle name="_Interim Rule 8 18" xfId="647" xr:uid="{CAFB18DD-F11B-46A2-BA0D-8D76051608FF}"/>
    <cellStyle name="_Interim Rule 8 19" xfId="648" xr:uid="{AE9241B8-5813-4A9E-BFCE-72FAC6446041}"/>
    <cellStyle name="_Interim Rule 8 2" xfId="649" xr:uid="{BA7E4FCB-32D3-4755-8036-722525D09C68}"/>
    <cellStyle name="_Interim Rule 8 20" xfId="650" xr:uid="{A8AAA67D-5B56-45D5-97B2-39E25857C249}"/>
    <cellStyle name="_Interim Rule 8 21" xfId="651" xr:uid="{3B215976-D311-4BD5-9D6F-31132456B88F}"/>
    <cellStyle name="_Interim Rule 8 22" xfId="652" xr:uid="{4B41B799-551F-48AF-9302-CEF535AE066F}"/>
    <cellStyle name="_Interim Rule 8 23" xfId="653" xr:uid="{BF314CA5-81FE-4024-929F-4C03FA80D79B}"/>
    <cellStyle name="_Interim Rule 8 3" xfId="654" xr:uid="{8844E285-7007-4BF5-AECA-786CF4FB09A2}"/>
    <cellStyle name="_Interim Rule 8 4" xfId="655" xr:uid="{6085AD16-5C54-4AF8-B2DE-54F03A6582CE}"/>
    <cellStyle name="_Interim Rule 8 5" xfId="656" xr:uid="{A1AAD43B-D606-4883-BF0D-C95313FF3811}"/>
    <cellStyle name="_Interim Rule 8 6" xfId="657" xr:uid="{06048E50-4C9D-4B4A-BDF3-B355E112E22C}"/>
    <cellStyle name="_Interim Rule 8 7" xfId="658" xr:uid="{3B4D6E92-7323-4ACE-83E5-943B3FBA1E47}"/>
    <cellStyle name="_Interim Rule 8 8" xfId="659" xr:uid="{904F77FE-F92D-45F9-83B0-6135EC5FCADE}"/>
    <cellStyle name="_Interim Rule 8 9" xfId="660" xr:uid="{1651B223-6758-44D2-ADC0-70E45EF27C64}"/>
    <cellStyle name="_Interim Rule 9" xfId="661" xr:uid="{F19CD563-0438-4092-A2F4-4C7818F788D1}"/>
    <cellStyle name="_Interim Rule 9 10" xfId="662" xr:uid="{D57163FB-96AE-46E3-B91F-EFAA4FBCBF0F}"/>
    <cellStyle name="_Interim Rule 9 11" xfId="663" xr:uid="{261C888F-A1FB-4240-8C7C-1ABC0C9A9BBD}"/>
    <cellStyle name="_Interim Rule 9 12" xfId="664" xr:uid="{F08FAE0D-9820-432E-900C-CA6C2F98EA8D}"/>
    <cellStyle name="_Interim Rule 9 13" xfId="665" xr:uid="{96596D8B-8DD9-4FC4-B852-24F5B564E55F}"/>
    <cellStyle name="_Interim Rule 9 14" xfId="666" xr:uid="{65C3B746-28C4-4AD9-B488-476E395D0A15}"/>
    <cellStyle name="_Interim Rule 9 15" xfId="667" xr:uid="{CF6368FD-AE1C-45B0-8692-D4B264539939}"/>
    <cellStyle name="_Interim Rule 9 16" xfId="668" xr:uid="{3280FCD8-2D5C-49B4-A9FD-C893148226BD}"/>
    <cellStyle name="_Interim Rule 9 17" xfId="669" xr:uid="{04B43B25-E528-48A0-A631-B6F985C36C4B}"/>
    <cellStyle name="_Interim Rule 9 18" xfId="670" xr:uid="{368F05E4-48CB-4505-9C17-65D73F24BDD7}"/>
    <cellStyle name="_Interim Rule 9 19" xfId="671" xr:uid="{2588D358-D7C5-494E-A1A9-37681CB2AF7E}"/>
    <cellStyle name="_Interim Rule 9 2" xfId="672" xr:uid="{22461261-7A9D-415A-8B5F-8D6C950C7DDC}"/>
    <cellStyle name="_Interim Rule 9 20" xfId="673" xr:uid="{34C5AA0F-0571-4C46-8F1B-ED06DF69BCFC}"/>
    <cellStyle name="_Interim Rule 9 21" xfId="674" xr:uid="{E1E935D8-453E-4C2B-8F26-7BCE115E7A31}"/>
    <cellStyle name="_Interim Rule 9 22" xfId="675" xr:uid="{AF24C14A-FDD3-4098-8D74-E573515B5E80}"/>
    <cellStyle name="_Interim Rule 9 23" xfId="676" xr:uid="{09227B48-9574-47C5-A492-E9D336584DC0}"/>
    <cellStyle name="_Interim Rule 9 3" xfId="677" xr:uid="{09DF80EF-D3C8-461B-BD7D-9A0663138071}"/>
    <cellStyle name="_Interim Rule 9 4" xfId="678" xr:uid="{E9AFD7BE-AB91-4485-8A63-47310A8633E7}"/>
    <cellStyle name="_Interim Rule 9 5" xfId="679" xr:uid="{C5EAAF43-0B67-4F2B-9EAB-4620190F99B3}"/>
    <cellStyle name="_Interim Rule 9 6" xfId="680" xr:uid="{E032B68F-5F72-4C36-8E24-CD591C715089}"/>
    <cellStyle name="_Interim Rule 9 7" xfId="681" xr:uid="{F1ADF8ED-8591-42A1-A539-FDAE8975F3B4}"/>
    <cellStyle name="_Interim Rule 9 8" xfId="682" xr:uid="{10770ADC-B61B-4869-95AB-95D898CE82A6}"/>
    <cellStyle name="_Interim Rule 9 9" xfId="683" xr:uid="{253A5BD3-AA26-425E-8AD2-7AAE72028890}"/>
    <cellStyle name="_Interim Rule_12.31.2009 Sev TBBS # 82 (version 2)" xfId="684" xr:uid="{8088CBD0-93D9-4DBC-B7B6-972B1DAFC6A4}"/>
    <cellStyle name="_Interim Rule_12-31-2009 ELEC C&amp;I TBBS(NEW)" xfId="685" xr:uid="{2E18F696-3675-4E14-BA0C-C8E0E70A8A5F}"/>
    <cellStyle name="_Interim Rule_2010 TAX PROVISION MODEL - MAY" xfId="686" xr:uid="{2FCE22F2-B80B-4304-B21D-CF51EBDAE551}"/>
    <cellStyle name="_Interim Rule_DEFERRED_ENTRY_-_JANUARY_CLOSE" xfId="687" xr:uid="{1D264CBF-38A7-4CD9-BD4F-A17BE88895B7}"/>
    <cellStyle name="_Interim Rule_DEFERRED_ENTRY_-_JANUARY_CLOSE_Book1(1)" xfId="688" xr:uid="{AA5F2CD0-1D6A-4B17-805E-837541C31382}"/>
    <cellStyle name="_Interim Rule_DEFERRED_ENTRY_-_JANUARY_CLOSE_STATE EFFECTIVE RATES (3)(1)" xfId="689" xr:uid="{C16CFA8B-B3D0-493B-B738-7BE3008FF795}"/>
    <cellStyle name="_Interim Rule_PES Prov to Ret 2009 true up" xfId="690" xr:uid="{6EB0839B-CF80-4A42-98BB-5BA471B04F15}"/>
    <cellStyle name="_Interim Rule_PES TBBS Dec 2009 Revised for PES OPEB &amp; Pension" xfId="691" xr:uid="{6998C952-54F9-479B-850C-5A1108CED3BC}"/>
    <cellStyle name="_Interim Rule_Return 2009 - #82-Severn Construction" xfId="692" xr:uid="{13AB3647-CD52-44EE-B929-E0BE7EE1AF99}"/>
    <cellStyle name="_Interim Rule_STATE EFFECTIVE RATES" xfId="693" xr:uid="{C0DB41BF-6966-415F-B623-0BE259CA4949}"/>
    <cellStyle name="_Interim Rule_TBBS Dec 2008 11-21-09" xfId="694" xr:uid="{AB02AFEC-8E67-4711-9A8A-0CEB3D049A84}"/>
    <cellStyle name="_Permanent Rule" xfId="695" xr:uid="{62404E86-7505-4DB8-AE44-0FE02425B550}"/>
    <cellStyle name="_Permanent Rule 10" xfId="696" xr:uid="{0C012F2B-7F23-48A4-91F1-A37483239218}"/>
    <cellStyle name="_Permanent Rule 10 10" xfId="697" xr:uid="{ED1AE9AC-E88D-47E7-A194-9F2CD2EDCBC7}"/>
    <cellStyle name="_Permanent Rule 10 11" xfId="698" xr:uid="{B4AC75BF-4160-4B7A-A9D6-8039C7A09C09}"/>
    <cellStyle name="_Permanent Rule 10 12" xfId="699" xr:uid="{5F8AD01C-76BE-488C-91B1-84DC6A1BA6DE}"/>
    <cellStyle name="_Permanent Rule 10 13" xfId="700" xr:uid="{FC243EB8-8F5B-43B8-9979-D987F0F65BA6}"/>
    <cellStyle name="_Permanent Rule 10 14" xfId="701" xr:uid="{534BE371-8081-4F03-AA90-DA391D9AB173}"/>
    <cellStyle name="_Permanent Rule 10 15" xfId="702" xr:uid="{331870CC-46E6-484C-93FD-65B02752647F}"/>
    <cellStyle name="_Permanent Rule 10 16" xfId="703" xr:uid="{8BCF062A-0786-40CD-84EE-2DFB449A7F12}"/>
    <cellStyle name="_Permanent Rule 10 17" xfId="704" xr:uid="{5097139E-EF65-4AE8-8971-29CA135C2EB8}"/>
    <cellStyle name="_Permanent Rule 10 18" xfId="705" xr:uid="{A90333AF-66BF-457F-A918-EA1C771609BD}"/>
    <cellStyle name="_Permanent Rule 10 19" xfId="706" xr:uid="{51B305A2-C67D-415C-A61F-5BE45BA6683A}"/>
    <cellStyle name="_Permanent Rule 10 2" xfId="707" xr:uid="{283624DF-2FA7-43F0-AC23-5D79CEB48E60}"/>
    <cellStyle name="_Permanent Rule 10 20" xfId="708" xr:uid="{89D4EC58-ABCD-4D92-85DC-45DDD35E2302}"/>
    <cellStyle name="_Permanent Rule 10 21" xfId="709" xr:uid="{7D6C25A1-BF15-4EE7-9F9B-43E8767AEFAD}"/>
    <cellStyle name="_Permanent Rule 10 22" xfId="710" xr:uid="{9C5DFE92-6D1F-4D0D-A992-0BC67FDF9D07}"/>
    <cellStyle name="_Permanent Rule 10 23" xfId="711" xr:uid="{66E5C6E2-85FC-44DE-AEAF-75855D183741}"/>
    <cellStyle name="_Permanent Rule 10 3" xfId="712" xr:uid="{3006995D-A0AF-44D4-885B-309C979F9D13}"/>
    <cellStyle name="_Permanent Rule 10 4" xfId="713" xr:uid="{D4B7D56B-F017-40A7-AA04-80F6985745F4}"/>
    <cellStyle name="_Permanent Rule 10 5" xfId="714" xr:uid="{920187C0-E5FF-4466-969D-39A00E7FBC5B}"/>
    <cellStyle name="_Permanent Rule 10 6" xfId="715" xr:uid="{5F1B0493-4352-4F49-B2B7-5B8E67603040}"/>
    <cellStyle name="_Permanent Rule 10 7" xfId="716" xr:uid="{F6480364-BFF8-4266-A098-6DB3313681D3}"/>
    <cellStyle name="_Permanent Rule 10 8" xfId="717" xr:uid="{2B5715C8-0B00-4E84-9C4E-ABEDBC12B579}"/>
    <cellStyle name="_Permanent Rule 10 9" xfId="718" xr:uid="{42E340F7-50A4-4878-B39B-09CC89F8EC74}"/>
    <cellStyle name="_Permanent Rule 11" xfId="719" xr:uid="{70759389-4003-48D5-8039-AFAF2601F779}"/>
    <cellStyle name="_Permanent Rule 11 10" xfId="720" xr:uid="{71F1653C-3FA9-4E39-8C8C-7E3963EC1454}"/>
    <cellStyle name="_Permanent Rule 11 11" xfId="721" xr:uid="{A852AA4D-1D4D-436C-A8F5-F19F1570B8DE}"/>
    <cellStyle name="_Permanent Rule 11 12" xfId="722" xr:uid="{20A3DAD3-ED63-4FB9-BA31-F1EAF22E92B6}"/>
    <cellStyle name="_Permanent Rule 11 13" xfId="723" xr:uid="{FFE201DB-D833-41EA-BD93-B4B6089A4AA5}"/>
    <cellStyle name="_Permanent Rule 11 14" xfId="724" xr:uid="{CDAAE1AD-63E1-4CED-AE9D-5EA744C1AD1D}"/>
    <cellStyle name="_Permanent Rule 11 15" xfId="725" xr:uid="{47874479-26B2-4CF4-A3A4-3909A79AE6B6}"/>
    <cellStyle name="_Permanent Rule 11 16" xfId="726" xr:uid="{CEEFE55B-2D11-4562-9067-20CE64CD480D}"/>
    <cellStyle name="_Permanent Rule 11 17" xfId="727" xr:uid="{E90833A7-DF23-4328-BA67-8255DDA53A2F}"/>
    <cellStyle name="_Permanent Rule 11 18" xfId="728" xr:uid="{DDAD5FBA-8FCE-47E2-880A-ED3F155AA2B3}"/>
    <cellStyle name="_Permanent Rule 11 19" xfId="729" xr:uid="{B8316516-0FD1-4935-A05F-90A1952F64A8}"/>
    <cellStyle name="_Permanent Rule 11 2" xfId="730" xr:uid="{698B2EE0-E217-4E59-8D62-920F90EBF745}"/>
    <cellStyle name="_Permanent Rule 11 20" xfId="731" xr:uid="{F41CBADF-93F8-4E97-A23A-1220EB327096}"/>
    <cellStyle name="_Permanent Rule 11 21" xfId="732" xr:uid="{EF613481-DE69-4DA6-80E0-3DDD699EE2CD}"/>
    <cellStyle name="_Permanent Rule 11 22" xfId="733" xr:uid="{6383C2D8-4176-465B-8C62-7F020797C5D6}"/>
    <cellStyle name="_Permanent Rule 11 23" xfId="734" xr:uid="{04292E97-72BE-49F2-96AC-0525FDDCDB5B}"/>
    <cellStyle name="_Permanent Rule 11 3" xfId="735" xr:uid="{D267CFA3-076E-4BEE-AAC2-00A39521D640}"/>
    <cellStyle name="_Permanent Rule 11 4" xfId="736" xr:uid="{FC68B08E-175E-42E6-A76C-48813F257867}"/>
    <cellStyle name="_Permanent Rule 11 5" xfId="737" xr:uid="{F31E0C66-6A35-4B1A-B445-6131DF7935F6}"/>
    <cellStyle name="_Permanent Rule 11 6" xfId="738" xr:uid="{F7F0DFF8-7365-4EED-B1E3-6CA3335ED1BF}"/>
    <cellStyle name="_Permanent Rule 11 7" xfId="739" xr:uid="{985D070A-3F77-4F3A-A2DC-9F8EFF454A3A}"/>
    <cellStyle name="_Permanent Rule 11 8" xfId="740" xr:uid="{50CA58DF-5AA1-4146-86BC-6A3383F1C09D}"/>
    <cellStyle name="_Permanent Rule 11 9" xfId="741" xr:uid="{FD561C30-62D8-449E-8F19-D1C129A00826}"/>
    <cellStyle name="_Permanent Rule 12" xfId="742" xr:uid="{108CE193-2A71-4F2F-A6B4-23F4E7990A42}"/>
    <cellStyle name="_Permanent Rule 12 2" xfId="743" xr:uid="{84E948C1-4ACA-422C-8521-7A4EF21F3F17}"/>
    <cellStyle name="_Permanent Rule 12 3" xfId="744" xr:uid="{C89AC239-44E0-4BD9-A6CC-EFCF67728502}"/>
    <cellStyle name="_Permanent Rule 12 4" xfId="745" xr:uid="{B0BF986A-2FFB-4CB2-8A45-9A661C672BA7}"/>
    <cellStyle name="_Permanent Rule 12_12.31.09 TELP #27 TBBS" xfId="746" xr:uid="{63922D63-D99E-4AE5-9BF3-1D5D17E09A72}"/>
    <cellStyle name="_Permanent Rule 12_2009 Workpapers - #27-TELP" xfId="747" xr:uid="{CC2E6F7D-B388-4FF9-9C76-6A114517FFDA}"/>
    <cellStyle name="_Permanent Rule 12_2009 Workpapers - #27-TELP 2" xfId="748" xr:uid="{6DCE2167-F0D0-475F-B670-C18514244348}"/>
    <cellStyle name="_Permanent Rule 12_2009 Workpapers - #27-TELP_1" xfId="749" xr:uid="{AACBFEE0-B5E0-4649-861A-755C863CF295}"/>
    <cellStyle name="_Permanent Rule 12_2009 Workpapers - #27-TELP_1 2" xfId="750" xr:uid="{7BAE0B49-54F5-4877-8C00-09079A5B5596}"/>
    <cellStyle name="_Permanent Rule 12_Deprec Template" xfId="751" xr:uid="{37FDFD73-9576-4F39-850C-99F4FD4BBAEA}"/>
    <cellStyle name="_Permanent Rule 12_PES Prov to Ret 2009 true up" xfId="752" xr:uid="{E69DE12C-DB74-4D9A-B68F-0C856051F132}"/>
    <cellStyle name="_Permanent Rule 12_Return 2009 - #26-AJTS" xfId="753" xr:uid="{E56CD219-A125-494E-9C82-BA8FA8015675}"/>
    <cellStyle name="_Permanent Rule 13" xfId="754" xr:uid="{36BA2A86-2B70-443E-960F-E2D8FE805EA5}"/>
    <cellStyle name="_Permanent Rule 14" xfId="755" xr:uid="{2B31E15B-D0A2-4CE7-A3E8-C8C9656C2283}"/>
    <cellStyle name="_Permanent Rule 15" xfId="756" xr:uid="{9DCD57D6-0BD5-4F0A-A0BD-E1BEFFC557DC}"/>
    <cellStyle name="_Permanent Rule 16" xfId="757" xr:uid="{723AD42F-A742-4B0A-B116-68491B18120A}"/>
    <cellStyle name="_Permanent Rule 2" xfId="758" xr:uid="{FAC09644-EAB3-456B-8C4C-EC09301B29BE}"/>
    <cellStyle name="_Permanent Rule 2 10" xfId="759" xr:uid="{CFC11BC1-D11C-4935-8951-D9F1BDABF6EA}"/>
    <cellStyle name="_Permanent Rule 2 11" xfId="760" xr:uid="{0A3A315A-CBFB-475A-A61A-2189788A54DC}"/>
    <cellStyle name="_Permanent Rule 2 12" xfId="761" xr:uid="{66636F5B-44C8-4F82-8E23-38C02ACD1002}"/>
    <cellStyle name="_Permanent Rule 2 13" xfId="762" xr:uid="{F6F162F7-59EB-4631-A11E-EE071C23A13E}"/>
    <cellStyle name="_Permanent Rule 2 14" xfId="763" xr:uid="{E5D2ED73-F024-43DA-8029-2A5B86CB556F}"/>
    <cellStyle name="_Permanent Rule 2 15" xfId="764" xr:uid="{F894EE03-0E6B-4062-9F6E-97C757B752F9}"/>
    <cellStyle name="_Permanent Rule 2 16" xfId="765" xr:uid="{E02F8891-3ABA-4925-BE33-48390F66AF41}"/>
    <cellStyle name="_Permanent Rule 2 17" xfId="766" xr:uid="{09E862BB-0BC9-4F94-9072-67A87C0A9943}"/>
    <cellStyle name="_Permanent Rule 2 18" xfId="767" xr:uid="{7C8092D3-9B27-4226-A40E-B61C039CBFAE}"/>
    <cellStyle name="_Permanent Rule 2 19" xfId="768" xr:uid="{0CCDCB32-0BA0-4B2C-9128-05755A15A790}"/>
    <cellStyle name="_Permanent Rule 2 2" xfId="769" xr:uid="{3EF5AEA5-5B84-4A39-9FAE-FCBB267FFE6C}"/>
    <cellStyle name="_Permanent Rule 2 2 10" xfId="770" xr:uid="{AF8D275F-84BD-4247-8548-283067BE0BFE}"/>
    <cellStyle name="_Permanent Rule 2 2 11" xfId="771" xr:uid="{305FF2C6-A5AE-42C1-A711-975374D2DBD4}"/>
    <cellStyle name="_Permanent Rule 2 2 12" xfId="772" xr:uid="{79E94929-448B-493E-9263-B614A6C5A6CE}"/>
    <cellStyle name="_Permanent Rule 2 2 13" xfId="773" xr:uid="{7D818A8D-D6A5-4F33-BB0D-4DAAF523267D}"/>
    <cellStyle name="_Permanent Rule 2 2 14" xfId="774" xr:uid="{528F6567-1408-4EF9-98B8-274C38A42FED}"/>
    <cellStyle name="_Permanent Rule 2 2 15" xfId="775" xr:uid="{5671DF00-12AB-4604-856C-40D0EBDA8488}"/>
    <cellStyle name="_Permanent Rule 2 2 16" xfId="776" xr:uid="{B4FF9C43-9B13-48C3-9D20-D87B80F678C0}"/>
    <cellStyle name="_Permanent Rule 2 2 17" xfId="777" xr:uid="{89D40240-06A0-483B-81D6-492368680AA2}"/>
    <cellStyle name="_Permanent Rule 2 2 18" xfId="778" xr:uid="{A4A193F0-BEF7-4820-B576-1766DD730AA7}"/>
    <cellStyle name="_Permanent Rule 2 2 19" xfId="779" xr:uid="{6246C114-7506-4245-B5F7-77AFE521173B}"/>
    <cellStyle name="_Permanent Rule 2 2 2" xfId="780" xr:uid="{939764DE-8E75-47B9-80AE-48EC13B9F56C}"/>
    <cellStyle name="_Permanent Rule 2 2 20" xfId="781" xr:uid="{E55C2801-CF6B-4ADE-8150-FC752A86D93D}"/>
    <cellStyle name="_Permanent Rule 2 2 21" xfId="782" xr:uid="{E318DB01-87D1-4D97-BD7F-F508E3368E92}"/>
    <cellStyle name="_Permanent Rule 2 2 22" xfId="783" xr:uid="{46EED003-CF61-4763-84C1-22E61770CA70}"/>
    <cellStyle name="_Permanent Rule 2 2 23" xfId="784" xr:uid="{D0A65701-B49D-40EA-BEBE-0448F72A8963}"/>
    <cellStyle name="_Permanent Rule 2 2 3" xfId="785" xr:uid="{6513E722-3098-4BCF-B0B9-15BB08B8A73B}"/>
    <cellStyle name="_Permanent Rule 2 2 4" xfId="786" xr:uid="{1F246BF9-D87A-4A00-A226-1F5276727A40}"/>
    <cellStyle name="_Permanent Rule 2 2 5" xfId="787" xr:uid="{D68CF2D3-07CC-4997-AD75-3C81C8FB8468}"/>
    <cellStyle name="_Permanent Rule 2 2 6" xfId="788" xr:uid="{7A9D3B58-EFD0-4598-8980-4122425B71F3}"/>
    <cellStyle name="_Permanent Rule 2 2 7" xfId="789" xr:uid="{4112B0B6-CC1B-494C-8D25-3D4427DE630E}"/>
    <cellStyle name="_Permanent Rule 2 2 8" xfId="790" xr:uid="{4ECE4F35-9DC8-4BB6-8579-74F21F7AC4C1}"/>
    <cellStyle name="_Permanent Rule 2 2 9" xfId="791" xr:uid="{4DC54819-07D5-469B-AB58-E608DBAFA2DB}"/>
    <cellStyle name="_Permanent Rule 2 20" xfId="792" xr:uid="{6B1E42CF-ED1A-4545-82A2-811D184F22A2}"/>
    <cellStyle name="_Permanent Rule 2 21" xfId="793" xr:uid="{04C0C1C9-49CE-48A1-9644-8801BCF5F156}"/>
    <cellStyle name="_Permanent Rule 2 22" xfId="794" xr:uid="{E30244BB-B937-4ABE-AB50-4529FDEF51DD}"/>
    <cellStyle name="_Permanent Rule 2 23" xfId="795" xr:uid="{9CBB42DD-C587-4702-A827-2C3264293974}"/>
    <cellStyle name="_Permanent Rule 2 24" xfId="796" xr:uid="{2219534D-20BC-422B-8963-796319819012}"/>
    <cellStyle name="_Permanent Rule 2 25" xfId="797" xr:uid="{53219050-78EE-4070-9C07-4F498C89234A}"/>
    <cellStyle name="_Permanent Rule 2 26" xfId="798" xr:uid="{15621DC6-3494-41E9-999B-185C87D7294A}"/>
    <cellStyle name="_Permanent Rule 2 27" xfId="799" xr:uid="{0ADCFD72-D200-4A65-AFAF-1DF630F5CDCB}"/>
    <cellStyle name="_Permanent Rule 2 3" xfId="800" xr:uid="{EFADDB26-985A-49E5-A230-435DC7CAA32D}"/>
    <cellStyle name="_Permanent Rule 2 3 10" xfId="801" xr:uid="{6DAD2578-3DC8-4CD7-A7BA-D2A52D6FED9C}"/>
    <cellStyle name="_Permanent Rule 2 3 11" xfId="802" xr:uid="{70F33956-9E29-4889-8D04-02715C1CB61C}"/>
    <cellStyle name="_Permanent Rule 2 3 12" xfId="803" xr:uid="{D5791EFC-DEE0-4B83-A6CE-374465535CC4}"/>
    <cellStyle name="_Permanent Rule 2 3 13" xfId="804" xr:uid="{113F6DFB-5D28-49DD-A797-0794E238D403}"/>
    <cellStyle name="_Permanent Rule 2 3 14" xfId="805" xr:uid="{F5BFE463-D40C-484F-8328-CA2A26E5225B}"/>
    <cellStyle name="_Permanent Rule 2 3 15" xfId="806" xr:uid="{BC8FFCFB-A4DE-4CFA-804C-3444EF5A2219}"/>
    <cellStyle name="_Permanent Rule 2 3 16" xfId="807" xr:uid="{E31E98FC-AEB5-4768-8072-10DD507EF5CF}"/>
    <cellStyle name="_Permanent Rule 2 3 17" xfId="808" xr:uid="{02EB2E1E-FB03-42CE-AC67-4BC2DAC3CBAF}"/>
    <cellStyle name="_Permanent Rule 2 3 18" xfId="809" xr:uid="{939F2CE5-E721-451A-B998-FCC744E1B65B}"/>
    <cellStyle name="_Permanent Rule 2 3 19" xfId="810" xr:uid="{55DAF6C1-622C-4865-B6FD-0C3BB8A4FAB1}"/>
    <cellStyle name="_Permanent Rule 2 3 2" xfId="811" xr:uid="{975AD317-6BFE-4195-80FD-C51C7E1C8627}"/>
    <cellStyle name="_Permanent Rule 2 3 20" xfId="812" xr:uid="{D49FC7E7-CE69-49C3-B68D-9E699A5327D2}"/>
    <cellStyle name="_Permanent Rule 2 3 21" xfId="813" xr:uid="{77402376-6E04-484A-96D6-CC58D7303CC3}"/>
    <cellStyle name="_Permanent Rule 2 3 22" xfId="814" xr:uid="{615D11A5-AEF2-4463-AE2C-A187FA09E359}"/>
    <cellStyle name="_Permanent Rule 2 3 23" xfId="815" xr:uid="{BB771179-DE02-43E5-AEEC-96EFB168116A}"/>
    <cellStyle name="_Permanent Rule 2 3 3" xfId="816" xr:uid="{EB0C5EC3-732E-4F19-A9C2-14B5C9D98A73}"/>
    <cellStyle name="_Permanent Rule 2 3 4" xfId="817" xr:uid="{DCE85FB0-2209-4561-A29E-71D32F7C080F}"/>
    <cellStyle name="_Permanent Rule 2 3 5" xfId="818" xr:uid="{450C7104-1468-4321-B518-37DFB5C6FB8C}"/>
    <cellStyle name="_Permanent Rule 2 3 6" xfId="819" xr:uid="{1706F7C1-7FCD-40A4-AE11-48E5B3C8E023}"/>
    <cellStyle name="_Permanent Rule 2 3 7" xfId="820" xr:uid="{AFEABCA6-AE1C-44D6-B634-F3D1001592B0}"/>
    <cellStyle name="_Permanent Rule 2 3 8" xfId="821" xr:uid="{58197D3A-6759-4786-BB48-F0FAC8A4FF43}"/>
    <cellStyle name="_Permanent Rule 2 3 9" xfId="822" xr:uid="{72FF4856-CE23-4167-A04C-A88BB2E4E4FE}"/>
    <cellStyle name="_Permanent Rule 2 4" xfId="823" xr:uid="{BEF91FF6-9C37-4AE9-B323-73F277709CA0}"/>
    <cellStyle name="_Permanent Rule 2 4 10" xfId="824" xr:uid="{3B4F003F-72B4-4048-B5AD-5E3C281815D4}"/>
    <cellStyle name="_Permanent Rule 2 4 11" xfId="825" xr:uid="{578F266A-5D4A-4F5A-9809-CC659BF3F710}"/>
    <cellStyle name="_Permanent Rule 2 4 12" xfId="826" xr:uid="{41C4A079-91CA-40D2-BB66-53328C1A6D57}"/>
    <cellStyle name="_Permanent Rule 2 4 13" xfId="827" xr:uid="{397C677D-1CB5-4629-A540-1A5E26A5BB80}"/>
    <cellStyle name="_Permanent Rule 2 4 14" xfId="828" xr:uid="{7EFC4A83-85C0-4036-8C42-6CCC18BE4C23}"/>
    <cellStyle name="_Permanent Rule 2 4 15" xfId="829" xr:uid="{4C54E89D-8A5E-4AB8-83DF-E50A356179FD}"/>
    <cellStyle name="_Permanent Rule 2 4 16" xfId="830" xr:uid="{67342357-AAB9-4BBD-9F54-4728D6ACD85F}"/>
    <cellStyle name="_Permanent Rule 2 4 17" xfId="831" xr:uid="{4822889A-1667-437F-8E1A-F9DF68A3BDE2}"/>
    <cellStyle name="_Permanent Rule 2 4 18" xfId="832" xr:uid="{9A3E54B0-BFFF-4772-AC81-2A5D01A8B5D1}"/>
    <cellStyle name="_Permanent Rule 2 4 19" xfId="833" xr:uid="{5308DE82-AD36-42B4-90F7-2C5B0760DB43}"/>
    <cellStyle name="_Permanent Rule 2 4 2" xfId="834" xr:uid="{45F90BC6-EF23-4BE0-A5BA-75AB74A0D5C2}"/>
    <cellStyle name="_Permanent Rule 2 4 20" xfId="835" xr:uid="{13647B5C-2601-4055-833F-538FD93ACC34}"/>
    <cellStyle name="_Permanent Rule 2 4 21" xfId="836" xr:uid="{A20105B0-1B93-4566-970C-5E90D1C9E8CA}"/>
    <cellStyle name="_Permanent Rule 2 4 22" xfId="837" xr:uid="{4CD45C94-BDFF-47B1-B38C-01CD7C381987}"/>
    <cellStyle name="_Permanent Rule 2 4 23" xfId="838" xr:uid="{52298B0F-CEAF-45E3-BDC4-9A1067C1F7B1}"/>
    <cellStyle name="_Permanent Rule 2 4 3" xfId="839" xr:uid="{21EB2FE6-10E5-4FB5-BC69-0D145229AEED}"/>
    <cellStyle name="_Permanent Rule 2 4 4" xfId="840" xr:uid="{B905785C-9327-4F20-879E-804D9CA82F9E}"/>
    <cellStyle name="_Permanent Rule 2 4 5" xfId="841" xr:uid="{93B4C3E2-5A5E-40D5-AFDF-6616BE2370EB}"/>
    <cellStyle name="_Permanent Rule 2 4 6" xfId="842" xr:uid="{1942F94E-9737-4B3D-894B-3140B8AFD06E}"/>
    <cellStyle name="_Permanent Rule 2 4 7" xfId="843" xr:uid="{ADA175AC-59A9-48AD-A753-037D1D1FE1ED}"/>
    <cellStyle name="_Permanent Rule 2 4 8" xfId="844" xr:uid="{0E91957C-8C69-40D8-98F6-0BC8A645364C}"/>
    <cellStyle name="_Permanent Rule 2 4 9" xfId="845" xr:uid="{D5DADE92-BFBF-4954-BEC7-D7ACE8D2DB2F}"/>
    <cellStyle name="_Permanent Rule 2 5" xfId="846" xr:uid="{2A99E2F4-6DED-4130-84ED-C18508BA3BB9}"/>
    <cellStyle name="_Permanent Rule 2 5 10" xfId="847" xr:uid="{6CDA2B62-CF3E-4667-A43F-364FC2F24094}"/>
    <cellStyle name="_Permanent Rule 2 5 11" xfId="848" xr:uid="{F50C29B7-9064-496A-B399-580AFCD6F3DA}"/>
    <cellStyle name="_Permanent Rule 2 5 12" xfId="849" xr:uid="{B56D7364-4E19-4330-9E84-1C03DC09942C}"/>
    <cellStyle name="_Permanent Rule 2 5 13" xfId="850" xr:uid="{AEF14468-4BB6-4FBC-A6E3-FA16E384CA5E}"/>
    <cellStyle name="_Permanent Rule 2 5 14" xfId="851" xr:uid="{C0D8F80E-77BD-4DAC-A13C-1FF053727CFF}"/>
    <cellStyle name="_Permanent Rule 2 5 15" xfId="852" xr:uid="{AF7B5467-4C22-4632-85C0-1126CA32695E}"/>
    <cellStyle name="_Permanent Rule 2 5 16" xfId="853" xr:uid="{C6E9CF09-62F6-4852-8018-7B372A2EE6D5}"/>
    <cellStyle name="_Permanent Rule 2 5 17" xfId="854" xr:uid="{6E26050B-277B-4854-992A-9DAFA52D6FC1}"/>
    <cellStyle name="_Permanent Rule 2 5 18" xfId="855" xr:uid="{7922E7D1-EDE4-4320-9FEC-F9CB772B227C}"/>
    <cellStyle name="_Permanent Rule 2 5 19" xfId="856" xr:uid="{7D0A0741-869B-412D-9172-5E7C2966A0FB}"/>
    <cellStyle name="_Permanent Rule 2 5 2" xfId="857" xr:uid="{37648499-4EFE-4380-BF5C-AD86FAC54A13}"/>
    <cellStyle name="_Permanent Rule 2 5 20" xfId="858" xr:uid="{1B2C4252-2872-499A-ABEA-37824F48EBF9}"/>
    <cellStyle name="_Permanent Rule 2 5 21" xfId="859" xr:uid="{8B7E4079-3EB3-4CEC-8145-103F9DCABD00}"/>
    <cellStyle name="_Permanent Rule 2 5 22" xfId="860" xr:uid="{B2C1112B-6B75-4047-97AC-9CBB21A67787}"/>
    <cellStyle name="_Permanent Rule 2 5 23" xfId="861" xr:uid="{C7F96E99-9742-4FC4-8589-D58087C29799}"/>
    <cellStyle name="_Permanent Rule 2 5 3" xfId="862" xr:uid="{0C3ADAAE-FDCA-4184-A2F0-B5D02009E106}"/>
    <cellStyle name="_Permanent Rule 2 5 4" xfId="863" xr:uid="{A9B8EBED-64FC-494F-8E6C-0AD72E0495BF}"/>
    <cellStyle name="_Permanent Rule 2 5 5" xfId="864" xr:uid="{EB6D8312-5344-4192-95DB-877AF1EAB035}"/>
    <cellStyle name="_Permanent Rule 2 5 6" xfId="865" xr:uid="{F09651BA-7766-471B-A245-6B6C957200DB}"/>
    <cellStyle name="_Permanent Rule 2 5 7" xfId="866" xr:uid="{5D283061-7DD4-4A2A-A462-385520E53FE2}"/>
    <cellStyle name="_Permanent Rule 2 5 8" xfId="867" xr:uid="{6AAB3021-1BF5-4A78-A4AA-3653FBF587F8}"/>
    <cellStyle name="_Permanent Rule 2 5 9" xfId="868" xr:uid="{CD59913A-56E8-4E61-AFAB-0257C082089A}"/>
    <cellStyle name="_Permanent Rule 2 6" xfId="869" xr:uid="{FF8FC3BE-A295-4904-B854-F2EB762F57D2}"/>
    <cellStyle name="_Permanent Rule 2 7" xfId="870" xr:uid="{56E6A61C-F275-487B-AEDA-6DEEB3E6E32B}"/>
    <cellStyle name="_Permanent Rule 2 8" xfId="871" xr:uid="{D05728D2-1CE0-4CF7-914C-C2C9CD4660DB}"/>
    <cellStyle name="_Permanent Rule 2 9" xfId="872" xr:uid="{6CB90520-648A-4C59-861F-7768816FE81B}"/>
    <cellStyle name="_Permanent Rule 3" xfId="873" xr:uid="{35A81B2E-7756-4287-B108-8B05D1BAC864}"/>
    <cellStyle name="_Permanent Rule 3 10" xfId="874" xr:uid="{60556224-7ABF-4CCD-BFED-73D62ADD300F}"/>
    <cellStyle name="_Permanent Rule 3 11" xfId="875" xr:uid="{0AE4F0EA-5110-4DD6-B725-E7F8966D4D35}"/>
    <cellStyle name="_Permanent Rule 3 12" xfId="876" xr:uid="{FE7248E8-2BCB-46A2-B70C-86113B692314}"/>
    <cellStyle name="_Permanent Rule 3 13" xfId="877" xr:uid="{287247F4-FFD7-4E7B-9EBA-CB1D104F3020}"/>
    <cellStyle name="_Permanent Rule 3 14" xfId="878" xr:uid="{0FEF17DA-8DB2-40C9-8C2E-8AB59C090063}"/>
    <cellStyle name="_Permanent Rule 3 15" xfId="879" xr:uid="{BDD7DF5D-CC21-46E1-894E-A159585DA7D8}"/>
    <cellStyle name="_Permanent Rule 3 16" xfId="880" xr:uid="{9DB47A8D-94FC-4289-A724-CEC10419A9FB}"/>
    <cellStyle name="_Permanent Rule 3 17" xfId="881" xr:uid="{F86F5C47-F886-422B-9B12-7C3169C79BD5}"/>
    <cellStyle name="_Permanent Rule 3 18" xfId="882" xr:uid="{767BE4D0-09DC-4568-8798-B66FF550D8D8}"/>
    <cellStyle name="_Permanent Rule 3 19" xfId="883" xr:uid="{0CD84A73-2C55-4D8E-A1AA-36F4B15EC12E}"/>
    <cellStyle name="_Permanent Rule 3 2" xfId="884" xr:uid="{5BEA9D14-77FD-4431-B43F-3438628CDEBA}"/>
    <cellStyle name="_Permanent Rule 3 20" xfId="885" xr:uid="{B7C61521-14A7-4EF7-BC3C-8664DB663ABA}"/>
    <cellStyle name="_Permanent Rule 3 21" xfId="886" xr:uid="{7C5AF795-29CE-4460-93CF-25E7FFFF0D03}"/>
    <cellStyle name="_Permanent Rule 3 22" xfId="887" xr:uid="{97FD71BA-C14C-4C03-9E60-B05A322A2C8F}"/>
    <cellStyle name="_Permanent Rule 3 23" xfId="888" xr:uid="{6A4C71AE-3294-44D6-9485-EBDB3D9C8500}"/>
    <cellStyle name="_Permanent Rule 3 3" xfId="889" xr:uid="{2BCB5390-E566-4D57-8F82-105AC95EACE6}"/>
    <cellStyle name="_Permanent Rule 3 4" xfId="890" xr:uid="{9C372CF1-2002-43FA-9052-7921065EFE5B}"/>
    <cellStyle name="_Permanent Rule 3 5" xfId="891" xr:uid="{827F0C80-AE34-41CB-97E0-A77FFD5DD241}"/>
    <cellStyle name="_Permanent Rule 3 6" xfId="892" xr:uid="{D7760F91-A171-446B-A517-9FCA5A07BC57}"/>
    <cellStyle name="_Permanent Rule 3 7" xfId="893" xr:uid="{C63D9056-B558-442F-B196-051314DD12B1}"/>
    <cellStyle name="_Permanent Rule 3 8" xfId="894" xr:uid="{8B51EE56-99E8-440A-A13D-27C70D488CB9}"/>
    <cellStyle name="_Permanent Rule 3 9" xfId="895" xr:uid="{330F686E-6B16-458E-B546-7597A383EEEF}"/>
    <cellStyle name="_Permanent Rule 4" xfId="896" xr:uid="{075DC489-B023-49AF-B3A7-DC82DB8F4D7D}"/>
    <cellStyle name="_Permanent Rule 4 10" xfId="897" xr:uid="{6541ED8C-7115-47F8-9704-5D4EDE785035}"/>
    <cellStyle name="_Permanent Rule 4 11" xfId="898" xr:uid="{73924AE5-81EF-4D9E-A7C4-632B92AB22CF}"/>
    <cellStyle name="_Permanent Rule 4 12" xfId="899" xr:uid="{8ACA32A7-A1AE-4459-A8F8-761DD38164C7}"/>
    <cellStyle name="_Permanent Rule 4 13" xfId="900" xr:uid="{BA2CD3FC-1D35-45E9-86D0-DF65484B2E42}"/>
    <cellStyle name="_Permanent Rule 4 14" xfId="901" xr:uid="{5880610D-D5C6-4FAF-B7D0-AC7EEBC62389}"/>
    <cellStyle name="_Permanent Rule 4 15" xfId="902" xr:uid="{FAF92D07-F75D-4B4A-8ADB-E1543ED571A4}"/>
    <cellStyle name="_Permanent Rule 4 16" xfId="903" xr:uid="{9E2957DA-BD90-4460-A89D-075159E6D1CC}"/>
    <cellStyle name="_Permanent Rule 4 17" xfId="904" xr:uid="{66EE63E7-4FE7-46FF-A4EB-0A4E44A40E9D}"/>
    <cellStyle name="_Permanent Rule 4 18" xfId="905" xr:uid="{750D3335-A119-4C7C-B2C1-FD6114A6F1CA}"/>
    <cellStyle name="_Permanent Rule 4 19" xfId="906" xr:uid="{15BFEBE2-5131-44DE-A64D-B740E8E39DC5}"/>
    <cellStyle name="_Permanent Rule 4 2" xfId="907" xr:uid="{DE0DF17B-A5A4-4B37-BB8D-5595D1D1C808}"/>
    <cellStyle name="_Permanent Rule 4 20" xfId="908" xr:uid="{AA485991-84DF-4214-8099-27A352904496}"/>
    <cellStyle name="_Permanent Rule 4 21" xfId="909" xr:uid="{38588792-3B09-4559-B167-FBFED00AAC3D}"/>
    <cellStyle name="_Permanent Rule 4 22" xfId="910" xr:uid="{34800895-A532-4FAF-9C10-14DB79A28DB2}"/>
    <cellStyle name="_Permanent Rule 4 23" xfId="911" xr:uid="{FAA05190-2270-407A-8C22-5AFD7D1AFECB}"/>
    <cellStyle name="_Permanent Rule 4 3" xfId="912" xr:uid="{51D65429-C7E9-4E15-85A9-C18B1E23AC7A}"/>
    <cellStyle name="_Permanent Rule 4 4" xfId="913" xr:uid="{D4647FC3-5FA0-49E5-8F6A-8EDD6E915812}"/>
    <cellStyle name="_Permanent Rule 4 5" xfId="914" xr:uid="{47B1CC79-2F39-40AF-B10E-F20FBBB381AD}"/>
    <cellStyle name="_Permanent Rule 4 6" xfId="915" xr:uid="{861CFC76-5927-4DD0-B18A-A33CFD23444C}"/>
    <cellStyle name="_Permanent Rule 4 7" xfId="916" xr:uid="{A1D9D659-8CB6-498B-A6F6-97222273A87A}"/>
    <cellStyle name="_Permanent Rule 4 8" xfId="917" xr:uid="{B055BDC2-A431-4386-9D02-9A60EC4C0BDB}"/>
    <cellStyle name="_Permanent Rule 4 9" xfId="918" xr:uid="{5B6A50D2-415C-4507-BA0F-03F63D2373A3}"/>
    <cellStyle name="_Permanent Rule 4_2009 Workpapers - #27-TELP" xfId="919" xr:uid="{5620B3CD-CE09-4113-8168-3688518E9775}"/>
    <cellStyle name="_Permanent Rule 4_2009 Workpapers - #27-TELP 2" xfId="920" xr:uid="{B56C40CC-570C-4F07-B6F7-69B7D51A70E7}"/>
    <cellStyle name="_Permanent Rule 4_2009 Workpapers - #27-TELP_1" xfId="921" xr:uid="{E277EECD-D7EE-489F-8CB6-900F0B087502}"/>
    <cellStyle name="_Permanent Rule 4_2009 Workpapers - #27-TELP_1 2" xfId="922" xr:uid="{23E0C59E-A73E-4428-8BC3-BCABC286665A}"/>
    <cellStyle name="_Permanent Rule 4_Deprec Template" xfId="923" xr:uid="{8B503BE0-5672-406F-9C0B-1B2A15F29606}"/>
    <cellStyle name="_Permanent Rule 4_Return 2009 - #26-AJTS" xfId="924" xr:uid="{ABA107DE-0D8D-4D59-833A-5A7C97283631}"/>
    <cellStyle name="_Permanent Rule 4_Return 2009 - #65-Unitemp" xfId="925" xr:uid="{15BD3920-3C30-4F44-AC62-2BF0541DEC38}"/>
    <cellStyle name="_Permanent Rule 5" xfId="926" xr:uid="{3FE9C3D0-A44E-497C-A053-07624B9BABAE}"/>
    <cellStyle name="_Permanent Rule 5 10" xfId="927" xr:uid="{A466C262-C24B-4FED-ADA2-4562780D7F67}"/>
    <cellStyle name="_Permanent Rule 5 11" xfId="928" xr:uid="{EF0E1800-D0F0-403F-B01D-F751AF660E5B}"/>
    <cellStyle name="_Permanent Rule 5 12" xfId="929" xr:uid="{47F33312-CF29-4827-B768-F09E4E0C31CA}"/>
    <cellStyle name="_Permanent Rule 5 13" xfId="930" xr:uid="{0F362B91-7695-4CFB-A950-5EE5B6F776B2}"/>
    <cellStyle name="_Permanent Rule 5 14" xfId="931" xr:uid="{035C52E5-EB11-4809-A76F-1200738444F1}"/>
    <cellStyle name="_Permanent Rule 5 15" xfId="932" xr:uid="{DB278D5E-069B-4811-89D7-2FE4D912ADAA}"/>
    <cellStyle name="_Permanent Rule 5 16" xfId="933" xr:uid="{9E232A09-63A9-44EF-840C-EA07D0FB9FE5}"/>
    <cellStyle name="_Permanent Rule 5 17" xfId="934" xr:uid="{B51E283F-34E8-47E7-A4EB-D851462C09A9}"/>
    <cellStyle name="_Permanent Rule 5 18" xfId="935" xr:uid="{9D6CAD41-8A29-4C1A-B49C-CD5A6B983DE4}"/>
    <cellStyle name="_Permanent Rule 5 19" xfId="936" xr:uid="{03D42A65-44C7-4526-B26B-EA8EC68CBB1A}"/>
    <cellStyle name="_Permanent Rule 5 2" xfId="937" xr:uid="{1AA39741-6DBE-489C-ACED-DBA57469C400}"/>
    <cellStyle name="_Permanent Rule 5 20" xfId="938" xr:uid="{CDE0C6A0-4FC5-4CAE-A3CD-678845C61426}"/>
    <cellStyle name="_Permanent Rule 5 21" xfId="939" xr:uid="{9296BDDD-B38B-4906-A7F3-FD58D7B191E8}"/>
    <cellStyle name="_Permanent Rule 5 22" xfId="940" xr:uid="{826BC0FD-CBE0-4F94-B4B1-4A28038C0F4D}"/>
    <cellStyle name="_Permanent Rule 5 23" xfId="941" xr:uid="{EFF86140-9CCA-4CD8-8C30-3A696BBB2FCF}"/>
    <cellStyle name="_Permanent Rule 5 3" xfId="942" xr:uid="{227AAAF8-3F1A-4A6A-B056-F79F9D4F0E81}"/>
    <cellStyle name="_Permanent Rule 5 4" xfId="943" xr:uid="{46B87D09-93C4-4F0D-969F-2D0B92047619}"/>
    <cellStyle name="_Permanent Rule 5 5" xfId="944" xr:uid="{DBFD5B37-8D7D-4D1E-8C25-256ECC9668B5}"/>
    <cellStyle name="_Permanent Rule 5 6" xfId="945" xr:uid="{2459F16F-DF07-4EA1-A462-6964DF37E5EA}"/>
    <cellStyle name="_Permanent Rule 5 7" xfId="946" xr:uid="{407BF585-9372-4013-8523-143418AED162}"/>
    <cellStyle name="_Permanent Rule 5 8" xfId="947" xr:uid="{64394F77-F034-4AEF-B1CF-1DF8E4D002CC}"/>
    <cellStyle name="_Permanent Rule 5 9" xfId="948" xr:uid="{9FB54A15-72B9-4938-8327-C88511FD94E5}"/>
    <cellStyle name="_Permanent Rule 5_2009 Workpapers - #27-TELP" xfId="949" xr:uid="{F0E9D18E-9A3B-42BE-BE91-3472C0DBAB2F}"/>
    <cellStyle name="_Permanent Rule 5_2009 Workpapers - #27-TELP 2" xfId="950" xr:uid="{EC8891FF-D9D4-4BF4-AAAA-80D375728F8A}"/>
    <cellStyle name="_Permanent Rule 5_2009 Workpapers - #27-TELP_1" xfId="951" xr:uid="{74D5D132-DEBF-448C-AE51-F85120CA6ABF}"/>
    <cellStyle name="_Permanent Rule 5_2009 Workpapers - #27-TELP_1 2" xfId="952" xr:uid="{9EA6673A-5338-4ECF-84EC-45A3FC2CEF1F}"/>
    <cellStyle name="_Permanent Rule 5_Deprec Template" xfId="953" xr:uid="{D46EA464-3FDB-4063-BC48-D072D66B03CF}"/>
    <cellStyle name="_Permanent Rule 5_Return 2009 - #26-AJTS" xfId="954" xr:uid="{81B5D181-FBD8-458E-9ED4-15A33EF1C90A}"/>
    <cellStyle name="_Permanent Rule 5_Return 2009 - #65-Unitemp" xfId="955" xr:uid="{0CA3B254-FC3A-4129-AC67-B6268B1588CF}"/>
    <cellStyle name="_Permanent Rule 6" xfId="956" xr:uid="{5B688CE0-588B-4A12-9BAB-57E67DEA65F5}"/>
    <cellStyle name="_Permanent Rule 6 10" xfId="957" xr:uid="{B64C56D5-FD79-4925-AA52-A45B7A9F9C2A}"/>
    <cellStyle name="_Permanent Rule 6 11" xfId="958" xr:uid="{85EFFDF7-DA02-44F6-8B6D-4FAD2C2E7B70}"/>
    <cellStyle name="_Permanent Rule 6 12" xfId="959" xr:uid="{4E9A2D01-D17D-4549-9DB4-1A2B10902B8C}"/>
    <cellStyle name="_Permanent Rule 6 13" xfId="960" xr:uid="{358DD92E-BAC8-4721-8EAD-F46966931B13}"/>
    <cellStyle name="_Permanent Rule 6 14" xfId="961" xr:uid="{40085297-09E1-4A85-91CB-655071D8B889}"/>
    <cellStyle name="_Permanent Rule 6 15" xfId="962" xr:uid="{BAE308EA-724C-4EF1-BC46-50B269E7F692}"/>
    <cellStyle name="_Permanent Rule 6 16" xfId="963" xr:uid="{8C5ADB08-19D6-48F8-A001-C908626172B5}"/>
    <cellStyle name="_Permanent Rule 6 17" xfId="964" xr:uid="{CACBD6DF-40FE-44FF-A0B3-56FC502E1CA6}"/>
    <cellStyle name="_Permanent Rule 6 18" xfId="965" xr:uid="{8D98F93F-F93A-4F88-BED6-522E36CB4C6E}"/>
    <cellStyle name="_Permanent Rule 6 19" xfId="966" xr:uid="{467F504E-5276-4B4A-81B8-47A2570EC462}"/>
    <cellStyle name="_Permanent Rule 6 2" xfId="967" xr:uid="{868D3D53-5AB0-40A6-8EA9-0082EDF4870A}"/>
    <cellStyle name="_Permanent Rule 6 20" xfId="968" xr:uid="{92384E5C-07D3-4E57-AF91-BE7663B5D75B}"/>
    <cellStyle name="_Permanent Rule 6 21" xfId="969" xr:uid="{C246E431-092A-4B08-9786-839097F42319}"/>
    <cellStyle name="_Permanent Rule 6 22" xfId="970" xr:uid="{1E55DAB5-7749-4708-BF13-F0B602AD4AD5}"/>
    <cellStyle name="_Permanent Rule 6 23" xfId="971" xr:uid="{4FC86411-29E8-4D06-BFD2-CDBE934A0CD1}"/>
    <cellStyle name="_Permanent Rule 6 3" xfId="972" xr:uid="{4CA6770A-A1F7-4242-8047-A50F95275ECE}"/>
    <cellStyle name="_Permanent Rule 6 4" xfId="973" xr:uid="{AED55E8C-7DBD-4918-A063-818C1D8BA026}"/>
    <cellStyle name="_Permanent Rule 6 5" xfId="974" xr:uid="{E6F56ADB-B1D6-4A16-91A1-705E1376B161}"/>
    <cellStyle name="_Permanent Rule 6 6" xfId="975" xr:uid="{C9A98428-0E4E-494C-A976-72EB2C4929B0}"/>
    <cellStyle name="_Permanent Rule 6 7" xfId="976" xr:uid="{8393463F-E7D2-4CE3-99AA-A206E95881F1}"/>
    <cellStyle name="_Permanent Rule 6 8" xfId="977" xr:uid="{88B04133-0B1F-49AB-85E6-8B5D0572F57B}"/>
    <cellStyle name="_Permanent Rule 6 9" xfId="978" xr:uid="{96323269-9CEE-49C7-9122-901C4A58A9A1}"/>
    <cellStyle name="_Permanent Rule 6_2009 Workpapers - #27-TELP" xfId="979" xr:uid="{3F2A58CE-E8DC-481E-AFE4-E7CC77348CEF}"/>
    <cellStyle name="_Permanent Rule 6_2009 Workpapers - #27-TELP 2" xfId="980" xr:uid="{EE7E77D7-8594-4411-B781-E8438981733B}"/>
    <cellStyle name="_Permanent Rule 6_2009 Workpapers - #27-TELP_1" xfId="981" xr:uid="{EF3F27AD-4105-47D2-BAD4-8398CC35AC7F}"/>
    <cellStyle name="_Permanent Rule 6_2009 Workpapers - #27-TELP_1 2" xfId="982" xr:uid="{2E5E53DE-7F10-4D1D-B911-324B46426516}"/>
    <cellStyle name="_Permanent Rule 6_Deprec Template" xfId="983" xr:uid="{5B824E54-6217-486A-88AC-C91C9CE0B177}"/>
    <cellStyle name="_Permanent Rule 6_Return 2009 - #26-AJTS" xfId="984" xr:uid="{1EA74709-C26B-4953-B577-107FCC3BAAA6}"/>
    <cellStyle name="_Permanent Rule 6_Return 2009 - #65-Unitemp" xfId="985" xr:uid="{C2DAC20B-A60F-4B73-A4C0-26922D0C0A92}"/>
    <cellStyle name="_Permanent Rule 7" xfId="986" xr:uid="{138736FE-E37C-4E19-A11D-26179809E88E}"/>
    <cellStyle name="_Permanent Rule 7 10" xfId="987" xr:uid="{6CA22EC5-4636-4B1F-9157-3C4E8CE3E093}"/>
    <cellStyle name="_Permanent Rule 7 11" xfId="988" xr:uid="{AAD785AB-56A0-4FA4-B063-17BF2F812090}"/>
    <cellStyle name="_Permanent Rule 7 12" xfId="989" xr:uid="{CDD716DC-0790-44DF-A380-AD4EA7E7E1D7}"/>
    <cellStyle name="_Permanent Rule 7 13" xfId="990" xr:uid="{8503E685-77B4-4AED-BF28-340865D1645E}"/>
    <cellStyle name="_Permanent Rule 7 14" xfId="991" xr:uid="{9D80356B-D3F9-4126-B4FD-3F490B919D95}"/>
    <cellStyle name="_Permanent Rule 7 15" xfId="992" xr:uid="{CCA8F6EA-41DF-4082-B7FD-8DFAE5F3169B}"/>
    <cellStyle name="_Permanent Rule 7 16" xfId="993" xr:uid="{D705F9DE-63D0-47A9-84DB-E520F6923001}"/>
    <cellStyle name="_Permanent Rule 7 17" xfId="994" xr:uid="{1C8DBDEF-76F5-4D7B-A4F5-4F1320B10B2E}"/>
    <cellStyle name="_Permanent Rule 7 18" xfId="995" xr:uid="{84E684B8-AC4A-4603-9AF5-971EE181CDCC}"/>
    <cellStyle name="_Permanent Rule 7 19" xfId="996" xr:uid="{17044A83-8404-456F-A88F-3C643BCF3F02}"/>
    <cellStyle name="_Permanent Rule 7 2" xfId="997" xr:uid="{93882717-DC2C-4BA6-BF37-1F0BABB6153C}"/>
    <cellStyle name="_Permanent Rule 7 20" xfId="998" xr:uid="{71E41642-8E21-4276-A926-69FEEB78F582}"/>
    <cellStyle name="_Permanent Rule 7 21" xfId="999" xr:uid="{5D268250-668C-49C3-9978-3B21E3437CBA}"/>
    <cellStyle name="_Permanent Rule 7 22" xfId="1000" xr:uid="{51D055B2-DD00-49B3-B0F5-8784E7CA74ED}"/>
    <cellStyle name="_Permanent Rule 7 23" xfId="1001" xr:uid="{5A090BAB-822E-4277-A715-31EEC9D4E20D}"/>
    <cellStyle name="_Permanent Rule 7 3" xfId="1002" xr:uid="{A538E7F8-A9C3-4693-826E-723353A532F2}"/>
    <cellStyle name="_Permanent Rule 7 4" xfId="1003" xr:uid="{9F2AC6B1-4535-4252-9418-64EE30934EA8}"/>
    <cellStyle name="_Permanent Rule 7 5" xfId="1004" xr:uid="{80BB0AEF-197A-4DFE-B78C-62330D82C965}"/>
    <cellStyle name="_Permanent Rule 7 6" xfId="1005" xr:uid="{F573C24F-DE05-4BE1-BBEA-FB05A3E7660B}"/>
    <cellStyle name="_Permanent Rule 7 7" xfId="1006" xr:uid="{8BCF6876-1954-4DFF-98CD-E292C4BCA604}"/>
    <cellStyle name="_Permanent Rule 7 8" xfId="1007" xr:uid="{E1617567-75C1-4A35-AB16-80B7B7CBAE5D}"/>
    <cellStyle name="_Permanent Rule 7 9" xfId="1008" xr:uid="{BB59AFD9-DBE1-48CD-B944-9D2E585972A9}"/>
    <cellStyle name="_Permanent Rule 7_2009 Workpapers - #27-TELP" xfId="1009" xr:uid="{58F56274-9761-4329-AD4B-AEAC40059FA3}"/>
    <cellStyle name="_Permanent Rule 7_2009 Workpapers - #27-TELP 2" xfId="1010" xr:uid="{906E2C70-83FB-4420-AAD5-17DD4BE01F38}"/>
    <cellStyle name="_Permanent Rule 7_2009 Workpapers - #27-TELP_1" xfId="1011" xr:uid="{5527C85A-6D57-4E8E-9E26-78BFD224A3B4}"/>
    <cellStyle name="_Permanent Rule 7_2009 Workpapers - #27-TELP_1 2" xfId="1012" xr:uid="{AE43B970-8C54-412E-8B97-6C4C68726780}"/>
    <cellStyle name="_Permanent Rule 7_Deprec Template" xfId="1013" xr:uid="{4EFDD199-25FF-4276-B256-D727568701C8}"/>
    <cellStyle name="_Permanent Rule 7_Return 2009 - #26-AJTS" xfId="1014" xr:uid="{D8B76ADA-0484-4FF1-BBA6-B20C5F53B6E6}"/>
    <cellStyle name="_Permanent Rule 7_Return 2009 - #65-Unitemp" xfId="1015" xr:uid="{804862D8-36C7-4F96-8DF0-D99F2030B15B}"/>
    <cellStyle name="_Permanent Rule 8" xfId="1016" xr:uid="{138B9C4E-CD0F-4A5E-9D11-79411D9598A2}"/>
    <cellStyle name="_Permanent Rule 8 10" xfId="1017" xr:uid="{210C8718-F4B3-4CA1-B32B-99AF1414ACEE}"/>
    <cellStyle name="_Permanent Rule 8 11" xfId="1018" xr:uid="{930DF68A-4595-4650-8CAE-7330EB4DFF6E}"/>
    <cellStyle name="_Permanent Rule 8 12" xfId="1019" xr:uid="{E8BD3544-F5C5-4AFE-8CE8-FA1B5A844DAC}"/>
    <cellStyle name="_Permanent Rule 8 13" xfId="1020" xr:uid="{A3969006-E430-4B11-97F4-347923F6C984}"/>
    <cellStyle name="_Permanent Rule 8 14" xfId="1021" xr:uid="{D82CC592-CFA3-4D5A-AD3D-AC662A46D769}"/>
    <cellStyle name="_Permanent Rule 8 15" xfId="1022" xr:uid="{CC31D64E-9E95-4A12-8E6D-A96F20A9F8FE}"/>
    <cellStyle name="_Permanent Rule 8 16" xfId="1023" xr:uid="{E0EE8061-F6F2-4F29-A7FF-431F8D2C24BC}"/>
    <cellStyle name="_Permanent Rule 8 17" xfId="1024" xr:uid="{E1F188CE-237A-40C1-9E7A-249FC852393F}"/>
    <cellStyle name="_Permanent Rule 8 18" xfId="1025" xr:uid="{A7D9369E-CD50-4A9B-BF00-4A0AFDE584B9}"/>
    <cellStyle name="_Permanent Rule 8 19" xfId="1026" xr:uid="{D808013E-8660-4D50-BA6B-241BC3BA06FE}"/>
    <cellStyle name="_Permanent Rule 8 2" xfId="1027" xr:uid="{4EE26F5A-5C5A-40B5-9057-5705D3CF1DE0}"/>
    <cellStyle name="_Permanent Rule 8 20" xfId="1028" xr:uid="{7558E513-7191-49AF-82EF-D50F187CB68B}"/>
    <cellStyle name="_Permanent Rule 8 21" xfId="1029" xr:uid="{AB5A0429-ECD0-46BE-A744-A20F48C2D122}"/>
    <cellStyle name="_Permanent Rule 8 22" xfId="1030" xr:uid="{29B2D111-7DD5-46FE-ABA2-40C4921E3F9D}"/>
    <cellStyle name="_Permanent Rule 8 23" xfId="1031" xr:uid="{24BF1208-7608-4A47-8A79-F057B533A5E8}"/>
    <cellStyle name="_Permanent Rule 8 3" xfId="1032" xr:uid="{4087CE86-9B19-407A-8C51-8E8A8C6AC5C8}"/>
    <cellStyle name="_Permanent Rule 8 4" xfId="1033" xr:uid="{8AE064E7-C39B-42D8-B31B-B009C85AFC5D}"/>
    <cellStyle name="_Permanent Rule 8 5" xfId="1034" xr:uid="{B293AF98-E915-4051-A36D-16A7F0C0826A}"/>
    <cellStyle name="_Permanent Rule 8 6" xfId="1035" xr:uid="{E238531D-622D-45D3-B7C2-8E1D6725FA5B}"/>
    <cellStyle name="_Permanent Rule 8 7" xfId="1036" xr:uid="{1A699383-77F6-4BFE-A3CB-2A68415BA14C}"/>
    <cellStyle name="_Permanent Rule 8 8" xfId="1037" xr:uid="{FCEFBC06-3514-44D8-A98B-C61321A037D5}"/>
    <cellStyle name="_Permanent Rule 8 9" xfId="1038" xr:uid="{ED5EB026-1655-46A1-B148-9BEBD3C63898}"/>
    <cellStyle name="_Permanent Rule 9" xfId="1039" xr:uid="{7E3EB120-1AA0-406F-ABF4-18540DE798A2}"/>
    <cellStyle name="_Permanent Rule 9 10" xfId="1040" xr:uid="{C0C80AD4-FC65-4670-B4F2-35801F0313BE}"/>
    <cellStyle name="_Permanent Rule 9 11" xfId="1041" xr:uid="{541C1D8E-F735-41C1-9D7E-A352230F50BC}"/>
    <cellStyle name="_Permanent Rule 9 12" xfId="1042" xr:uid="{CFCA32F1-7698-40F1-94FF-B829233FC434}"/>
    <cellStyle name="_Permanent Rule 9 13" xfId="1043" xr:uid="{8463553B-5424-46C2-A754-01210CABD5DD}"/>
    <cellStyle name="_Permanent Rule 9 14" xfId="1044" xr:uid="{A7F248B1-775D-418A-86F5-53F4D45F9B3C}"/>
    <cellStyle name="_Permanent Rule 9 15" xfId="1045" xr:uid="{FA762E4F-A9D2-4A1B-B42C-B1A27844FF73}"/>
    <cellStyle name="_Permanent Rule 9 16" xfId="1046" xr:uid="{E7CD5D0A-0946-45CB-AF8E-C4CA48CB72D8}"/>
    <cellStyle name="_Permanent Rule 9 17" xfId="1047" xr:uid="{9ECE37AA-41B3-4A32-99C6-3F44400BC009}"/>
    <cellStyle name="_Permanent Rule 9 18" xfId="1048" xr:uid="{24702E71-86EB-47F5-A9AF-DD125E21260E}"/>
    <cellStyle name="_Permanent Rule 9 19" xfId="1049" xr:uid="{A469B49A-D5AC-4751-907C-F4BCD311890E}"/>
    <cellStyle name="_Permanent Rule 9 2" xfId="1050" xr:uid="{6EA831E7-18F5-4D86-AFC8-7BD10FD0D300}"/>
    <cellStyle name="_Permanent Rule 9 20" xfId="1051" xr:uid="{72F5FDDA-C194-420C-86AA-D2EF99D0A938}"/>
    <cellStyle name="_Permanent Rule 9 21" xfId="1052" xr:uid="{0C8424A5-7F1D-42BC-B97E-5CC09F793483}"/>
    <cellStyle name="_Permanent Rule 9 22" xfId="1053" xr:uid="{FED7456F-AFAA-474D-AFAD-F1C5ED02C62A}"/>
    <cellStyle name="_Permanent Rule 9 23" xfId="1054" xr:uid="{44F570C8-70B0-4502-B300-93016C8311AF}"/>
    <cellStyle name="_Permanent Rule 9 3" xfId="1055" xr:uid="{B7F1A2A8-2B26-4A27-AFE3-750BDC4112D2}"/>
    <cellStyle name="_Permanent Rule 9 4" xfId="1056" xr:uid="{6CBA761B-BBB1-4BC1-89A5-4A8FE824D9E5}"/>
    <cellStyle name="_Permanent Rule 9 5" xfId="1057" xr:uid="{956D34A8-8ECC-4DF7-96BF-F9DA8BEAED4D}"/>
    <cellStyle name="_Permanent Rule 9 6" xfId="1058" xr:uid="{3E6E59AB-95E2-41D3-A8AA-1ADF8CE80B8C}"/>
    <cellStyle name="_Permanent Rule 9 7" xfId="1059" xr:uid="{B977F2D0-C2C7-4640-9BE8-7A30DB354FB3}"/>
    <cellStyle name="_Permanent Rule 9 8" xfId="1060" xr:uid="{594CBE57-DE15-430B-BAFF-3F6628D92E54}"/>
    <cellStyle name="_Permanent Rule 9 9" xfId="1061" xr:uid="{7722A92D-E373-4B8C-8CAC-D8C57D097FC0}"/>
    <cellStyle name="_Permanent Rule_12.31.2009 Sev TBBS # 82 (version 2)" xfId="1062" xr:uid="{F46DBF05-619B-459A-B9FC-48CD107FEA13}"/>
    <cellStyle name="_Permanent Rule_12-31-2009 ELEC C&amp;I TBBS(NEW)" xfId="1063" xr:uid="{1B10D4C4-7FDE-407C-B95C-6C62A8C5E080}"/>
    <cellStyle name="_Permanent Rule_2010 TAX PROVISION MODEL - MAY" xfId="1064" xr:uid="{63CD9926-0562-493D-AE23-A1C1AEAE6138}"/>
    <cellStyle name="_Permanent Rule_DEFERRED_ENTRY_-_JANUARY_CLOSE" xfId="1065" xr:uid="{D227F5DC-6EE9-475D-A3FF-C81F25E14CA5}"/>
    <cellStyle name="_Permanent Rule_DEFERRED_ENTRY_-_JANUARY_CLOSE_Book1(1)" xfId="1066" xr:uid="{C1E2B2C2-758D-4642-B1A3-B8EB554E83EC}"/>
    <cellStyle name="_Permanent Rule_DEFERRED_ENTRY_-_JANUARY_CLOSE_STATE EFFECTIVE RATES (3)(1)" xfId="1067" xr:uid="{F379AA8E-B859-4ADF-B309-EC0ADF2E80C0}"/>
    <cellStyle name="_Permanent Rule_PES Prov to Ret 2009 true up" xfId="1068" xr:uid="{7EFE6301-DF9E-4B58-8134-2CFF8B8A97C8}"/>
    <cellStyle name="_Permanent Rule_PES TBBS Dec 2009 Revised for PES OPEB &amp; Pension" xfId="1069" xr:uid="{E375BABE-314D-431B-B222-340742FA0718}"/>
    <cellStyle name="_Permanent Rule_Return 2009 - #82-Severn Construction" xfId="1070" xr:uid="{C66FB0C3-9187-4FEA-8167-2482959303CE}"/>
    <cellStyle name="_Permanent Rule_STATE EFFECTIVE RATES" xfId="1071" xr:uid="{6D352688-6FE6-4D14-A44C-2D580BAE82B9}"/>
    <cellStyle name="_Permanent Rule_TBBS Dec 2008 11-21-09" xfId="1072" xr:uid="{1D9E212E-DA72-4BA9-8677-AE173D56C9CD}"/>
    <cellStyle name="_PMG Base Monthly" xfId="213" xr:uid="{73978978-299D-49CA-A4DD-49C834DE36C1}"/>
    <cellStyle name="_PMG Base Monthly 2" xfId="1073" xr:uid="{BE8FDEA3-3104-40D7-9592-89D32E4F3BFC}"/>
    <cellStyle name="_PMG Base Monthly 2 2" xfId="1074" xr:uid="{841B95EA-5CE6-47BD-A4D4-991809FE246B}"/>
    <cellStyle name="_PMG Base Monthly 2 2 2" xfId="1075" xr:uid="{4F5FF057-5338-48F8-80E9-05E3A299B055}"/>
    <cellStyle name="_PMG Base Monthly 2 2 2 2" xfId="33043" xr:uid="{56664CEC-2332-4802-8B18-EFF635A76A2C}"/>
    <cellStyle name="_PMG Base Monthly 2 2 3" xfId="33044" xr:uid="{A14D7C47-7010-4428-A8C9-BD38D0F60AFA}"/>
    <cellStyle name="_PMG Base Monthly 2 3" xfId="1076" xr:uid="{EE7038C0-0C5F-4E29-BC2A-EBB2626DB79A}"/>
    <cellStyle name="_PMG Base Monthly 2 3 2" xfId="33045" xr:uid="{7A6FA5F4-C022-4AFB-AC50-14C7820D4049}"/>
    <cellStyle name="_PMG Base Monthly 2 4" xfId="33046" xr:uid="{8452A8B1-C818-423B-8597-ECD751DF75BC}"/>
    <cellStyle name="_PMG Base Monthly 3" xfId="1077" xr:uid="{2173A4E4-4804-4CF3-BD91-FDED73DF7CDD}"/>
    <cellStyle name="_PMG Base Monthly 3 2" xfId="33047" xr:uid="{B21692A4-EBE4-4140-9313-16033B59DC7E}"/>
    <cellStyle name="_PMG Base Monthly 4" xfId="33048" xr:uid="{E92D6162-50C1-45A0-8565-74C62D2071C2}"/>
    <cellStyle name="_PMG Base Monthly 4 2" xfId="33049" xr:uid="{6703DEDB-3689-4C0E-8ED1-21CD9AC6F220}"/>
    <cellStyle name="_PMG Base Monthly 5" xfId="33050" xr:uid="{7562A2FF-58E4-47FE-8537-E53480B8CA82}"/>
    <cellStyle name="_PMG Base Monthly 5 2" xfId="33051" xr:uid="{71E67316-B251-46B0-AC85-E7ABAC0ACE37}"/>
    <cellStyle name="_PMG Base Monthly 6" xfId="33052" xr:uid="{36A0F13A-C223-4571-99D6-ED6E8BA99A7E}"/>
    <cellStyle name="_PMG Base Monthly 7" xfId="33053" xr:uid="{6832B09F-7B3D-4F3E-8223-AFA9AE273A2F}"/>
    <cellStyle name="_PMG Thermal Monthly" xfId="214" xr:uid="{386F0DD4-3821-449B-9D7F-DB367F5F6215}"/>
    <cellStyle name="_PMG Thermal Monthly 2" xfId="1078" xr:uid="{EB44ECB3-B12A-4471-9499-4F075A69380E}"/>
    <cellStyle name="_PMG Thermal Monthly 2 2" xfId="1079" xr:uid="{36B7E047-9123-4242-998F-051D678EB345}"/>
    <cellStyle name="_PMG Thermal Monthly 2 2 2" xfId="1080" xr:uid="{218D6891-0474-4493-9317-6E762F216D54}"/>
    <cellStyle name="_PMG Thermal Monthly 2 2 2 2" xfId="33054" xr:uid="{988C3A3F-5D81-4D16-8585-B9FC3F9734CF}"/>
    <cellStyle name="_PMG Thermal Monthly 2 2 3" xfId="33055" xr:uid="{9C5DFC9E-AFAB-492F-A6A8-5384D51D8D0D}"/>
    <cellStyle name="_PMG Thermal Monthly 2 3" xfId="1081" xr:uid="{A961C363-A71E-4C5F-8D89-0B6D17A54D87}"/>
    <cellStyle name="_PMG Thermal Monthly 2 3 2" xfId="33056" xr:uid="{A6C8C25D-57C6-4159-A01D-571A612376F3}"/>
    <cellStyle name="_PMG Thermal Monthly 2 4" xfId="33057" xr:uid="{5BA6D62C-E642-4BD0-8DF1-A826B6C2F1CA}"/>
    <cellStyle name="_PMG Thermal Monthly 3" xfId="1082" xr:uid="{DEA68756-7B1E-4C80-9656-95755BBCD769}"/>
    <cellStyle name="_PMG Thermal Monthly 3 2" xfId="33058" xr:uid="{93A2E909-6546-4A17-9CB5-F1D0BE1D688E}"/>
    <cellStyle name="_PMG Thermal Monthly 4" xfId="33059" xr:uid="{B7613AD9-B469-47F5-9B9F-26D8B54925FB}"/>
    <cellStyle name="_PMG Thermal Monthly 4 2" xfId="33060" xr:uid="{F9637B19-A860-445F-BFC4-A6F5394069FA}"/>
    <cellStyle name="_PMG Thermal Monthly 5" xfId="33061" xr:uid="{ACCE2908-19B7-4C47-8B40-6B7C4C8F9E9F}"/>
    <cellStyle name="_PMG Thermal Monthly 5 2" xfId="33062" xr:uid="{B9FFAC6C-3871-483B-B8D2-868EE91E0A3F}"/>
    <cellStyle name="_PMG Thermal Monthly 6" xfId="33063" xr:uid="{AE193746-7821-41D1-811F-CF7F3120552B}"/>
    <cellStyle name="_PMG Thermal Monthly 7" xfId="33064" xr:uid="{1CF8F054-332E-4ED8-A24D-567A3012987F}"/>
    <cellStyle name="20% - Accent1 10" xfId="1083" xr:uid="{E0FB360C-6455-4445-A3CA-557A529E6359}"/>
    <cellStyle name="20% - Accent1 10 2" xfId="1084" xr:uid="{C621557C-1F35-467A-A6A0-110A0FFF91BA}"/>
    <cellStyle name="20% - Accent1 10 3" xfId="1085" xr:uid="{3AF920D9-00F7-48B5-97CE-522CA90D9ED5}"/>
    <cellStyle name="20% - Accent1 10 4" xfId="33065" xr:uid="{65A188F5-0BC8-4039-9680-9DD8D9908A4F}"/>
    <cellStyle name="20% - Accent1 100" xfId="33066" xr:uid="{71C9F0FE-8BD3-4CBF-816B-D3DF9912ADBF}"/>
    <cellStyle name="20% - Accent1 101" xfId="33067" xr:uid="{4C364D93-4AEF-4C3E-B4A9-D33A1E425FBB}"/>
    <cellStyle name="20% - Accent1 102" xfId="33068" xr:uid="{428852F4-1D5B-4DBE-B30E-FBC908381614}"/>
    <cellStyle name="20% - Accent1 103" xfId="43466" xr:uid="{21A98F46-A7B0-4991-8472-84DCDC55D036}"/>
    <cellStyle name="20% - Accent1 104" xfId="43586" xr:uid="{0108C660-A1BA-410D-8A59-8C156449F38C}"/>
    <cellStyle name="20% - Accent1 105" xfId="162" xr:uid="{93D658F3-8A7D-4F4E-ABD3-03C731DE21DC}"/>
    <cellStyle name="20% - Accent1 11" xfId="1086" xr:uid="{34DDA846-C451-4C81-BBD9-71D76FE4C10F}"/>
    <cellStyle name="20% - Accent1 11 2" xfId="1087" xr:uid="{452FEDE4-BF5A-4430-ADB5-5B84118DD96B}"/>
    <cellStyle name="20% - Accent1 11 3" xfId="1088" xr:uid="{5F343A30-DE68-4E15-AA49-20EDB8770C9C}"/>
    <cellStyle name="20% - Accent1 12" xfId="1089" xr:uid="{6DD3C07D-FD05-47F0-BDA8-24C30985890F}"/>
    <cellStyle name="20% - Accent1 12 2" xfId="1090" xr:uid="{FFE99141-E152-4DF8-B3D2-48A2FEAECA4E}"/>
    <cellStyle name="20% - Accent1 13" xfId="1091" xr:uid="{4E3ABAD7-C7A9-4B50-A6B3-3B5DC5CFAA80}"/>
    <cellStyle name="20% - Accent1 13 2" xfId="1092" xr:uid="{1AFCA22E-067F-4709-AE34-25F432BCB5E3}"/>
    <cellStyle name="20% - Accent1 14" xfId="1093" xr:uid="{8D96BB59-82A2-460B-AF1C-BFF0FB24409E}"/>
    <cellStyle name="20% - Accent1 14 2" xfId="1094" xr:uid="{086432A2-02F1-48D5-A224-C55E91D70FA5}"/>
    <cellStyle name="20% - Accent1 15" xfId="1095" xr:uid="{BCD2A765-A6A0-4D30-8414-85CB80432BFF}"/>
    <cellStyle name="20% - Accent1 15 2" xfId="1096" xr:uid="{59FDC2B4-2825-4F04-810F-1DEB5972FE60}"/>
    <cellStyle name="20% - Accent1 16" xfId="1097" xr:uid="{DB327F3B-1EE1-4ABE-929C-5442EB8D10D6}"/>
    <cellStyle name="20% - Accent1 16 2" xfId="1098" xr:uid="{02AEEB23-3750-44EF-A565-3A94A6E8120B}"/>
    <cellStyle name="20% - Accent1 17" xfId="1099" xr:uid="{9E402AE5-2CD5-4F50-8BCA-27E1DDA6BA50}"/>
    <cellStyle name="20% - Accent1 17 2" xfId="1100" xr:uid="{F7821AA9-3B97-4CAC-AB59-7011D776F235}"/>
    <cellStyle name="20% - Accent1 18" xfId="1101" xr:uid="{12939769-5884-4682-8F3E-F262C4679402}"/>
    <cellStyle name="20% - Accent1 18 2" xfId="1102" xr:uid="{7B834630-DD20-4BF5-B3D4-96DD5CE26E98}"/>
    <cellStyle name="20% - Accent1 19" xfId="1103" xr:uid="{AAB2FC3F-16D0-42FE-BEAD-8B2D80847F9E}"/>
    <cellStyle name="20% - Accent1 19 2" xfId="1104" xr:uid="{CA5CA863-335F-4DD8-9C9D-325AAE769D0C}"/>
    <cellStyle name="20% - Accent1 2" xfId="1105" xr:uid="{55A1E5F6-7A91-4581-AC9F-A2D48EF34899}"/>
    <cellStyle name="20% - Accent1 2 10" xfId="43506" xr:uid="{2A42BDFA-C549-497C-BE98-7042D47DB20B}"/>
    <cellStyle name="20% - Accent1 2 2" xfId="1106" xr:uid="{3D10514A-A27A-43A9-A4A9-133849F3E62A}"/>
    <cellStyle name="20% - Accent1 2 2 2" xfId="1107" xr:uid="{E5D0473B-041A-4FE2-9AE1-63BA7C21F5AA}"/>
    <cellStyle name="20% - Accent1 2 2 2 2" xfId="1108" xr:uid="{6216FB55-4B98-47DF-A1F5-2EA2F482CBB2}"/>
    <cellStyle name="20% - Accent1 2 2 2 3" xfId="1109" xr:uid="{954DF7A7-08A4-4EC9-8D4E-5D5F7722BB54}"/>
    <cellStyle name="20% - Accent1 2 2 2 4" xfId="33069" xr:uid="{CE6E9C8C-D1B8-4EB0-A0D8-4007C0B52D96}"/>
    <cellStyle name="20% - Accent1 2 2 3" xfId="1110" xr:uid="{E6B94021-643B-4F45-9BF2-24EBDE468649}"/>
    <cellStyle name="20% - Accent1 2 2 3 2" xfId="1111" xr:uid="{1A89DEFF-7E83-4F5D-9AFC-5E3275786B41}"/>
    <cellStyle name="20% - Accent1 2 2 3 3" xfId="33070" xr:uid="{B3EC56F4-3F13-4096-883B-589A11F283D7}"/>
    <cellStyle name="20% - Accent1 2 2 4" xfId="1112" xr:uid="{A41A3D6E-8C2A-4CD6-A000-E8005FB47245}"/>
    <cellStyle name="20% - Accent1 2 2 5" xfId="1113" xr:uid="{69A7F5E7-E6E4-46FB-8723-BAE8A2F10F52}"/>
    <cellStyle name="20% - Accent1 2 2 6" xfId="1114" xr:uid="{00D6C1AE-F6B1-4DAF-876B-700D5A78B646}"/>
    <cellStyle name="20% - Accent1 2 2 7" xfId="33071" xr:uid="{66253C9B-69CC-499F-8848-439905ACE1A7}"/>
    <cellStyle name="20% - Accent1 2 2_PwrTax 51040" xfId="1115" xr:uid="{21130A7A-B610-4FE3-8CFD-5BAD511EC9B4}"/>
    <cellStyle name="20% - Accent1 2 3" xfId="1116" xr:uid="{67301765-1CE8-400B-885E-2A09C9CE7341}"/>
    <cellStyle name="20% - Accent1 2 3 10" xfId="1117" xr:uid="{924A3F19-FF20-47DB-9966-E4FA83A742AD}"/>
    <cellStyle name="20% - Accent1 2 3 10 2" xfId="33072" xr:uid="{EF0F0ED6-6646-48A9-8FEC-92EB8DCD6388}"/>
    <cellStyle name="20% - Accent1 2 3 11" xfId="33073" xr:uid="{FFA8FE48-924D-4233-A07D-2EACBE7F9D43}"/>
    <cellStyle name="20% - Accent1 2 3 12" xfId="33074" xr:uid="{51E75AA9-9D06-47AD-8A91-13A82EDC6ABB}"/>
    <cellStyle name="20% - Accent1 2 3 2" xfId="1118" xr:uid="{FD7F3B46-CEEA-4DE9-A9BF-7AF2A16EF463}"/>
    <cellStyle name="20% - Accent1 2 3 2 10" xfId="33075" xr:uid="{0E57B90D-658A-4136-9BDD-62CB8B2623B3}"/>
    <cellStyle name="20% - Accent1 2 3 2 11" xfId="33076" xr:uid="{336890B1-C21C-4615-95AE-8A2009E7CD7D}"/>
    <cellStyle name="20% - Accent1 2 3 2 2" xfId="1119" xr:uid="{4DDED925-BB3C-4FAD-87A0-11AFBC0CBD74}"/>
    <cellStyle name="20% - Accent1 2 3 2 2 2" xfId="1120" xr:uid="{EE98BDAA-6B78-45FA-9514-7BF6BB47B4BF}"/>
    <cellStyle name="20% - Accent1 2 3 2 2 2 2" xfId="1121" xr:uid="{87777E1C-2182-48D5-BD8E-C69735105541}"/>
    <cellStyle name="20% - Accent1 2 3 2 2 2 2 2" xfId="1122" xr:uid="{A0C62FCD-5532-4057-988E-07683645D984}"/>
    <cellStyle name="20% - Accent1 2 3 2 2 2 2 2 2" xfId="33077" xr:uid="{CC49A74A-3563-46EE-8914-9740612C3428}"/>
    <cellStyle name="20% - Accent1 2 3 2 2 2 2 3" xfId="1123" xr:uid="{14B0DB5A-B90B-498C-BAB9-9F0F679850EB}"/>
    <cellStyle name="20% - Accent1 2 3 2 2 2 2 3 2" xfId="33078" xr:uid="{1F6FCD81-D1EB-44B1-937B-74AE4EB6BECA}"/>
    <cellStyle name="20% - Accent1 2 3 2 2 2 2 4" xfId="33079" xr:uid="{A7EC6B99-4825-4E07-9316-76233F816627}"/>
    <cellStyle name="20% - Accent1 2 3 2 2 2 3" xfId="1124" xr:uid="{5F90D358-7D93-42D9-BF7D-EC8DDA70974A}"/>
    <cellStyle name="20% - Accent1 2 3 2 2 2 3 2" xfId="33080" xr:uid="{485A3763-1C10-4AF2-B905-CF2C49DA644C}"/>
    <cellStyle name="20% - Accent1 2 3 2 2 2 4" xfId="1125" xr:uid="{44EA7D6C-BEC0-4AD2-833F-580681BD44CC}"/>
    <cellStyle name="20% - Accent1 2 3 2 2 2 4 2" xfId="33081" xr:uid="{72D4EE53-A977-4C89-A9DA-504DCD5063D8}"/>
    <cellStyle name="20% - Accent1 2 3 2 2 2 5" xfId="33082" xr:uid="{E1315966-0311-4C56-9520-609ED3DD9834}"/>
    <cellStyle name="20% - Accent1 2 3 2 2 3" xfId="1126" xr:uid="{AC3B41F2-D719-440D-9C0B-320658D3F801}"/>
    <cellStyle name="20% - Accent1 2 3 2 2 3 2" xfId="1127" xr:uid="{28970977-C814-42CE-BA74-EA68F220D54D}"/>
    <cellStyle name="20% - Accent1 2 3 2 2 3 2 2" xfId="33083" xr:uid="{71479C8E-07DC-4D8A-BF94-FB5E6B034032}"/>
    <cellStyle name="20% - Accent1 2 3 2 2 3 3" xfId="1128" xr:uid="{AA1C8154-DB35-4B16-BE64-AA54BA090FD6}"/>
    <cellStyle name="20% - Accent1 2 3 2 2 3 3 2" xfId="33084" xr:uid="{C751D39A-4BA5-453F-BD1E-0692903310BE}"/>
    <cellStyle name="20% - Accent1 2 3 2 2 3 4" xfId="33085" xr:uid="{99A4DAE6-EF57-462F-9FC8-4558513FC29E}"/>
    <cellStyle name="20% - Accent1 2 3 2 2 4" xfId="1129" xr:uid="{6F794DBF-D577-49B5-93F2-C7937652D9A6}"/>
    <cellStyle name="20% - Accent1 2 3 2 2 4 2" xfId="33086" xr:uid="{B6D41248-6224-4AB0-9080-22359EB85D46}"/>
    <cellStyle name="20% - Accent1 2 3 2 2 5" xfId="1130" xr:uid="{216F367E-D6B5-4C61-83A6-F3CD993489F7}"/>
    <cellStyle name="20% - Accent1 2 3 2 2 5 2" xfId="33087" xr:uid="{2CCF3EBD-C067-44CC-BAD3-21BD5BAD9629}"/>
    <cellStyle name="20% - Accent1 2 3 2 2 6" xfId="33088" xr:uid="{EA0382DD-0876-440C-8A2B-B53ADED29EEB}"/>
    <cellStyle name="20% - Accent1 2 3 2 3" xfId="1131" xr:uid="{92862DBA-CAE6-4C1A-845D-0F76A02B9F71}"/>
    <cellStyle name="20% - Accent1 2 3 2 3 2" xfId="1132" xr:uid="{918DD7DF-BAD3-4017-8AE5-73CED264CC23}"/>
    <cellStyle name="20% - Accent1 2 3 2 3 2 2" xfId="1133" xr:uid="{C4B51F00-D32E-45EC-9E22-487B783C95AB}"/>
    <cellStyle name="20% - Accent1 2 3 2 3 2 2 2" xfId="33089" xr:uid="{63C1BC2B-B6C9-4ED3-AD6F-4FDCE34020F8}"/>
    <cellStyle name="20% - Accent1 2 3 2 3 2 3" xfId="1134" xr:uid="{C0463FE6-68FC-445E-9442-7623C9E7B3A6}"/>
    <cellStyle name="20% - Accent1 2 3 2 3 2 3 2" xfId="33090" xr:uid="{189E4AAE-D3BB-48F0-9636-7866BC1FABBE}"/>
    <cellStyle name="20% - Accent1 2 3 2 3 2 4" xfId="33091" xr:uid="{63088787-4B94-4D1F-970D-93F1FF0189C5}"/>
    <cellStyle name="20% - Accent1 2 3 2 3 3" xfId="1135" xr:uid="{0B8F63FA-5A8A-4334-BDF3-2C269D35CD74}"/>
    <cellStyle name="20% - Accent1 2 3 2 3 3 2" xfId="33092" xr:uid="{93B34A45-7D4D-4AC2-9EAA-EAE33223AFBE}"/>
    <cellStyle name="20% - Accent1 2 3 2 3 4" xfId="1136" xr:uid="{4E03CD8D-CFFB-4BCF-865F-8ED74FFDE1CF}"/>
    <cellStyle name="20% - Accent1 2 3 2 3 4 2" xfId="33093" xr:uid="{916BCE0C-BD00-4615-ACAB-8A97D5199486}"/>
    <cellStyle name="20% - Accent1 2 3 2 3 5" xfId="33094" xr:uid="{3A3EECF0-66AC-4638-A140-4052B2AED8D1}"/>
    <cellStyle name="20% - Accent1 2 3 2 4" xfId="1137" xr:uid="{000C4A06-F186-4B73-A10D-5E225D1C1D0C}"/>
    <cellStyle name="20% - Accent1 2 3 2 4 2" xfId="1138" xr:uid="{82F20421-1F39-4749-A3BE-C8C1BFBA46B4}"/>
    <cellStyle name="20% - Accent1 2 3 2 4 2 2" xfId="33095" xr:uid="{0610944D-F3AC-4C81-915F-6572A32F91A0}"/>
    <cellStyle name="20% - Accent1 2 3 2 4 3" xfId="1139" xr:uid="{42E3F516-1EF4-46E0-ACF7-78CEC8FAE2AC}"/>
    <cellStyle name="20% - Accent1 2 3 2 4 3 2" xfId="33096" xr:uid="{B54F2171-C8E8-4A72-A64A-38B1054F2FA0}"/>
    <cellStyle name="20% - Accent1 2 3 2 4 4" xfId="33097" xr:uid="{66CD05AA-5FB9-4456-B46F-2D2153A7B136}"/>
    <cellStyle name="20% - Accent1 2 3 2 5" xfId="1140" xr:uid="{B5AF9474-9931-41F1-9F90-284B6248EA48}"/>
    <cellStyle name="20% - Accent1 2 3 2 5 2" xfId="33098" xr:uid="{E59BCA14-9927-48DF-AE5C-4860F50EE647}"/>
    <cellStyle name="20% - Accent1 2 3 2 5 2 2" xfId="33099" xr:uid="{DC9B47A3-5E94-4C61-A997-1B0134687DBF}"/>
    <cellStyle name="20% - Accent1 2 3 2 5 3" xfId="33100" xr:uid="{66BBD668-008C-4CF7-A83F-3A391BE4D21D}"/>
    <cellStyle name="20% - Accent1 2 3 2 5 3 2" xfId="33101" xr:uid="{B4986EAF-5B5E-459E-8B00-59C883A2B032}"/>
    <cellStyle name="20% - Accent1 2 3 2 5 4" xfId="33102" xr:uid="{54220CF4-C38A-4B73-A3AE-3A703173ACF6}"/>
    <cellStyle name="20% - Accent1 2 3 2 6" xfId="1141" xr:uid="{9361D5FB-5E35-41E2-A4E8-6335AFB52D41}"/>
    <cellStyle name="20% - Accent1 2 3 2 6 2" xfId="33103" xr:uid="{25D581FA-2445-452D-B90E-709B5C3005E4}"/>
    <cellStyle name="20% - Accent1 2 3 2 6 2 2" xfId="33104" xr:uid="{19C5ECFF-DA92-4EDF-98C5-30A8F7FBE573}"/>
    <cellStyle name="20% - Accent1 2 3 2 6 3" xfId="33105" xr:uid="{7CAC05F4-72DE-467F-9929-DE60CAC9F61B}"/>
    <cellStyle name="20% - Accent1 2 3 2 6 3 2" xfId="33106" xr:uid="{132F8D61-3ABC-4BA4-9D2C-260C6FE61908}"/>
    <cellStyle name="20% - Accent1 2 3 2 6 4" xfId="33107" xr:uid="{3919F026-169A-4FED-8EAD-A68D4B4A085B}"/>
    <cellStyle name="20% - Accent1 2 3 2 7" xfId="1142" xr:uid="{90D0C1AB-BBAD-4920-8642-3E5E5CBAD6EA}"/>
    <cellStyle name="20% - Accent1 2 3 2 7 2" xfId="33108" xr:uid="{580940D9-639F-46AD-9745-C0612ABB2FE3}"/>
    <cellStyle name="20% - Accent1 2 3 2 7 2 2" xfId="33109" xr:uid="{96427253-D690-489C-ABB4-5E84A088E701}"/>
    <cellStyle name="20% - Accent1 2 3 2 7 3" xfId="33110" xr:uid="{3B8BC171-DC85-49C3-BA6D-9E59A6697FDF}"/>
    <cellStyle name="20% - Accent1 2 3 2 7 3 2" xfId="33111" xr:uid="{2CFD19C7-505E-4B39-9D06-2D23193A23F4}"/>
    <cellStyle name="20% - Accent1 2 3 2 7 4" xfId="33112" xr:uid="{48637B62-1C88-4E8C-BD8C-BE6B887B4A69}"/>
    <cellStyle name="20% - Accent1 2 3 2 8" xfId="33113" xr:uid="{CDC57754-2CCC-4AEE-A7BE-2BD132D1DEBD}"/>
    <cellStyle name="20% - Accent1 2 3 2 8 2" xfId="33114" xr:uid="{C846790A-222B-4621-8F93-3140BB170646}"/>
    <cellStyle name="20% - Accent1 2 3 2 9" xfId="33115" xr:uid="{100BA543-FE72-434D-B52D-EFF75567709D}"/>
    <cellStyle name="20% - Accent1 2 3 2 9 2" xfId="33116" xr:uid="{C9462AB6-086E-42E8-8758-BBBE8FBA9164}"/>
    <cellStyle name="20% - Accent1 2 3 3" xfId="1143" xr:uid="{FBC7F040-7166-40DD-B141-E793596CE889}"/>
    <cellStyle name="20% - Accent1 2 3 3 10" xfId="33117" xr:uid="{5432F439-726E-4969-A311-277E8B1FBCEC}"/>
    <cellStyle name="20% - Accent1 2 3 3 2" xfId="1144" xr:uid="{00DCE8D1-5F1B-4AF3-A4E5-5694E1F11415}"/>
    <cellStyle name="20% - Accent1 2 3 3 2 2" xfId="1145" xr:uid="{3F805701-DBE6-4092-BD1A-86B71A1B5CD2}"/>
    <cellStyle name="20% - Accent1 2 3 3 2 2 2" xfId="1146" xr:uid="{274D0A21-22C6-4345-9F15-21DCEA151104}"/>
    <cellStyle name="20% - Accent1 2 3 3 2 2 2 2" xfId="33118" xr:uid="{C4C0D6C3-764D-491D-B5A1-FC9C0C23C902}"/>
    <cellStyle name="20% - Accent1 2 3 3 2 2 3" xfId="1147" xr:uid="{FD6369E3-4E0F-454E-A863-66C084393032}"/>
    <cellStyle name="20% - Accent1 2 3 3 2 2 3 2" xfId="33119" xr:uid="{03312B48-0FA6-4636-B08B-FA81050FFA7F}"/>
    <cellStyle name="20% - Accent1 2 3 3 2 2 4" xfId="33120" xr:uid="{6EF5F0CA-4E74-49E1-A5FC-CD0657A65FCD}"/>
    <cellStyle name="20% - Accent1 2 3 3 2 3" xfId="1148" xr:uid="{AD6A47B1-B926-4E10-BAA5-F685691D6EAF}"/>
    <cellStyle name="20% - Accent1 2 3 3 2 3 2" xfId="33121" xr:uid="{902A6110-FC82-4224-9E25-97FF4BF8F7F7}"/>
    <cellStyle name="20% - Accent1 2 3 3 2 4" xfId="1149" xr:uid="{B1995845-593A-40CA-9B9F-F2BA455DDA29}"/>
    <cellStyle name="20% - Accent1 2 3 3 2 4 2" xfId="33122" xr:uid="{D055402C-A557-4DD6-B309-010D279EDEB0}"/>
    <cellStyle name="20% - Accent1 2 3 3 2 5" xfId="33123" xr:uid="{FD9F76BF-818F-4B25-A49C-F7EB53E2DF64}"/>
    <cellStyle name="20% - Accent1 2 3 3 3" xfId="1150" xr:uid="{3B18E7B7-6441-4D4E-A909-6240FCF4759C}"/>
    <cellStyle name="20% - Accent1 2 3 3 3 2" xfId="1151" xr:uid="{19884450-F56B-41DA-B131-2A4CD37A1E67}"/>
    <cellStyle name="20% - Accent1 2 3 3 3 2 2" xfId="33124" xr:uid="{FCE60ADD-B42A-4718-90A4-0F885CC51A23}"/>
    <cellStyle name="20% - Accent1 2 3 3 3 3" xfId="1152" xr:uid="{50D407C1-A5E2-4200-823E-A580C04C2973}"/>
    <cellStyle name="20% - Accent1 2 3 3 3 3 2" xfId="33125" xr:uid="{612ACA16-4236-4BC9-B510-CD52FD2FA304}"/>
    <cellStyle name="20% - Accent1 2 3 3 3 4" xfId="33126" xr:uid="{628A6DA9-2C3D-4588-A5CF-8217B9609309}"/>
    <cellStyle name="20% - Accent1 2 3 3 4" xfId="1153" xr:uid="{A6E424A6-2BD8-49C4-9501-F3161E1660CC}"/>
    <cellStyle name="20% - Accent1 2 3 3 4 2" xfId="33127" xr:uid="{A682AC40-5BFE-44FF-9DB2-32137FC49253}"/>
    <cellStyle name="20% - Accent1 2 3 3 4 2 2" xfId="33128" xr:uid="{00087325-C2EC-4187-BFE2-527E630FEA62}"/>
    <cellStyle name="20% - Accent1 2 3 3 4 3" xfId="33129" xr:uid="{10E06BEA-E888-474C-AF04-A1B68506FA49}"/>
    <cellStyle name="20% - Accent1 2 3 3 4 3 2" xfId="33130" xr:uid="{80934445-BB24-436D-965E-F1F2944CF371}"/>
    <cellStyle name="20% - Accent1 2 3 3 4 4" xfId="33131" xr:uid="{F8C6C29B-54F3-46CC-8ABD-9618A3BD16E9}"/>
    <cellStyle name="20% - Accent1 2 3 3 5" xfId="1154" xr:uid="{1ED8BEE7-0537-4687-923C-FE78DE14CDDE}"/>
    <cellStyle name="20% - Accent1 2 3 3 5 2" xfId="33132" xr:uid="{77855CA5-AF81-4D7B-AD8C-0FBAC11D1878}"/>
    <cellStyle name="20% - Accent1 2 3 3 5 2 2" xfId="33133" xr:uid="{7A015E15-6578-4910-A6F6-3FDA30FA43DE}"/>
    <cellStyle name="20% - Accent1 2 3 3 5 3" xfId="33134" xr:uid="{C7470AFB-46D7-4F16-A4C0-40B09EC46150}"/>
    <cellStyle name="20% - Accent1 2 3 3 5 3 2" xfId="33135" xr:uid="{BC248A2F-BADB-490D-85A5-CE00BE07F810}"/>
    <cellStyle name="20% - Accent1 2 3 3 5 4" xfId="33136" xr:uid="{39F3D513-5FC2-448A-BF2C-80CEC64374C3}"/>
    <cellStyle name="20% - Accent1 2 3 3 6" xfId="1155" xr:uid="{7EB34F1D-A591-4E53-8BD9-A3FDE458C37F}"/>
    <cellStyle name="20% - Accent1 2 3 3 6 2" xfId="33137" xr:uid="{3FA8DC16-93B5-4AF4-847D-C4C7E6C59542}"/>
    <cellStyle name="20% - Accent1 2 3 3 6 2 2" xfId="33138" xr:uid="{D00E7BAC-E4F7-41C1-A021-564629057FAA}"/>
    <cellStyle name="20% - Accent1 2 3 3 6 3" xfId="33139" xr:uid="{167A9DAA-D3D1-43FA-A0BB-03C616C6CDF9}"/>
    <cellStyle name="20% - Accent1 2 3 3 6 3 2" xfId="33140" xr:uid="{767E4751-088F-4F2F-8E04-0E8D61CBE2A9}"/>
    <cellStyle name="20% - Accent1 2 3 3 6 4" xfId="33141" xr:uid="{F05360D6-7583-4D7C-8584-F32A5F599247}"/>
    <cellStyle name="20% - Accent1 2 3 3 7" xfId="33142" xr:uid="{3827B78C-87AA-485F-B918-DBBC49FBB4AD}"/>
    <cellStyle name="20% - Accent1 2 3 3 7 2" xfId="33143" xr:uid="{BFCAA846-DC2F-4D47-AB26-CE31DDBBDBBE}"/>
    <cellStyle name="20% - Accent1 2 3 3 8" xfId="33144" xr:uid="{E2D13D8F-4DCF-40E5-AB3C-E98589A39CB5}"/>
    <cellStyle name="20% - Accent1 2 3 3 8 2" xfId="33145" xr:uid="{83AD763B-7017-457C-9488-103AE54F3635}"/>
    <cellStyle name="20% - Accent1 2 3 3 9" xfId="33146" xr:uid="{CFD92E0C-3CEC-4584-ACFC-E2CE3A99A3D0}"/>
    <cellStyle name="20% - Accent1 2 3 4" xfId="1156" xr:uid="{5775FC4A-CC6A-4405-A96B-28181D48532F}"/>
    <cellStyle name="20% - Accent1 2 3 4 2" xfId="1157" xr:uid="{F4D8A947-2601-4DC4-ABDE-8927F91D0BEF}"/>
    <cellStyle name="20% - Accent1 2 3 4 2 2" xfId="1158" xr:uid="{3C875051-0013-4B89-A1D8-ADBD12139619}"/>
    <cellStyle name="20% - Accent1 2 3 4 2 2 2" xfId="33147" xr:uid="{F5F6C762-EE41-461A-A838-92A3C26AD49D}"/>
    <cellStyle name="20% - Accent1 2 3 4 2 3" xfId="1159" xr:uid="{12B22C2E-1710-4CBE-A5BF-9BCE1016BB02}"/>
    <cellStyle name="20% - Accent1 2 3 4 2 3 2" xfId="33148" xr:uid="{C3AA8B47-E05E-4191-92C0-6BB4D08BC77E}"/>
    <cellStyle name="20% - Accent1 2 3 4 2 4" xfId="33149" xr:uid="{3ED4B180-841F-4FA1-9D13-B8280F6D71AF}"/>
    <cellStyle name="20% - Accent1 2 3 4 3" xfId="1160" xr:uid="{635B3B45-7C4D-4239-A6E5-EA8453C50970}"/>
    <cellStyle name="20% - Accent1 2 3 4 3 2" xfId="33150" xr:uid="{93E6C568-5408-4E6F-9962-BB578E1A0B54}"/>
    <cellStyle name="20% - Accent1 2 3 4 3 2 2" xfId="33151" xr:uid="{BFD3EB04-97ED-4E32-AFBA-14DC78C09DD9}"/>
    <cellStyle name="20% - Accent1 2 3 4 3 3" xfId="33152" xr:uid="{48DDF019-3047-4C87-85FF-30ACCEC483E3}"/>
    <cellStyle name="20% - Accent1 2 3 4 3 3 2" xfId="33153" xr:uid="{3E76D15A-1547-41E2-9CFF-3763FF3ACE5E}"/>
    <cellStyle name="20% - Accent1 2 3 4 3 4" xfId="33154" xr:uid="{8A55A4A3-F29A-4956-903B-8E7034B3E0C5}"/>
    <cellStyle name="20% - Accent1 2 3 4 4" xfId="1161" xr:uid="{CAFCE715-5E88-4AF3-A311-70D83E986BB9}"/>
    <cellStyle name="20% - Accent1 2 3 4 4 2" xfId="33155" xr:uid="{A0850E45-0E42-45C2-9B14-9877E4FC766E}"/>
    <cellStyle name="20% - Accent1 2 3 4 4 2 2" xfId="33156" xr:uid="{22BE8BD7-1968-46DF-ACAA-BEB97E4F8B7D}"/>
    <cellStyle name="20% - Accent1 2 3 4 4 3" xfId="33157" xr:uid="{B72D1BD3-C92B-47C4-911F-345B38CC5C58}"/>
    <cellStyle name="20% - Accent1 2 3 4 4 3 2" xfId="33158" xr:uid="{A10A28AE-D0F5-4AED-ABC7-0E1407119F9C}"/>
    <cellStyle name="20% - Accent1 2 3 4 4 4" xfId="33159" xr:uid="{3A9357F1-D92C-41BA-A537-8023B87CBAAE}"/>
    <cellStyle name="20% - Accent1 2 3 4 5" xfId="33160" xr:uid="{F2094F30-89F8-44D8-B609-2D8CE3103585}"/>
    <cellStyle name="20% - Accent1 2 3 4 5 2" xfId="33161" xr:uid="{53C7E500-2886-4482-950A-5D62519DA810}"/>
    <cellStyle name="20% - Accent1 2 3 4 5 2 2" xfId="33162" xr:uid="{26231C12-3200-4DF6-B4C9-1E0BE0081C2E}"/>
    <cellStyle name="20% - Accent1 2 3 4 5 3" xfId="33163" xr:uid="{C64F171A-C02F-44BC-A0E9-0EDF6536050D}"/>
    <cellStyle name="20% - Accent1 2 3 4 5 3 2" xfId="33164" xr:uid="{1F393F70-3385-45D3-83DD-C0E74C9DC0F5}"/>
    <cellStyle name="20% - Accent1 2 3 4 5 4" xfId="33165" xr:uid="{F1CCCF0C-9CF9-41B7-8AC1-545DD3B108B0}"/>
    <cellStyle name="20% - Accent1 2 3 4 6" xfId="33166" xr:uid="{50DAE3E0-710E-41A7-84D7-CFE23F81950D}"/>
    <cellStyle name="20% - Accent1 2 3 4 6 2" xfId="33167" xr:uid="{009187BC-767F-42B0-BD1F-BA6F3C9227C0}"/>
    <cellStyle name="20% - Accent1 2 3 4 7" xfId="33168" xr:uid="{91137DD7-8A41-4198-B11F-AB547783DB7D}"/>
    <cellStyle name="20% - Accent1 2 3 4 7 2" xfId="33169" xr:uid="{838E636E-E722-4AC1-AF0C-12F490511181}"/>
    <cellStyle name="20% - Accent1 2 3 4 8" xfId="33170" xr:uid="{99D409AA-F2F9-4C77-80B4-7D603F4CBC38}"/>
    <cellStyle name="20% - Accent1 2 3 5" xfId="1162" xr:uid="{621F16BB-C9DC-4087-AA9B-864CC7B4BB49}"/>
    <cellStyle name="20% - Accent1 2 3 5 2" xfId="1163" xr:uid="{C56C092B-CC17-48A0-BD85-5F7F3302B676}"/>
    <cellStyle name="20% - Accent1 2 3 5 2 2" xfId="1164" xr:uid="{167E45AE-F0C0-4D1A-B9E0-ED909DF3BB0A}"/>
    <cellStyle name="20% - Accent1 2 3 5 2 2 2" xfId="33171" xr:uid="{C0E34D82-5294-475A-B59D-187D7912D4D7}"/>
    <cellStyle name="20% - Accent1 2 3 5 2 3" xfId="1165" xr:uid="{E38F0F9C-CD12-4504-AD71-66FF1037BC4F}"/>
    <cellStyle name="20% - Accent1 2 3 5 2 3 2" xfId="33172" xr:uid="{C8A51B17-FE65-495E-B7F6-9EC97EF61640}"/>
    <cellStyle name="20% - Accent1 2 3 5 2 4" xfId="33173" xr:uid="{D509F4B5-C0CC-4772-B05B-6C21CD63AF93}"/>
    <cellStyle name="20% - Accent1 2 3 5 3" xfId="1166" xr:uid="{5A62127B-5BD1-4557-88C6-D8FC09C067AE}"/>
    <cellStyle name="20% - Accent1 2 3 5 3 2" xfId="33174" xr:uid="{53509777-42C6-4AC0-B042-6193345C584C}"/>
    <cellStyle name="20% - Accent1 2 3 5 3 2 2" xfId="33175" xr:uid="{08375570-5BB4-43BC-A18C-586B367E4EE4}"/>
    <cellStyle name="20% - Accent1 2 3 5 3 3" xfId="33176" xr:uid="{AD9AF7E8-D855-463C-B042-412D42D9E4A3}"/>
    <cellStyle name="20% - Accent1 2 3 5 3 3 2" xfId="33177" xr:uid="{BAEE67BC-A180-4843-A358-6EF849720B3A}"/>
    <cellStyle name="20% - Accent1 2 3 5 3 4" xfId="33178" xr:uid="{8AFE3329-75E2-4E96-8E1D-506C60D83326}"/>
    <cellStyle name="20% - Accent1 2 3 5 4" xfId="1167" xr:uid="{4C1CBDFE-523C-4BC2-9142-15729E47CA06}"/>
    <cellStyle name="20% - Accent1 2 3 5 4 2" xfId="33179" xr:uid="{3828FEA8-3476-4208-AE10-A601012C9708}"/>
    <cellStyle name="20% - Accent1 2 3 5 4 2 2" xfId="33180" xr:uid="{530ECC55-4454-4B58-A096-C0F4CDB1F053}"/>
    <cellStyle name="20% - Accent1 2 3 5 4 3" xfId="33181" xr:uid="{123C923C-C203-4F2A-ACD7-A19E7E708F75}"/>
    <cellStyle name="20% - Accent1 2 3 5 4 3 2" xfId="33182" xr:uid="{6FDA2737-602E-4019-AEF9-2D226CC65883}"/>
    <cellStyle name="20% - Accent1 2 3 5 4 4" xfId="33183" xr:uid="{029215CF-C4E2-4F06-ACB1-D02E86001EF7}"/>
    <cellStyle name="20% - Accent1 2 3 5 5" xfId="33184" xr:uid="{15F259F3-1A4B-43A6-B1F7-63E5FA7251BF}"/>
    <cellStyle name="20% - Accent1 2 3 5 5 2" xfId="33185" xr:uid="{2E17C530-D08F-40B1-B2B7-D59856ADA596}"/>
    <cellStyle name="20% - Accent1 2 3 5 6" xfId="33186" xr:uid="{4813D9AC-A9A3-4218-99B2-01F4CC547B67}"/>
    <cellStyle name="20% - Accent1 2 3 5 6 2" xfId="33187" xr:uid="{E22E0AEB-BC00-48D2-AAB1-312DEE961D79}"/>
    <cellStyle name="20% - Accent1 2 3 5 7" xfId="33188" xr:uid="{A91630DB-62C1-4D09-9BCC-2C58D23FCCC2}"/>
    <cellStyle name="20% - Accent1 2 3 6" xfId="1168" xr:uid="{FFC15FBF-6A7E-42F2-9382-29DD5AD3B9E3}"/>
    <cellStyle name="20% - Accent1 2 3 6 2" xfId="1169" xr:uid="{4DC07C28-6A03-4100-9131-07E7A3CECA53}"/>
    <cellStyle name="20% - Accent1 2 3 6 2 2" xfId="33189" xr:uid="{B3AA50A5-54EB-4590-B0FF-EB903E302E14}"/>
    <cellStyle name="20% - Accent1 2 3 6 3" xfId="1170" xr:uid="{7C1747BC-A140-4315-938D-E75BF07DC3CC}"/>
    <cellStyle name="20% - Accent1 2 3 6 3 2" xfId="33190" xr:uid="{8E6E8C01-004C-478C-8623-D8A4C3AA9C78}"/>
    <cellStyle name="20% - Accent1 2 3 6 4" xfId="33191" xr:uid="{4702FDD6-1286-4D53-AAD2-28F0A1483194}"/>
    <cellStyle name="20% - Accent1 2 3 7" xfId="1171" xr:uid="{0F925623-2E7E-4B36-BC43-EB3322861D0C}"/>
    <cellStyle name="20% - Accent1 2 3 7 2" xfId="33192" xr:uid="{8EC9AC05-9031-4BF3-B3DF-5DE99B84BF48}"/>
    <cellStyle name="20% - Accent1 2 3 7 2 2" xfId="33193" xr:uid="{C31410F5-2197-442E-8A2C-8B25C012CE87}"/>
    <cellStyle name="20% - Accent1 2 3 7 3" xfId="33194" xr:uid="{334C2FFD-CF6E-4B2D-9563-50250E2AB4F5}"/>
    <cellStyle name="20% - Accent1 2 3 7 3 2" xfId="33195" xr:uid="{8F1F2F01-D776-4326-BE34-E45EC98041AC}"/>
    <cellStyle name="20% - Accent1 2 3 7 4" xfId="33196" xr:uid="{07BECB07-6895-4FA1-B129-2257E6C73D08}"/>
    <cellStyle name="20% - Accent1 2 3 8" xfId="1172" xr:uid="{0D14C46E-37C7-418C-BED8-BA94FDC7E140}"/>
    <cellStyle name="20% - Accent1 2 3 8 2" xfId="33197" xr:uid="{6150FCD2-384C-4BD2-B948-8CD5B0A764BD}"/>
    <cellStyle name="20% - Accent1 2 3 8 2 2" xfId="33198" xr:uid="{D9422CEF-9245-43C5-9E90-55529530476C}"/>
    <cellStyle name="20% - Accent1 2 3 8 3" xfId="33199" xr:uid="{1B629C3C-9E94-4DE4-91B8-8DD0B4FE8D03}"/>
    <cellStyle name="20% - Accent1 2 3 8 3 2" xfId="33200" xr:uid="{BC955B65-C380-44B2-9C12-9CABA5C48612}"/>
    <cellStyle name="20% - Accent1 2 3 8 4" xfId="33201" xr:uid="{51217D24-6907-4638-81A1-0BFF09F9DF8A}"/>
    <cellStyle name="20% - Accent1 2 3 9" xfId="1173" xr:uid="{AC2A3661-D95A-49EE-ADEA-846720552B70}"/>
    <cellStyle name="20% - Accent1 2 3 9 2" xfId="33202" xr:uid="{C6A12CD4-BA7C-488C-96BE-D8D4DA371F7E}"/>
    <cellStyle name="20% - Accent1 2 4" xfId="1174" xr:uid="{7EA5386A-FD9B-435A-951F-CF7443E64632}"/>
    <cellStyle name="20% - Accent1 2 4 2" xfId="1175" xr:uid="{DA7895F7-43C9-4C63-96C5-E39B9518B3F5}"/>
    <cellStyle name="20% - Accent1 2 4 2 2" xfId="1176" xr:uid="{0EFB45B0-025E-4BE6-9673-2DB4D1FEB376}"/>
    <cellStyle name="20% - Accent1 2 4 2 2 2" xfId="33203" xr:uid="{69A9C7A5-53CB-4460-ABC7-7E7B6DD701EC}"/>
    <cellStyle name="20% - Accent1 2 4 2 2 2 2" xfId="33204" xr:uid="{B72BE71A-D661-40AD-8E0D-0A41CD922C75}"/>
    <cellStyle name="20% - Accent1 2 4 2 2 3" xfId="33205" xr:uid="{8EB38A86-AA57-4FF3-A38D-25E40465B4B8}"/>
    <cellStyle name="20% - Accent1 2 4 2 2 3 2" xfId="33206" xr:uid="{CB54B5D1-EEEA-4CAE-89BD-26EA41379194}"/>
    <cellStyle name="20% - Accent1 2 4 2 2 4" xfId="33207" xr:uid="{B1FF9358-1AE6-4EA9-ADE3-60491D1F73EE}"/>
    <cellStyle name="20% - Accent1 2 4 2 3" xfId="1177" xr:uid="{D2E4AD8E-BB84-4468-BEEB-FE9F5FF4960D}"/>
    <cellStyle name="20% - Accent1 2 4 2 3 2" xfId="33208" xr:uid="{18FB54C9-03B5-4087-BC73-DAFD20382535}"/>
    <cellStyle name="20% - Accent1 2 4 2 3 2 2" xfId="33209" xr:uid="{DA972C96-3DFA-447B-AF77-3016DB64EE7C}"/>
    <cellStyle name="20% - Accent1 2 4 2 3 3" xfId="33210" xr:uid="{03B5FC00-840B-4314-AD06-34B85D7CC413}"/>
    <cellStyle name="20% - Accent1 2 4 2 3 3 2" xfId="33211" xr:uid="{3FF7795B-52B9-441F-96C9-398AC5DAE187}"/>
    <cellStyle name="20% - Accent1 2 4 2 3 4" xfId="33212" xr:uid="{EA965E23-F412-49DC-80CF-9E58779BA6D4}"/>
    <cellStyle name="20% - Accent1 2 4 2 4" xfId="33213" xr:uid="{AB09BE49-FC07-4378-8CA1-10A5D95E21C4}"/>
    <cellStyle name="20% - Accent1 2 4 2 4 2" xfId="33214" xr:uid="{5DC5A29D-EE96-4AD0-BF6A-8C2717FFE0FB}"/>
    <cellStyle name="20% - Accent1 2 4 2 4 2 2" xfId="33215" xr:uid="{534A8A54-D02B-43BA-8CCE-4667D9991CA9}"/>
    <cellStyle name="20% - Accent1 2 4 2 4 3" xfId="33216" xr:uid="{87A90FC1-7132-4520-ABBF-7263326389E6}"/>
    <cellStyle name="20% - Accent1 2 4 2 4 3 2" xfId="33217" xr:uid="{C50E2E21-E47E-4A2F-807B-FB1BF5F11358}"/>
    <cellStyle name="20% - Accent1 2 4 2 4 4" xfId="33218" xr:uid="{43D3B1D2-1685-4121-98C9-8A59AB70EA47}"/>
    <cellStyle name="20% - Accent1 2 4 2 5" xfId="33219" xr:uid="{31E5BCB3-9B3C-434E-ABF0-6F8D1F302FBC}"/>
    <cellStyle name="20% - Accent1 2 4 2 5 2" xfId="33220" xr:uid="{0CC48EFE-9C22-410E-88DE-8DAACBB4F63D}"/>
    <cellStyle name="20% - Accent1 2 4 2 6" xfId="33221" xr:uid="{9F578626-4526-40F5-8AC1-05C49662965B}"/>
    <cellStyle name="20% - Accent1 2 4 2 6 2" xfId="33222" xr:uid="{66A0C9F4-DA75-4ACB-A3AA-6EA737C94865}"/>
    <cellStyle name="20% - Accent1 2 4 2 7" xfId="33223" xr:uid="{36E1305C-B9CA-42A5-B235-196A3272B95F}"/>
    <cellStyle name="20% - Accent1 2 4 3" xfId="1178" xr:uid="{E1009D9F-2982-49B2-AA48-0A612A07E0F8}"/>
    <cellStyle name="20% - Accent1 2 4 3 2" xfId="33224" xr:uid="{AC704E25-D3CC-4EB0-ADC0-877F2E1E3BBA}"/>
    <cellStyle name="20% - Accent1 2 4 3 2 2" xfId="33225" xr:uid="{AD2A9485-C23C-49F1-B35B-2C38B69E1856}"/>
    <cellStyle name="20% - Accent1 2 4 3 2 2 2" xfId="33226" xr:uid="{063FBE64-D481-462B-9CC7-F5737E6AF888}"/>
    <cellStyle name="20% - Accent1 2 4 3 2 3" xfId="33227" xr:uid="{E96DC670-3662-404E-883D-531B13DA81B5}"/>
    <cellStyle name="20% - Accent1 2 4 3 2 3 2" xfId="33228" xr:uid="{D5778150-0D0C-41D7-80E6-EFD455000B02}"/>
    <cellStyle name="20% - Accent1 2 4 3 2 4" xfId="33229" xr:uid="{EB0E7301-2B2E-47AC-B274-84BEBFA744A4}"/>
    <cellStyle name="20% - Accent1 2 4 3 3" xfId="33230" xr:uid="{6AB557DA-48A7-4E10-A396-0325FC22B6A1}"/>
    <cellStyle name="20% - Accent1 2 4 3 3 2" xfId="33231" xr:uid="{AAB25364-BFD9-4F4B-8E52-681ABE6A3388}"/>
    <cellStyle name="20% - Accent1 2 4 3 3 2 2" xfId="33232" xr:uid="{160925D3-2505-4F1C-9A09-0EAA6598062C}"/>
    <cellStyle name="20% - Accent1 2 4 3 3 3" xfId="33233" xr:uid="{E29B3168-4E1C-4110-8F45-4E4FDD99BF92}"/>
    <cellStyle name="20% - Accent1 2 4 3 3 3 2" xfId="33234" xr:uid="{5338FE13-F53F-4F11-9CEB-748F086E50DD}"/>
    <cellStyle name="20% - Accent1 2 4 3 3 4" xfId="33235" xr:uid="{9CE37B02-0395-4C44-B7F6-C127798DF58A}"/>
    <cellStyle name="20% - Accent1 2 4 3 4" xfId="33236" xr:uid="{8FA6D9C2-4CB6-41F5-8CC2-1E76F9644E88}"/>
    <cellStyle name="20% - Accent1 2 4 3 4 2" xfId="33237" xr:uid="{970FF46C-EA97-4A43-BBAF-8C3B71BA6D14}"/>
    <cellStyle name="20% - Accent1 2 4 3 4 2 2" xfId="33238" xr:uid="{C6EF9BF9-7458-4FF4-BBAA-6D24A30B83AD}"/>
    <cellStyle name="20% - Accent1 2 4 3 4 3" xfId="33239" xr:uid="{29672B27-0EB8-4BD7-A5B3-DB38E74918C3}"/>
    <cellStyle name="20% - Accent1 2 4 3 4 3 2" xfId="33240" xr:uid="{F70127B7-0FA2-4B24-9014-ED573AC16522}"/>
    <cellStyle name="20% - Accent1 2 4 3 4 4" xfId="33241" xr:uid="{BD0D266D-26A0-4E12-AE1A-69CBF13D5F00}"/>
    <cellStyle name="20% - Accent1 2 4 3 5" xfId="33242" xr:uid="{BDF8E499-39DD-4FC7-8103-ADFC839FF5A5}"/>
    <cellStyle name="20% - Accent1 2 4 3 5 2" xfId="33243" xr:uid="{5D82BA12-96A4-4D68-B05F-9032449ECBFA}"/>
    <cellStyle name="20% - Accent1 2 4 3 6" xfId="33244" xr:uid="{466C206B-5B2A-4743-A0AB-1D00E709B09A}"/>
    <cellStyle name="20% - Accent1 2 4 3 6 2" xfId="33245" xr:uid="{B8D5378C-FC59-439E-A69E-1E76E1939D65}"/>
    <cellStyle name="20% - Accent1 2 4 3 7" xfId="33246" xr:uid="{BB30A79E-FA4D-481F-B857-6FAB65391E89}"/>
    <cellStyle name="20% - Accent1 2 4 4" xfId="1179" xr:uid="{E7B13BD6-AF19-4DD9-84F4-E4631693B3B2}"/>
    <cellStyle name="20% - Accent1 2 4 4 2" xfId="33247" xr:uid="{02AE5EC1-D04B-419E-8199-6F53B36B1E73}"/>
    <cellStyle name="20% - Accent1 2 4 4 2 2" xfId="33248" xr:uid="{B9A22527-4243-42F2-BA4C-AF6FC42507A9}"/>
    <cellStyle name="20% - Accent1 2 4 4 3" xfId="33249" xr:uid="{B88214CC-38CA-4828-AE25-A731AD9147DD}"/>
    <cellStyle name="20% - Accent1 2 4 4 3 2" xfId="33250" xr:uid="{326F23AF-D08F-4FF6-92AC-5A71731C98BA}"/>
    <cellStyle name="20% - Accent1 2 4 4 4" xfId="33251" xr:uid="{1C837C60-8523-4619-98FC-823D5DA65341}"/>
    <cellStyle name="20% - Accent1 2 4 5" xfId="1180" xr:uid="{AF833890-303A-4D79-9C88-8223B2A775C8}"/>
    <cellStyle name="20% - Accent1 2 4 5 2" xfId="33252" xr:uid="{2D1626B8-7A1C-4FF4-8499-B419CEC200D5}"/>
    <cellStyle name="20% - Accent1 2 4 5 2 2" xfId="33253" xr:uid="{D9DC7FDC-6D6B-48B6-A4FC-B0023B4540C7}"/>
    <cellStyle name="20% - Accent1 2 4 5 3" xfId="33254" xr:uid="{849065B2-3EF2-4DEA-B8B0-551F3D1DFFBB}"/>
    <cellStyle name="20% - Accent1 2 4 5 3 2" xfId="33255" xr:uid="{356D7A9F-A5C2-4F11-8529-7A224F6B6519}"/>
    <cellStyle name="20% - Accent1 2 4 5 4" xfId="33256" xr:uid="{F110846F-F56D-4C69-8CE1-96AB121A7096}"/>
    <cellStyle name="20% - Accent1 2 4 6" xfId="33257" xr:uid="{783B166F-F17C-42E1-A829-CFEE0FD11DA3}"/>
    <cellStyle name="20% - Accent1 2 4 6 2" xfId="33258" xr:uid="{32D12442-DC40-4882-97DC-6DFB2791F79F}"/>
    <cellStyle name="20% - Accent1 2 4 6 2 2" xfId="33259" xr:uid="{1F7F7DA4-BF28-4C36-8817-1815690BAB74}"/>
    <cellStyle name="20% - Accent1 2 4 6 3" xfId="33260" xr:uid="{3D39CC2F-2CB6-46E2-9273-692A85D3416B}"/>
    <cellStyle name="20% - Accent1 2 4 6 3 2" xfId="33261" xr:uid="{1D83B8FB-9F5A-40D9-B08B-2210E71EAD97}"/>
    <cellStyle name="20% - Accent1 2 4 6 4" xfId="33262" xr:uid="{AE8C8740-A730-4659-AEA9-45B773BF3183}"/>
    <cellStyle name="20% - Accent1 2 4 7" xfId="33263" xr:uid="{A00103C9-E348-41EA-9D94-456283D74EB9}"/>
    <cellStyle name="20% - Accent1 2 4 7 2" xfId="33264" xr:uid="{0B14F580-F6AE-40BB-A38A-C8769702642C}"/>
    <cellStyle name="20% - Accent1 2 4 8" xfId="33265" xr:uid="{80F02FC3-B12B-4906-8C4F-E33C5FCC5B63}"/>
    <cellStyle name="20% - Accent1 2 4 8 2" xfId="33266" xr:uid="{01A3E18D-CF11-48E6-BA76-0A8A5A0D766B}"/>
    <cellStyle name="20% - Accent1 2 4 9" xfId="33267" xr:uid="{3F86A2D3-03E2-4E67-BF4A-5B537E2666DF}"/>
    <cellStyle name="20% - Accent1 2 5" xfId="33268" xr:uid="{23A9E7C0-B680-4DDE-A15E-CEB61C263F99}"/>
    <cellStyle name="20% - Accent1 2 5 2" xfId="33269" xr:uid="{0344922A-4A21-4275-813F-A24082C0CE60}"/>
    <cellStyle name="20% - Accent1 2 5 2 2" xfId="33270" xr:uid="{993FB076-C37A-41AF-A44D-D87D3902CE8C}"/>
    <cellStyle name="20% - Accent1 2 5 2 2 2" xfId="33271" xr:uid="{A60AD6C3-2F82-4FD0-AF43-6542B2E0D543}"/>
    <cellStyle name="20% - Accent1 2 5 2 3" xfId="33272" xr:uid="{A4D1143B-52D4-4612-99F8-4A45F021D4AD}"/>
    <cellStyle name="20% - Accent1 2 5 2 3 2" xfId="33273" xr:uid="{28969963-192A-48B8-B343-6736A07C0CBC}"/>
    <cellStyle name="20% - Accent1 2 5 2 4" xfId="33274" xr:uid="{3CD17BA0-9221-411E-A5B0-411CDDBCBD14}"/>
    <cellStyle name="20% - Accent1 2 5 3" xfId="33275" xr:uid="{E63D64FF-8A8C-447E-9B2A-E7D38816D686}"/>
    <cellStyle name="20% - Accent1 2 5 3 2" xfId="33276" xr:uid="{8F4D019A-10E6-453E-84AA-D0951CF521F9}"/>
    <cellStyle name="20% - Accent1 2 5 3 2 2" xfId="33277" xr:uid="{272884A7-3484-4FF9-9DCF-23924CF29A32}"/>
    <cellStyle name="20% - Accent1 2 5 3 3" xfId="33278" xr:uid="{2C2AB9E0-7CEC-4D18-A11F-EFD52D5AB38B}"/>
    <cellStyle name="20% - Accent1 2 5 3 3 2" xfId="33279" xr:uid="{48BE687A-40AF-46C9-A9F3-064D2C326E9C}"/>
    <cellStyle name="20% - Accent1 2 5 3 4" xfId="33280" xr:uid="{2F610046-0079-4579-AB5D-443F2A901657}"/>
    <cellStyle name="20% - Accent1 2 5 4" xfId="33281" xr:uid="{BCAFFC4D-2111-473E-A4C8-FBB04195ECF1}"/>
    <cellStyle name="20% - Accent1 2 5 4 2" xfId="33282" xr:uid="{FEF6AFFB-C23C-45DE-B7AA-AB152307220C}"/>
    <cellStyle name="20% - Accent1 2 5 4 2 2" xfId="33283" xr:uid="{1CDAE5F0-72D3-4EAE-BE66-E8B75C63A9FC}"/>
    <cellStyle name="20% - Accent1 2 5 4 3" xfId="33284" xr:uid="{C8CA804B-A464-4447-921A-DAA9BC0630D1}"/>
    <cellStyle name="20% - Accent1 2 5 4 3 2" xfId="33285" xr:uid="{60AB43F3-4AD9-45C5-95D0-0E84CE699D95}"/>
    <cellStyle name="20% - Accent1 2 5 4 4" xfId="33286" xr:uid="{061CC681-B5DC-4C27-94D5-679F7517CAFF}"/>
    <cellStyle name="20% - Accent1 2 5 5" xfId="33287" xr:uid="{6DE5F391-BB2D-47CE-99F9-76CB0046627D}"/>
    <cellStyle name="20% - Accent1 2 5 5 2" xfId="33288" xr:uid="{A00089DF-26B9-42CF-9008-04CE456AF693}"/>
    <cellStyle name="20% - Accent1 2 5 6" xfId="33289" xr:uid="{6FCA22A0-1B84-4610-965C-2A7B47946605}"/>
    <cellStyle name="20% - Accent1 2 5 6 2" xfId="33290" xr:uid="{A18E9CB6-0101-40AF-B297-6B1E5C1C08E0}"/>
    <cellStyle name="20% - Accent1 2 5 7" xfId="33291" xr:uid="{60E23877-B151-4BBD-8E2D-723C12FB2390}"/>
    <cellStyle name="20% - Accent1 2 6" xfId="33292" xr:uid="{4E06A3E7-F9E3-443B-949E-B44D50D020BF}"/>
    <cellStyle name="20% - Accent1 2 6 2" xfId="33293" xr:uid="{10E9316F-9C57-4C90-959D-017F2A760328}"/>
    <cellStyle name="20% - Accent1 2 6 2 2" xfId="33294" xr:uid="{FEF922A1-4BEB-4779-8E48-E6916C73593B}"/>
    <cellStyle name="20% - Accent1 2 6 3" xfId="33295" xr:uid="{E893EF38-1DCC-408C-864D-C32A24568CF9}"/>
    <cellStyle name="20% - Accent1 2 6 3 2" xfId="33296" xr:uid="{1EF692FB-0D81-46C3-BE51-DEC91DFEC638}"/>
    <cellStyle name="20% - Accent1 2 6 4" xfId="33297" xr:uid="{93C0A805-7FA2-457D-B547-CF0170EB981D}"/>
    <cellStyle name="20% - Accent1 2 7" xfId="33298" xr:uid="{B6FB002D-3FE1-4882-A77D-212692CEA52B}"/>
    <cellStyle name="20% - Accent1 2 7 2" xfId="33299" xr:uid="{100DA7C0-6999-4A85-BCF9-1CA2C3BC50F3}"/>
    <cellStyle name="20% - Accent1 2 7 2 2" xfId="33300" xr:uid="{E17CCD89-6404-48E1-9A91-2E25236B2312}"/>
    <cellStyle name="20% - Accent1 2 7 3" xfId="33301" xr:uid="{A25C4C6C-4E75-4241-834A-A9859C8B4ADB}"/>
    <cellStyle name="20% - Accent1 2 7 3 2" xfId="33302" xr:uid="{E8C94336-FE72-4849-BB29-E35EB65DEDA5}"/>
    <cellStyle name="20% - Accent1 2 7 4" xfId="33303" xr:uid="{6D8AA4DD-D7DE-4C1A-A1F7-7260A04643BD}"/>
    <cellStyle name="20% - Accent1 2 8" xfId="33304" xr:uid="{6C9BA0ED-7AB4-4713-979B-67B0030FD131}"/>
    <cellStyle name="20% - Accent1 2 9" xfId="33305" xr:uid="{BCED2F6E-E777-4C7D-A9CD-5ADCA97BF099}"/>
    <cellStyle name="20% - Accent1 2_PwrTax 51040" xfId="1181" xr:uid="{94744373-743C-4989-9182-80B3AE49431D}"/>
    <cellStyle name="20% - Accent1 20" xfId="1182" xr:uid="{C60A26A7-4129-446C-B528-BA56A6EDC989}"/>
    <cellStyle name="20% - Accent1 21" xfId="1183" xr:uid="{755482DC-784E-4BD9-8FDC-ADD820E625FC}"/>
    <cellStyle name="20% - Accent1 22" xfId="1184" xr:uid="{8B933DED-C27E-4D8E-A363-921B55454673}"/>
    <cellStyle name="20% - Accent1 23" xfId="1185" xr:uid="{D23DF5A3-2406-461A-B3B1-4A4F11F81A38}"/>
    <cellStyle name="20% - Accent1 24" xfId="1186" xr:uid="{4E5F128F-EC6F-4AC8-BC61-44CA58FE8D40}"/>
    <cellStyle name="20% - Accent1 25" xfId="1187" xr:uid="{06DEF211-958D-4D4E-B758-CD2BD361FC1D}"/>
    <cellStyle name="20% - Accent1 26" xfId="1188" xr:uid="{51B56EA7-73C3-4462-8BBE-369D8A484106}"/>
    <cellStyle name="20% - Accent1 27" xfId="1189" xr:uid="{64E41C21-F127-47CA-AFCA-E91B83C6E614}"/>
    <cellStyle name="20% - Accent1 28" xfId="1190" xr:uid="{437EFA12-AE26-4F3D-95DA-AD6F8C98657A}"/>
    <cellStyle name="20% - Accent1 29" xfId="1191" xr:uid="{C6B1901D-0BF2-4263-B623-F4751334FA22}"/>
    <cellStyle name="20% - Accent1 3" xfId="1192" xr:uid="{80F89B81-33CA-4586-8523-3A96C6418A9C}"/>
    <cellStyle name="20% - Accent1 3 10" xfId="33306" xr:uid="{62D2AAB9-A939-4D26-A614-40CFE6E07D15}"/>
    <cellStyle name="20% - Accent1 3 11" xfId="43527" xr:uid="{147EF7C0-E898-4FE8-AF5E-9521BF44F287}"/>
    <cellStyle name="20% - Accent1 3 2" xfId="1193" xr:uid="{D509AAFB-871E-442D-825D-BB56D0DD6406}"/>
    <cellStyle name="20% - Accent1 3 2 2" xfId="33307" xr:uid="{D5DD3313-6BAF-4A98-B983-5801C154A180}"/>
    <cellStyle name="20% - Accent1 3 2 2 2" xfId="33308" xr:uid="{D418A340-543C-4B65-9877-040C98C16D8E}"/>
    <cellStyle name="20% - Accent1 3 2 3" xfId="33309" xr:uid="{8A5A135A-2794-472A-81AA-E8E91E526918}"/>
    <cellStyle name="20% - Accent1 3 3" xfId="1194" xr:uid="{7930C586-2AE6-49B1-962F-FD2CCCA7948C}"/>
    <cellStyle name="20% - Accent1 3 3 10" xfId="33310" xr:uid="{FEA6328E-F208-4194-BC1B-84FA44F0CEBD}"/>
    <cellStyle name="20% - Accent1 3 3 10 2" xfId="33311" xr:uid="{06226F3A-C12F-4F55-A9D2-7A64031EEAC4}"/>
    <cellStyle name="20% - Accent1 3 3 11" xfId="33312" xr:uid="{85C9C54A-0E78-4B85-A11C-8F9A6B32314D}"/>
    <cellStyle name="20% - Accent1 3 3 12" xfId="33313" xr:uid="{64216014-D343-4C5F-BA9C-78DCF121B688}"/>
    <cellStyle name="20% - Accent1 3 3 2" xfId="1195" xr:uid="{BB5EC43A-D81A-421F-87CC-497698CBDD2F}"/>
    <cellStyle name="20% - Accent1 3 3 2 2" xfId="1196" xr:uid="{0BB88834-6F82-43D6-BF23-9444E48FC32C}"/>
    <cellStyle name="20% - Accent1 3 3 2 2 2" xfId="1197" xr:uid="{5F5E8BCC-0C1A-4AA8-85EB-4AD553444529}"/>
    <cellStyle name="20% - Accent1 3 3 2 2 2 2" xfId="1198" xr:uid="{995C5B22-C3D8-4CAF-AD41-7EC10A5BC407}"/>
    <cellStyle name="20% - Accent1 3 3 2 2 2 2 2" xfId="33314" xr:uid="{4F04DB17-1476-4071-B7F7-454E981D03EC}"/>
    <cellStyle name="20% - Accent1 3 3 2 2 2 3" xfId="1199" xr:uid="{42B5A2A4-C209-42A9-942F-6D6BA3D87908}"/>
    <cellStyle name="20% - Accent1 3 3 2 2 2 3 2" xfId="33315" xr:uid="{D367B9AE-0276-4ECF-9A06-87CE2C5181F7}"/>
    <cellStyle name="20% - Accent1 3 3 2 2 2 4" xfId="33316" xr:uid="{28940075-48C6-440F-9D08-0C9C69F71BE0}"/>
    <cellStyle name="20% - Accent1 3 3 2 2 3" xfId="1200" xr:uid="{4BE83DB0-958B-44D9-AC60-C93F1607D17A}"/>
    <cellStyle name="20% - Accent1 3 3 2 2 3 2" xfId="33317" xr:uid="{7AD2459F-D4CF-43A2-839D-94808F396065}"/>
    <cellStyle name="20% - Accent1 3 3 2 2 4" xfId="1201" xr:uid="{58B6DDE8-1C1A-44B7-84F7-D37914D62A72}"/>
    <cellStyle name="20% - Accent1 3 3 2 2 4 2" xfId="33318" xr:uid="{112A5DB4-0646-41BC-B077-8F0164ED4524}"/>
    <cellStyle name="20% - Accent1 3 3 2 2 5" xfId="33319" xr:uid="{EF3FE7E2-0D61-4D34-9ABC-3DBDE669CE5E}"/>
    <cellStyle name="20% - Accent1 3 3 2 3" xfId="1202" xr:uid="{A31459F1-1A7E-46DA-8F66-65AA9D6BA840}"/>
    <cellStyle name="20% - Accent1 3 3 2 3 2" xfId="1203" xr:uid="{E7809B5D-F702-4FB4-8EEB-97AB3FCC1FA5}"/>
    <cellStyle name="20% - Accent1 3 3 2 3 2 2" xfId="33320" xr:uid="{EDAC96AE-1E7D-48ED-B0F2-E4234134BDC4}"/>
    <cellStyle name="20% - Accent1 3 3 2 3 3" xfId="1204" xr:uid="{6E069FCB-8700-4EF4-AB4E-BAC1181577FB}"/>
    <cellStyle name="20% - Accent1 3 3 2 3 3 2" xfId="33321" xr:uid="{2899ABCC-72C2-427D-BD1E-AF26F5D52A03}"/>
    <cellStyle name="20% - Accent1 3 3 2 3 4" xfId="33322" xr:uid="{F2E2631D-F865-4127-9CDD-843398D3C46E}"/>
    <cellStyle name="20% - Accent1 3 3 2 4" xfId="1205" xr:uid="{4E3430EF-2681-42D7-9192-E0E014FE05B8}"/>
    <cellStyle name="20% - Accent1 3 3 2 4 2" xfId="33323" xr:uid="{A908FC64-40A0-44BA-BBE6-66746A5089BC}"/>
    <cellStyle name="20% - Accent1 3 3 2 4 2 2" xfId="33324" xr:uid="{8867427A-1BF1-41BB-A4CE-D3D70ABA1EBA}"/>
    <cellStyle name="20% - Accent1 3 3 2 4 3" xfId="33325" xr:uid="{6DFFA5C6-2C10-48DB-BDD3-576EBDE58EC3}"/>
    <cellStyle name="20% - Accent1 3 3 2 4 3 2" xfId="33326" xr:uid="{0D113EE3-2949-41AF-BE12-073C2A1C9A95}"/>
    <cellStyle name="20% - Accent1 3 3 2 4 4" xfId="33327" xr:uid="{1E2EEF4F-356F-4A5C-9F49-C5A10047AEA2}"/>
    <cellStyle name="20% - Accent1 3 3 2 5" xfId="1206" xr:uid="{A052CBC7-6CF5-4551-93C8-3F4AD387605C}"/>
    <cellStyle name="20% - Accent1 3 3 2 5 2" xfId="33328" xr:uid="{A788510E-17AE-4637-9C93-57C7E956C4E7}"/>
    <cellStyle name="20% - Accent1 3 3 2 5 2 2" xfId="33329" xr:uid="{C9439F58-CECF-4300-BF3F-7FA60D12291F}"/>
    <cellStyle name="20% - Accent1 3 3 2 5 3" xfId="33330" xr:uid="{AB21D920-CD0C-4DBA-BB92-AD6468F132A9}"/>
    <cellStyle name="20% - Accent1 3 3 2 5 3 2" xfId="33331" xr:uid="{C67D0EC9-7738-43F1-9C1E-4A2D39D9406A}"/>
    <cellStyle name="20% - Accent1 3 3 2 5 4" xfId="33332" xr:uid="{F893FCE2-A028-417A-967D-90B1B1AB1FF7}"/>
    <cellStyle name="20% - Accent1 3 3 2 6" xfId="1207" xr:uid="{8BE9B30F-9C89-4D17-AD46-975D930A8FF6}"/>
    <cellStyle name="20% - Accent1 3 3 2 6 2" xfId="33333" xr:uid="{8E9B5DB0-BB39-4B79-B8B2-CEF08B8A3337}"/>
    <cellStyle name="20% - Accent1 3 3 2 6 2 2" xfId="33334" xr:uid="{890F7E27-57E9-4561-8B0D-B14D7F3F939F}"/>
    <cellStyle name="20% - Accent1 3 3 2 6 3" xfId="33335" xr:uid="{A230D06A-D19E-4AE5-BBAF-F0B85CA0F367}"/>
    <cellStyle name="20% - Accent1 3 3 2 6 3 2" xfId="33336" xr:uid="{F69EBC2E-DBF0-4EDD-95BE-E1B2A1E28A99}"/>
    <cellStyle name="20% - Accent1 3 3 2 6 4" xfId="33337" xr:uid="{5C4666EA-21FD-4E91-8A88-E2F2BD52BB51}"/>
    <cellStyle name="20% - Accent1 3 3 2 7" xfId="33338" xr:uid="{E76CFFD1-AE7B-40A0-BD7A-3E17488572CD}"/>
    <cellStyle name="20% - Accent1 3 3 2 7 2" xfId="33339" xr:uid="{E33B6D72-0D49-41B9-ABCF-3869074A3A7B}"/>
    <cellStyle name="20% - Accent1 3 3 2 8" xfId="33340" xr:uid="{77185977-ABC2-442B-9748-AF1EA5375F2D}"/>
    <cellStyle name="20% - Accent1 3 3 2 8 2" xfId="33341" xr:uid="{66A5ED90-A81B-4937-8A94-9895AD92F384}"/>
    <cellStyle name="20% - Accent1 3 3 2 9" xfId="33342" xr:uid="{AC611541-509B-487C-BF0B-6E821E5B50F1}"/>
    <cellStyle name="20% - Accent1 3 3 3" xfId="1208" xr:uid="{96D14163-83F0-4223-97D8-28E55ACDB0B9}"/>
    <cellStyle name="20% - Accent1 3 3 3 2" xfId="1209" xr:uid="{61B71364-B613-4A7E-8887-7D4D599DAFDA}"/>
    <cellStyle name="20% - Accent1 3 3 3 2 2" xfId="1210" xr:uid="{9115C996-9DE5-4CC4-BEC2-7827E9B0FA3C}"/>
    <cellStyle name="20% - Accent1 3 3 3 2 2 2" xfId="33343" xr:uid="{DE2FE1BF-BAC6-4A82-8199-8B3B61CCCB41}"/>
    <cellStyle name="20% - Accent1 3 3 3 2 3" xfId="1211" xr:uid="{7300E0A7-EEAC-47B6-A835-B4A5AA5B52D1}"/>
    <cellStyle name="20% - Accent1 3 3 3 2 3 2" xfId="33344" xr:uid="{89EE3150-6732-4EEA-90B6-634D576BACD3}"/>
    <cellStyle name="20% - Accent1 3 3 3 2 4" xfId="33345" xr:uid="{49B73B56-7A5E-4E28-A0FE-7B245C10D309}"/>
    <cellStyle name="20% - Accent1 3 3 3 3" xfId="1212" xr:uid="{3DA8AE74-08AD-457D-9ACD-F06B5AFD54E8}"/>
    <cellStyle name="20% - Accent1 3 3 3 3 2" xfId="33346" xr:uid="{C7F198A0-CABB-4814-8AE4-6BEB61A0955E}"/>
    <cellStyle name="20% - Accent1 3 3 3 3 2 2" xfId="33347" xr:uid="{C24BD31A-17BA-45EE-B6BE-C49F4689B467}"/>
    <cellStyle name="20% - Accent1 3 3 3 3 3" xfId="33348" xr:uid="{85270A43-56CD-4A96-AAAA-ECF30BE44BFF}"/>
    <cellStyle name="20% - Accent1 3 3 3 3 3 2" xfId="33349" xr:uid="{11D6556C-DAFE-49CA-86A1-17E063147FC3}"/>
    <cellStyle name="20% - Accent1 3 3 3 3 4" xfId="33350" xr:uid="{509A5883-A846-4FD3-ADC7-5A27583179B7}"/>
    <cellStyle name="20% - Accent1 3 3 3 4" xfId="1213" xr:uid="{9EF74995-B31E-436E-9665-4D5818AC90CB}"/>
    <cellStyle name="20% - Accent1 3 3 3 4 2" xfId="33351" xr:uid="{BDCCD23B-AFE9-4F29-B3BB-7359575FE539}"/>
    <cellStyle name="20% - Accent1 3 3 3 4 2 2" xfId="33352" xr:uid="{DBB5C3FB-40CA-4850-8A76-318E9D45E0F0}"/>
    <cellStyle name="20% - Accent1 3 3 3 4 3" xfId="33353" xr:uid="{4402379C-9516-41C0-BD74-F18565D98F81}"/>
    <cellStyle name="20% - Accent1 3 3 3 4 3 2" xfId="33354" xr:uid="{BFDEFA2B-40A1-4011-8CB0-26AECDD0FF9B}"/>
    <cellStyle name="20% - Accent1 3 3 3 4 4" xfId="33355" xr:uid="{7FCBF614-AFEF-4959-B9EC-C2CB2213CA28}"/>
    <cellStyle name="20% - Accent1 3 3 3 5" xfId="1214" xr:uid="{B3E7DE86-FB4A-46EC-9AE5-FC256C68BEF2}"/>
    <cellStyle name="20% - Accent1 3 3 3 5 2" xfId="33356" xr:uid="{6E4C03BF-059A-4E73-9A37-370398FBC2CE}"/>
    <cellStyle name="20% - Accent1 3 3 3 5 2 2" xfId="33357" xr:uid="{2EF409EF-413B-4B7A-9D4E-CD4DED2B7FB8}"/>
    <cellStyle name="20% - Accent1 3 3 3 5 3" xfId="33358" xr:uid="{891E232A-894E-4D55-BF5E-83C80518191F}"/>
    <cellStyle name="20% - Accent1 3 3 3 5 3 2" xfId="33359" xr:uid="{C4812B1C-44BC-4DE3-8940-7F36D9BE254F}"/>
    <cellStyle name="20% - Accent1 3 3 3 5 4" xfId="33360" xr:uid="{DB122333-DDCD-47DD-A1B2-24625A7194D3}"/>
    <cellStyle name="20% - Accent1 3 3 3 6" xfId="33361" xr:uid="{51ACAC9C-F128-4D59-93F2-84584745A3D8}"/>
    <cellStyle name="20% - Accent1 3 3 3 6 2" xfId="33362" xr:uid="{28D91F32-7556-4949-AF14-BBB5D0E0C948}"/>
    <cellStyle name="20% - Accent1 3 3 3 7" xfId="33363" xr:uid="{69CF754B-537A-4521-AD1C-8F7E32B137B5}"/>
    <cellStyle name="20% - Accent1 3 3 3 7 2" xfId="33364" xr:uid="{9E780171-DBFB-498E-9CDC-2F0C9A794A8E}"/>
    <cellStyle name="20% - Accent1 3 3 3 8" xfId="33365" xr:uid="{5C647B50-D4EF-41B6-9392-D453D3EADFB6}"/>
    <cellStyle name="20% - Accent1 3 3 4" xfId="1215" xr:uid="{B8BEC507-75FB-4051-9853-25EAC76D9711}"/>
    <cellStyle name="20% - Accent1 3 3 4 2" xfId="1216" xr:uid="{AAEA9541-B43F-4C76-8C67-4E4B81967EE0}"/>
    <cellStyle name="20% - Accent1 3 3 4 2 2" xfId="1217" xr:uid="{F41DB6D2-DBAF-4D58-A257-307328680C6A}"/>
    <cellStyle name="20% - Accent1 3 3 4 2 2 2" xfId="33366" xr:uid="{306BC799-C6F5-423E-8971-5CEF1D3EE7F6}"/>
    <cellStyle name="20% - Accent1 3 3 4 2 3" xfId="1218" xr:uid="{E6CBC711-C414-4B35-8B2E-957ABF651390}"/>
    <cellStyle name="20% - Accent1 3 3 4 2 3 2" xfId="33367" xr:uid="{5F4753F3-5D6F-4DEF-800D-19C2DC67F69B}"/>
    <cellStyle name="20% - Accent1 3 3 4 2 4" xfId="33368" xr:uid="{A4E3918E-2B2A-4D6E-9829-FA5F22630DA6}"/>
    <cellStyle name="20% - Accent1 3 3 4 3" xfId="1219" xr:uid="{36BA3D2C-9C01-4556-AA25-E4FFF12D4181}"/>
    <cellStyle name="20% - Accent1 3 3 4 3 2" xfId="33369" xr:uid="{73C147B4-5437-45E9-88EA-578D57D17E33}"/>
    <cellStyle name="20% - Accent1 3 3 4 3 2 2" xfId="33370" xr:uid="{0C5E4DE9-7F67-4C76-8D9C-452CCB31876C}"/>
    <cellStyle name="20% - Accent1 3 3 4 3 3" xfId="33371" xr:uid="{FFBC98AD-9C62-429A-B8DB-F0FE27769CAA}"/>
    <cellStyle name="20% - Accent1 3 3 4 3 3 2" xfId="33372" xr:uid="{C2F94F00-BC4A-4363-90ED-F5F4890787F5}"/>
    <cellStyle name="20% - Accent1 3 3 4 3 4" xfId="33373" xr:uid="{5F02EAE7-1E15-4F2B-B84C-7EBA55972B63}"/>
    <cellStyle name="20% - Accent1 3 3 4 4" xfId="1220" xr:uid="{195FF022-D001-4CCF-80EE-D0ADA08A881D}"/>
    <cellStyle name="20% - Accent1 3 3 4 4 2" xfId="33374" xr:uid="{90AED415-2F3C-47B7-BB11-7A1BF1B25806}"/>
    <cellStyle name="20% - Accent1 3 3 4 4 2 2" xfId="33375" xr:uid="{44E961F4-087D-4A03-9019-A2DFE96055EF}"/>
    <cellStyle name="20% - Accent1 3 3 4 4 3" xfId="33376" xr:uid="{503B9244-64A0-49A8-A9E8-C82F4F10B758}"/>
    <cellStyle name="20% - Accent1 3 3 4 4 3 2" xfId="33377" xr:uid="{188F0DAC-080C-4636-BF52-27F455D251F6}"/>
    <cellStyle name="20% - Accent1 3 3 4 4 4" xfId="33378" xr:uid="{6DC5CBCC-CB6A-4790-BF35-E76DF9C62883}"/>
    <cellStyle name="20% - Accent1 3 3 4 5" xfId="33379" xr:uid="{B09B6FE8-88C1-4584-8858-00E1019ED46A}"/>
    <cellStyle name="20% - Accent1 3 3 4 5 2" xfId="33380" xr:uid="{CB57DED2-021F-4B7C-B474-91D6041CA569}"/>
    <cellStyle name="20% - Accent1 3 3 4 6" xfId="33381" xr:uid="{F88D25CE-313A-4EBA-9471-7D37BA0D115A}"/>
    <cellStyle name="20% - Accent1 3 3 4 6 2" xfId="33382" xr:uid="{E4EF7AB1-8AD6-4728-ADEA-02E4BEDB6E6F}"/>
    <cellStyle name="20% - Accent1 3 3 4 7" xfId="33383" xr:uid="{FD32BB3B-DE74-47A2-9729-2A6111E38956}"/>
    <cellStyle name="20% - Accent1 3 3 5" xfId="1221" xr:uid="{F8719870-4705-4288-9216-9964BE7AE366}"/>
    <cellStyle name="20% - Accent1 3 3 5 2" xfId="1222" xr:uid="{EEE8D0CF-3046-4FA8-85E9-53A2F0115B30}"/>
    <cellStyle name="20% - Accent1 3 3 5 2 2" xfId="33384" xr:uid="{BF8845E3-83D7-4A22-B70D-206D516F30AE}"/>
    <cellStyle name="20% - Accent1 3 3 5 2 2 2" xfId="33385" xr:uid="{55F3B430-6BF3-40D5-A2F3-A392AF351DDB}"/>
    <cellStyle name="20% - Accent1 3 3 5 2 3" xfId="33386" xr:uid="{E0350543-A877-4781-B7D3-7D5F24EA2C54}"/>
    <cellStyle name="20% - Accent1 3 3 5 2 3 2" xfId="33387" xr:uid="{1D05F7F0-3A66-43E5-9DA3-78A622BEDAB0}"/>
    <cellStyle name="20% - Accent1 3 3 5 2 4" xfId="33388" xr:uid="{61FB7D11-8D0B-4710-AE77-25D254AF6D84}"/>
    <cellStyle name="20% - Accent1 3 3 5 3" xfId="1223" xr:uid="{C52925A3-A938-42E2-AF95-EE85F9C01AE6}"/>
    <cellStyle name="20% - Accent1 3 3 5 3 2" xfId="33389" xr:uid="{A7813C2D-F84B-41BE-9A5F-3BC054C2F025}"/>
    <cellStyle name="20% - Accent1 3 3 5 3 2 2" xfId="33390" xr:uid="{CFED0301-6A0C-4350-8306-F7CF551B4A9E}"/>
    <cellStyle name="20% - Accent1 3 3 5 3 3" xfId="33391" xr:uid="{CD49ADB1-4489-491D-A87B-8AFDE9C0CE88}"/>
    <cellStyle name="20% - Accent1 3 3 5 3 3 2" xfId="33392" xr:uid="{09970F8D-B6EB-457E-8301-0B53BD23AB18}"/>
    <cellStyle name="20% - Accent1 3 3 5 3 4" xfId="33393" xr:uid="{0E63090C-EEBB-40DE-8DC3-DA3EAD09A80D}"/>
    <cellStyle name="20% - Accent1 3 3 5 4" xfId="33394" xr:uid="{52C72736-5D6E-4882-8EE9-37C864BD2D09}"/>
    <cellStyle name="20% - Accent1 3 3 5 4 2" xfId="33395" xr:uid="{985312A5-3170-42D9-A4A8-DB264CDB1EE3}"/>
    <cellStyle name="20% - Accent1 3 3 5 4 2 2" xfId="33396" xr:uid="{65FA05D3-79E1-4940-8505-B7509EDAA0E0}"/>
    <cellStyle name="20% - Accent1 3 3 5 4 3" xfId="33397" xr:uid="{6251D382-8136-4718-B8B1-A12ADB8714DB}"/>
    <cellStyle name="20% - Accent1 3 3 5 4 3 2" xfId="33398" xr:uid="{8E3DD74A-C28F-49EF-B069-E58A08E8D60C}"/>
    <cellStyle name="20% - Accent1 3 3 5 4 4" xfId="33399" xr:uid="{A2853F6E-70AC-417A-B955-770C5612077C}"/>
    <cellStyle name="20% - Accent1 3 3 5 5" xfId="33400" xr:uid="{E9A14516-FD62-44F2-879D-B857E1821DBD}"/>
    <cellStyle name="20% - Accent1 3 3 5 5 2" xfId="33401" xr:uid="{273F9D6C-7171-4F9F-997F-945861EFB2F3}"/>
    <cellStyle name="20% - Accent1 3 3 5 6" xfId="33402" xr:uid="{21D2B76D-8979-42E3-99C3-F0AF495E3703}"/>
    <cellStyle name="20% - Accent1 3 3 5 6 2" xfId="33403" xr:uid="{736E30DD-A752-443D-A9B1-915DC7F25F1D}"/>
    <cellStyle name="20% - Accent1 3 3 5 7" xfId="33404" xr:uid="{8887002F-306A-4551-814F-8D4CC3F7A081}"/>
    <cellStyle name="20% - Accent1 3 3 6" xfId="1224" xr:uid="{A2B396D8-2493-4D6B-8678-CBF1FE048EFE}"/>
    <cellStyle name="20% - Accent1 3 3 6 2" xfId="33405" xr:uid="{10BCB27D-09F4-444B-B62F-FCC5C9828694}"/>
    <cellStyle name="20% - Accent1 3 3 6 2 2" xfId="33406" xr:uid="{04B17943-AEFE-4E57-B534-1F39A266C204}"/>
    <cellStyle name="20% - Accent1 3 3 6 3" xfId="33407" xr:uid="{9DF33665-8CA4-405E-B110-49C793A95BE7}"/>
    <cellStyle name="20% - Accent1 3 3 6 3 2" xfId="33408" xr:uid="{6B194B99-BE47-4BE9-AE0C-0AEE9DFE2358}"/>
    <cellStyle name="20% - Accent1 3 3 6 4" xfId="33409" xr:uid="{78FBFFC3-A75E-403C-824C-C24FB85C344C}"/>
    <cellStyle name="20% - Accent1 3 3 7" xfId="1225" xr:uid="{14101992-7891-4F0F-BDCB-E8F73904F459}"/>
    <cellStyle name="20% - Accent1 3 3 7 2" xfId="33410" xr:uid="{A980AEB4-594F-430A-B636-C0450B2E33E1}"/>
    <cellStyle name="20% - Accent1 3 3 7 2 2" xfId="33411" xr:uid="{EF23D79D-3F40-40A7-99C7-C38AF4EA8E45}"/>
    <cellStyle name="20% - Accent1 3 3 7 3" xfId="33412" xr:uid="{D5E19191-A8ED-4BD3-84EB-DC96FD58946A}"/>
    <cellStyle name="20% - Accent1 3 3 7 3 2" xfId="33413" xr:uid="{97777DD8-71AD-4C6D-9FAB-466040E20B40}"/>
    <cellStyle name="20% - Accent1 3 3 7 4" xfId="33414" xr:uid="{B7F418D1-4B31-44FF-87AA-3A5A9D6BF9F8}"/>
    <cellStyle name="20% - Accent1 3 3 8" xfId="1226" xr:uid="{4859661F-4991-4B5E-A4CA-8F3B7F4CBFD7}"/>
    <cellStyle name="20% - Accent1 3 3 8 2" xfId="33415" xr:uid="{A3075CE2-FFD9-4CB2-9E04-0CC6A8C3524E}"/>
    <cellStyle name="20% - Accent1 3 3 8 2 2" xfId="33416" xr:uid="{1BF92808-6D82-42AC-A185-052B2639036E}"/>
    <cellStyle name="20% - Accent1 3 3 8 3" xfId="33417" xr:uid="{4D0C69DE-3962-4CFD-A5D8-43C76FFD2854}"/>
    <cellStyle name="20% - Accent1 3 3 8 3 2" xfId="33418" xr:uid="{1C7DA37C-D725-4177-90E9-2D6E57D1E8C6}"/>
    <cellStyle name="20% - Accent1 3 3 8 4" xfId="33419" xr:uid="{B089CB96-D17F-433D-ACA9-DAD26306D5CC}"/>
    <cellStyle name="20% - Accent1 3 3 9" xfId="33420" xr:uid="{7C2E2D36-C41F-4A81-ACCD-95D99D0A543B}"/>
    <cellStyle name="20% - Accent1 3 3 9 2" xfId="33421" xr:uid="{8BF6BC01-F57B-45A7-B7D7-5440AE06B97E}"/>
    <cellStyle name="20% - Accent1 3 4" xfId="1227" xr:uid="{EFDE0950-ADC8-4443-96A5-F919382B905D}"/>
    <cellStyle name="20% - Accent1 3 4 10" xfId="33422" xr:uid="{4F870B6F-C5A6-4308-9399-E481C7DC5A9C}"/>
    <cellStyle name="20% - Accent1 3 4 2" xfId="1228" xr:uid="{696FF492-7084-4834-8B71-7A4D1B31874D}"/>
    <cellStyle name="20% - Accent1 3 4 2 2" xfId="1229" xr:uid="{054ED132-2F08-46E5-8D6A-2D9E3A33A744}"/>
    <cellStyle name="20% - Accent1 3 4 2 2 2" xfId="1230" xr:uid="{1192B815-AB34-4093-94FF-0C5043556F73}"/>
    <cellStyle name="20% - Accent1 3 4 2 2 2 2" xfId="33423" xr:uid="{D329B2AF-0D47-4D20-8EC5-65DD1A686128}"/>
    <cellStyle name="20% - Accent1 3 4 2 2 3" xfId="1231" xr:uid="{D2495C5D-132C-4EDF-A7DF-8892441BD0AA}"/>
    <cellStyle name="20% - Accent1 3 4 2 2 3 2" xfId="33424" xr:uid="{606F7774-7790-4885-B76F-210D33C59E64}"/>
    <cellStyle name="20% - Accent1 3 4 2 2 4" xfId="33425" xr:uid="{21C020F6-F7E4-4866-B78E-8E639DE1F814}"/>
    <cellStyle name="20% - Accent1 3 4 2 3" xfId="1232" xr:uid="{74D2A9ED-4DCD-419E-B85E-079749AC07CA}"/>
    <cellStyle name="20% - Accent1 3 4 2 3 2" xfId="33426" xr:uid="{284C7E6E-2636-4A2B-9472-704DECC639A2}"/>
    <cellStyle name="20% - Accent1 3 4 2 3 2 2" xfId="33427" xr:uid="{4F75708E-0C61-4CE0-9570-30DBF3744235}"/>
    <cellStyle name="20% - Accent1 3 4 2 3 3" xfId="33428" xr:uid="{9E5A99F7-9B01-49DA-AF37-9CA6F5932937}"/>
    <cellStyle name="20% - Accent1 3 4 2 3 3 2" xfId="33429" xr:uid="{92AD63CE-3962-4457-9C64-41554F951B9A}"/>
    <cellStyle name="20% - Accent1 3 4 2 3 4" xfId="33430" xr:uid="{6273DBF5-600E-4B12-BF37-74EE6C31F240}"/>
    <cellStyle name="20% - Accent1 3 4 2 4" xfId="1233" xr:uid="{CC48362D-054A-4901-B69B-3EFCBE8642EF}"/>
    <cellStyle name="20% - Accent1 3 4 2 4 2" xfId="33431" xr:uid="{CE5F21AF-05C3-4EC3-BC5A-53730AB164C7}"/>
    <cellStyle name="20% - Accent1 3 4 2 4 2 2" xfId="33432" xr:uid="{8C9E78B2-A543-4DE2-BC11-EBE3E3E5D91A}"/>
    <cellStyle name="20% - Accent1 3 4 2 4 3" xfId="33433" xr:uid="{D7EB40D1-9EFB-4F02-A459-ADCA5BB786A3}"/>
    <cellStyle name="20% - Accent1 3 4 2 4 3 2" xfId="33434" xr:uid="{DB3879DA-2CE7-4BEA-B221-1B67E80A4344}"/>
    <cellStyle name="20% - Accent1 3 4 2 4 4" xfId="33435" xr:uid="{D9B19CC1-1B53-4012-87DD-932B82F537E1}"/>
    <cellStyle name="20% - Accent1 3 4 2 5" xfId="33436" xr:uid="{A9D30011-844E-4D11-BF1B-806CD207F398}"/>
    <cellStyle name="20% - Accent1 3 4 2 5 2" xfId="33437" xr:uid="{9C6B636D-75E7-4465-82CB-50317BA10692}"/>
    <cellStyle name="20% - Accent1 3 4 2 5 2 2" xfId="33438" xr:uid="{FCEFC185-AC9E-4F0E-B588-8C17F58CD331}"/>
    <cellStyle name="20% - Accent1 3 4 2 5 3" xfId="33439" xr:uid="{6D70091C-F2DB-4844-840E-1F53277DC5C7}"/>
    <cellStyle name="20% - Accent1 3 4 2 5 3 2" xfId="33440" xr:uid="{AAC8299C-A7DE-4130-BBE8-F608A5A1EB16}"/>
    <cellStyle name="20% - Accent1 3 4 2 5 4" xfId="33441" xr:uid="{4603659F-9434-4826-9559-91DE64D12760}"/>
    <cellStyle name="20% - Accent1 3 4 2 6" xfId="33442" xr:uid="{79F9BD0C-BE85-44B4-93DA-2DBBE9C67310}"/>
    <cellStyle name="20% - Accent1 3 4 2 6 2" xfId="33443" xr:uid="{F112CD98-4D65-4413-BBC9-6C243826857B}"/>
    <cellStyle name="20% - Accent1 3 4 2 7" xfId="33444" xr:uid="{9977B3F7-355B-4A10-9110-78EF8EEEC9EE}"/>
    <cellStyle name="20% - Accent1 3 4 2 7 2" xfId="33445" xr:uid="{CF66AEA0-C465-410D-8E98-5301CE2A9753}"/>
    <cellStyle name="20% - Accent1 3 4 2 8" xfId="33446" xr:uid="{8F3F4A97-AC8F-4249-9050-90C3B5BFF2EF}"/>
    <cellStyle name="20% - Accent1 3 4 3" xfId="1234" xr:uid="{D4740BB1-D0D1-47B4-B023-3CB637556A7B}"/>
    <cellStyle name="20% - Accent1 3 4 3 2" xfId="1235" xr:uid="{D06ED312-5535-418D-8764-6CF26E9F6B64}"/>
    <cellStyle name="20% - Accent1 3 4 3 2 2" xfId="33447" xr:uid="{D747A0A8-793E-428E-9A05-B467DBBE188E}"/>
    <cellStyle name="20% - Accent1 3 4 3 2 2 2" xfId="33448" xr:uid="{FFB1A9FA-279A-41A4-9C7C-ED9F5BEB849A}"/>
    <cellStyle name="20% - Accent1 3 4 3 2 3" xfId="33449" xr:uid="{63DE778E-AD9F-4C49-86AD-109ED713A94D}"/>
    <cellStyle name="20% - Accent1 3 4 3 2 3 2" xfId="33450" xr:uid="{8B2DFD5B-C5BD-4C42-BE9A-116C3D9D3E73}"/>
    <cellStyle name="20% - Accent1 3 4 3 2 4" xfId="33451" xr:uid="{FB85E9D2-06FF-4704-A7E2-291A906C1132}"/>
    <cellStyle name="20% - Accent1 3 4 3 3" xfId="1236" xr:uid="{635D8E4C-8887-4AB2-A9D2-CF2E2B8B0E3A}"/>
    <cellStyle name="20% - Accent1 3 4 3 3 2" xfId="33452" xr:uid="{B7C5E381-F71E-48FD-95F7-A3B233448401}"/>
    <cellStyle name="20% - Accent1 3 4 3 3 2 2" xfId="33453" xr:uid="{B8F379B4-D3CC-4053-931D-23E14DED0C2A}"/>
    <cellStyle name="20% - Accent1 3 4 3 3 3" xfId="33454" xr:uid="{301C2C6A-87DE-49D4-BE6A-9DC9767F98C0}"/>
    <cellStyle name="20% - Accent1 3 4 3 3 3 2" xfId="33455" xr:uid="{4DE5824B-968E-44AD-A850-E4997958861C}"/>
    <cellStyle name="20% - Accent1 3 4 3 3 4" xfId="33456" xr:uid="{FA765CC7-A923-4B56-8B16-67720E5F3CFF}"/>
    <cellStyle name="20% - Accent1 3 4 3 4" xfId="33457" xr:uid="{AD504EA5-52C3-40E0-A24B-8BDDD58184DD}"/>
    <cellStyle name="20% - Accent1 3 4 3 4 2" xfId="33458" xr:uid="{53932FD5-2B24-4713-AD4E-68E8616493BA}"/>
    <cellStyle name="20% - Accent1 3 4 3 4 2 2" xfId="33459" xr:uid="{E0F1D008-FF47-448C-BF00-98607E7E2ED7}"/>
    <cellStyle name="20% - Accent1 3 4 3 4 3" xfId="33460" xr:uid="{5F5027A4-FF09-4D29-A50F-0A32E65D26AD}"/>
    <cellStyle name="20% - Accent1 3 4 3 4 3 2" xfId="33461" xr:uid="{2870B477-915B-46FA-8B60-00E1D0651AD5}"/>
    <cellStyle name="20% - Accent1 3 4 3 4 4" xfId="33462" xr:uid="{60004375-1A4C-4BA5-880F-8744B1DCF349}"/>
    <cellStyle name="20% - Accent1 3 4 3 5" xfId="33463" xr:uid="{46139103-5068-4D50-A0F5-43558A6523F9}"/>
    <cellStyle name="20% - Accent1 3 4 3 5 2" xfId="33464" xr:uid="{805DA591-82E9-4774-9268-9437DAF8D0B7}"/>
    <cellStyle name="20% - Accent1 3 4 3 6" xfId="33465" xr:uid="{15E9520A-925C-4535-BA86-29FE2E28B7B1}"/>
    <cellStyle name="20% - Accent1 3 4 3 6 2" xfId="33466" xr:uid="{48516B13-A38E-42DA-A81E-8DD6571F4DF8}"/>
    <cellStyle name="20% - Accent1 3 4 3 7" xfId="33467" xr:uid="{C58A3607-1A33-4600-8861-98F5CB69ABD9}"/>
    <cellStyle name="20% - Accent1 3 4 4" xfId="1237" xr:uid="{4C61EF68-4DC5-48C9-BD24-09C27F7AD111}"/>
    <cellStyle name="20% - Accent1 3 4 4 2" xfId="33468" xr:uid="{07B0A9BC-7A2B-4CE6-ACED-2029FFCBAFC2}"/>
    <cellStyle name="20% - Accent1 3 4 4 2 2" xfId="33469" xr:uid="{A9E18604-AE17-493C-BAA2-08C995E75F85}"/>
    <cellStyle name="20% - Accent1 3 4 4 3" xfId="33470" xr:uid="{944BB4D7-DC1A-4322-BA02-06BB057C9493}"/>
    <cellStyle name="20% - Accent1 3 4 4 3 2" xfId="33471" xr:uid="{D7F7A1C9-58CE-4D77-A7EC-DCC4A1D93D33}"/>
    <cellStyle name="20% - Accent1 3 4 4 4" xfId="33472" xr:uid="{FF77D98D-C649-478F-8D1A-126337C57CC0}"/>
    <cellStyle name="20% - Accent1 3 4 5" xfId="1238" xr:uid="{87073E8D-A73A-4CFA-BA1D-E61BA9D9063F}"/>
    <cellStyle name="20% - Accent1 3 4 5 2" xfId="33473" xr:uid="{C80A3A38-4073-44AC-AB33-6433CE7EE25E}"/>
    <cellStyle name="20% - Accent1 3 4 5 2 2" xfId="33474" xr:uid="{BC800B4D-437A-413B-8FA6-961CD8605AF3}"/>
    <cellStyle name="20% - Accent1 3 4 5 3" xfId="33475" xr:uid="{0224B173-04F4-4839-9F75-591C668E34D2}"/>
    <cellStyle name="20% - Accent1 3 4 5 3 2" xfId="33476" xr:uid="{C3C2D25D-92D3-4C6A-B004-73B72AA4E2BC}"/>
    <cellStyle name="20% - Accent1 3 4 5 4" xfId="33477" xr:uid="{A6431775-748A-433E-966D-56FA87519C86}"/>
    <cellStyle name="20% - Accent1 3 4 6" xfId="1239" xr:uid="{D603804F-A7FC-4CBF-BAD1-7B689B28310E}"/>
    <cellStyle name="20% - Accent1 3 4 6 2" xfId="33478" xr:uid="{746CA687-76C6-4E68-B52C-16F4347C620F}"/>
    <cellStyle name="20% - Accent1 3 4 6 2 2" xfId="33479" xr:uid="{6FB2FE25-6BCA-43B7-AD76-E558185ABB81}"/>
    <cellStyle name="20% - Accent1 3 4 6 3" xfId="33480" xr:uid="{74C9F4EC-207F-404B-8EDF-E752A3490327}"/>
    <cellStyle name="20% - Accent1 3 4 6 3 2" xfId="33481" xr:uid="{40469623-64EA-4398-AA09-CA73C4006627}"/>
    <cellStyle name="20% - Accent1 3 4 6 4" xfId="33482" xr:uid="{B699AA3A-49C3-4B6B-B1CA-5555AF4F7EB3}"/>
    <cellStyle name="20% - Accent1 3 4 7" xfId="33483" xr:uid="{2ABF61B7-E394-4B96-A037-7B38C814A9B1}"/>
    <cellStyle name="20% - Accent1 3 4 7 2" xfId="33484" xr:uid="{177522C0-1904-445B-8FFF-6375C2F69856}"/>
    <cellStyle name="20% - Accent1 3 4 8" xfId="33485" xr:uid="{6FF2F36C-0D5B-4B38-AEC7-985262369469}"/>
    <cellStyle name="20% - Accent1 3 4 8 2" xfId="33486" xr:uid="{3DBB3462-67CC-4967-8832-08C0742A41E1}"/>
    <cellStyle name="20% - Accent1 3 4 9" xfId="33487" xr:uid="{13155CE3-4B51-4BBE-BD0A-E81C02C4DAD0}"/>
    <cellStyle name="20% - Accent1 3 5" xfId="1240" xr:uid="{541E2145-2C5A-46BB-B47C-5278954D3F5C}"/>
    <cellStyle name="20% - Accent1 3 5 2" xfId="1241" xr:uid="{B1D80C01-0E07-404F-9D89-6B00AE9C9B6C}"/>
    <cellStyle name="20% - Accent1 3 5 2 2" xfId="1242" xr:uid="{05809386-984A-4645-A1BD-495F0DB83C9C}"/>
    <cellStyle name="20% - Accent1 3 5 2 2 2" xfId="33488" xr:uid="{AC14019D-0344-419B-A368-654DF70A218C}"/>
    <cellStyle name="20% - Accent1 3 5 2 3" xfId="1243" xr:uid="{AE9B312F-DF67-428A-B24B-5C291F74F19A}"/>
    <cellStyle name="20% - Accent1 3 5 2 3 2" xfId="33489" xr:uid="{E138E5F9-9C13-42C6-AF9A-68DA56BC3410}"/>
    <cellStyle name="20% - Accent1 3 5 2 4" xfId="33490" xr:uid="{0F8FF6CF-A0B8-41F0-A6C0-2B2499124ABB}"/>
    <cellStyle name="20% - Accent1 3 5 3" xfId="1244" xr:uid="{B2AE613F-F8B1-469C-B6DB-C2F0E3205032}"/>
    <cellStyle name="20% - Accent1 3 5 3 2" xfId="33491" xr:uid="{FE9C608E-AC11-41CA-808D-C1DBFC350A03}"/>
    <cellStyle name="20% - Accent1 3 5 3 2 2" xfId="33492" xr:uid="{53DDA5FC-EDDD-43D0-B9D5-77B696C553E1}"/>
    <cellStyle name="20% - Accent1 3 5 3 3" xfId="33493" xr:uid="{C726FC41-3798-46C1-BE13-E1D71132AB96}"/>
    <cellStyle name="20% - Accent1 3 5 3 3 2" xfId="33494" xr:uid="{42F7E47D-FD77-410B-BCC6-6996A38BC371}"/>
    <cellStyle name="20% - Accent1 3 5 3 4" xfId="33495" xr:uid="{85A02F39-58DF-467C-83B0-FFC2E036D120}"/>
    <cellStyle name="20% - Accent1 3 5 4" xfId="1245" xr:uid="{7BA0BA24-E0B1-4773-9705-4D0614DB30E1}"/>
    <cellStyle name="20% - Accent1 3 5 4 2" xfId="33496" xr:uid="{3BE28DB8-26BF-4D08-B237-3B77EDD20F92}"/>
    <cellStyle name="20% - Accent1 3 5 4 2 2" xfId="33497" xr:uid="{E4246795-7419-4067-94AE-6EB6C9FF05CA}"/>
    <cellStyle name="20% - Accent1 3 5 4 3" xfId="33498" xr:uid="{3341FC3E-2A36-4D31-BC96-7EC6CB53B5D0}"/>
    <cellStyle name="20% - Accent1 3 5 4 3 2" xfId="33499" xr:uid="{18BE8C45-AAEB-421E-89FD-E8298B64B763}"/>
    <cellStyle name="20% - Accent1 3 5 4 4" xfId="33500" xr:uid="{9A9BDAC2-C9C9-42EB-885D-7C49F4EB6F04}"/>
    <cellStyle name="20% - Accent1 3 5 5" xfId="33501" xr:uid="{AC507F23-6184-4734-9C56-541E5D50579A}"/>
    <cellStyle name="20% - Accent1 3 5 5 2" xfId="33502" xr:uid="{4011ADBC-8258-487C-A2CC-D98121B1299D}"/>
    <cellStyle name="20% - Accent1 3 5 5 2 2" xfId="33503" xr:uid="{A988C23D-D1EE-46C6-A2FD-1EB35C0D9452}"/>
    <cellStyle name="20% - Accent1 3 5 5 3" xfId="33504" xr:uid="{8641D4A3-2FBA-469E-9C12-BA8F11900981}"/>
    <cellStyle name="20% - Accent1 3 5 5 3 2" xfId="33505" xr:uid="{297A6459-0547-4737-B5F5-953A2A4AF991}"/>
    <cellStyle name="20% - Accent1 3 5 5 4" xfId="33506" xr:uid="{D2556A33-82EE-46E1-AF8D-93DA64671002}"/>
    <cellStyle name="20% - Accent1 3 5 6" xfId="33507" xr:uid="{B8B1A87E-6690-424E-BC79-3C134D79B328}"/>
    <cellStyle name="20% - Accent1 3 5 6 2" xfId="33508" xr:uid="{67483316-4EC3-4FFE-8736-6B3DE685AA97}"/>
    <cellStyle name="20% - Accent1 3 5 7" xfId="33509" xr:uid="{6338F559-02F0-48A8-85DE-4382B9517800}"/>
    <cellStyle name="20% - Accent1 3 5 7 2" xfId="33510" xr:uid="{635870DB-4194-4A69-86D9-6D6213267825}"/>
    <cellStyle name="20% - Accent1 3 5 8" xfId="33511" xr:uid="{E8254936-8A22-4870-AC0D-88BEB2241E2B}"/>
    <cellStyle name="20% - Accent1 3 6" xfId="1246" xr:uid="{F1BCAFD3-613A-4FEC-A486-AD999E74D04B}"/>
    <cellStyle name="20% - Accent1 3 6 2" xfId="1247" xr:uid="{174A2A61-C657-4E81-9025-7C3FA072620B}"/>
    <cellStyle name="20% - Accent1 3 6 2 2" xfId="1248" xr:uid="{1C73D64D-F354-4E79-8C08-0E74D07AD012}"/>
    <cellStyle name="20% - Accent1 3 6 2 3" xfId="1249" xr:uid="{69996EC4-FC40-40F5-BE91-E195FA654160}"/>
    <cellStyle name="20% - Accent1 3 6 3" xfId="1250" xr:uid="{4C08EC09-015A-474A-80EF-FF6D0BF80595}"/>
    <cellStyle name="20% - Accent1 3 6 3 2" xfId="33512" xr:uid="{8C55E135-60A4-405F-854C-C13A9DEA7E4B}"/>
    <cellStyle name="20% - Accent1 3 6 4" xfId="1251" xr:uid="{E77677CE-E6A5-4FD9-A5FE-38DD275D3CB1}"/>
    <cellStyle name="20% - Accent1 3 6 5" xfId="33513" xr:uid="{24ED1F76-8AE4-4F2C-83A2-5D2971A4AE47}"/>
    <cellStyle name="20% - Accent1 3 7" xfId="1252" xr:uid="{2263F77A-E32D-4908-83C0-E28C0E9DA719}"/>
    <cellStyle name="20% - Accent1 3 7 2" xfId="1253" xr:uid="{54BB4BCB-3FFE-46F3-BCBF-DB91B7F5BC3E}"/>
    <cellStyle name="20% - Accent1 3 7 2 2" xfId="1254" xr:uid="{3CB55F13-9A47-4EDA-80D2-9C397FF45676}"/>
    <cellStyle name="20% - Accent1 3 7 2 3" xfId="1255" xr:uid="{E1EDD0A8-AA9D-4965-A637-A539B18DF817}"/>
    <cellStyle name="20% - Accent1 3 7 3" xfId="1256" xr:uid="{93EA0E59-34AD-46AC-8A56-F33E526E8A32}"/>
    <cellStyle name="20% - Accent1 3 7 3 2" xfId="33514" xr:uid="{B3C4B6C4-9C20-4A4A-9597-F63470248189}"/>
    <cellStyle name="20% - Accent1 3 7 4" xfId="1257" xr:uid="{193C4B8A-5040-4CD0-A231-33953A6434A2}"/>
    <cellStyle name="20% - Accent1 3 8" xfId="1258" xr:uid="{33D66474-02D1-4A4A-BFD6-10BAAC98EDE4}"/>
    <cellStyle name="20% - Accent1 3 8 2" xfId="33515" xr:uid="{AA89CC21-3D58-4615-A2D6-1C4754D680D8}"/>
    <cellStyle name="20% - Accent1 3 8 2 2" xfId="33516" xr:uid="{30BC5D08-28D0-4E4A-AB55-7EB8CDABC211}"/>
    <cellStyle name="20% - Accent1 3 8 3" xfId="33517" xr:uid="{07D960B5-70F8-4369-A694-51D30D3BF486}"/>
    <cellStyle name="20% - Accent1 3 8 3 2" xfId="33518" xr:uid="{34CA2F11-6CC8-4994-8FE3-7728C8CE3ADF}"/>
    <cellStyle name="20% - Accent1 3 8 4" xfId="33519" xr:uid="{035DB0F0-7DD5-419A-8DB8-36FFF13DC99D}"/>
    <cellStyle name="20% - Accent1 3 9" xfId="33520" xr:uid="{29745B72-797F-41BD-A37F-ABFF55721F4E}"/>
    <cellStyle name="20% - Accent1 3_PwrTax 51040" xfId="1259" xr:uid="{C3E03D9E-2350-4E72-953C-F1F2BDE9A159}"/>
    <cellStyle name="20% - Accent1 30" xfId="1260" xr:uid="{D93F75B9-C695-48AE-BB67-CF6E6ACA03DF}"/>
    <cellStyle name="20% - Accent1 31" xfId="1261" xr:uid="{B76074A4-3B26-4ADA-89B8-FB729745CA7C}"/>
    <cellStyle name="20% - Accent1 32" xfId="1262" xr:uid="{9096D9C2-CF78-4CAB-A28E-4767DB1C6AC7}"/>
    <cellStyle name="20% - Accent1 33" xfId="1263" xr:uid="{AF5337E0-D2DD-451A-ABD0-25FE03C7F934}"/>
    <cellStyle name="20% - Accent1 34" xfId="1264" xr:uid="{A20BD739-0D70-405C-9E1E-53184D505695}"/>
    <cellStyle name="20% - Accent1 35" xfId="1265" xr:uid="{CE727A6F-B470-4171-8ADD-A2D4D6136E52}"/>
    <cellStyle name="20% - Accent1 36" xfId="1266" xr:uid="{9F021AE9-44F8-4DE3-B62E-9009087EBDEE}"/>
    <cellStyle name="20% - Accent1 37" xfId="1267" xr:uid="{04CC4D76-EC8D-42CC-A483-FB6CD2808AEC}"/>
    <cellStyle name="20% - Accent1 37 2" xfId="1268" xr:uid="{C198698C-D380-44DE-9F80-0C7D6D04E150}"/>
    <cellStyle name="20% - Accent1 37 2 2" xfId="1269" xr:uid="{BB021F8E-C97A-4E0E-A73E-AC4C89F4D63E}"/>
    <cellStyle name="20% - Accent1 37 2 3" xfId="33521" xr:uid="{F1DD2EA5-A8B0-48C9-910B-8D1B1DC2DBD9}"/>
    <cellStyle name="20% - Accent1 37 3" xfId="1270" xr:uid="{22577DD3-9E2C-441C-A2A5-3BD5EC43B647}"/>
    <cellStyle name="20% - Accent1 37 3 2" xfId="1271" xr:uid="{E99B8E40-E0C1-44F9-BFB1-27764107898E}"/>
    <cellStyle name="20% - Accent1 37 3 3" xfId="33522" xr:uid="{8377A57B-504F-4954-8187-4F27C7D64E38}"/>
    <cellStyle name="20% - Accent1 37 4" xfId="1272" xr:uid="{9ED6083A-A979-40A6-9641-EE1DA67CA2A3}"/>
    <cellStyle name="20% - Accent1 37 5" xfId="33523" xr:uid="{0CD6E550-92E5-4585-9CB4-C3C6862121B0}"/>
    <cellStyle name="20% - Accent1 37_PwrTax 51040" xfId="1273" xr:uid="{1BD13802-747D-40D1-BE9B-F47F38DD0C33}"/>
    <cellStyle name="20% - Accent1 38" xfId="1274" xr:uid="{D25102AD-669D-4B10-8C96-CF904A23C66A}"/>
    <cellStyle name="20% - Accent1 38 2" xfId="33524" xr:uid="{D4150B7B-1EB0-4F49-9B19-EB5F954C019B}"/>
    <cellStyle name="20% - Accent1 38 2 2" xfId="33525" xr:uid="{EA3C6A95-B457-42B6-B0F8-6F6800E9C686}"/>
    <cellStyle name="20% - Accent1 38 2 2 2" xfId="33526" xr:uid="{7DBCA276-F308-48ED-8717-10BFDC386196}"/>
    <cellStyle name="20% - Accent1 38 2 3" xfId="33527" xr:uid="{B445E105-F982-4248-A50C-A3F3FD2F83C6}"/>
    <cellStyle name="20% - Accent1 38 2 3 2" xfId="33528" xr:uid="{616967EB-09A3-46AA-959C-1C426A1FF0D0}"/>
    <cellStyle name="20% - Accent1 38 2 4" xfId="33529" xr:uid="{2E6709C3-D348-4CF5-944E-94859DE20F4A}"/>
    <cellStyle name="20% - Accent1 38 3" xfId="33530" xr:uid="{9F8C4D75-4ACC-4EDA-BCA8-92396166D39A}"/>
    <cellStyle name="20% - Accent1 38 3 2" xfId="33531" xr:uid="{CA24E041-1E04-4672-BDED-3CDFB934798D}"/>
    <cellStyle name="20% - Accent1 38 3 2 2" xfId="33532" xr:uid="{97742BC4-CE44-4546-882F-8D31B663152D}"/>
    <cellStyle name="20% - Accent1 38 3 3" xfId="33533" xr:uid="{32946432-7BF2-446D-884E-75645F505D0D}"/>
    <cellStyle name="20% - Accent1 38 3 3 2" xfId="33534" xr:uid="{129107EB-5378-43DB-9525-D119FB894E89}"/>
    <cellStyle name="20% - Accent1 38 3 4" xfId="33535" xr:uid="{CB7FB55B-477F-41EA-B5F4-2AF676576603}"/>
    <cellStyle name="20% - Accent1 38 4" xfId="33536" xr:uid="{ABC3CF9F-FAD8-4463-90F8-204A1BA18E08}"/>
    <cellStyle name="20% - Accent1 38 4 2" xfId="33537" xr:uid="{13151079-B219-4650-9B43-BDE367869167}"/>
    <cellStyle name="20% - Accent1 38 4 2 2" xfId="33538" xr:uid="{DD503999-3390-4EFD-8BFD-C9A7F76FC145}"/>
    <cellStyle name="20% - Accent1 38 4 3" xfId="33539" xr:uid="{AC03B613-0457-4FE4-B936-DB876F2C5D20}"/>
    <cellStyle name="20% - Accent1 38 4 3 2" xfId="33540" xr:uid="{99AFA4FC-B709-4319-9026-44B36BB96767}"/>
    <cellStyle name="20% - Accent1 38 4 4" xfId="33541" xr:uid="{D214213D-D221-4DA8-B351-D06BD4DD1805}"/>
    <cellStyle name="20% - Accent1 38 5" xfId="33542" xr:uid="{A7A94A01-BEC4-4B3F-AD45-2E95D3084F35}"/>
    <cellStyle name="20% - Accent1 38 5 2" xfId="33543" xr:uid="{605CD480-CBCA-4109-B4B2-07C2D40113A6}"/>
    <cellStyle name="20% - Accent1 38 6" xfId="33544" xr:uid="{E1472D4E-F74F-4A26-9A65-6C5A8440EB30}"/>
    <cellStyle name="20% - Accent1 38 6 2" xfId="33545" xr:uid="{7D4BB7C6-2A69-42CE-9DB0-0ACF3E01E1FC}"/>
    <cellStyle name="20% - Accent1 38 7" xfId="33546" xr:uid="{0D037A0B-15CE-4DC1-BCED-A4311B0A3F54}"/>
    <cellStyle name="20% - Accent1 39" xfId="33547" xr:uid="{F8A6EA53-1C50-48CE-B81F-C5BFA9B9F665}"/>
    <cellStyle name="20% - Accent1 39 2" xfId="33548" xr:uid="{9CB1264E-6E9E-4444-89B8-4132EC4741D1}"/>
    <cellStyle name="20% - Accent1 4" xfId="1275" xr:uid="{D19360C6-D346-4793-8055-4E3435E71026}"/>
    <cellStyle name="20% - Accent1 4 2" xfId="1276" xr:uid="{9204A759-8AE8-4C76-9DB3-0C213A006F95}"/>
    <cellStyle name="20% - Accent1 4 2 2" xfId="1277" xr:uid="{73287D31-6CFB-4C04-8EDC-EF21F9FFEB28}"/>
    <cellStyle name="20% - Accent1 4 2 2 2" xfId="33549" xr:uid="{DF87E473-14E4-469C-96DA-0CAB1116DEF1}"/>
    <cellStyle name="20% - Accent1 4 2 3" xfId="33550" xr:uid="{DCF8B20E-ABB3-496A-91F2-6D1B69F3D919}"/>
    <cellStyle name="20% - Accent1 4 3" xfId="1278" xr:uid="{B03A492E-5C3C-479B-83E3-E05E96DE9F16}"/>
    <cellStyle name="20% - Accent1 4 3 2" xfId="1279" xr:uid="{9A8B7C60-A2B9-4DC1-8232-10956E4690BD}"/>
    <cellStyle name="20% - Accent1 4 3 3" xfId="1280" xr:uid="{D4BF3FDB-6796-43CE-B190-56ED4ECC4C5F}"/>
    <cellStyle name="20% - Accent1 4 3 4" xfId="33551" xr:uid="{C5FC64FA-0546-400F-A523-B0DC810CC8A7}"/>
    <cellStyle name="20% - Accent1 4 4" xfId="1281" xr:uid="{4D5A9609-EFCE-47F5-B930-2E75A55012AF}"/>
    <cellStyle name="20% - Accent1 4 4 2" xfId="1282" xr:uid="{2B91822C-841F-49EA-80D4-9DCB406C0D91}"/>
    <cellStyle name="20% - Accent1 4 4 2 2" xfId="1283" xr:uid="{15AA64F7-4FF0-4D71-8388-F01A48430E77}"/>
    <cellStyle name="20% - Accent1 4 4 2 3" xfId="1284" xr:uid="{B3F1C5C0-9B4A-4094-9B80-97234FD618FC}"/>
    <cellStyle name="20% - Accent1 4 4 3" xfId="1285" xr:uid="{794DEF7C-501A-4A0F-81E8-69A87F6B828B}"/>
    <cellStyle name="20% - Accent1 4 4 4" xfId="1286" xr:uid="{1470AC09-FB00-4E41-A3BB-31AE17D0E148}"/>
    <cellStyle name="20% - Accent1 4 4 5" xfId="1287" xr:uid="{65C30E55-1E80-4ED9-B843-12CB19F0A51A}"/>
    <cellStyle name="20% - Accent1 4 4 6" xfId="33552" xr:uid="{9520A0C7-3AAC-48C3-B90C-55ACF8886520}"/>
    <cellStyle name="20% - Accent1 4 5" xfId="1288" xr:uid="{E7416B6D-833E-49D0-B822-0556B93D5A52}"/>
    <cellStyle name="20% - Accent1 4 5 2" xfId="1289" xr:uid="{D1AAECFF-5BB8-462E-B455-2BDA577E56B9}"/>
    <cellStyle name="20% - Accent1 4 5 3" xfId="1290" xr:uid="{97C5B53C-0D02-4B87-851F-C0165C5F74FF}"/>
    <cellStyle name="20% - Accent1 4 5 4" xfId="33553" xr:uid="{F251CA9C-8E8B-4E00-8CF0-091298B31E4B}"/>
    <cellStyle name="20% - Accent1 4 6" xfId="1291" xr:uid="{78906062-4164-4153-A4BF-F7F0C80CAAC5}"/>
    <cellStyle name="20% - Accent1 4 7" xfId="33554" xr:uid="{B4A6A029-9D7B-493C-AC3E-450A32A6185D}"/>
    <cellStyle name="20% - Accent1 4 8" xfId="43541" xr:uid="{BB1218E8-33D9-41CC-9941-9F2A558F8203}"/>
    <cellStyle name="20% - Accent1 4_PwrTax 51040" xfId="1292" xr:uid="{E6813987-2C8F-482D-8A5D-1CB85B959009}"/>
    <cellStyle name="20% - Accent1 40" xfId="33555" xr:uid="{1BB374F5-FB75-469A-9DAB-D833B3D364F4}"/>
    <cellStyle name="20% - Accent1 41" xfId="33556" xr:uid="{49CDA602-C0E5-473B-925E-C95367AF3218}"/>
    <cellStyle name="20% - Accent1 42" xfId="33557" xr:uid="{DB75F631-17D4-41F0-93FB-5F229717891B}"/>
    <cellStyle name="20% - Accent1 43" xfId="33558" xr:uid="{18F0783C-7799-41AF-80E9-4F474BBE0D8E}"/>
    <cellStyle name="20% - Accent1 44" xfId="33559" xr:uid="{44E60EB3-2EC3-45FB-9403-ECF10C04CF1E}"/>
    <cellStyle name="20% - Accent1 45" xfId="33560" xr:uid="{CA256268-8E21-4323-B4C4-F58840C6D64C}"/>
    <cellStyle name="20% - Accent1 46" xfId="33561" xr:uid="{C1A87AF2-C716-4A61-8905-C00B1B2CB5B3}"/>
    <cellStyle name="20% - Accent1 47" xfId="33562" xr:uid="{6512885A-D85E-4613-8C61-E3077FF20F60}"/>
    <cellStyle name="20% - Accent1 48" xfId="33563" xr:uid="{DEB72B8B-EF41-45CC-ADE3-7C9579C918B5}"/>
    <cellStyle name="20% - Accent1 49" xfId="33564" xr:uid="{705A11BC-B2BD-4423-BD13-A7B3E8CB226E}"/>
    <cellStyle name="20% - Accent1 5" xfId="1293" xr:uid="{48018836-DC0C-49AC-858C-93A44E058443}"/>
    <cellStyle name="20% - Accent1 5 2" xfId="1294" xr:uid="{C28DBBF1-51BA-419C-8EDD-135EA86D5A40}"/>
    <cellStyle name="20% - Accent1 5 2 2" xfId="33565" xr:uid="{9DE9F2A1-6CFD-4A96-8883-CDC43A9C9D36}"/>
    <cellStyle name="20% - Accent1 5 3" xfId="1295" xr:uid="{F4B7D87E-0F7E-4418-AA55-4A29B927AD46}"/>
    <cellStyle name="20% - Accent1 5 4" xfId="33566" xr:uid="{5F2728C7-D99A-4E0A-B0F0-9F9C6A498C8D}"/>
    <cellStyle name="20% - Accent1 5 5" xfId="43556" xr:uid="{73297834-F40B-4048-97B5-F3CED8D6E64A}"/>
    <cellStyle name="20% - Accent1 50" xfId="33567" xr:uid="{E2641F7A-ED28-46D7-9442-4546DBBBA2AE}"/>
    <cellStyle name="20% - Accent1 51" xfId="33568" xr:uid="{CDBF350E-205F-4251-8A02-643FEF6EFE6B}"/>
    <cellStyle name="20% - Accent1 52" xfId="33569" xr:uid="{AF78D4DC-B2D7-4ED9-8F58-1D7C13CEC2AA}"/>
    <cellStyle name="20% - Accent1 53" xfId="33570" xr:uid="{DFC2DB81-376D-4E40-9084-090C7783CC19}"/>
    <cellStyle name="20% - Accent1 54" xfId="33571" xr:uid="{4DCEC9CC-D629-49C1-AF80-D2FD6F5ACAD6}"/>
    <cellStyle name="20% - Accent1 55" xfId="33572" xr:uid="{F71315DA-DC4B-4012-93E2-D13927858FE1}"/>
    <cellStyle name="20% - Accent1 56" xfId="33573" xr:uid="{7175D2DD-FF55-40C5-A39C-2E8F16A65EAA}"/>
    <cellStyle name="20% - Accent1 57" xfId="33574" xr:uid="{71E093BA-3CEF-4574-AD64-FA55F9BD0E98}"/>
    <cellStyle name="20% - Accent1 58" xfId="33575" xr:uid="{1147C48E-BDA0-436C-BDFD-131CF76117FD}"/>
    <cellStyle name="20% - Accent1 59" xfId="33576" xr:uid="{AFC54159-7FF9-494B-AB54-033C2E9232E9}"/>
    <cellStyle name="20% - Accent1 6" xfId="1296" xr:uid="{C8812C1B-075B-4CB8-856F-5D88C2AE248E}"/>
    <cellStyle name="20% - Accent1 6 2" xfId="1297" xr:uid="{89AA2669-B1F2-4BD4-BCEC-10F2BE1BC887}"/>
    <cellStyle name="20% - Accent1 6 2 2" xfId="33577" xr:uid="{414BB443-ABFE-42FF-9C54-210536450951}"/>
    <cellStyle name="20% - Accent1 6 3" xfId="1298" xr:uid="{7016B4F2-689D-4953-B4CB-519933FB7265}"/>
    <cellStyle name="20% - Accent1 6 4" xfId="33578" xr:uid="{5CC2386F-72D3-4773-8199-49F17F2E95B5}"/>
    <cellStyle name="20% - Accent1 60" xfId="33579" xr:uid="{6FF5B6BB-D339-4B0E-9956-032D8D4FB766}"/>
    <cellStyle name="20% - Accent1 61" xfId="33580" xr:uid="{AD87A815-2168-4F25-B18D-1BDD46B57AAD}"/>
    <cellStyle name="20% - Accent1 62" xfId="33581" xr:uid="{E371A999-ECBD-44EF-AAF9-DD40988FC2FC}"/>
    <cellStyle name="20% - Accent1 63" xfId="33582" xr:uid="{B3CB3AFB-0D17-4544-BF28-FB456870003C}"/>
    <cellStyle name="20% - Accent1 64" xfId="33583" xr:uid="{E1256876-855C-47FE-A625-1F44A8F4A442}"/>
    <cellStyle name="20% - Accent1 65" xfId="33584" xr:uid="{528750EF-92F7-42E2-BD2F-30D8B240DC2E}"/>
    <cellStyle name="20% - Accent1 66" xfId="33585" xr:uid="{7A3DB7C2-9DD2-4C67-A11F-E840D452479A}"/>
    <cellStyle name="20% - Accent1 67" xfId="33586" xr:uid="{0FBD8680-42DB-491F-8E3F-9FB4F0F3308A}"/>
    <cellStyle name="20% - Accent1 68" xfId="33587" xr:uid="{AACF390A-2F3A-4D74-8669-9A1483F453B3}"/>
    <cellStyle name="20% - Accent1 69" xfId="33588" xr:uid="{28AAB55B-D8CD-42B7-99A6-74BE0EADEEF9}"/>
    <cellStyle name="20% - Accent1 7" xfId="1299" xr:uid="{49074ECF-54F1-4E1E-82EB-60103CDF8CA7}"/>
    <cellStyle name="20% - Accent1 7 2" xfId="1300" xr:uid="{C5DF9E47-DE16-4544-A4FF-1E793588349D}"/>
    <cellStyle name="20% - Accent1 7 3" xfId="1301" xr:uid="{80486F7F-2ACA-4168-8595-5713309677B7}"/>
    <cellStyle name="20% - Accent1 7 4" xfId="33589" xr:uid="{93D9EBD0-31D4-4F8D-90D5-24F6D4E32FF1}"/>
    <cellStyle name="20% - Accent1 70" xfId="33590" xr:uid="{E5B9D1FC-3E66-4CB9-9916-AAF6D04FF401}"/>
    <cellStyle name="20% - Accent1 71" xfId="33591" xr:uid="{20EA3512-4B2E-4C02-9AAB-B48C78C45301}"/>
    <cellStyle name="20% - Accent1 72" xfId="33592" xr:uid="{374F2B0A-F16E-4705-A4D6-41542AF7323A}"/>
    <cellStyle name="20% - Accent1 73" xfId="33593" xr:uid="{626E29C6-7581-4137-A10F-415B5129D73A}"/>
    <cellStyle name="20% - Accent1 74" xfId="33594" xr:uid="{FE1E0488-A839-49D9-8A9A-F310230CB2DF}"/>
    <cellStyle name="20% - Accent1 75" xfId="33595" xr:uid="{DA796828-0AD4-44E5-A246-E66FD20918BB}"/>
    <cellStyle name="20% - Accent1 76" xfId="33596" xr:uid="{2732220A-F2EF-4CF8-AC9D-9C101E9E3D0F}"/>
    <cellStyle name="20% - Accent1 77" xfId="33597" xr:uid="{03274095-DF1B-4697-B275-5C8C9C637F40}"/>
    <cellStyle name="20% - Accent1 78" xfId="33598" xr:uid="{04018408-090A-4E47-9A0E-34EC0484AB1A}"/>
    <cellStyle name="20% - Accent1 79" xfId="33599" xr:uid="{B4051432-2152-42FE-BDA1-C6322C728C68}"/>
    <cellStyle name="20% - Accent1 8" xfId="1302" xr:uid="{7DE94904-ECA9-4EF2-AEFE-8A7147694F6C}"/>
    <cellStyle name="20% - Accent1 8 2" xfId="1303" xr:uid="{D93D751E-B6D0-495B-B701-4F9EC2184504}"/>
    <cellStyle name="20% - Accent1 8 3" xfId="1304" xr:uid="{591A257A-FC03-4CCF-94C1-498639EBCB6A}"/>
    <cellStyle name="20% - Accent1 8 4" xfId="33600" xr:uid="{36704655-C826-450C-8715-23D57CD3F80F}"/>
    <cellStyle name="20% - Accent1 80" xfId="33601" xr:uid="{A39B128F-E532-40B7-A73C-22E20115B8E1}"/>
    <cellStyle name="20% - Accent1 81" xfId="33602" xr:uid="{E4C38752-21A1-42B3-806D-92E89C1BF362}"/>
    <cellStyle name="20% - Accent1 82" xfId="33603" xr:uid="{6815BE0F-8306-4F2B-AC8E-CDEB002D8FAD}"/>
    <cellStyle name="20% - Accent1 83" xfId="33604" xr:uid="{B347E687-CBED-4A5D-8D3C-F0D849B2839C}"/>
    <cellStyle name="20% - Accent1 84" xfId="33605" xr:uid="{7B533BE3-06FA-4F23-A9B2-24C3895B5C85}"/>
    <cellStyle name="20% - Accent1 85" xfId="33606" xr:uid="{9DC5B618-CDD9-4DE9-BF24-D261959B528A}"/>
    <cellStyle name="20% - Accent1 86" xfId="33607" xr:uid="{29FD9A49-E394-4FFD-826B-2C7DE6ECFF65}"/>
    <cellStyle name="20% - Accent1 87" xfId="33608" xr:uid="{A9EC50C3-BE05-494E-8F7D-B3638A6CEDEF}"/>
    <cellStyle name="20% - Accent1 88" xfId="33609" xr:uid="{6858136B-3B8B-408B-B39C-7DDAB661D2E4}"/>
    <cellStyle name="20% - Accent1 89" xfId="33610" xr:uid="{3EC373B9-0B1A-4831-BCD5-4B72B73E6D54}"/>
    <cellStyle name="20% - Accent1 9" xfId="1305" xr:uid="{A3E18FBE-86D8-4F31-A24F-8630437288B4}"/>
    <cellStyle name="20% - Accent1 9 2" xfId="1306" xr:uid="{490F60DF-3C7D-490B-92C3-F317F4908696}"/>
    <cellStyle name="20% - Accent1 9 3" xfId="1307" xr:uid="{28363CF9-8015-4731-B6D9-105D3C2F3452}"/>
    <cellStyle name="20% - Accent1 9 4" xfId="33611" xr:uid="{3B973396-A54F-4252-A19A-085791701319}"/>
    <cellStyle name="20% - Accent1 90" xfId="33612" xr:uid="{EC165B9F-A0BE-4A25-B81B-F93F16F7A25C}"/>
    <cellStyle name="20% - Accent1 91" xfId="33613" xr:uid="{59927A75-4C8B-4D13-B94D-4CA33CD29D0D}"/>
    <cellStyle name="20% - Accent1 92" xfId="33614" xr:uid="{56132FEA-CB63-460B-87C9-5F1D085606EB}"/>
    <cellStyle name="20% - Accent1 93" xfId="33615" xr:uid="{FB0150B7-CB43-4261-B6F1-5D71C0DA35DB}"/>
    <cellStyle name="20% - Accent1 94" xfId="33616" xr:uid="{1ED1A4AB-9BA9-46AD-95CE-32F95B6B17AD}"/>
    <cellStyle name="20% - Accent1 95" xfId="33617" xr:uid="{8F5DE27B-1CFE-4287-932A-644D1B2CBCEB}"/>
    <cellStyle name="20% - Accent1 96" xfId="33618" xr:uid="{AB6DE809-B481-496A-962A-AA42F9FB05D9}"/>
    <cellStyle name="20% - Accent1 97" xfId="33619" xr:uid="{1D064D77-23E0-40DA-AEF1-23B4D055E189}"/>
    <cellStyle name="20% - Accent1 98" xfId="33620" xr:uid="{1B38768B-B510-46BA-B8A3-3507BC699E16}"/>
    <cellStyle name="20% - Accent1 99" xfId="33621" xr:uid="{1B6F8E85-1CC7-4D12-985F-EFF2E0168A4E}"/>
    <cellStyle name="20% - Accent2 10" xfId="1308" xr:uid="{B0B270FE-D021-46AB-B2F3-60E3AA267FD5}"/>
    <cellStyle name="20% - Accent2 10 2" xfId="1309" xr:uid="{69E9508A-1203-49E1-9D57-C28EDFF6E52C}"/>
    <cellStyle name="20% - Accent2 10 3" xfId="1310" xr:uid="{EC772C4D-B4F8-408E-ABE5-36F32CF68611}"/>
    <cellStyle name="20% - Accent2 10 4" xfId="33622" xr:uid="{3D9CECB2-94EF-4410-BA60-8DDC2F308FA7}"/>
    <cellStyle name="20% - Accent2 100" xfId="33623" xr:uid="{58DA32DE-391B-42FC-90C2-E34F3806B3C3}"/>
    <cellStyle name="20% - Accent2 101" xfId="33624" xr:uid="{FE20DE1E-4E1F-4DA0-8085-DA4BBE9A3D1D}"/>
    <cellStyle name="20% - Accent2 102" xfId="33625" xr:uid="{D61DE584-6658-4F68-A3D4-74622CC3D2F7}"/>
    <cellStyle name="20% - Accent2 103" xfId="43469" xr:uid="{B1F5D711-D4D3-47C5-92BC-C4BD352040B7}"/>
    <cellStyle name="20% - Accent2 104" xfId="43589" xr:uid="{8B61575D-05AC-4355-ACA0-7B6D3E455FA7}"/>
    <cellStyle name="20% - Accent2 105" xfId="163" xr:uid="{116467CB-CCC0-4BE9-B116-9AFD3E3C0FE0}"/>
    <cellStyle name="20% - Accent2 11" xfId="1311" xr:uid="{677C6E53-7DFA-4D19-8303-CCA52054A89D}"/>
    <cellStyle name="20% - Accent2 11 2" xfId="1312" xr:uid="{7C554629-E8A8-4612-AEA2-F785F059368B}"/>
    <cellStyle name="20% - Accent2 11 3" xfId="1313" xr:uid="{F1194F4A-C60D-4B48-9888-8EF52A8FD957}"/>
    <cellStyle name="20% - Accent2 12" xfId="1314" xr:uid="{57BD191D-0E92-499B-BD30-FF6CE61BF84E}"/>
    <cellStyle name="20% - Accent2 12 2" xfId="1315" xr:uid="{829C1540-FE17-4427-B2E2-58871A536527}"/>
    <cellStyle name="20% - Accent2 13" xfId="1316" xr:uid="{7E04E4AB-D104-4577-B989-F22F1374461D}"/>
    <cellStyle name="20% - Accent2 13 2" xfId="1317" xr:uid="{EFBF8925-4279-4843-BFBC-F78159C0C4ED}"/>
    <cellStyle name="20% - Accent2 14" xfId="1318" xr:uid="{1590BA46-6993-440D-A738-98B031AB71C9}"/>
    <cellStyle name="20% - Accent2 14 2" xfId="1319" xr:uid="{BE3EA6F4-D515-48A8-B23D-D0310F0F5FBC}"/>
    <cellStyle name="20% - Accent2 15" xfId="1320" xr:uid="{86D82A64-440C-47C3-AA66-278EA5B8CDAB}"/>
    <cellStyle name="20% - Accent2 15 2" xfId="1321" xr:uid="{1CBDFF08-8AE4-4EC2-85E2-5AC5D46702AB}"/>
    <cellStyle name="20% - Accent2 16" xfId="1322" xr:uid="{074B7060-2368-4BC1-B500-A2673F430C3C}"/>
    <cellStyle name="20% - Accent2 16 2" xfId="1323" xr:uid="{C2D31E1A-BDB9-4862-9465-0CF0B12BF9BE}"/>
    <cellStyle name="20% - Accent2 17" xfId="1324" xr:uid="{DFE0CED1-6EEA-4816-A0BD-E8B9D58494FF}"/>
    <cellStyle name="20% - Accent2 17 2" xfId="1325" xr:uid="{B77C03B6-B87B-4CB7-A87A-03A0E500CD5B}"/>
    <cellStyle name="20% - Accent2 18" xfId="1326" xr:uid="{16D26F8B-273A-4F51-A3D7-6EE65D6FF9CC}"/>
    <cellStyle name="20% - Accent2 18 2" xfId="1327" xr:uid="{537689D1-290E-4DF0-83DF-0E1DDB356506}"/>
    <cellStyle name="20% - Accent2 19" xfId="1328" xr:uid="{182F2AF5-A15B-4EF7-9180-C7337BB5336B}"/>
    <cellStyle name="20% - Accent2 19 2" xfId="1329" xr:uid="{94EDFE55-A894-4B3B-BE4C-C98DDFBED44E}"/>
    <cellStyle name="20% - Accent2 2" xfId="1330" xr:uid="{F887D073-0304-47DD-9069-BB6A36FE74F9}"/>
    <cellStyle name="20% - Accent2 2 10" xfId="43504" xr:uid="{70ACB406-3BE4-4CCC-8DCA-CD06AC45F187}"/>
    <cellStyle name="20% - Accent2 2 2" xfId="1331" xr:uid="{8ECF1B5D-8063-4192-B061-599464C4BA49}"/>
    <cellStyle name="20% - Accent2 2 2 2" xfId="1332" xr:uid="{8DD94339-084B-476F-AD58-985B86FDE7A5}"/>
    <cellStyle name="20% - Accent2 2 2 2 2" xfId="1333" xr:uid="{5F9BC161-B1AD-4CA7-8B20-EB408A194D0C}"/>
    <cellStyle name="20% - Accent2 2 2 2 3" xfId="1334" xr:uid="{5C6F0B54-7C07-49F1-9F1B-FDF153ABFCC4}"/>
    <cellStyle name="20% - Accent2 2 2 2 4" xfId="33626" xr:uid="{51A058F2-F89B-4E5B-8013-FCD2B5616D7C}"/>
    <cellStyle name="20% - Accent2 2 2 3" xfId="1335" xr:uid="{596B1F0E-913C-4F92-A657-C7B9051FADC5}"/>
    <cellStyle name="20% - Accent2 2 2 3 2" xfId="1336" xr:uid="{9F793F43-4BE9-4558-B327-27CF33C8AADE}"/>
    <cellStyle name="20% - Accent2 2 2 3 3" xfId="33627" xr:uid="{A62BDEF5-ED96-40BB-931D-F05AF21440FC}"/>
    <cellStyle name="20% - Accent2 2 2 4" xfId="1337" xr:uid="{E18948D0-B3AC-4389-833D-43613424BB5E}"/>
    <cellStyle name="20% - Accent2 2 2 5" xfId="1338" xr:uid="{8703DC54-DDE3-4ECD-B75B-31B8FC50556B}"/>
    <cellStyle name="20% - Accent2 2 2 6" xfId="1339" xr:uid="{8AF63C5E-0A92-4DE0-9B9C-3976BE1CCCD8}"/>
    <cellStyle name="20% - Accent2 2 2 7" xfId="33628" xr:uid="{C74DA05E-D357-486C-B077-35D495190F15}"/>
    <cellStyle name="20% - Accent2 2 2_PwrTax 51040" xfId="1340" xr:uid="{1A5E0729-0805-4060-A382-E2CF5B6FF627}"/>
    <cellStyle name="20% - Accent2 2 3" xfId="1341" xr:uid="{FDA60718-C9CF-4912-B435-5C893B7D3EF9}"/>
    <cellStyle name="20% - Accent2 2 3 10" xfId="1342" xr:uid="{C66A7577-2DC2-4B54-80C4-842EB6866432}"/>
    <cellStyle name="20% - Accent2 2 3 10 2" xfId="33629" xr:uid="{4E416EB2-7772-425C-86A4-EFE328EFD919}"/>
    <cellStyle name="20% - Accent2 2 3 11" xfId="33630" xr:uid="{45B5A449-913B-49AC-B62E-6665BAFA0C5A}"/>
    <cellStyle name="20% - Accent2 2 3 12" xfId="33631" xr:uid="{C1F71C4B-7929-4C15-BFD1-F6FCF8189492}"/>
    <cellStyle name="20% - Accent2 2 3 2" xfId="1343" xr:uid="{C1522DE2-4469-4C05-9191-4C3EAD93E74B}"/>
    <cellStyle name="20% - Accent2 2 3 2 10" xfId="33632" xr:uid="{3E750FE5-A794-4692-9668-CD18DB311846}"/>
    <cellStyle name="20% - Accent2 2 3 2 11" xfId="33633" xr:uid="{CF6EC255-129E-4D41-9196-3BD195A39DE9}"/>
    <cellStyle name="20% - Accent2 2 3 2 2" xfId="1344" xr:uid="{D5D2E4F1-A0B3-4475-AF61-FBDD47B58618}"/>
    <cellStyle name="20% - Accent2 2 3 2 2 2" xfId="1345" xr:uid="{40D916D9-119C-4E38-9A08-C1AD08D6B878}"/>
    <cellStyle name="20% - Accent2 2 3 2 2 2 2" xfId="1346" xr:uid="{0285D1C6-E4FE-4FE5-A342-6D0338278538}"/>
    <cellStyle name="20% - Accent2 2 3 2 2 2 2 2" xfId="1347" xr:uid="{5BED2207-49A6-40C9-9571-C7BF093C9183}"/>
    <cellStyle name="20% - Accent2 2 3 2 2 2 2 2 2" xfId="33634" xr:uid="{0E45204D-F1E7-411B-AC8A-64EFADA71074}"/>
    <cellStyle name="20% - Accent2 2 3 2 2 2 2 3" xfId="1348" xr:uid="{BA78ADAB-C0E5-415F-B336-B0FBA28B5388}"/>
    <cellStyle name="20% - Accent2 2 3 2 2 2 2 3 2" xfId="33635" xr:uid="{673BB737-8F38-4D7D-B098-E950E8132D94}"/>
    <cellStyle name="20% - Accent2 2 3 2 2 2 2 4" xfId="33636" xr:uid="{78081619-3D5A-4A42-AB5E-C2EFAB1E8B68}"/>
    <cellStyle name="20% - Accent2 2 3 2 2 2 3" xfId="1349" xr:uid="{872BE613-0FE2-4940-8534-8D3E80D889CC}"/>
    <cellStyle name="20% - Accent2 2 3 2 2 2 3 2" xfId="33637" xr:uid="{916CDC6E-3159-4D8D-A95A-DBB4F876D9E6}"/>
    <cellStyle name="20% - Accent2 2 3 2 2 2 4" xfId="1350" xr:uid="{A7B126A8-9EE6-42D6-9F20-B9057B1FDCAD}"/>
    <cellStyle name="20% - Accent2 2 3 2 2 2 4 2" xfId="33638" xr:uid="{6E5C64C8-F9A9-4CD9-959E-A13372C23B09}"/>
    <cellStyle name="20% - Accent2 2 3 2 2 2 5" xfId="33639" xr:uid="{AF85DBE8-930B-4FE0-BA8D-99F0587EE71A}"/>
    <cellStyle name="20% - Accent2 2 3 2 2 3" xfId="1351" xr:uid="{53476040-3BBF-498F-961F-0305BA4C8203}"/>
    <cellStyle name="20% - Accent2 2 3 2 2 3 2" xfId="1352" xr:uid="{C629E0B6-D37F-4DB7-9160-96CAD975B284}"/>
    <cellStyle name="20% - Accent2 2 3 2 2 3 2 2" xfId="33640" xr:uid="{B2619D3E-653A-441E-B638-EF08FCA6AD84}"/>
    <cellStyle name="20% - Accent2 2 3 2 2 3 3" xfId="1353" xr:uid="{D4CC97F5-FDAA-4FCC-9DBB-42891F34EFEE}"/>
    <cellStyle name="20% - Accent2 2 3 2 2 3 3 2" xfId="33641" xr:uid="{ECFDF740-A8FB-45F8-8A1F-8E01E1DD9016}"/>
    <cellStyle name="20% - Accent2 2 3 2 2 3 4" xfId="33642" xr:uid="{287CBA24-EAB4-4E76-B73C-E4EB4D3E144D}"/>
    <cellStyle name="20% - Accent2 2 3 2 2 4" xfId="1354" xr:uid="{812CAD99-6CCB-400E-82E8-4DE39D27F8BF}"/>
    <cellStyle name="20% - Accent2 2 3 2 2 4 2" xfId="33643" xr:uid="{DE620380-4618-4C14-A884-22A34FB96E06}"/>
    <cellStyle name="20% - Accent2 2 3 2 2 5" xfId="1355" xr:uid="{0A15B2C9-ACD5-47EA-9F15-45744E44DA37}"/>
    <cellStyle name="20% - Accent2 2 3 2 2 5 2" xfId="33644" xr:uid="{55C74855-FAB3-42BB-9964-CD95E29600BD}"/>
    <cellStyle name="20% - Accent2 2 3 2 2 6" xfId="33645" xr:uid="{89FB59AD-3E9F-4535-9FC6-FD761B035610}"/>
    <cellStyle name="20% - Accent2 2 3 2 3" xfId="1356" xr:uid="{6BAB46FD-54F3-4707-ADED-5E61661298CD}"/>
    <cellStyle name="20% - Accent2 2 3 2 3 2" xfId="1357" xr:uid="{9A44EAAE-4908-490C-9AAE-E674B0AFD55B}"/>
    <cellStyle name="20% - Accent2 2 3 2 3 2 2" xfId="1358" xr:uid="{FFE3859B-2841-48BB-A117-8C673299E582}"/>
    <cellStyle name="20% - Accent2 2 3 2 3 2 2 2" xfId="33646" xr:uid="{27A70FD6-5981-4C0C-88FA-E4016A8238F4}"/>
    <cellStyle name="20% - Accent2 2 3 2 3 2 3" xfId="1359" xr:uid="{CEE4A216-4A55-4DA7-A7C2-9C4F71A76AED}"/>
    <cellStyle name="20% - Accent2 2 3 2 3 2 3 2" xfId="33647" xr:uid="{E02D4A5B-D46F-4317-B86B-55BF026B4C4D}"/>
    <cellStyle name="20% - Accent2 2 3 2 3 2 4" xfId="33648" xr:uid="{CCD9B54D-AA33-4B05-9D43-D22D0810D4B2}"/>
    <cellStyle name="20% - Accent2 2 3 2 3 3" xfId="1360" xr:uid="{987E2C4E-7917-4C86-9A3F-9D2F61A58208}"/>
    <cellStyle name="20% - Accent2 2 3 2 3 3 2" xfId="33649" xr:uid="{6797ADEA-DF1E-4899-812B-346CC71CFA66}"/>
    <cellStyle name="20% - Accent2 2 3 2 3 4" xfId="1361" xr:uid="{981EB1E4-34F8-4D5A-A07A-483DA225789D}"/>
    <cellStyle name="20% - Accent2 2 3 2 3 4 2" xfId="33650" xr:uid="{62153403-9B5C-4684-84E0-84A8F4875958}"/>
    <cellStyle name="20% - Accent2 2 3 2 3 5" xfId="33651" xr:uid="{2D39B456-4A71-4E9A-9F80-BBDFF13EBD71}"/>
    <cellStyle name="20% - Accent2 2 3 2 4" xfId="1362" xr:uid="{B91255EA-9947-4AA0-BB6D-CA6A753E6C59}"/>
    <cellStyle name="20% - Accent2 2 3 2 4 2" xfId="1363" xr:uid="{DEC9A30B-824E-4B88-8F8A-03D070C98A59}"/>
    <cellStyle name="20% - Accent2 2 3 2 4 2 2" xfId="33652" xr:uid="{429E413E-BFAA-4433-B852-736FBE7BA3A1}"/>
    <cellStyle name="20% - Accent2 2 3 2 4 3" xfId="1364" xr:uid="{4A806E11-178E-486F-B424-4BF8B2377EA8}"/>
    <cellStyle name="20% - Accent2 2 3 2 4 3 2" xfId="33653" xr:uid="{114DF9CB-CC1C-4F09-A0C8-D20C52B9C9FF}"/>
    <cellStyle name="20% - Accent2 2 3 2 4 4" xfId="33654" xr:uid="{35FE7E82-256A-459E-AA79-429CA21B37D7}"/>
    <cellStyle name="20% - Accent2 2 3 2 5" xfId="1365" xr:uid="{58C86017-9A46-4413-8C0B-B44382C07473}"/>
    <cellStyle name="20% - Accent2 2 3 2 5 2" xfId="33655" xr:uid="{A8941479-220B-4C68-B091-889E5DAE15AB}"/>
    <cellStyle name="20% - Accent2 2 3 2 5 2 2" xfId="33656" xr:uid="{2AE3629A-FD65-4A7F-A280-B21E86E8A2DC}"/>
    <cellStyle name="20% - Accent2 2 3 2 5 3" xfId="33657" xr:uid="{C5B04359-6E3E-46D8-863C-EA5E85BB37B2}"/>
    <cellStyle name="20% - Accent2 2 3 2 5 3 2" xfId="33658" xr:uid="{ACA282F3-66C8-4A20-93A3-9C2EA8E891FD}"/>
    <cellStyle name="20% - Accent2 2 3 2 5 4" xfId="33659" xr:uid="{2A0BF3BB-1645-4949-9F77-18B91F4E0178}"/>
    <cellStyle name="20% - Accent2 2 3 2 6" xfId="1366" xr:uid="{39F6E5C0-09BE-4DB6-823E-7F4C70610992}"/>
    <cellStyle name="20% - Accent2 2 3 2 6 2" xfId="33660" xr:uid="{698398BE-DB4E-474C-A20C-B06066434BB9}"/>
    <cellStyle name="20% - Accent2 2 3 2 6 2 2" xfId="33661" xr:uid="{0560ABBB-B425-4A2C-AE2D-07AF5A0D9330}"/>
    <cellStyle name="20% - Accent2 2 3 2 6 3" xfId="33662" xr:uid="{D5B61BB7-8466-49BD-8945-1C9A4B8827A7}"/>
    <cellStyle name="20% - Accent2 2 3 2 6 3 2" xfId="33663" xr:uid="{51E8C268-1CFD-4EA4-AF1D-A67B11C35E3A}"/>
    <cellStyle name="20% - Accent2 2 3 2 6 4" xfId="33664" xr:uid="{FBDD808E-E3F3-436F-B886-27CD40D0DFE5}"/>
    <cellStyle name="20% - Accent2 2 3 2 7" xfId="1367" xr:uid="{EF27616C-2942-4962-8BF5-E4080D1FF162}"/>
    <cellStyle name="20% - Accent2 2 3 2 7 2" xfId="33665" xr:uid="{CD806028-4355-446D-8B64-199AA839FB84}"/>
    <cellStyle name="20% - Accent2 2 3 2 7 2 2" xfId="33666" xr:uid="{B85986EB-D414-4EEE-866A-B783114470D9}"/>
    <cellStyle name="20% - Accent2 2 3 2 7 3" xfId="33667" xr:uid="{3D73312D-475D-4ED6-8AB1-01D2D22A650F}"/>
    <cellStyle name="20% - Accent2 2 3 2 7 3 2" xfId="33668" xr:uid="{CDA02D1B-6A68-440A-9C65-AACDA4944487}"/>
    <cellStyle name="20% - Accent2 2 3 2 7 4" xfId="33669" xr:uid="{D835FD97-9265-4D9D-B741-84BC4B5774C5}"/>
    <cellStyle name="20% - Accent2 2 3 2 8" xfId="33670" xr:uid="{8C320780-D243-4929-AB1E-2AD287353842}"/>
    <cellStyle name="20% - Accent2 2 3 2 8 2" xfId="33671" xr:uid="{4EC7DD76-95B9-424E-AAD3-2832AA857DC9}"/>
    <cellStyle name="20% - Accent2 2 3 2 9" xfId="33672" xr:uid="{E2A0C72F-67A7-4628-AF67-C6D92DB36DE7}"/>
    <cellStyle name="20% - Accent2 2 3 2 9 2" xfId="33673" xr:uid="{342A7522-EFC0-4234-9D8F-6E0A8463CF34}"/>
    <cellStyle name="20% - Accent2 2 3 3" xfId="1368" xr:uid="{D07153A0-0EA1-435E-ADA2-50F8BA8F66E4}"/>
    <cellStyle name="20% - Accent2 2 3 3 10" xfId="33674" xr:uid="{9D6908C6-A63D-4DA7-AB6D-B57FABDD96D0}"/>
    <cellStyle name="20% - Accent2 2 3 3 2" xfId="1369" xr:uid="{99CDF017-EED4-4A7A-8AB0-8AAF28398383}"/>
    <cellStyle name="20% - Accent2 2 3 3 2 2" xfId="1370" xr:uid="{0506B318-B788-4305-8206-2C580AF64DAC}"/>
    <cellStyle name="20% - Accent2 2 3 3 2 2 2" xfId="1371" xr:uid="{0A42A21D-8103-4EBE-85F4-12D99E146F94}"/>
    <cellStyle name="20% - Accent2 2 3 3 2 2 2 2" xfId="33675" xr:uid="{E6F12071-D1F4-4478-8002-BA4696BBAD4B}"/>
    <cellStyle name="20% - Accent2 2 3 3 2 2 3" xfId="1372" xr:uid="{EB751DA6-BD24-473F-94A3-A5578059079D}"/>
    <cellStyle name="20% - Accent2 2 3 3 2 2 3 2" xfId="33676" xr:uid="{529301DF-501A-4282-B3AC-0A199BDAE8B5}"/>
    <cellStyle name="20% - Accent2 2 3 3 2 2 4" xfId="33677" xr:uid="{4C3071B7-0156-4FCB-B911-E2348DFE8353}"/>
    <cellStyle name="20% - Accent2 2 3 3 2 3" xfId="1373" xr:uid="{5338F88F-1EEB-47A1-A0B2-613DEEF242D1}"/>
    <cellStyle name="20% - Accent2 2 3 3 2 3 2" xfId="33678" xr:uid="{2EC5D7FB-EAFB-4E55-8B53-4CA3D8BC4EE2}"/>
    <cellStyle name="20% - Accent2 2 3 3 2 4" xfId="1374" xr:uid="{01A8D863-6E97-457E-AE95-EC00641E2C2B}"/>
    <cellStyle name="20% - Accent2 2 3 3 2 4 2" xfId="33679" xr:uid="{F024651D-0B6B-4F17-B726-57C558D04771}"/>
    <cellStyle name="20% - Accent2 2 3 3 2 5" xfId="33680" xr:uid="{A6851AB3-A1CB-4C08-87E0-E141E234D321}"/>
    <cellStyle name="20% - Accent2 2 3 3 3" xfId="1375" xr:uid="{9088F326-1BFD-4976-8E92-3B6358039E9C}"/>
    <cellStyle name="20% - Accent2 2 3 3 3 2" xfId="1376" xr:uid="{E57FEF59-C64F-4D1E-B8B1-0A7307457231}"/>
    <cellStyle name="20% - Accent2 2 3 3 3 2 2" xfId="33681" xr:uid="{451F08DB-37BF-4AB7-8B60-90B604794F26}"/>
    <cellStyle name="20% - Accent2 2 3 3 3 3" xfId="1377" xr:uid="{02280166-9959-4D5A-AE23-19BA24241853}"/>
    <cellStyle name="20% - Accent2 2 3 3 3 3 2" xfId="33682" xr:uid="{D2309555-8AF8-4E0F-87F0-227412F52BFE}"/>
    <cellStyle name="20% - Accent2 2 3 3 3 4" xfId="33683" xr:uid="{0C36ACB5-DD70-4639-9D82-E40EC2B28AD2}"/>
    <cellStyle name="20% - Accent2 2 3 3 4" xfId="1378" xr:uid="{077971BD-141B-4A32-9EC2-099C8F937216}"/>
    <cellStyle name="20% - Accent2 2 3 3 4 2" xfId="33684" xr:uid="{69490F98-AB8A-42FC-A254-06A00E0A5C7F}"/>
    <cellStyle name="20% - Accent2 2 3 3 4 2 2" xfId="33685" xr:uid="{2500C4AB-B4D7-4D1C-9C27-53F7DD4244C6}"/>
    <cellStyle name="20% - Accent2 2 3 3 4 3" xfId="33686" xr:uid="{AEBF2636-0022-46BD-AC8A-2F00EB5893FC}"/>
    <cellStyle name="20% - Accent2 2 3 3 4 3 2" xfId="33687" xr:uid="{9EF98D88-E049-4FC0-BACC-976C9FFC8CD1}"/>
    <cellStyle name="20% - Accent2 2 3 3 4 4" xfId="33688" xr:uid="{116C1D06-1D9C-4E75-89EE-3044E67B51B9}"/>
    <cellStyle name="20% - Accent2 2 3 3 5" xfId="1379" xr:uid="{CC3D3DD1-E972-4F95-8246-9D81F2072B2C}"/>
    <cellStyle name="20% - Accent2 2 3 3 5 2" xfId="33689" xr:uid="{D0CD8B23-3223-465F-8193-E9BE54F5F46B}"/>
    <cellStyle name="20% - Accent2 2 3 3 5 2 2" xfId="33690" xr:uid="{9D811F35-8D28-453D-9EF3-B79C3BCDA20B}"/>
    <cellStyle name="20% - Accent2 2 3 3 5 3" xfId="33691" xr:uid="{93DAB1FD-780D-4972-B747-5CDA3E725AFB}"/>
    <cellStyle name="20% - Accent2 2 3 3 5 3 2" xfId="33692" xr:uid="{75F1406C-98D5-4294-98FE-D3A2765395DF}"/>
    <cellStyle name="20% - Accent2 2 3 3 5 4" xfId="33693" xr:uid="{3572B6BA-5625-4CA2-AB9F-9B59C0737E80}"/>
    <cellStyle name="20% - Accent2 2 3 3 6" xfId="1380" xr:uid="{16FBE3E0-27D6-4F71-AB98-3B431CA30123}"/>
    <cellStyle name="20% - Accent2 2 3 3 6 2" xfId="33694" xr:uid="{F9F41818-10C4-4E64-BCD5-3C8969589353}"/>
    <cellStyle name="20% - Accent2 2 3 3 6 2 2" xfId="33695" xr:uid="{E121EC10-D8A6-4628-97C6-9126F3F4529E}"/>
    <cellStyle name="20% - Accent2 2 3 3 6 3" xfId="33696" xr:uid="{26AEE2C8-6666-4BF0-973F-835932155514}"/>
    <cellStyle name="20% - Accent2 2 3 3 6 3 2" xfId="33697" xr:uid="{40FE80D2-5650-4E2B-9484-BAC43C774D07}"/>
    <cellStyle name="20% - Accent2 2 3 3 6 4" xfId="33698" xr:uid="{786B3A1B-52A3-4B82-A34B-2A13E6585536}"/>
    <cellStyle name="20% - Accent2 2 3 3 7" xfId="33699" xr:uid="{6466286B-8A56-477D-8C08-F46125851C0D}"/>
    <cellStyle name="20% - Accent2 2 3 3 7 2" xfId="33700" xr:uid="{216E6DDB-3A22-4D67-9318-9D11BCCD991B}"/>
    <cellStyle name="20% - Accent2 2 3 3 8" xfId="33701" xr:uid="{C3C751D4-0F9D-44CF-9830-3246917A3563}"/>
    <cellStyle name="20% - Accent2 2 3 3 8 2" xfId="33702" xr:uid="{1192AFAF-AFF3-4B5F-8987-1334686C1D8F}"/>
    <cellStyle name="20% - Accent2 2 3 3 9" xfId="33703" xr:uid="{03B6DF11-7E0F-48C9-950F-4702F87B519C}"/>
    <cellStyle name="20% - Accent2 2 3 4" xfId="1381" xr:uid="{CF90BEA7-7E11-4561-9439-E6FB23870091}"/>
    <cellStyle name="20% - Accent2 2 3 4 2" xfId="1382" xr:uid="{1CE657C6-D7F0-431B-915C-F3040EADEFAC}"/>
    <cellStyle name="20% - Accent2 2 3 4 2 2" xfId="1383" xr:uid="{A4466181-C214-4F4C-8790-770CB17D981B}"/>
    <cellStyle name="20% - Accent2 2 3 4 2 2 2" xfId="33704" xr:uid="{59CC0392-0650-4060-92B0-45AFBEAFCA2B}"/>
    <cellStyle name="20% - Accent2 2 3 4 2 3" xfId="1384" xr:uid="{ACD8BD03-1665-4316-BB60-AE23E4FA7F1A}"/>
    <cellStyle name="20% - Accent2 2 3 4 2 3 2" xfId="33705" xr:uid="{4510A5C5-D991-4A56-ADF4-6CA8447DE6AE}"/>
    <cellStyle name="20% - Accent2 2 3 4 2 4" xfId="33706" xr:uid="{E9E54A86-8C0D-47B8-9ABD-7A9F3034CB6A}"/>
    <cellStyle name="20% - Accent2 2 3 4 3" xfId="1385" xr:uid="{CF106C6E-A06E-41C5-ADAF-A0C68D4BD2FD}"/>
    <cellStyle name="20% - Accent2 2 3 4 3 2" xfId="33707" xr:uid="{F67BF79E-7DE9-46BE-A7CE-62357318AE14}"/>
    <cellStyle name="20% - Accent2 2 3 4 3 2 2" xfId="33708" xr:uid="{3FA3FE23-E945-4C0A-B295-39821CDAC3AA}"/>
    <cellStyle name="20% - Accent2 2 3 4 3 3" xfId="33709" xr:uid="{CC1F6545-8269-4958-9F2A-9FB4C225E6B1}"/>
    <cellStyle name="20% - Accent2 2 3 4 3 3 2" xfId="33710" xr:uid="{30968B0F-04B9-415F-AA84-B2A68041BC6F}"/>
    <cellStyle name="20% - Accent2 2 3 4 3 4" xfId="33711" xr:uid="{48D89C37-3DD5-4C66-90BE-10B8C50A0695}"/>
    <cellStyle name="20% - Accent2 2 3 4 4" xfId="1386" xr:uid="{AD68CEF9-C250-4B22-AA1D-E65C19C73799}"/>
    <cellStyle name="20% - Accent2 2 3 4 4 2" xfId="33712" xr:uid="{9704300D-D2F5-4A02-A6A1-10CD23F77755}"/>
    <cellStyle name="20% - Accent2 2 3 4 4 2 2" xfId="33713" xr:uid="{035AE17C-7E5A-4FDB-A907-7CC9851A616C}"/>
    <cellStyle name="20% - Accent2 2 3 4 4 3" xfId="33714" xr:uid="{45E25AFB-0CD5-4B8E-B46F-C8E77A67AF0A}"/>
    <cellStyle name="20% - Accent2 2 3 4 4 3 2" xfId="33715" xr:uid="{FF1C7A60-E26B-408E-8C32-66114E3B91A7}"/>
    <cellStyle name="20% - Accent2 2 3 4 4 4" xfId="33716" xr:uid="{3BC15F48-C397-4384-98E7-777A7C02E59C}"/>
    <cellStyle name="20% - Accent2 2 3 4 5" xfId="33717" xr:uid="{6F648B68-1CD0-4E5D-9CCE-4A8BAA7FA0A4}"/>
    <cellStyle name="20% - Accent2 2 3 4 5 2" xfId="33718" xr:uid="{C07BFB97-9153-4C09-B81C-58DC5A988147}"/>
    <cellStyle name="20% - Accent2 2 3 4 5 2 2" xfId="33719" xr:uid="{7360B11B-2922-46AC-AE2D-F30248161981}"/>
    <cellStyle name="20% - Accent2 2 3 4 5 3" xfId="33720" xr:uid="{941EA333-E60C-4F56-8B9B-3E54D36621E8}"/>
    <cellStyle name="20% - Accent2 2 3 4 5 3 2" xfId="33721" xr:uid="{C2FBAB1A-0716-4EF5-8A0D-FD754110D826}"/>
    <cellStyle name="20% - Accent2 2 3 4 5 4" xfId="33722" xr:uid="{CEC034D7-E135-45A7-BED5-921F30247B24}"/>
    <cellStyle name="20% - Accent2 2 3 4 6" xfId="33723" xr:uid="{EDB58E9B-0DCA-4FC5-BA70-6AAEA3556547}"/>
    <cellStyle name="20% - Accent2 2 3 4 6 2" xfId="33724" xr:uid="{BDE1DFA7-BEEE-46D3-A7F4-F7293B2DFA01}"/>
    <cellStyle name="20% - Accent2 2 3 4 7" xfId="33725" xr:uid="{6C04D92C-FF12-49DD-BA70-9A99D768B29C}"/>
    <cellStyle name="20% - Accent2 2 3 4 7 2" xfId="33726" xr:uid="{784E16F0-4120-41F1-9758-B4442EC907CF}"/>
    <cellStyle name="20% - Accent2 2 3 4 8" xfId="33727" xr:uid="{6FD86539-02E8-4DE2-96EA-EAA76A7F7EA8}"/>
    <cellStyle name="20% - Accent2 2 3 5" xfId="1387" xr:uid="{7A0C7FCE-CC9F-481E-9BE1-F22609DB392E}"/>
    <cellStyle name="20% - Accent2 2 3 5 2" xfId="1388" xr:uid="{FC28B104-7576-48BD-B53F-2350ED377228}"/>
    <cellStyle name="20% - Accent2 2 3 5 2 2" xfId="1389" xr:uid="{BAD74831-834C-4B35-86F2-E1E97B4E3906}"/>
    <cellStyle name="20% - Accent2 2 3 5 2 2 2" xfId="33728" xr:uid="{39462DB7-A440-41F9-9A73-04A62B39B77A}"/>
    <cellStyle name="20% - Accent2 2 3 5 2 3" xfId="1390" xr:uid="{312DFEFD-AFC8-4E43-A55A-094906B3E5C0}"/>
    <cellStyle name="20% - Accent2 2 3 5 2 3 2" xfId="33729" xr:uid="{498C1E95-EB25-455F-A90D-2446191E3FC3}"/>
    <cellStyle name="20% - Accent2 2 3 5 2 4" xfId="33730" xr:uid="{8A7959F8-4DEA-433E-A00F-5739472568CA}"/>
    <cellStyle name="20% - Accent2 2 3 5 3" xfId="1391" xr:uid="{D6C3DE5C-C15F-453A-AC3C-7E4EB7CC4A6F}"/>
    <cellStyle name="20% - Accent2 2 3 5 3 2" xfId="33731" xr:uid="{613A5A5A-5456-424F-906F-E4A4BCAD83DF}"/>
    <cellStyle name="20% - Accent2 2 3 5 3 2 2" xfId="33732" xr:uid="{7A71EA00-8A62-4C18-B662-7E57F943A9C8}"/>
    <cellStyle name="20% - Accent2 2 3 5 3 3" xfId="33733" xr:uid="{60CEBA61-BCF6-4F33-9FBD-2198AF16038D}"/>
    <cellStyle name="20% - Accent2 2 3 5 3 3 2" xfId="33734" xr:uid="{D576F3B3-F4BB-4927-8F19-A6591CA7A3F3}"/>
    <cellStyle name="20% - Accent2 2 3 5 3 4" xfId="33735" xr:uid="{003CF735-1AEC-4501-9167-DAA8DF03B3DA}"/>
    <cellStyle name="20% - Accent2 2 3 5 4" xfId="1392" xr:uid="{17DDEEDB-DC7A-4EE1-86AA-459CD3B9EDF9}"/>
    <cellStyle name="20% - Accent2 2 3 5 4 2" xfId="33736" xr:uid="{46744671-60E4-41DB-97A6-8892CFC0B46E}"/>
    <cellStyle name="20% - Accent2 2 3 5 4 2 2" xfId="33737" xr:uid="{C0649795-CA57-40C7-9654-0362BC368A56}"/>
    <cellStyle name="20% - Accent2 2 3 5 4 3" xfId="33738" xr:uid="{9FBA65BE-F073-48A0-BCF6-96F3DE5F3CE3}"/>
    <cellStyle name="20% - Accent2 2 3 5 4 3 2" xfId="33739" xr:uid="{7FBEFC29-DF87-48F6-8678-8E40D32F5601}"/>
    <cellStyle name="20% - Accent2 2 3 5 4 4" xfId="33740" xr:uid="{A1A671D1-DAF9-43AA-A372-C746B449BCA7}"/>
    <cellStyle name="20% - Accent2 2 3 5 5" xfId="33741" xr:uid="{09851F3F-A042-4079-BC33-BD0A55AC7574}"/>
    <cellStyle name="20% - Accent2 2 3 5 5 2" xfId="33742" xr:uid="{4B52FFDD-3C4E-436D-96BB-7DFD6901A521}"/>
    <cellStyle name="20% - Accent2 2 3 5 6" xfId="33743" xr:uid="{43C88C67-8595-4676-B479-AA6AD6C9922C}"/>
    <cellStyle name="20% - Accent2 2 3 5 6 2" xfId="33744" xr:uid="{800DF660-F09A-4F39-975C-4E979AB916F5}"/>
    <cellStyle name="20% - Accent2 2 3 5 7" xfId="33745" xr:uid="{916D7718-AA1B-4118-ADD3-50121B9E9EB5}"/>
    <cellStyle name="20% - Accent2 2 3 6" xfId="1393" xr:uid="{BF3C9FEC-5B8C-4059-90E2-732D75A889D1}"/>
    <cellStyle name="20% - Accent2 2 3 6 2" xfId="1394" xr:uid="{23DC8072-2272-467A-AB2E-1C236E4F697C}"/>
    <cellStyle name="20% - Accent2 2 3 6 2 2" xfId="33746" xr:uid="{9F4B0BFD-4658-4B3B-8468-114E29C8EC94}"/>
    <cellStyle name="20% - Accent2 2 3 6 3" xfId="1395" xr:uid="{88814949-3B2A-4F75-B64C-ED669E94DF64}"/>
    <cellStyle name="20% - Accent2 2 3 6 3 2" xfId="33747" xr:uid="{9E9094F2-CC3B-4EB2-908D-DA241BE4C87B}"/>
    <cellStyle name="20% - Accent2 2 3 6 4" xfId="33748" xr:uid="{211F4C79-F12F-4363-AB47-3398B8371637}"/>
    <cellStyle name="20% - Accent2 2 3 7" xfId="1396" xr:uid="{A76121A0-0039-4E20-A030-BAEAE71BACAE}"/>
    <cellStyle name="20% - Accent2 2 3 7 2" xfId="33749" xr:uid="{7871AB1A-D09A-4897-A1E6-797D5E03C87D}"/>
    <cellStyle name="20% - Accent2 2 3 7 2 2" xfId="33750" xr:uid="{F8C94AC3-67C2-49A2-BB8C-82E3BEA465CA}"/>
    <cellStyle name="20% - Accent2 2 3 7 3" xfId="33751" xr:uid="{96E6292B-EBC5-47C3-B5AB-043333ACE40C}"/>
    <cellStyle name="20% - Accent2 2 3 7 3 2" xfId="33752" xr:uid="{2DE73A5A-ABEB-4AC9-8BBC-7C125694480D}"/>
    <cellStyle name="20% - Accent2 2 3 7 4" xfId="33753" xr:uid="{975506B8-4B38-4059-8E4B-927762AF6E77}"/>
    <cellStyle name="20% - Accent2 2 3 8" xfId="1397" xr:uid="{8714C52F-DD26-4CA9-95ED-29926F431AA6}"/>
    <cellStyle name="20% - Accent2 2 3 8 2" xfId="33754" xr:uid="{0A6C7CF3-BC1C-4DD0-8A3E-E77AA1D3872E}"/>
    <cellStyle name="20% - Accent2 2 3 8 2 2" xfId="33755" xr:uid="{BC767DF3-4517-4FBF-B971-146861DA485A}"/>
    <cellStyle name="20% - Accent2 2 3 8 3" xfId="33756" xr:uid="{E03BC2CE-7B51-4B91-8E3A-1CB710A56537}"/>
    <cellStyle name="20% - Accent2 2 3 8 3 2" xfId="33757" xr:uid="{13A16CBB-7DD9-4799-9BCF-08A9E536A92F}"/>
    <cellStyle name="20% - Accent2 2 3 8 4" xfId="33758" xr:uid="{8A62B524-B7C9-4FCA-A49B-E8234012122D}"/>
    <cellStyle name="20% - Accent2 2 3 9" xfId="1398" xr:uid="{3B9C8721-2A93-4D5F-AE1B-2128FBDB5042}"/>
    <cellStyle name="20% - Accent2 2 3 9 2" xfId="33759" xr:uid="{198CCB34-1D17-46FD-AA30-45C03E9E4733}"/>
    <cellStyle name="20% - Accent2 2 4" xfId="1399" xr:uid="{F6B3F6BF-2C85-4862-A5B1-CB82D6047DF4}"/>
    <cellStyle name="20% - Accent2 2 4 2" xfId="1400" xr:uid="{9E6ACA75-5146-4F8F-B0ED-9B9273882EDE}"/>
    <cellStyle name="20% - Accent2 2 4 2 2" xfId="1401" xr:uid="{214A74B2-46C5-4DAA-8E62-635F25CD1774}"/>
    <cellStyle name="20% - Accent2 2 4 2 2 2" xfId="33760" xr:uid="{5B525FF3-DA10-4234-9404-491386B38D9D}"/>
    <cellStyle name="20% - Accent2 2 4 2 2 2 2" xfId="33761" xr:uid="{C2A0D764-264C-4AB9-8CEE-0F451A8D1710}"/>
    <cellStyle name="20% - Accent2 2 4 2 2 3" xfId="33762" xr:uid="{AF9F2E03-7ECD-4C70-8840-B4EB03303C5A}"/>
    <cellStyle name="20% - Accent2 2 4 2 2 3 2" xfId="33763" xr:uid="{D30DF87F-E46A-4687-B5BB-5AC78FAB05E5}"/>
    <cellStyle name="20% - Accent2 2 4 2 2 4" xfId="33764" xr:uid="{99F6094A-CEAF-4563-8525-181DDDAA20AC}"/>
    <cellStyle name="20% - Accent2 2 4 2 3" xfId="1402" xr:uid="{4FDAFBEE-7FAF-438E-9BEE-68B21A321F8F}"/>
    <cellStyle name="20% - Accent2 2 4 2 3 2" xfId="33765" xr:uid="{87D96624-DF56-40C4-B4A3-6B5626835E3D}"/>
    <cellStyle name="20% - Accent2 2 4 2 3 2 2" xfId="33766" xr:uid="{16C0046E-B85F-47E1-96AA-AB716B085B86}"/>
    <cellStyle name="20% - Accent2 2 4 2 3 3" xfId="33767" xr:uid="{42C4CAC9-DA10-4EDF-A4F4-258E286107A5}"/>
    <cellStyle name="20% - Accent2 2 4 2 3 3 2" xfId="33768" xr:uid="{EFBA9DFB-5979-4997-8FFE-928262403A7E}"/>
    <cellStyle name="20% - Accent2 2 4 2 3 4" xfId="33769" xr:uid="{89389E89-3075-432B-9FC2-EE470F79F14B}"/>
    <cellStyle name="20% - Accent2 2 4 2 4" xfId="33770" xr:uid="{D8456976-DA68-4A76-A3B9-1963F546BB3F}"/>
    <cellStyle name="20% - Accent2 2 4 2 4 2" xfId="33771" xr:uid="{3AAD631B-6036-4617-90DA-E3077083D8F5}"/>
    <cellStyle name="20% - Accent2 2 4 2 4 2 2" xfId="33772" xr:uid="{FA2D1310-EAF7-45A1-AD38-46CBD34F6914}"/>
    <cellStyle name="20% - Accent2 2 4 2 4 3" xfId="33773" xr:uid="{CA468882-3561-4488-BFC6-09FE28396586}"/>
    <cellStyle name="20% - Accent2 2 4 2 4 3 2" xfId="33774" xr:uid="{A7D6C294-3882-4E64-BBFE-ABB5F91E619A}"/>
    <cellStyle name="20% - Accent2 2 4 2 4 4" xfId="33775" xr:uid="{F353247D-4508-401F-A4FB-CF2481072957}"/>
    <cellStyle name="20% - Accent2 2 4 2 5" xfId="33776" xr:uid="{05065C1D-8A53-4FA5-B28E-4FAA948E4316}"/>
    <cellStyle name="20% - Accent2 2 4 2 5 2" xfId="33777" xr:uid="{A0D5AFE1-2B6A-4976-A561-0E47876DB0F8}"/>
    <cellStyle name="20% - Accent2 2 4 2 6" xfId="33778" xr:uid="{915B6B91-F71B-4536-9910-C634ABB518D3}"/>
    <cellStyle name="20% - Accent2 2 4 2 6 2" xfId="33779" xr:uid="{CFC80ADC-B161-4636-891E-3D722BBD347B}"/>
    <cellStyle name="20% - Accent2 2 4 2 7" xfId="33780" xr:uid="{EA01558F-5124-4257-AAD4-50FCE602FE45}"/>
    <cellStyle name="20% - Accent2 2 4 3" xfId="1403" xr:uid="{56B27A66-2623-447B-9FBD-BA82BB9CDB00}"/>
    <cellStyle name="20% - Accent2 2 4 3 2" xfId="33781" xr:uid="{02E658E0-EDF3-4FAE-AC7D-45D4FE39B5CC}"/>
    <cellStyle name="20% - Accent2 2 4 3 2 2" xfId="33782" xr:uid="{81725E95-DBFA-44C8-938B-888ED71342B4}"/>
    <cellStyle name="20% - Accent2 2 4 3 2 2 2" xfId="33783" xr:uid="{84619A5E-02D7-44F4-B4E5-9A35F5C6F83F}"/>
    <cellStyle name="20% - Accent2 2 4 3 2 3" xfId="33784" xr:uid="{90987B1C-5E2D-49AD-AECB-B6BA7D78D9F4}"/>
    <cellStyle name="20% - Accent2 2 4 3 2 3 2" xfId="33785" xr:uid="{1851C8C1-5076-4603-89AA-8B9B95939F6B}"/>
    <cellStyle name="20% - Accent2 2 4 3 2 4" xfId="33786" xr:uid="{B22D62A6-CFA2-4CDC-9864-7E91E3490878}"/>
    <cellStyle name="20% - Accent2 2 4 3 3" xfId="33787" xr:uid="{872B4820-441F-430B-9525-F0588812A7B2}"/>
    <cellStyle name="20% - Accent2 2 4 3 3 2" xfId="33788" xr:uid="{B1379D4C-AD68-4883-AD1E-439029F2EFF1}"/>
    <cellStyle name="20% - Accent2 2 4 3 3 2 2" xfId="33789" xr:uid="{C904ADA0-3908-4013-8D0F-FF8A52B39E09}"/>
    <cellStyle name="20% - Accent2 2 4 3 3 3" xfId="33790" xr:uid="{B41C935E-0952-4E00-9000-93B2F3D376E5}"/>
    <cellStyle name="20% - Accent2 2 4 3 3 3 2" xfId="33791" xr:uid="{4A95BA2B-565A-498C-AF34-AECF5153EB13}"/>
    <cellStyle name="20% - Accent2 2 4 3 3 4" xfId="33792" xr:uid="{E60F1F6E-51F3-42BF-BAC1-988A475BD8EA}"/>
    <cellStyle name="20% - Accent2 2 4 3 4" xfId="33793" xr:uid="{1EC59F88-6967-4BD7-A799-24D8756DF44B}"/>
    <cellStyle name="20% - Accent2 2 4 3 4 2" xfId="33794" xr:uid="{1EA37909-AF8B-44AC-92C0-DD09DC0B9B56}"/>
    <cellStyle name="20% - Accent2 2 4 3 4 2 2" xfId="33795" xr:uid="{84BC7C2A-7C0B-48B6-8D0B-E33B95AE874F}"/>
    <cellStyle name="20% - Accent2 2 4 3 4 3" xfId="33796" xr:uid="{4173A977-1F66-4529-85B1-C198BA058B2D}"/>
    <cellStyle name="20% - Accent2 2 4 3 4 3 2" xfId="33797" xr:uid="{38CFEB4F-B566-46DB-B6F9-085DD4F67A6A}"/>
    <cellStyle name="20% - Accent2 2 4 3 4 4" xfId="33798" xr:uid="{4DEF1D5B-0833-412F-8F67-3C8837707EA3}"/>
    <cellStyle name="20% - Accent2 2 4 3 5" xfId="33799" xr:uid="{5A3DC794-F45F-4B31-BBBB-84BBBD681A1A}"/>
    <cellStyle name="20% - Accent2 2 4 3 5 2" xfId="33800" xr:uid="{AD8DEE03-86A9-4A9A-A567-8CD9A7F1B21E}"/>
    <cellStyle name="20% - Accent2 2 4 3 6" xfId="33801" xr:uid="{BADCA78F-1D68-4D23-831E-4D5564ED2423}"/>
    <cellStyle name="20% - Accent2 2 4 3 6 2" xfId="33802" xr:uid="{F8A00A2C-6231-46B7-A5E5-BAB1AE93305D}"/>
    <cellStyle name="20% - Accent2 2 4 3 7" xfId="33803" xr:uid="{8302DAF2-5EA4-4358-A514-CAE6E4FCB31E}"/>
    <cellStyle name="20% - Accent2 2 4 4" xfId="1404" xr:uid="{E3AA2D39-0939-4292-A8F4-F5B60EB57470}"/>
    <cellStyle name="20% - Accent2 2 4 4 2" xfId="33804" xr:uid="{503D0359-5410-47E1-B1A7-EC5F84CBD647}"/>
    <cellStyle name="20% - Accent2 2 4 4 2 2" xfId="33805" xr:uid="{40017121-D196-4E06-81CB-751025743DC9}"/>
    <cellStyle name="20% - Accent2 2 4 4 3" xfId="33806" xr:uid="{9731D2A8-CE54-4535-869D-C7C76D98891C}"/>
    <cellStyle name="20% - Accent2 2 4 4 3 2" xfId="33807" xr:uid="{D2A8ADF1-49CA-44A6-9819-01F5C4ED686C}"/>
    <cellStyle name="20% - Accent2 2 4 4 4" xfId="33808" xr:uid="{B49CB065-78F0-4E07-A7E9-2EBC08FB0B18}"/>
    <cellStyle name="20% - Accent2 2 4 5" xfId="1405" xr:uid="{DF0FB4C8-C5F8-441E-9398-793675F4D998}"/>
    <cellStyle name="20% - Accent2 2 4 5 2" xfId="33809" xr:uid="{8FDAFBBC-22FE-4E7E-91EF-0B32E6C81E45}"/>
    <cellStyle name="20% - Accent2 2 4 5 2 2" xfId="33810" xr:uid="{6E12B5F5-C1F3-454D-A743-358D4D253050}"/>
    <cellStyle name="20% - Accent2 2 4 5 3" xfId="33811" xr:uid="{7D658AC8-BD96-4EEB-BA0F-6C62B278EE2C}"/>
    <cellStyle name="20% - Accent2 2 4 5 3 2" xfId="33812" xr:uid="{1363B4E1-25D1-4F9E-83CE-33F2E36A8155}"/>
    <cellStyle name="20% - Accent2 2 4 5 4" xfId="33813" xr:uid="{3260CBBE-C225-430D-911F-E49CAC0BB70B}"/>
    <cellStyle name="20% - Accent2 2 4 6" xfId="33814" xr:uid="{ADF1BE82-A0ED-45F4-864A-FBA94E44E303}"/>
    <cellStyle name="20% - Accent2 2 4 6 2" xfId="33815" xr:uid="{EAB8A192-9F2E-48BD-A660-565AEE4FA083}"/>
    <cellStyle name="20% - Accent2 2 4 6 2 2" xfId="33816" xr:uid="{B60716B3-F9E6-4755-879D-E6E3D20B2A0B}"/>
    <cellStyle name="20% - Accent2 2 4 6 3" xfId="33817" xr:uid="{D092FD19-AA54-4A69-BE36-E0EE67EF2A13}"/>
    <cellStyle name="20% - Accent2 2 4 6 3 2" xfId="33818" xr:uid="{366C7153-E820-4B93-AF73-F9CE6A177947}"/>
    <cellStyle name="20% - Accent2 2 4 6 4" xfId="33819" xr:uid="{3B588671-1867-4227-AE18-2DF5D4D8EE6B}"/>
    <cellStyle name="20% - Accent2 2 4 7" xfId="33820" xr:uid="{A9B410BC-9448-4FFF-9AC2-B1BB7388EE35}"/>
    <cellStyle name="20% - Accent2 2 4 7 2" xfId="33821" xr:uid="{259CBD71-A6B4-43DF-9986-F766580BC6A4}"/>
    <cellStyle name="20% - Accent2 2 4 8" xfId="33822" xr:uid="{26EBCEA6-AEFF-4316-A306-630641F53299}"/>
    <cellStyle name="20% - Accent2 2 4 8 2" xfId="33823" xr:uid="{8F313F98-DE44-46BA-B4FD-C0D87A639600}"/>
    <cellStyle name="20% - Accent2 2 4 9" xfId="33824" xr:uid="{DE53B9E0-9B93-42CC-AECA-7D944475FCAF}"/>
    <cellStyle name="20% - Accent2 2 5" xfId="33825" xr:uid="{0BA0A41A-E26E-4FED-B5E1-47E856B3F55D}"/>
    <cellStyle name="20% - Accent2 2 5 2" xfId="33826" xr:uid="{50C5AE52-D2A1-4DB6-B929-1D81A912BD8B}"/>
    <cellStyle name="20% - Accent2 2 5 2 2" xfId="33827" xr:uid="{B7551CAC-7C41-41C7-A878-8FC8506CFFA4}"/>
    <cellStyle name="20% - Accent2 2 5 2 2 2" xfId="33828" xr:uid="{D9D602A8-0022-4E23-A022-C48284AFA8F2}"/>
    <cellStyle name="20% - Accent2 2 5 2 3" xfId="33829" xr:uid="{E43CF655-BE5D-4AD6-9F95-D536142500A6}"/>
    <cellStyle name="20% - Accent2 2 5 2 3 2" xfId="33830" xr:uid="{E9DB77E4-EF3B-404B-A304-B964B29ECF82}"/>
    <cellStyle name="20% - Accent2 2 5 2 4" xfId="33831" xr:uid="{0806994E-1EE5-4FD5-A593-563E66031588}"/>
    <cellStyle name="20% - Accent2 2 5 3" xfId="33832" xr:uid="{B9456277-7A3C-4B16-85FD-22EC2B46EB43}"/>
    <cellStyle name="20% - Accent2 2 5 3 2" xfId="33833" xr:uid="{F96C48A7-2BFA-4AAD-A081-0D8A55A7FE0D}"/>
    <cellStyle name="20% - Accent2 2 5 3 2 2" xfId="33834" xr:uid="{12AA07B5-D5AE-4A27-85C5-0A623F1F5817}"/>
    <cellStyle name="20% - Accent2 2 5 3 3" xfId="33835" xr:uid="{C2F081F5-17DB-4C40-BC7B-D57F5B14E368}"/>
    <cellStyle name="20% - Accent2 2 5 3 3 2" xfId="33836" xr:uid="{ADA7E62E-1432-44C2-A413-3C1AD9CDA8B4}"/>
    <cellStyle name="20% - Accent2 2 5 3 4" xfId="33837" xr:uid="{DD2EE816-408C-4F2B-B4F1-655005A0B31E}"/>
    <cellStyle name="20% - Accent2 2 5 4" xfId="33838" xr:uid="{BBEF62F6-6444-4B6D-9E70-83A07D66F2FF}"/>
    <cellStyle name="20% - Accent2 2 5 4 2" xfId="33839" xr:uid="{2E66011C-0A44-4662-80A8-133797BC3B4B}"/>
    <cellStyle name="20% - Accent2 2 5 4 2 2" xfId="33840" xr:uid="{6F28554D-0C4C-4055-88DD-90F88A153AA5}"/>
    <cellStyle name="20% - Accent2 2 5 4 3" xfId="33841" xr:uid="{E74478BE-7646-4474-AC5F-06397C84D2EA}"/>
    <cellStyle name="20% - Accent2 2 5 4 3 2" xfId="33842" xr:uid="{DE3AAD96-A7AF-40B8-A034-7E0D8789F847}"/>
    <cellStyle name="20% - Accent2 2 5 4 4" xfId="33843" xr:uid="{5716CED7-86BA-41F1-89C7-F1DC94DB683C}"/>
    <cellStyle name="20% - Accent2 2 5 5" xfId="33844" xr:uid="{7EB37B2D-5791-4D22-90A0-F7C0D6758E4A}"/>
    <cellStyle name="20% - Accent2 2 5 5 2" xfId="33845" xr:uid="{5010041E-C19C-4A78-BD52-2682F9D4A8EF}"/>
    <cellStyle name="20% - Accent2 2 5 6" xfId="33846" xr:uid="{A143BF2D-7FA3-4894-B656-7109B716FF5D}"/>
    <cellStyle name="20% - Accent2 2 5 6 2" xfId="33847" xr:uid="{954C08E2-1E73-40A5-A8AD-477BF0049A26}"/>
    <cellStyle name="20% - Accent2 2 5 7" xfId="33848" xr:uid="{EB576BB5-82DC-4797-BD27-F9BAA8197B53}"/>
    <cellStyle name="20% - Accent2 2 6" xfId="33849" xr:uid="{77BCF841-9E8F-45A2-9796-45940117798A}"/>
    <cellStyle name="20% - Accent2 2 6 2" xfId="33850" xr:uid="{70394E3E-D03B-4B9E-AF81-C768E4B36FD8}"/>
    <cellStyle name="20% - Accent2 2 6 2 2" xfId="33851" xr:uid="{C6C68713-E33D-49D1-99B1-39F94B37BF80}"/>
    <cellStyle name="20% - Accent2 2 6 3" xfId="33852" xr:uid="{B0DAD440-37DC-4DE0-8C7C-F113EC66B25A}"/>
    <cellStyle name="20% - Accent2 2 6 3 2" xfId="33853" xr:uid="{775F48BD-A0B7-466A-83B3-D7189BDDF9F1}"/>
    <cellStyle name="20% - Accent2 2 6 4" xfId="33854" xr:uid="{2E6FC998-0C1B-4F38-9372-019DD73CDC29}"/>
    <cellStyle name="20% - Accent2 2 7" xfId="33855" xr:uid="{E09D2638-72BD-4A60-8096-5AA57D15BD37}"/>
    <cellStyle name="20% - Accent2 2 7 2" xfId="33856" xr:uid="{A166AA41-7188-48CD-B03D-9A35FDFFC192}"/>
    <cellStyle name="20% - Accent2 2 7 2 2" xfId="33857" xr:uid="{FA7460D3-3525-4DBF-A8D3-0F2E4B2AD50A}"/>
    <cellStyle name="20% - Accent2 2 7 3" xfId="33858" xr:uid="{19B3DB88-D373-49EA-80FD-384157EC81C9}"/>
    <cellStyle name="20% - Accent2 2 7 3 2" xfId="33859" xr:uid="{2757584A-7907-43D1-8DCD-A486FF95E565}"/>
    <cellStyle name="20% - Accent2 2 7 4" xfId="33860" xr:uid="{A2394695-D17D-498B-81C6-D3EAA771837C}"/>
    <cellStyle name="20% - Accent2 2 8" xfId="33861" xr:uid="{1CCF0457-2800-4C31-B652-C24C17CBF107}"/>
    <cellStyle name="20% - Accent2 2 9" xfId="33862" xr:uid="{6A39E214-C6FA-4EFA-ADA5-42FF3EB65373}"/>
    <cellStyle name="20% - Accent2 2_PwrTax 51040" xfId="1406" xr:uid="{712D9603-BD56-4684-BFB5-41BA21D8C69A}"/>
    <cellStyle name="20% - Accent2 20" xfId="1407" xr:uid="{57531F2D-6773-4207-A44F-72E2FE715D97}"/>
    <cellStyle name="20% - Accent2 21" xfId="1408" xr:uid="{04863F17-9AD0-44D1-9BEC-7F234A4800AF}"/>
    <cellStyle name="20% - Accent2 22" xfId="1409" xr:uid="{61D0FA3B-25ED-4BE2-A21A-5E7884747169}"/>
    <cellStyle name="20% - Accent2 23" xfId="1410" xr:uid="{2C788545-1B9C-4695-8535-8AD99A4F05AD}"/>
    <cellStyle name="20% - Accent2 24" xfId="1411" xr:uid="{C6A8E283-5A49-447D-A131-9EDAB959C47A}"/>
    <cellStyle name="20% - Accent2 25" xfId="1412" xr:uid="{781D5906-FC65-4F13-8A63-2E9C30E31338}"/>
    <cellStyle name="20% - Accent2 26" xfId="1413" xr:uid="{786B86A1-6FE9-4597-A82D-A53872B8CCDB}"/>
    <cellStyle name="20% - Accent2 27" xfId="1414" xr:uid="{8F71E59D-F61A-4FF8-BA5F-D9C00C59B6E2}"/>
    <cellStyle name="20% - Accent2 28" xfId="1415" xr:uid="{0684EF35-DB06-40AD-830F-8FFF296599E5}"/>
    <cellStyle name="20% - Accent2 29" xfId="1416" xr:uid="{0879AD6F-BDEF-41F0-89FB-15013EE688FA}"/>
    <cellStyle name="20% - Accent2 3" xfId="1417" xr:uid="{2D5FAE96-7B5D-45D1-AF8C-63C0322CACD9}"/>
    <cellStyle name="20% - Accent2 3 10" xfId="33863" xr:uid="{04538E5B-24B7-437E-B813-39D5E53984E6}"/>
    <cellStyle name="20% - Accent2 3 11" xfId="43529" xr:uid="{E75136C3-E646-4AF2-8D9D-5CCEDEA00C7D}"/>
    <cellStyle name="20% - Accent2 3 2" xfId="1418" xr:uid="{2FC9698B-9502-4F95-8DAF-6AB69FD68758}"/>
    <cellStyle name="20% - Accent2 3 2 2" xfId="33864" xr:uid="{74A366FE-E012-430E-8C8C-016B358E0742}"/>
    <cellStyle name="20% - Accent2 3 2 2 2" xfId="33865" xr:uid="{899800F0-622E-4FEF-A248-00CFAB736604}"/>
    <cellStyle name="20% - Accent2 3 2 3" xfId="33866" xr:uid="{27F44EBA-A827-4EB3-B274-B6EFB7518AE9}"/>
    <cellStyle name="20% - Accent2 3 3" xfId="1419" xr:uid="{234F7C42-02F8-4BBB-8549-E13DB8DE1084}"/>
    <cellStyle name="20% - Accent2 3 3 10" xfId="33867" xr:uid="{062D45AC-579B-4263-9A5A-2903CF4F20C7}"/>
    <cellStyle name="20% - Accent2 3 3 10 2" xfId="33868" xr:uid="{8AFBF06B-A6BE-43A8-B017-A3160DFD64DC}"/>
    <cellStyle name="20% - Accent2 3 3 11" xfId="33869" xr:uid="{01901D75-DB9D-4046-A178-0DC872A92AFB}"/>
    <cellStyle name="20% - Accent2 3 3 12" xfId="33870" xr:uid="{E779B460-ABA2-452E-A645-7A84EFF6A950}"/>
    <cellStyle name="20% - Accent2 3 3 2" xfId="1420" xr:uid="{8E6814FC-1151-4DF5-A58F-5D9FF1A8FA69}"/>
    <cellStyle name="20% - Accent2 3 3 2 2" xfId="1421" xr:uid="{2D48E265-3AE7-43B1-B6DB-39738341ADB1}"/>
    <cellStyle name="20% - Accent2 3 3 2 2 2" xfId="1422" xr:uid="{A3C28541-8B2C-4D70-AADE-15098FDAABFE}"/>
    <cellStyle name="20% - Accent2 3 3 2 2 2 2" xfId="1423" xr:uid="{9C1674D4-613F-4574-BD07-A988A5F6BBC9}"/>
    <cellStyle name="20% - Accent2 3 3 2 2 2 2 2" xfId="33871" xr:uid="{3002800C-0016-4F67-82A7-458097292958}"/>
    <cellStyle name="20% - Accent2 3 3 2 2 2 3" xfId="1424" xr:uid="{630F387A-435F-4E70-8EAC-0DCDA4967495}"/>
    <cellStyle name="20% - Accent2 3 3 2 2 2 3 2" xfId="33872" xr:uid="{8C455992-3CCA-46B4-B346-E26815C76040}"/>
    <cellStyle name="20% - Accent2 3 3 2 2 2 4" xfId="33873" xr:uid="{1F2F699B-E1CC-4F4C-8412-9AA10429457D}"/>
    <cellStyle name="20% - Accent2 3 3 2 2 3" xfId="1425" xr:uid="{4D530D6D-A2E9-450D-981E-F37EFEE9275E}"/>
    <cellStyle name="20% - Accent2 3 3 2 2 3 2" xfId="33874" xr:uid="{AB374995-98B7-410E-9134-439AD039FC3D}"/>
    <cellStyle name="20% - Accent2 3 3 2 2 4" xfId="1426" xr:uid="{4B5DD4D6-1339-4700-8E30-C0713F5D18C0}"/>
    <cellStyle name="20% - Accent2 3 3 2 2 4 2" xfId="33875" xr:uid="{F8EEF849-9DF8-42B1-94D1-597DCB960CE9}"/>
    <cellStyle name="20% - Accent2 3 3 2 2 5" xfId="33876" xr:uid="{884B010C-812C-4D26-BFC4-7EF03D117AA2}"/>
    <cellStyle name="20% - Accent2 3 3 2 3" xfId="1427" xr:uid="{9476A212-4F47-4A08-AFE3-B0A2B7C6FB8D}"/>
    <cellStyle name="20% - Accent2 3 3 2 3 2" xfId="1428" xr:uid="{9FEFDF95-6BA8-48B1-A317-F6F41F4FED0E}"/>
    <cellStyle name="20% - Accent2 3 3 2 3 2 2" xfId="33877" xr:uid="{8F9AD7DA-A3FA-49EE-AEFF-9066BCFC4C9F}"/>
    <cellStyle name="20% - Accent2 3 3 2 3 3" xfId="1429" xr:uid="{34E19448-6B2A-4515-9214-B1C685D0B9B3}"/>
    <cellStyle name="20% - Accent2 3 3 2 3 3 2" xfId="33878" xr:uid="{285EB0CB-D9BA-4D3D-B90A-BFB94629B5B2}"/>
    <cellStyle name="20% - Accent2 3 3 2 3 4" xfId="33879" xr:uid="{9D95428C-AF88-4013-955B-8CAE798679FF}"/>
    <cellStyle name="20% - Accent2 3 3 2 4" xfId="1430" xr:uid="{AF82930F-4429-433F-8AE6-A92D4B7C60C2}"/>
    <cellStyle name="20% - Accent2 3 3 2 4 2" xfId="33880" xr:uid="{165FF118-8FA1-469C-B5B0-2A6946AC9D33}"/>
    <cellStyle name="20% - Accent2 3 3 2 4 2 2" xfId="33881" xr:uid="{1331FD8C-2AD5-41B5-B227-CCBAE3FAB1FE}"/>
    <cellStyle name="20% - Accent2 3 3 2 4 3" xfId="33882" xr:uid="{BA98ACFE-F0CC-48E8-AFBD-C02F69A03781}"/>
    <cellStyle name="20% - Accent2 3 3 2 4 3 2" xfId="33883" xr:uid="{D6FEE6B3-0C59-48A2-8BAB-2F015CCA3210}"/>
    <cellStyle name="20% - Accent2 3 3 2 4 4" xfId="33884" xr:uid="{F1579D22-EF65-4EC1-926F-561EF8EF975E}"/>
    <cellStyle name="20% - Accent2 3 3 2 5" xfId="1431" xr:uid="{22C847D6-9533-43FE-8EE4-A6AE020C70DD}"/>
    <cellStyle name="20% - Accent2 3 3 2 5 2" xfId="33885" xr:uid="{16C5B08D-0F9D-4396-8338-AF0BECE31A74}"/>
    <cellStyle name="20% - Accent2 3 3 2 5 2 2" xfId="33886" xr:uid="{EBC8B052-77F9-424C-AC3E-42B1AD1B4684}"/>
    <cellStyle name="20% - Accent2 3 3 2 5 3" xfId="33887" xr:uid="{7C98C27E-F3DA-42D7-9848-C56A133D6E99}"/>
    <cellStyle name="20% - Accent2 3 3 2 5 3 2" xfId="33888" xr:uid="{41D6BF09-250C-4E24-A262-3D33B0FF71CD}"/>
    <cellStyle name="20% - Accent2 3 3 2 5 4" xfId="33889" xr:uid="{2DBCA620-26E8-43FD-A57D-897E56801A65}"/>
    <cellStyle name="20% - Accent2 3 3 2 6" xfId="1432" xr:uid="{712CC3D5-E795-4F4E-B67C-C68F3A43E2EC}"/>
    <cellStyle name="20% - Accent2 3 3 2 6 2" xfId="33890" xr:uid="{125866ED-4F9F-4B07-B747-8C5D832B8248}"/>
    <cellStyle name="20% - Accent2 3 3 2 6 2 2" xfId="33891" xr:uid="{521006F1-FF80-4E31-B41B-951191841527}"/>
    <cellStyle name="20% - Accent2 3 3 2 6 3" xfId="33892" xr:uid="{07AF3588-4BC0-4D7C-ACC6-EB505CD33CC8}"/>
    <cellStyle name="20% - Accent2 3 3 2 6 3 2" xfId="33893" xr:uid="{E4E99FDD-9A96-4223-A1AE-0A2F73EED57C}"/>
    <cellStyle name="20% - Accent2 3 3 2 6 4" xfId="33894" xr:uid="{481AE3A2-55E4-4C43-9FA6-D3FCE1F0F8FA}"/>
    <cellStyle name="20% - Accent2 3 3 2 7" xfId="33895" xr:uid="{0D141B54-C463-41A3-B50C-6145DDE952D2}"/>
    <cellStyle name="20% - Accent2 3 3 2 7 2" xfId="33896" xr:uid="{E0AF9CF7-395A-4BEC-A94C-F60987AB58B4}"/>
    <cellStyle name="20% - Accent2 3 3 2 8" xfId="33897" xr:uid="{C931E85B-71D0-4299-AFF7-E1ED679204FB}"/>
    <cellStyle name="20% - Accent2 3 3 2 8 2" xfId="33898" xr:uid="{C91AEB52-FAED-4B56-A612-C79933E30E3D}"/>
    <cellStyle name="20% - Accent2 3 3 2 9" xfId="33899" xr:uid="{5EB7A98D-C327-4C95-AEDC-B0C17B03117E}"/>
    <cellStyle name="20% - Accent2 3 3 3" xfId="1433" xr:uid="{ECA49EAB-C20C-4DE8-92B1-6A3533DFCCB4}"/>
    <cellStyle name="20% - Accent2 3 3 3 2" xfId="1434" xr:uid="{150154DA-8901-4A07-81E2-D75E525C7837}"/>
    <cellStyle name="20% - Accent2 3 3 3 2 2" xfId="1435" xr:uid="{18E8F294-BF36-4B21-8488-EEFF26459128}"/>
    <cellStyle name="20% - Accent2 3 3 3 2 2 2" xfId="33900" xr:uid="{3761583C-1F97-4F2F-932E-3839AA87AF90}"/>
    <cellStyle name="20% - Accent2 3 3 3 2 3" xfId="1436" xr:uid="{01A00241-130A-4C2E-8FF0-07FE9A15629C}"/>
    <cellStyle name="20% - Accent2 3 3 3 2 3 2" xfId="33901" xr:uid="{76114BEE-7AA4-4225-84A9-7CE586C77AD1}"/>
    <cellStyle name="20% - Accent2 3 3 3 2 4" xfId="33902" xr:uid="{01825EA0-C01E-473E-9E06-A7D174A50EF0}"/>
    <cellStyle name="20% - Accent2 3 3 3 3" xfId="1437" xr:uid="{11BEED53-852B-4D18-A30B-4B367D985BB6}"/>
    <cellStyle name="20% - Accent2 3 3 3 3 2" xfId="33903" xr:uid="{F8F1DE5C-FE4C-4315-91BC-EB6F96BA251D}"/>
    <cellStyle name="20% - Accent2 3 3 3 3 2 2" xfId="33904" xr:uid="{8461591B-0A88-465C-9C00-5FBAE836DC1E}"/>
    <cellStyle name="20% - Accent2 3 3 3 3 3" xfId="33905" xr:uid="{A35937FE-9370-470E-A9D5-2385DA19C1F1}"/>
    <cellStyle name="20% - Accent2 3 3 3 3 3 2" xfId="33906" xr:uid="{AEADF081-4DE4-4B4E-9CF3-BB90437CC429}"/>
    <cellStyle name="20% - Accent2 3 3 3 3 4" xfId="33907" xr:uid="{5C79712C-A378-46E3-8663-1AE3A36B4221}"/>
    <cellStyle name="20% - Accent2 3 3 3 4" xfId="1438" xr:uid="{CC0736FA-2D2C-4D01-8819-E58331736ADE}"/>
    <cellStyle name="20% - Accent2 3 3 3 4 2" xfId="33908" xr:uid="{A1B9D427-D260-4DFA-977A-073FC38E4493}"/>
    <cellStyle name="20% - Accent2 3 3 3 4 2 2" xfId="33909" xr:uid="{5937D764-2D9E-464C-A160-AC27FD0D50BD}"/>
    <cellStyle name="20% - Accent2 3 3 3 4 3" xfId="33910" xr:uid="{D5CD2244-EEB1-42D2-90E9-7FA20961591C}"/>
    <cellStyle name="20% - Accent2 3 3 3 4 3 2" xfId="33911" xr:uid="{FF613DF2-2F89-49E9-ACAC-F062FDAC12E3}"/>
    <cellStyle name="20% - Accent2 3 3 3 4 4" xfId="33912" xr:uid="{4C3265C4-CA21-44A5-A647-27993595415D}"/>
    <cellStyle name="20% - Accent2 3 3 3 5" xfId="1439" xr:uid="{FEA5CFE2-8B1D-4AC0-9E71-25F2DDB8CDE6}"/>
    <cellStyle name="20% - Accent2 3 3 3 5 2" xfId="33913" xr:uid="{3A0287DA-F3AE-480D-BE9D-7E187CBED5DA}"/>
    <cellStyle name="20% - Accent2 3 3 3 5 2 2" xfId="33914" xr:uid="{22D44BA8-18E4-4ECC-9D7E-C108FA8692AD}"/>
    <cellStyle name="20% - Accent2 3 3 3 5 3" xfId="33915" xr:uid="{CEA429D3-EDE6-4ED0-BA13-FBF3486A848E}"/>
    <cellStyle name="20% - Accent2 3 3 3 5 3 2" xfId="33916" xr:uid="{7559F71C-E0A7-46B2-A763-594F5B2EA966}"/>
    <cellStyle name="20% - Accent2 3 3 3 5 4" xfId="33917" xr:uid="{CFE97F44-BF63-46E3-A6AD-6E7039E7E81A}"/>
    <cellStyle name="20% - Accent2 3 3 3 6" xfId="33918" xr:uid="{889BC439-4B2D-4203-841C-AA1991F107CE}"/>
    <cellStyle name="20% - Accent2 3 3 3 6 2" xfId="33919" xr:uid="{D7E95249-53E7-4D2D-9E60-5E3D7729AE53}"/>
    <cellStyle name="20% - Accent2 3 3 3 7" xfId="33920" xr:uid="{2601E310-C52E-4EE9-A603-282D3BE2C3C6}"/>
    <cellStyle name="20% - Accent2 3 3 3 7 2" xfId="33921" xr:uid="{57E1F282-4832-4A80-B362-AB81DB17C2C3}"/>
    <cellStyle name="20% - Accent2 3 3 3 8" xfId="33922" xr:uid="{7418086B-F196-4873-AE29-B9FA132509E2}"/>
    <cellStyle name="20% - Accent2 3 3 4" xfId="1440" xr:uid="{E19F4FB2-2F83-4B66-AB73-51B440979AE7}"/>
    <cellStyle name="20% - Accent2 3 3 4 2" xfId="1441" xr:uid="{8E948263-7FFB-41E8-A035-3725BD69AEC7}"/>
    <cellStyle name="20% - Accent2 3 3 4 2 2" xfId="1442" xr:uid="{343EA53A-9757-46CF-954D-BC11B0DE99AA}"/>
    <cellStyle name="20% - Accent2 3 3 4 2 2 2" xfId="33923" xr:uid="{42941677-FF26-4270-95A9-A0ECCDE58590}"/>
    <cellStyle name="20% - Accent2 3 3 4 2 3" xfId="1443" xr:uid="{2B00A308-84D7-43F7-A314-007D5BF50581}"/>
    <cellStyle name="20% - Accent2 3 3 4 2 3 2" xfId="33924" xr:uid="{215CBB3F-5F11-490F-9B6F-56235893580C}"/>
    <cellStyle name="20% - Accent2 3 3 4 2 4" xfId="33925" xr:uid="{000C0B42-2DC3-4FB6-ACAD-483F09202F28}"/>
    <cellStyle name="20% - Accent2 3 3 4 3" xfId="1444" xr:uid="{7716A743-F527-4BAE-B083-1BEF011508B0}"/>
    <cellStyle name="20% - Accent2 3 3 4 3 2" xfId="33926" xr:uid="{F8450619-9E46-4CC0-80DC-69BD3B3FC32C}"/>
    <cellStyle name="20% - Accent2 3 3 4 3 2 2" xfId="33927" xr:uid="{D9A9836A-3080-48D7-A23B-8877C458F716}"/>
    <cellStyle name="20% - Accent2 3 3 4 3 3" xfId="33928" xr:uid="{3E622E0C-E9E2-4096-BF51-B92CAFF568D2}"/>
    <cellStyle name="20% - Accent2 3 3 4 3 3 2" xfId="33929" xr:uid="{21872EF7-987F-442E-BAA4-A9D5224BAF1E}"/>
    <cellStyle name="20% - Accent2 3 3 4 3 4" xfId="33930" xr:uid="{4B44F6BF-96BA-4427-8365-FE3046E31A40}"/>
    <cellStyle name="20% - Accent2 3 3 4 4" xfId="1445" xr:uid="{1BFDE633-9CAD-43DE-BA5D-08DA41604897}"/>
    <cellStyle name="20% - Accent2 3 3 4 4 2" xfId="33931" xr:uid="{E23642BF-480D-41A9-BA51-2C5963070B7B}"/>
    <cellStyle name="20% - Accent2 3 3 4 4 2 2" xfId="33932" xr:uid="{962411F8-C833-49EC-A23A-1E6EE6E31863}"/>
    <cellStyle name="20% - Accent2 3 3 4 4 3" xfId="33933" xr:uid="{73376579-51A2-4692-903C-62BFB7EC6053}"/>
    <cellStyle name="20% - Accent2 3 3 4 4 3 2" xfId="33934" xr:uid="{9509BBAE-1778-48C4-8C1E-728A28E267BE}"/>
    <cellStyle name="20% - Accent2 3 3 4 4 4" xfId="33935" xr:uid="{42488C8C-8138-4722-9D10-671AA7AE6D44}"/>
    <cellStyle name="20% - Accent2 3 3 4 5" xfId="33936" xr:uid="{1FB522A5-4624-4E2A-BF39-EC2C037BCEEC}"/>
    <cellStyle name="20% - Accent2 3 3 4 5 2" xfId="33937" xr:uid="{4473DCCD-45AA-43D7-8BF1-53FA0B2C021F}"/>
    <cellStyle name="20% - Accent2 3 3 4 6" xfId="33938" xr:uid="{317E90F0-1948-4D16-9129-9B55491DE45C}"/>
    <cellStyle name="20% - Accent2 3 3 4 6 2" xfId="33939" xr:uid="{409FE872-1F6F-4E03-9097-1F0286058D90}"/>
    <cellStyle name="20% - Accent2 3 3 4 7" xfId="33940" xr:uid="{2376DC15-7173-43C0-9437-62A94B174E17}"/>
    <cellStyle name="20% - Accent2 3 3 5" xfId="1446" xr:uid="{A19A9430-ED48-4E72-AA5C-4D66D86A9DDB}"/>
    <cellStyle name="20% - Accent2 3 3 5 2" xfId="1447" xr:uid="{B81AF804-6602-444C-93D5-F54E685CAD98}"/>
    <cellStyle name="20% - Accent2 3 3 5 2 2" xfId="33941" xr:uid="{84F0029D-A62B-4833-A455-97CC77A7FC98}"/>
    <cellStyle name="20% - Accent2 3 3 5 2 2 2" xfId="33942" xr:uid="{B1EFEAC7-6D17-4C49-8224-860D15B0633F}"/>
    <cellStyle name="20% - Accent2 3 3 5 2 3" xfId="33943" xr:uid="{35AE40B2-29CF-4378-8E18-4F77D9F12911}"/>
    <cellStyle name="20% - Accent2 3 3 5 2 3 2" xfId="33944" xr:uid="{EF1CE6E6-69C8-43EB-8714-5CC58FB8E724}"/>
    <cellStyle name="20% - Accent2 3 3 5 2 4" xfId="33945" xr:uid="{997E388A-785A-45B1-84BD-FA6871A6D4AA}"/>
    <cellStyle name="20% - Accent2 3 3 5 3" xfId="1448" xr:uid="{8D10E6B0-3E78-4BDE-AF69-D071088730C2}"/>
    <cellStyle name="20% - Accent2 3 3 5 3 2" xfId="33946" xr:uid="{4B5C526B-9F07-4DD8-A88F-F86E437AAABB}"/>
    <cellStyle name="20% - Accent2 3 3 5 3 2 2" xfId="33947" xr:uid="{6E167879-6292-4C89-B225-895E74D2D718}"/>
    <cellStyle name="20% - Accent2 3 3 5 3 3" xfId="33948" xr:uid="{83A136AD-1641-45C3-B9E4-E72D8CA77047}"/>
    <cellStyle name="20% - Accent2 3 3 5 3 3 2" xfId="33949" xr:uid="{F4D8A82C-81E6-4EB0-9FE2-9A48900AB853}"/>
    <cellStyle name="20% - Accent2 3 3 5 3 4" xfId="33950" xr:uid="{A7AC380F-B592-44F0-BD25-0EFB7D4A4F2F}"/>
    <cellStyle name="20% - Accent2 3 3 5 4" xfId="33951" xr:uid="{B78702D8-D2AB-453B-A7EF-F661599C2186}"/>
    <cellStyle name="20% - Accent2 3 3 5 4 2" xfId="33952" xr:uid="{22CAEFA5-A6F8-4C4F-A09F-3FC0C4C1184C}"/>
    <cellStyle name="20% - Accent2 3 3 5 4 2 2" xfId="33953" xr:uid="{B8571717-967E-4355-A7EA-3FBD098B84B6}"/>
    <cellStyle name="20% - Accent2 3 3 5 4 3" xfId="33954" xr:uid="{CFFDB662-63BC-4252-9BA5-ED0E74667888}"/>
    <cellStyle name="20% - Accent2 3 3 5 4 3 2" xfId="33955" xr:uid="{930D84D2-E3CE-45EC-BD6B-924C3C147315}"/>
    <cellStyle name="20% - Accent2 3 3 5 4 4" xfId="33956" xr:uid="{9C16E8C3-DACA-4B6F-9983-66732A28BC6A}"/>
    <cellStyle name="20% - Accent2 3 3 5 5" xfId="33957" xr:uid="{17E27313-2CA9-470B-BC0D-A2FC8B799829}"/>
    <cellStyle name="20% - Accent2 3 3 5 5 2" xfId="33958" xr:uid="{D2673C49-D77F-4944-B922-61AA9B331BB4}"/>
    <cellStyle name="20% - Accent2 3 3 5 6" xfId="33959" xr:uid="{6CCE8ACF-D400-433D-B03D-77689BA40F5B}"/>
    <cellStyle name="20% - Accent2 3 3 5 6 2" xfId="33960" xr:uid="{DCDC286E-2105-4373-916F-9E77658ABED8}"/>
    <cellStyle name="20% - Accent2 3 3 5 7" xfId="33961" xr:uid="{B872EFAC-166D-44DF-800C-3706FBB9B977}"/>
    <cellStyle name="20% - Accent2 3 3 6" xfId="1449" xr:uid="{764D4AAA-1AF4-4DFE-A4A3-53A652A226FD}"/>
    <cellStyle name="20% - Accent2 3 3 6 2" xfId="33962" xr:uid="{6A3C1C90-AA5E-4A1B-A711-331583161816}"/>
    <cellStyle name="20% - Accent2 3 3 6 2 2" xfId="33963" xr:uid="{4A5D1222-5C82-45DF-AED6-C12AD360D66D}"/>
    <cellStyle name="20% - Accent2 3 3 6 3" xfId="33964" xr:uid="{42F896FB-3AE5-4012-9484-8AA082897BF4}"/>
    <cellStyle name="20% - Accent2 3 3 6 3 2" xfId="33965" xr:uid="{2DDBDF4B-2991-411D-945F-EEA0B979BCF1}"/>
    <cellStyle name="20% - Accent2 3 3 6 4" xfId="33966" xr:uid="{19E6FB8B-8187-4B81-9469-E37870BCAE3B}"/>
    <cellStyle name="20% - Accent2 3 3 7" xfId="1450" xr:uid="{03BA8EE4-6871-4268-AE5C-97E249809039}"/>
    <cellStyle name="20% - Accent2 3 3 7 2" xfId="33967" xr:uid="{38633E3B-1C02-4953-8833-6322C00860C5}"/>
    <cellStyle name="20% - Accent2 3 3 7 2 2" xfId="33968" xr:uid="{ECA79F95-F5B9-437F-B6F6-2557FFAEBDD9}"/>
    <cellStyle name="20% - Accent2 3 3 7 3" xfId="33969" xr:uid="{07E8A212-359C-476A-9F50-D6FB6E867F04}"/>
    <cellStyle name="20% - Accent2 3 3 7 3 2" xfId="33970" xr:uid="{F0ECDFFC-7AD1-49B9-90B1-FA30A021C51E}"/>
    <cellStyle name="20% - Accent2 3 3 7 4" xfId="33971" xr:uid="{FE3A147F-1089-4B13-83E9-383EE84FD8B6}"/>
    <cellStyle name="20% - Accent2 3 3 8" xfId="1451" xr:uid="{C2104C79-990E-4820-9BD2-0BC87A49CCEC}"/>
    <cellStyle name="20% - Accent2 3 3 8 2" xfId="33972" xr:uid="{B0C76CD6-376B-4D3E-AF07-D660867E412F}"/>
    <cellStyle name="20% - Accent2 3 3 8 2 2" xfId="33973" xr:uid="{3F3DD1A6-83E9-4526-A96A-266466174ED2}"/>
    <cellStyle name="20% - Accent2 3 3 8 3" xfId="33974" xr:uid="{5AD6F0E1-D687-4295-9A08-2FE308F957CC}"/>
    <cellStyle name="20% - Accent2 3 3 8 3 2" xfId="33975" xr:uid="{A4F5085B-F489-4272-9DCA-F423720F885F}"/>
    <cellStyle name="20% - Accent2 3 3 8 4" xfId="33976" xr:uid="{CAC74625-D440-4FA5-B0A8-D7C625B9213D}"/>
    <cellStyle name="20% - Accent2 3 3 9" xfId="33977" xr:uid="{A3D61B5B-E8A9-44B0-8983-E41BD66D7016}"/>
    <cellStyle name="20% - Accent2 3 3 9 2" xfId="33978" xr:uid="{035B0691-756F-4FC9-B3C8-8829C6137DBB}"/>
    <cellStyle name="20% - Accent2 3 4" xfId="1452" xr:uid="{03138106-F3C8-470E-BF57-1B0DF64532DB}"/>
    <cellStyle name="20% - Accent2 3 4 10" xfId="33979" xr:uid="{9A9AB328-81BF-4ACE-B080-8A9DB9FFFF9A}"/>
    <cellStyle name="20% - Accent2 3 4 2" xfId="1453" xr:uid="{2FAEEC44-ECD2-4351-9F7B-F9D5E24AFC1B}"/>
    <cellStyle name="20% - Accent2 3 4 2 2" xfId="1454" xr:uid="{C553A043-A7AC-429D-B15C-8A03E4F6DEC9}"/>
    <cellStyle name="20% - Accent2 3 4 2 2 2" xfId="1455" xr:uid="{E06F0CB8-512B-4BF3-966B-C527879048C7}"/>
    <cellStyle name="20% - Accent2 3 4 2 2 2 2" xfId="33980" xr:uid="{65BBAE1E-6CF9-4F1D-B045-F38D72EAC527}"/>
    <cellStyle name="20% - Accent2 3 4 2 2 3" xfId="1456" xr:uid="{BC0DC107-31CF-4AEA-92A2-EADA35654B5D}"/>
    <cellStyle name="20% - Accent2 3 4 2 2 3 2" xfId="33981" xr:uid="{E3AA315A-8203-4486-9805-96F8FF51F912}"/>
    <cellStyle name="20% - Accent2 3 4 2 2 4" xfId="33982" xr:uid="{455FC0B7-3C7A-4C44-94A6-C82D5CE80784}"/>
    <cellStyle name="20% - Accent2 3 4 2 3" xfId="1457" xr:uid="{CDC52576-B91E-47FC-96A2-85876CF0B628}"/>
    <cellStyle name="20% - Accent2 3 4 2 3 2" xfId="33983" xr:uid="{D7189ACC-0D58-4331-A3CE-683B7F6CD525}"/>
    <cellStyle name="20% - Accent2 3 4 2 3 2 2" xfId="33984" xr:uid="{0189306C-D131-4DAE-A85B-A6759B6AC74D}"/>
    <cellStyle name="20% - Accent2 3 4 2 3 3" xfId="33985" xr:uid="{C3421B60-E629-4875-98BC-E2B30E18E116}"/>
    <cellStyle name="20% - Accent2 3 4 2 3 3 2" xfId="33986" xr:uid="{1B2319FB-8172-44D8-9757-4D10DD599F2F}"/>
    <cellStyle name="20% - Accent2 3 4 2 3 4" xfId="33987" xr:uid="{33162EAA-9049-438B-A6C9-B09101E7D3F3}"/>
    <cellStyle name="20% - Accent2 3 4 2 4" xfId="1458" xr:uid="{9A4AA2EE-0CCB-4D0B-8856-654508647006}"/>
    <cellStyle name="20% - Accent2 3 4 2 4 2" xfId="33988" xr:uid="{8C024047-CAF3-427D-9703-199BE42AE06F}"/>
    <cellStyle name="20% - Accent2 3 4 2 4 2 2" xfId="33989" xr:uid="{00DF2948-45E9-482B-BB2A-FDD0C1DED478}"/>
    <cellStyle name="20% - Accent2 3 4 2 4 3" xfId="33990" xr:uid="{8D448FD8-51C1-4384-A5AF-52043F616794}"/>
    <cellStyle name="20% - Accent2 3 4 2 4 3 2" xfId="33991" xr:uid="{0ED6CB29-E487-499E-B144-13A8ECBD2696}"/>
    <cellStyle name="20% - Accent2 3 4 2 4 4" xfId="33992" xr:uid="{D6204393-64C2-44B5-A17A-FF3FA4BE1E4B}"/>
    <cellStyle name="20% - Accent2 3 4 2 5" xfId="33993" xr:uid="{F1A22051-832E-4ABC-BE5E-3AE07877FD32}"/>
    <cellStyle name="20% - Accent2 3 4 2 5 2" xfId="33994" xr:uid="{3DA728F6-D175-4828-8025-B5AE3796CF2C}"/>
    <cellStyle name="20% - Accent2 3 4 2 5 2 2" xfId="33995" xr:uid="{F35C27D3-5E49-4048-989F-60824B9F7D71}"/>
    <cellStyle name="20% - Accent2 3 4 2 5 3" xfId="33996" xr:uid="{02093EA4-E191-48E8-8872-DBCBE2AC86A5}"/>
    <cellStyle name="20% - Accent2 3 4 2 5 3 2" xfId="33997" xr:uid="{B328C644-F439-494F-A1CC-C11E169C6B4C}"/>
    <cellStyle name="20% - Accent2 3 4 2 5 4" xfId="33998" xr:uid="{287BB59B-4351-4CF9-9225-DE9F3511C3F6}"/>
    <cellStyle name="20% - Accent2 3 4 2 6" xfId="33999" xr:uid="{36D64470-2B98-4A58-B4DA-F7311E23783D}"/>
    <cellStyle name="20% - Accent2 3 4 2 6 2" xfId="34000" xr:uid="{5D8085D3-D649-494A-B863-1577C7261285}"/>
    <cellStyle name="20% - Accent2 3 4 2 7" xfId="34001" xr:uid="{AEE0BF20-C34F-4C28-9FD8-D968A9D7862D}"/>
    <cellStyle name="20% - Accent2 3 4 2 7 2" xfId="34002" xr:uid="{8B332063-46F5-4F4B-A310-76FD1DB7476B}"/>
    <cellStyle name="20% - Accent2 3 4 2 8" xfId="34003" xr:uid="{EC54D4BE-D597-4B58-9369-1D0B2D484686}"/>
    <cellStyle name="20% - Accent2 3 4 3" xfId="1459" xr:uid="{10CE7316-8D7B-40E7-9E2A-9211B5F5C118}"/>
    <cellStyle name="20% - Accent2 3 4 3 2" xfId="1460" xr:uid="{142C11A3-7DB3-43CC-BAC3-D85E5F6C0EF8}"/>
    <cellStyle name="20% - Accent2 3 4 3 2 2" xfId="34004" xr:uid="{E06F4D1C-4114-4754-A432-5EB1238A8B4F}"/>
    <cellStyle name="20% - Accent2 3 4 3 2 2 2" xfId="34005" xr:uid="{2C0FE6D4-2B3E-4984-B97B-1903BCCB34A3}"/>
    <cellStyle name="20% - Accent2 3 4 3 2 3" xfId="34006" xr:uid="{F124847B-0266-41DD-A68E-953E796F351F}"/>
    <cellStyle name="20% - Accent2 3 4 3 2 3 2" xfId="34007" xr:uid="{2844100D-649D-4F02-B147-FE3B1BFA8CFC}"/>
    <cellStyle name="20% - Accent2 3 4 3 2 4" xfId="34008" xr:uid="{8C255A87-F4D5-4F0F-AB3D-2DCFBC0F2E1A}"/>
    <cellStyle name="20% - Accent2 3 4 3 3" xfId="1461" xr:uid="{18D6A7FB-4488-4930-A171-62129649D1DF}"/>
    <cellStyle name="20% - Accent2 3 4 3 3 2" xfId="34009" xr:uid="{37878922-5C20-456D-A5E6-83F8E7A3F5A6}"/>
    <cellStyle name="20% - Accent2 3 4 3 3 2 2" xfId="34010" xr:uid="{FD68A7C4-3C8B-47BA-85CE-D83B6087C29E}"/>
    <cellStyle name="20% - Accent2 3 4 3 3 3" xfId="34011" xr:uid="{684B2234-4226-4FC9-9515-8CA43CDEDD0F}"/>
    <cellStyle name="20% - Accent2 3 4 3 3 3 2" xfId="34012" xr:uid="{597EB15E-8A00-4F14-8935-909A747633FB}"/>
    <cellStyle name="20% - Accent2 3 4 3 3 4" xfId="34013" xr:uid="{F7D2B6B7-D176-44D9-9D67-28907B7BD667}"/>
    <cellStyle name="20% - Accent2 3 4 3 4" xfId="34014" xr:uid="{D5EA1791-A03E-4444-A795-58FF7D9580E7}"/>
    <cellStyle name="20% - Accent2 3 4 3 4 2" xfId="34015" xr:uid="{8D6EA43A-B7AC-48CA-AB72-697A6AC3D6C4}"/>
    <cellStyle name="20% - Accent2 3 4 3 4 2 2" xfId="34016" xr:uid="{60307883-09B3-4AC2-922E-296BB5FAF25F}"/>
    <cellStyle name="20% - Accent2 3 4 3 4 3" xfId="34017" xr:uid="{330998DA-F807-471D-AB9F-C29C54645660}"/>
    <cellStyle name="20% - Accent2 3 4 3 4 3 2" xfId="34018" xr:uid="{1DB69838-0A8F-435E-8370-A3430B524F02}"/>
    <cellStyle name="20% - Accent2 3 4 3 4 4" xfId="34019" xr:uid="{A74364C9-A1D9-41A5-BB8C-0F3BA7EC7688}"/>
    <cellStyle name="20% - Accent2 3 4 3 5" xfId="34020" xr:uid="{BE51B625-0C4D-43B0-80FA-3A4F952D342B}"/>
    <cellStyle name="20% - Accent2 3 4 3 5 2" xfId="34021" xr:uid="{85DFE9CF-13CE-4B63-AC5E-26E00F10C30D}"/>
    <cellStyle name="20% - Accent2 3 4 3 6" xfId="34022" xr:uid="{5BF8CB7E-20FB-492C-A81F-1396836A0F99}"/>
    <cellStyle name="20% - Accent2 3 4 3 6 2" xfId="34023" xr:uid="{FCF7AC39-459A-478C-872A-D04A6DFE920B}"/>
    <cellStyle name="20% - Accent2 3 4 3 7" xfId="34024" xr:uid="{C9D6DF83-7A27-4FC3-B56D-F74AC4D533A3}"/>
    <cellStyle name="20% - Accent2 3 4 4" xfId="1462" xr:uid="{D2CDD0BF-24DC-4008-ADBC-BBC02AF59A49}"/>
    <cellStyle name="20% - Accent2 3 4 4 2" xfId="34025" xr:uid="{60936745-8E04-4ACD-98B7-3C13C405A1EB}"/>
    <cellStyle name="20% - Accent2 3 4 4 2 2" xfId="34026" xr:uid="{3F4B03E8-495E-4611-9B11-A78A1E37C272}"/>
    <cellStyle name="20% - Accent2 3 4 4 3" xfId="34027" xr:uid="{64A730BD-A914-49EC-AF88-0917248790A8}"/>
    <cellStyle name="20% - Accent2 3 4 4 3 2" xfId="34028" xr:uid="{DBC92E1E-801B-42AA-B1C3-37A460EC5F92}"/>
    <cellStyle name="20% - Accent2 3 4 4 4" xfId="34029" xr:uid="{EBA2E119-B50B-47E9-9B09-713D57B11745}"/>
    <cellStyle name="20% - Accent2 3 4 5" xfId="1463" xr:uid="{121509D6-5749-46D5-90EE-FEF0F7D9F003}"/>
    <cellStyle name="20% - Accent2 3 4 5 2" xfId="34030" xr:uid="{50F7F8A6-A013-4685-AA8E-3AAE4BD3124E}"/>
    <cellStyle name="20% - Accent2 3 4 5 2 2" xfId="34031" xr:uid="{04733FC3-B23E-4F9C-8298-AE8C22F8883A}"/>
    <cellStyle name="20% - Accent2 3 4 5 3" xfId="34032" xr:uid="{2CD6124F-24A1-4FA7-ABBC-3DF224317904}"/>
    <cellStyle name="20% - Accent2 3 4 5 3 2" xfId="34033" xr:uid="{AF609183-2693-4CE6-AE3A-44FB6098FD63}"/>
    <cellStyle name="20% - Accent2 3 4 5 4" xfId="34034" xr:uid="{BDF31F57-D0F0-48C2-B3DB-3E9789A41D78}"/>
    <cellStyle name="20% - Accent2 3 4 6" xfId="1464" xr:uid="{524DCB94-86B1-45EF-BE20-C29769030427}"/>
    <cellStyle name="20% - Accent2 3 4 6 2" xfId="34035" xr:uid="{82D44BD5-8668-4361-AC77-23C8B0B430E5}"/>
    <cellStyle name="20% - Accent2 3 4 6 2 2" xfId="34036" xr:uid="{05DC8389-B3AD-4D5A-9E78-CA234951EA08}"/>
    <cellStyle name="20% - Accent2 3 4 6 3" xfId="34037" xr:uid="{50AB03B1-9FB5-4CEE-A3FA-82833CEDBBBB}"/>
    <cellStyle name="20% - Accent2 3 4 6 3 2" xfId="34038" xr:uid="{7EA9B41A-CE8A-4F71-B381-708EF8438511}"/>
    <cellStyle name="20% - Accent2 3 4 6 4" xfId="34039" xr:uid="{1F7CD70A-F010-479A-BF34-94A5961AB3AB}"/>
    <cellStyle name="20% - Accent2 3 4 7" xfId="34040" xr:uid="{4C4F22D1-7509-4C09-A986-0A17B4A2AA89}"/>
    <cellStyle name="20% - Accent2 3 4 7 2" xfId="34041" xr:uid="{28C577F0-8AF1-4F54-88BB-E0941BD67D5E}"/>
    <cellStyle name="20% - Accent2 3 4 8" xfId="34042" xr:uid="{CDC3B14B-8A91-420F-B875-6F427CE734C3}"/>
    <cellStyle name="20% - Accent2 3 4 8 2" xfId="34043" xr:uid="{4177CEC9-FCDD-4DC2-A9FA-C12107CECA83}"/>
    <cellStyle name="20% - Accent2 3 4 9" xfId="34044" xr:uid="{04B2724E-E8BD-4525-A522-E19A4D7B2535}"/>
    <cellStyle name="20% - Accent2 3 5" xfId="1465" xr:uid="{960D13A9-82F2-4D84-B6B4-A23847903CD0}"/>
    <cellStyle name="20% - Accent2 3 5 2" xfId="1466" xr:uid="{CC64DC49-7172-42AF-922E-6AFC1F59154A}"/>
    <cellStyle name="20% - Accent2 3 5 2 2" xfId="1467" xr:uid="{1E2F5BB9-D091-476D-95AD-FB6E3DF2AEE2}"/>
    <cellStyle name="20% - Accent2 3 5 2 2 2" xfId="34045" xr:uid="{EB2D1EF0-5EBE-49F8-A89F-2962B4EE096C}"/>
    <cellStyle name="20% - Accent2 3 5 2 3" xfId="1468" xr:uid="{8991DF3A-2812-43E4-B3A2-47FAE4A6B6A6}"/>
    <cellStyle name="20% - Accent2 3 5 2 3 2" xfId="34046" xr:uid="{424693DE-58ED-474C-B591-D0D2A719B634}"/>
    <cellStyle name="20% - Accent2 3 5 2 4" xfId="34047" xr:uid="{DFB00A0C-5CB4-46C5-8BF7-B5C2200BC979}"/>
    <cellStyle name="20% - Accent2 3 5 3" xfId="1469" xr:uid="{20619158-0C0E-4FE1-AB83-D65FB4FD2FDE}"/>
    <cellStyle name="20% - Accent2 3 5 3 2" xfId="34048" xr:uid="{F95F9AF5-7011-4289-A1CA-375D6B396797}"/>
    <cellStyle name="20% - Accent2 3 5 3 2 2" xfId="34049" xr:uid="{78B94112-97F1-4847-9F7D-0264F4141B29}"/>
    <cellStyle name="20% - Accent2 3 5 3 3" xfId="34050" xr:uid="{1AB0971B-8FB1-4E80-B479-079235A013F5}"/>
    <cellStyle name="20% - Accent2 3 5 3 3 2" xfId="34051" xr:uid="{D9E1A0EE-7972-42E2-8541-9938C3F8955F}"/>
    <cellStyle name="20% - Accent2 3 5 3 4" xfId="34052" xr:uid="{288ADDE7-2636-473A-83D9-DAF1EF96C63A}"/>
    <cellStyle name="20% - Accent2 3 5 4" xfId="1470" xr:uid="{4552A926-3338-4C37-BE09-947F533CBC85}"/>
    <cellStyle name="20% - Accent2 3 5 4 2" xfId="34053" xr:uid="{52CA10B5-FF9B-4DA8-AF61-71D43D1E7A24}"/>
    <cellStyle name="20% - Accent2 3 5 4 2 2" xfId="34054" xr:uid="{62CD182F-8EEA-45A8-962C-F29DC7783D19}"/>
    <cellStyle name="20% - Accent2 3 5 4 3" xfId="34055" xr:uid="{63058801-A121-47B7-B983-E49685A7B028}"/>
    <cellStyle name="20% - Accent2 3 5 4 3 2" xfId="34056" xr:uid="{EA1D5476-FB4C-40FC-B2A8-109191B9094D}"/>
    <cellStyle name="20% - Accent2 3 5 4 4" xfId="34057" xr:uid="{39C324AB-2B17-4CAE-968F-026875F82503}"/>
    <cellStyle name="20% - Accent2 3 5 5" xfId="34058" xr:uid="{2EB8A075-CEDF-44A6-BA11-A075F8F3A162}"/>
    <cellStyle name="20% - Accent2 3 5 5 2" xfId="34059" xr:uid="{29C3D4AD-F48B-4F19-B9FE-7A431828695E}"/>
    <cellStyle name="20% - Accent2 3 5 5 2 2" xfId="34060" xr:uid="{7971F9B5-65A2-42A8-8088-3D3EE26EE5E4}"/>
    <cellStyle name="20% - Accent2 3 5 5 3" xfId="34061" xr:uid="{B73CA458-4050-4EE0-8C7B-7E68FD698DA2}"/>
    <cellStyle name="20% - Accent2 3 5 5 3 2" xfId="34062" xr:uid="{2E7A1DC4-9F8A-433A-B06B-EBEA55F9F1D8}"/>
    <cellStyle name="20% - Accent2 3 5 5 4" xfId="34063" xr:uid="{B507FC19-7F59-430B-A912-409DBC45B0D0}"/>
    <cellStyle name="20% - Accent2 3 5 6" xfId="34064" xr:uid="{CA832CE2-3147-44A7-93F4-9B413093888E}"/>
    <cellStyle name="20% - Accent2 3 5 6 2" xfId="34065" xr:uid="{E4FB8B1A-F50E-456A-BE6E-8DCBF058E861}"/>
    <cellStyle name="20% - Accent2 3 5 7" xfId="34066" xr:uid="{0D2F8303-5729-412E-90C3-DB5832A45DE5}"/>
    <cellStyle name="20% - Accent2 3 5 7 2" xfId="34067" xr:uid="{DBD7156C-8169-4BED-BA96-C7A15BE4EBBB}"/>
    <cellStyle name="20% - Accent2 3 5 8" xfId="34068" xr:uid="{75AB462C-F3BA-4D87-BB35-9E92E8A3F836}"/>
    <cellStyle name="20% - Accent2 3 6" xfId="1471" xr:uid="{ECF86509-5A57-4BFC-BB86-111238F4A3AC}"/>
    <cellStyle name="20% - Accent2 3 6 2" xfId="1472" xr:uid="{4D67A016-1627-4710-A5E5-4A38D59FE9F6}"/>
    <cellStyle name="20% - Accent2 3 6 2 2" xfId="1473" xr:uid="{93074F70-5566-4F45-8847-EC78DE7749D1}"/>
    <cellStyle name="20% - Accent2 3 6 2 3" xfId="1474" xr:uid="{12F75510-F033-4766-B3DC-A5B83EB32299}"/>
    <cellStyle name="20% - Accent2 3 6 3" xfId="1475" xr:uid="{9E1BFDA5-32F4-4D2C-9B5D-FB3E54DAC9A3}"/>
    <cellStyle name="20% - Accent2 3 6 3 2" xfId="34069" xr:uid="{EF107E52-3A93-4BBE-8F54-DD3FB1D7315A}"/>
    <cellStyle name="20% - Accent2 3 6 4" xfId="1476" xr:uid="{6525CBCA-D3E6-4023-A0E9-17D6BD8361D7}"/>
    <cellStyle name="20% - Accent2 3 6 5" xfId="34070" xr:uid="{880899BC-8A9C-4084-8C35-187CE87C2CFB}"/>
    <cellStyle name="20% - Accent2 3 7" xfId="1477" xr:uid="{00FA0DE2-55BA-49F5-AA3B-E2E4E7C4FFAE}"/>
    <cellStyle name="20% - Accent2 3 7 2" xfId="1478" xr:uid="{977462CC-FBCE-44A1-9879-65F31BCA1D27}"/>
    <cellStyle name="20% - Accent2 3 7 2 2" xfId="1479" xr:uid="{36327BEA-6EB0-4EAE-8669-A3AFC09CFC63}"/>
    <cellStyle name="20% - Accent2 3 7 2 3" xfId="1480" xr:uid="{5A1DEE8A-2C43-4A9E-9C8E-DEB257BA198A}"/>
    <cellStyle name="20% - Accent2 3 7 3" xfId="1481" xr:uid="{8AA9CCBC-2C8E-438A-8D2B-4FF1406E678A}"/>
    <cellStyle name="20% - Accent2 3 7 3 2" xfId="34071" xr:uid="{8D0FC906-E6AF-4FDA-997D-A96F300AC8EB}"/>
    <cellStyle name="20% - Accent2 3 7 4" xfId="1482" xr:uid="{9B5B9B5A-8A4F-445D-8F42-268C25880F81}"/>
    <cellStyle name="20% - Accent2 3 8" xfId="1483" xr:uid="{3A755EDF-E9A0-4864-B011-431A58B2348F}"/>
    <cellStyle name="20% - Accent2 3 8 2" xfId="34072" xr:uid="{02D5CDE1-F4FA-4ED9-BDD8-C5EB7DFF534A}"/>
    <cellStyle name="20% - Accent2 3 8 2 2" xfId="34073" xr:uid="{4C7DBCCE-4450-4085-A960-7F32A046018C}"/>
    <cellStyle name="20% - Accent2 3 8 3" xfId="34074" xr:uid="{BAC95152-14F5-4201-8C1E-66D57CDC2300}"/>
    <cellStyle name="20% - Accent2 3 8 3 2" xfId="34075" xr:uid="{374D0C3A-2B2E-46C4-8AD0-E34FDA2565F9}"/>
    <cellStyle name="20% - Accent2 3 8 4" xfId="34076" xr:uid="{97E6EACE-BEF1-4431-87BD-A7E7F26D6EFA}"/>
    <cellStyle name="20% - Accent2 3 9" xfId="34077" xr:uid="{F0DB77F9-B22B-4F18-A9DF-0DFF7032B21D}"/>
    <cellStyle name="20% - Accent2 3_PwrTax 51040" xfId="1484" xr:uid="{38C7A12B-8C5E-48B1-B2B2-ADE518367ECF}"/>
    <cellStyle name="20% - Accent2 30" xfId="1485" xr:uid="{C935F457-AEE7-4156-81C7-5772757EC49D}"/>
    <cellStyle name="20% - Accent2 31" xfId="1486" xr:uid="{31E6D26B-2EBF-47F1-A9D6-3E27B815E2C0}"/>
    <cellStyle name="20% - Accent2 32" xfId="1487" xr:uid="{8835D7D8-0C78-40B4-B4F4-8993A1880445}"/>
    <cellStyle name="20% - Accent2 33" xfId="1488" xr:uid="{6C492B8A-8A7E-403A-A1CB-02C8A9EA706C}"/>
    <cellStyle name="20% - Accent2 34" xfId="1489" xr:uid="{D05B3DFD-3025-4635-A424-C16D410AC59D}"/>
    <cellStyle name="20% - Accent2 35" xfId="1490" xr:uid="{4B9A57A4-0B01-4E09-B5E5-97BA61BDEA59}"/>
    <cellStyle name="20% - Accent2 36" xfId="1491" xr:uid="{82F8F19B-2461-4EDD-B80B-8843DD73CA15}"/>
    <cellStyle name="20% - Accent2 37" xfId="1492" xr:uid="{775B5E85-3789-4C5C-8528-A392C1F8E566}"/>
    <cellStyle name="20% - Accent2 37 2" xfId="1493" xr:uid="{21F91BF2-F096-4FFE-8B96-9A00BD5F6EDC}"/>
    <cellStyle name="20% - Accent2 37 2 2" xfId="1494" xr:uid="{CA7C4B1A-D88B-4AA3-9FB7-7B24D8A022CF}"/>
    <cellStyle name="20% - Accent2 37 2 3" xfId="34078" xr:uid="{F864E42C-A6AC-431D-BF7D-5EC5D30186AA}"/>
    <cellStyle name="20% - Accent2 37 3" xfId="1495" xr:uid="{51BC669B-0F52-49C0-9C4B-18982379CF00}"/>
    <cellStyle name="20% - Accent2 37 3 2" xfId="1496" xr:uid="{644C1BA4-A506-4741-96FF-CF8A881AB77B}"/>
    <cellStyle name="20% - Accent2 37 3 3" xfId="34079" xr:uid="{209D30F7-E7DC-447A-B704-294D0F755EB7}"/>
    <cellStyle name="20% - Accent2 37 4" xfId="1497" xr:uid="{36D26677-C712-42AE-A508-6BBE7696384F}"/>
    <cellStyle name="20% - Accent2 37 5" xfId="34080" xr:uid="{3632E6D3-8B2F-4C23-AB02-D62D72A31598}"/>
    <cellStyle name="20% - Accent2 37_PwrTax 51040" xfId="1498" xr:uid="{7AFE9F95-77B6-4B3B-93EF-EE4E57744C17}"/>
    <cellStyle name="20% - Accent2 38" xfId="1499" xr:uid="{5E7D2A95-7C2E-4465-BCAD-A057375E9645}"/>
    <cellStyle name="20% - Accent2 38 2" xfId="34081" xr:uid="{E06DFA26-7A7F-4535-B583-C9368C8F0C44}"/>
    <cellStyle name="20% - Accent2 38 2 2" xfId="34082" xr:uid="{341F94C1-AADA-474D-8385-2A4CF8026A4F}"/>
    <cellStyle name="20% - Accent2 38 2 2 2" xfId="34083" xr:uid="{B1235CF0-7DA0-451D-9D99-302D48E0E0FE}"/>
    <cellStyle name="20% - Accent2 38 2 3" xfId="34084" xr:uid="{8A61F579-B7EB-4F6D-AD73-4FECCC7BFFD2}"/>
    <cellStyle name="20% - Accent2 38 2 3 2" xfId="34085" xr:uid="{6E8892D4-8E3A-473F-B78B-571FC42483DB}"/>
    <cellStyle name="20% - Accent2 38 2 4" xfId="34086" xr:uid="{A179228B-296B-4423-9AD1-135BF2DB7034}"/>
    <cellStyle name="20% - Accent2 38 3" xfId="34087" xr:uid="{CF09FD51-2792-4F04-8884-0C38F094238E}"/>
    <cellStyle name="20% - Accent2 38 3 2" xfId="34088" xr:uid="{F65C6877-94FA-4528-A6B8-982F0F2C93BC}"/>
    <cellStyle name="20% - Accent2 38 3 2 2" xfId="34089" xr:uid="{BC18C7BF-28A4-4D4E-87D7-CD13A15FE306}"/>
    <cellStyle name="20% - Accent2 38 3 3" xfId="34090" xr:uid="{7CEF398F-4DD7-4515-822A-158FB2CCC60F}"/>
    <cellStyle name="20% - Accent2 38 3 3 2" xfId="34091" xr:uid="{0FAC1157-3F4F-483A-A769-DAC3749BCC94}"/>
    <cellStyle name="20% - Accent2 38 3 4" xfId="34092" xr:uid="{2CE344A3-4F67-44D1-82BE-9A7B5DAA3E49}"/>
    <cellStyle name="20% - Accent2 38 4" xfId="34093" xr:uid="{64B2EA37-573B-4CE6-A3AB-DB90982EE3AB}"/>
    <cellStyle name="20% - Accent2 38 4 2" xfId="34094" xr:uid="{51D73B8B-0AA0-4542-B329-0EF9B2A2EB6E}"/>
    <cellStyle name="20% - Accent2 38 4 2 2" xfId="34095" xr:uid="{A945E1CE-C689-4406-80AB-77A30E8D03E7}"/>
    <cellStyle name="20% - Accent2 38 4 3" xfId="34096" xr:uid="{97451431-AAE7-48DB-9118-0C1F6E740DDB}"/>
    <cellStyle name="20% - Accent2 38 4 3 2" xfId="34097" xr:uid="{EE389BEB-DEEB-4978-963B-EC52F04C892F}"/>
    <cellStyle name="20% - Accent2 38 4 4" xfId="34098" xr:uid="{DFDA2ECD-7C58-42AD-BDE1-7FC727BB38E8}"/>
    <cellStyle name="20% - Accent2 38 5" xfId="34099" xr:uid="{342E90B0-2D3F-44B7-9957-BC9453E779F0}"/>
    <cellStyle name="20% - Accent2 38 5 2" xfId="34100" xr:uid="{FC162E86-3C33-46B9-B28A-8B10A738C955}"/>
    <cellStyle name="20% - Accent2 38 6" xfId="34101" xr:uid="{5EB79FE7-4E2B-4AC7-9F5E-834193BC7AAA}"/>
    <cellStyle name="20% - Accent2 38 6 2" xfId="34102" xr:uid="{4E5DAB3E-83D7-4C44-A22A-DEEDBB640820}"/>
    <cellStyle name="20% - Accent2 38 7" xfId="34103" xr:uid="{42201FF5-C527-423B-92E5-261B8E8459C9}"/>
    <cellStyle name="20% - Accent2 39" xfId="34104" xr:uid="{88D8B135-6779-44BE-BD56-CE789FA78334}"/>
    <cellStyle name="20% - Accent2 39 2" xfId="34105" xr:uid="{4024CE4D-3E08-41F8-A6F9-799DE1598051}"/>
    <cellStyle name="20% - Accent2 4" xfId="1500" xr:uid="{8C47F901-D174-4EDE-8F62-A5B8F13DFD60}"/>
    <cellStyle name="20% - Accent2 4 2" xfId="1501" xr:uid="{9F2BD793-D7D5-482E-8928-151953B16672}"/>
    <cellStyle name="20% - Accent2 4 2 2" xfId="1502" xr:uid="{9A184F69-6BD1-48C4-A516-5A9CE55A6DC4}"/>
    <cellStyle name="20% - Accent2 4 2 2 2" xfId="34106" xr:uid="{ED93D26D-1478-4A8A-BC2A-825700B9666A}"/>
    <cellStyle name="20% - Accent2 4 2 3" xfId="34107" xr:uid="{B677BB90-647D-4586-AE49-E8046F5C850B}"/>
    <cellStyle name="20% - Accent2 4 3" xfId="1503" xr:uid="{425A3D9B-846F-4277-AC24-1E8137A91E78}"/>
    <cellStyle name="20% - Accent2 4 3 2" xfId="1504" xr:uid="{9013950E-81C5-4E31-B6E2-5E69A78F946B}"/>
    <cellStyle name="20% - Accent2 4 3 3" xfId="1505" xr:uid="{1F6E7BE1-F087-406C-B4AD-5678DBA0C1D9}"/>
    <cellStyle name="20% - Accent2 4 3 4" xfId="34108" xr:uid="{14BD7AB7-4E9A-4A40-948A-C886BE2DD692}"/>
    <cellStyle name="20% - Accent2 4 4" xfId="1506" xr:uid="{72DCB888-DC4B-434F-94F1-4CB85AB940A7}"/>
    <cellStyle name="20% - Accent2 4 4 2" xfId="1507" xr:uid="{78946FEB-5896-4732-A4AD-A0BF57D61EB2}"/>
    <cellStyle name="20% - Accent2 4 4 2 2" xfId="1508" xr:uid="{340D473C-F8FC-45B6-912B-F089CD704FED}"/>
    <cellStyle name="20% - Accent2 4 4 2 3" xfId="1509" xr:uid="{4F567894-3547-407B-9124-381616760DB4}"/>
    <cellStyle name="20% - Accent2 4 4 3" xfId="1510" xr:uid="{EC5C0182-269A-455E-9504-423A9C7390D4}"/>
    <cellStyle name="20% - Accent2 4 4 4" xfId="1511" xr:uid="{574B8F14-DA6E-47E8-AE61-E74F36E3C33A}"/>
    <cellStyle name="20% - Accent2 4 4 5" xfId="1512" xr:uid="{D1A859E9-F034-4C18-8FFA-85ACE02D62E2}"/>
    <cellStyle name="20% - Accent2 4 4 6" xfId="34109" xr:uid="{8A97048B-FDBE-4D88-AF2E-E224D432C07E}"/>
    <cellStyle name="20% - Accent2 4 5" xfId="1513" xr:uid="{F0181259-BC91-4CB6-8CA4-64DA8BA6BE68}"/>
    <cellStyle name="20% - Accent2 4 5 2" xfId="1514" xr:uid="{DD9455B1-03D0-4F3A-92C4-8CC251AE63CC}"/>
    <cellStyle name="20% - Accent2 4 5 3" xfId="1515" xr:uid="{8D5C0AF8-510E-46DE-8506-F92BE395C20F}"/>
    <cellStyle name="20% - Accent2 4 5 4" xfId="34110" xr:uid="{3FE25F1A-2C00-4906-8FEE-B1987C484973}"/>
    <cellStyle name="20% - Accent2 4 6" xfId="1516" xr:uid="{B38AE1B7-9C01-4E53-8B65-5FAF6F040267}"/>
    <cellStyle name="20% - Accent2 4 7" xfId="34111" xr:uid="{134F8471-CA42-4562-8AE1-A6E907A6265F}"/>
    <cellStyle name="20% - Accent2 4 8" xfId="43543" xr:uid="{6BCD5E3C-E974-4E49-BB51-F37BBEB31C80}"/>
    <cellStyle name="20% - Accent2 4_PwrTax 51040" xfId="1517" xr:uid="{F358FB77-C543-4831-B091-56CAADD22615}"/>
    <cellStyle name="20% - Accent2 40" xfId="34112" xr:uid="{FF3654E3-3BFD-464D-9C5A-DAD6A323B267}"/>
    <cellStyle name="20% - Accent2 41" xfId="34113" xr:uid="{002FC295-2756-4DCC-B285-8F87059349DA}"/>
    <cellStyle name="20% - Accent2 42" xfId="34114" xr:uid="{9314594E-57B4-4C52-BC66-5D40D034BDB4}"/>
    <cellStyle name="20% - Accent2 43" xfId="34115" xr:uid="{D2D2DEDA-B854-4539-BB41-FDA83A935B0D}"/>
    <cellStyle name="20% - Accent2 44" xfId="34116" xr:uid="{C54F3079-6663-4F23-AFBD-5BD0FF74CD56}"/>
    <cellStyle name="20% - Accent2 45" xfId="34117" xr:uid="{15DF8014-E627-4CF6-A8E6-9526ADCF0663}"/>
    <cellStyle name="20% - Accent2 46" xfId="34118" xr:uid="{340E69A8-B88B-47F3-8ECD-B4F01939DBD5}"/>
    <cellStyle name="20% - Accent2 47" xfId="34119" xr:uid="{FC244C98-8E92-4946-9E11-885B46AA7B36}"/>
    <cellStyle name="20% - Accent2 48" xfId="34120" xr:uid="{AB304169-F086-4918-A610-59440F16F6C9}"/>
    <cellStyle name="20% - Accent2 49" xfId="34121" xr:uid="{BE521E81-DDF8-49F2-B9DA-F1677387A267}"/>
    <cellStyle name="20% - Accent2 5" xfId="1518" xr:uid="{939AA2A4-72E8-42F6-8D9E-9E351BE88D8A}"/>
    <cellStyle name="20% - Accent2 5 2" xfId="1519" xr:uid="{15A14D8A-7ED6-441B-8598-7BA06DB8E894}"/>
    <cellStyle name="20% - Accent2 5 2 2" xfId="34122" xr:uid="{64DD3FB6-2334-4AA9-9BAE-BBD9120DF6A0}"/>
    <cellStyle name="20% - Accent2 5 3" xfId="1520" xr:uid="{FA97BD51-2988-401C-8E67-584B451A45A9}"/>
    <cellStyle name="20% - Accent2 5 4" xfId="34123" xr:uid="{CFACDFD6-1CA5-4354-93F6-647BC359B02F}"/>
    <cellStyle name="20% - Accent2 5 5" xfId="43558" xr:uid="{2E0A8534-AB69-4B08-9C70-F3C9952A8CC9}"/>
    <cellStyle name="20% - Accent2 50" xfId="34124" xr:uid="{2CF49FD5-B737-4A40-8EC7-5473617D816E}"/>
    <cellStyle name="20% - Accent2 51" xfId="34125" xr:uid="{B9EDAF2C-F196-49E1-B96A-4BFA7722C724}"/>
    <cellStyle name="20% - Accent2 52" xfId="34126" xr:uid="{D85B759D-60AD-4401-AE73-A7156CCAAC14}"/>
    <cellStyle name="20% - Accent2 53" xfId="34127" xr:uid="{CF64F18B-1154-48A9-AFA0-7F738C9B2985}"/>
    <cellStyle name="20% - Accent2 54" xfId="34128" xr:uid="{FBCA3325-3E95-4216-8809-19861DE15BF9}"/>
    <cellStyle name="20% - Accent2 55" xfId="34129" xr:uid="{66E881A6-DFDD-4B44-9981-CA116F4F2A04}"/>
    <cellStyle name="20% - Accent2 56" xfId="34130" xr:uid="{4B96C63F-6B1A-4D46-B41E-D97B8F197482}"/>
    <cellStyle name="20% - Accent2 57" xfId="34131" xr:uid="{053A014B-3F64-486A-9720-4D00DCE1A8F5}"/>
    <cellStyle name="20% - Accent2 58" xfId="34132" xr:uid="{025B8B9B-C790-4D1E-A779-7283F7953BE5}"/>
    <cellStyle name="20% - Accent2 59" xfId="34133" xr:uid="{936A2391-C655-428F-AF42-7567CF48AB37}"/>
    <cellStyle name="20% - Accent2 6" xfId="1521" xr:uid="{481EF3F5-CCC2-47D6-8FF0-26EA3310A042}"/>
    <cellStyle name="20% - Accent2 6 2" xfId="1522" xr:uid="{F0446E49-FA0F-4A0C-BBE8-0047E7476994}"/>
    <cellStyle name="20% - Accent2 6 2 2" xfId="34134" xr:uid="{B1B767A4-E7A5-4BBC-B948-47658B9B0DC6}"/>
    <cellStyle name="20% - Accent2 6 3" xfId="1523" xr:uid="{90A24165-E072-46A1-8E1A-D3DD8ACB6FA3}"/>
    <cellStyle name="20% - Accent2 6 4" xfId="34135" xr:uid="{BDE9ADC6-AD57-48F6-810A-0E01443424A8}"/>
    <cellStyle name="20% - Accent2 60" xfId="34136" xr:uid="{BA62A36D-EA0D-4FF6-B35B-BA2596DD5326}"/>
    <cellStyle name="20% - Accent2 61" xfId="34137" xr:uid="{F00E96D2-F1D3-42ED-97AB-7FE8ECD3A684}"/>
    <cellStyle name="20% - Accent2 62" xfId="34138" xr:uid="{8D9C9B63-8E72-46F4-A0D5-DFDBA44C2071}"/>
    <cellStyle name="20% - Accent2 63" xfId="34139" xr:uid="{3FD6C1CF-CBEE-4412-ACDB-603FA5AB0C8C}"/>
    <cellStyle name="20% - Accent2 64" xfId="34140" xr:uid="{8186EE53-7512-4E12-983F-7142A5ED5E5C}"/>
    <cellStyle name="20% - Accent2 65" xfId="34141" xr:uid="{259C55FC-16E6-4A76-9600-180F1103BA67}"/>
    <cellStyle name="20% - Accent2 66" xfId="34142" xr:uid="{DDAC60BE-541C-4BCC-A682-974AEEA4BBF0}"/>
    <cellStyle name="20% - Accent2 67" xfId="34143" xr:uid="{A7437633-7252-439D-84A0-A71B9A7A0FF5}"/>
    <cellStyle name="20% - Accent2 68" xfId="34144" xr:uid="{BDCC8E9D-4D29-4BAA-B76D-5EF4608B9B77}"/>
    <cellStyle name="20% - Accent2 69" xfId="34145" xr:uid="{1DFBC15A-92DE-42CD-9119-DC8CCC143B79}"/>
    <cellStyle name="20% - Accent2 7" xfId="1524" xr:uid="{AF13E57C-05E8-41D6-B1B8-94DE25517497}"/>
    <cellStyle name="20% - Accent2 7 2" xfId="1525" xr:uid="{6D0EB136-9694-48A1-83D4-F3308FD561B3}"/>
    <cellStyle name="20% - Accent2 7 3" xfId="1526" xr:uid="{D0ECEC57-3793-4419-81C4-927B4E712999}"/>
    <cellStyle name="20% - Accent2 7 4" xfId="34146" xr:uid="{CEB316C8-2070-4E18-BD4E-A0B9DC07527B}"/>
    <cellStyle name="20% - Accent2 70" xfId="34147" xr:uid="{5CE2F451-35DD-46E9-9489-92009E48ACDA}"/>
    <cellStyle name="20% - Accent2 71" xfId="34148" xr:uid="{61EC3475-6593-40A3-A617-CC4ECFF9541A}"/>
    <cellStyle name="20% - Accent2 72" xfId="34149" xr:uid="{A20F80A7-F17D-4BE7-880E-8C18AC472645}"/>
    <cellStyle name="20% - Accent2 73" xfId="34150" xr:uid="{F1546C7C-A29B-4176-A44A-175FC83F06D3}"/>
    <cellStyle name="20% - Accent2 74" xfId="34151" xr:uid="{394C2A36-3815-42CA-8DAF-C9BECC8A6F3D}"/>
    <cellStyle name="20% - Accent2 75" xfId="34152" xr:uid="{52102222-7E21-45B7-8ED0-3F25F80A6C35}"/>
    <cellStyle name="20% - Accent2 76" xfId="34153" xr:uid="{929DD57B-56CE-4E70-BD0E-13D0D0C647C0}"/>
    <cellStyle name="20% - Accent2 77" xfId="34154" xr:uid="{2E40EAD3-43A7-42A6-98D5-31473B504721}"/>
    <cellStyle name="20% - Accent2 78" xfId="34155" xr:uid="{02CF2473-3DC6-4C60-AB3A-8527F4112DAB}"/>
    <cellStyle name="20% - Accent2 79" xfId="34156" xr:uid="{634DC01E-3C58-4424-B2D2-A5A585D97C24}"/>
    <cellStyle name="20% - Accent2 8" xfId="1527" xr:uid="{738BBB16-3899-4A02-8348-A593A2517137}"/>
    <cellStyle name="20% - Accent2 8 2" xfId="1528" xr:uid="{DEB66120-9631-42EB-9B03-ECA5F91BE175}"/>
    <cellStyle name="20% - Accent2 8 3" xfId="1529" xr:uid="{D1493A89-45C1-4C16-9EFE-C56EDAFC211B}"/>
    <cellStyle name="20% - Accent2 8 4" xfId="34157" xr:uid="{A35E5DAF-0A37-480B-8F8E-4B957A67B9F0}"/>
    <cellStyle name="20% - Accent2 80" xfId="34158" xr:uid="{F129EC57-3A0C-4EF1-995E-6BC3D3C64F2B}"/>
    <cellStyle name="20% - Accent2 81" xfId="34159" xr:uid="{2E859D84-94E2-462C-AEF4-B04F4D5F7A1F}"/>
    <cellStyle name="20% - Accent2 82" xfId="34160" xr:uid="{3BD14699-C6A1-4A7D-B5AD-293C5EEC6A91}"/>
    <cellStyle name="20% - Accent2 83" xfId="34161" xr:uid="{6720A28A-0293-4317-9782-43457348A59C}"/>
    <cellStyle name="20% - Accent2 84" xfId="34162" xr:uid="{402B1497-5440-4877-A66F-C59D74951AC6}"/>
    <cellStyle name="20% - Accent2 85" xfId="34163" xr:uid="{0BEC6816-F475-4319-8BC5-EA581DF95CA4}"/>
    <cellStyle name="20% - Accent2 86" xfId="34164" xr:uid="{BB71F5E0-458A-4749-84B0-D64343B359DA}"/>
    <cellStyle name="20% - Accent2 87" xfId="34165" xr:uid="{8C4D9A0D-0665-4F37-9900-BE5CED7C055F}"/>
    <cellStyle name="20% - Accent2 88" xfId="34166" xr:uid="{F4E0A9BF-9A2A-4C7E-84A7-D86E37B838C0}"/>
    <cellStyle name="20% - Accent2 89" xfId="34167" xr:uid="{A2857447-488F-4972-A652-AA6935C9856B}"/>
    <cellStyle name="20% - Accent2 9" xfId="1530" xr:uid="{C593294F-4077-4414-9DD2-CC8B29A23FAA}"/>
    <cellStyle name="20% - Accent2 9 2" xfId="1531" xr:uid="{884B3F7A-C34F-4885-9F83-B5E05D5AF147}"/>
    <cellStyle name="20% - Accent2 9 3" xfId="1532" xr:uid="{99526A19-EFD5-43CC-82EB-C0074B65EB0B}"/>
    <cellStyle name="20% - Accent2 9 4" xfId="34168" xr:uid="{97696971-948F-4EA6-96B2-3F2EC78ADEFC}"/>
    <cellStyle name="20% - Accent2 90" xfId="34169" xr:uid="{25656D9F-452F-4F10-9383-E68ECED3ED53}"/>
    <cellStyle name="20% - Accent2 91" xfId="34170" xr:uid="{5F1A9EF7-1427-446D-84D8-C7449D8F5828}"/>
    <cellStyle name="20% - Accent2 92" xfId="34171" xr:uid="{0E8FC8A4-F563-4617-9105-91E4FEC3B0CB}"/>
    <cellStyle name="20% - Accent2 93" xfId="34172" xr:uid="{C74F45A6-B113-4D95-91F3-C1EA84913B56}"/>
    <cellStyle name="20% - Accent2 94" xfId="34173" xr:uid="{892CF05C-71A5-41D0-8A7C-D2A8F879D998}"/>
    <cellStyle name="20% - Accent2 95" xfId="34174" xr:uid="{545D16BC-C859-4286-BB1D-5C2611F3D8DC}"/>
    <cellStyle name="20% - Accent2 96" xfId="34175" xr:uid="{065C8BAC-A489-49AE-8D4D-0BFC2BBEFA0D}"/>
    <cellStyle name="20% - Accent2 97" xfId="34176" xr:uid="{5F231A15-36D3-4A0A-B3B9-08F770ADAB7B}"/>
    <cellStyle name="20% - Accent2 98" xfId="34177" xr:uid="{D720F518-3539-41A0-8B69-1ACB6D5C6C72}"/>
    <cellStyle name="20% - Accent2 99" xfId="34178" xr:uid="{F70D4DB9-B8E2-46DF-B0C7-7779BD824007}"/>
    <cellStyle name="20% - Accent3 10" xfId="1533" xr:uid="{F6D0F999-0500-4922-881F-B679F314AA23}"/>
    <cellStyle name="20% - Accent3 10 2" xfId="1534" xr:uid="{DF1BC48E-5625-4EC3-815F-331033651044}"/>
    <cellStyle name="20% - Accent3 10 3" xfId="1535" xr:uid="{36096D7A-5F8A-4C37-8C3A-5A8831275B15}"/>
    <cellStyle name="20% - Accent3 10 4" xfId="34179" xr:uid="{E1A802DC-85B1-4B8A-9963-3CD762799207}"/>
    <cellStyle name="20% - Accent3 100" xfId="34180" xr:uid="{81268D6D-5825-4AD6-A0A9-ECFCE649F076}"/>
    <cellStyle name="20% - Accent3 101" xfId="34181" xr:uid="{7D1FE62F-362C-48CA-8C11-1336F02737FB}"/>
    <cellStyle name="20% - Accent3 102" xfId="34182" xr:uid="{C502A520-5A00-4351-B144-AF612AB0605B}"/>
    <cellStyle name="20% - Accent3 103" xfId="43472" xr:uid="{361E8F29-DDCC-4A39-B86C-5EE6D505EA43}"/>
    <cellStyle name="20% - Accent3 104" xfId="43592" xr:uid="{094DCC39-C5CE-4FC6-A0E8-DFE23572889B}"/>
    <cellStyle name="20% - Accent3 105" xfId="164" xr:uid="{DFAB0CBF-27E8-4EE3-B31D-F5C9510D431D}"/>
    <cellStyle name="20% - Accent3 11" xfId="1536" xr:uid="{D0C10619-93AF-400C-9B9C-EC6EE2B9564E}"/>
    <cellStyle name="20% - Accent3 11 2" xfId="1537" xr:uid="{95C48C68-21F5-48A9-854D-08C2451EC0F6}"/>
    <cellStyle name="20% - Accent3 11 3" xfId="1538" xr:uid="{22830308-877C-4BBE-B1E3-63A20F233D36}"/>
    <cellStyle name="20% - Accent3 12" xfId="1539" xr:uid="{D191E4EC-8D00-43A5-B4E5-BA11FF69F062}"/>
    <cellStyle name="20% - Accent3 12 2" xfId="1540" xr:uid="{FCDAB1AA-92B5-478B-9B6D-87055C97ACF8}"/>
    <cellStyle name="20% - Accent3 13" xfId="1541" xr:uid="{8161A714-81AF-48B8-88B6-33553FCC36D4}"/>
    <cellStyle name="20% - Accent3 13 2" xfId="1542" xr:uid="{E3A9EF32-DE90-4F97-A913-9BB5A58003CA}"/>
    <cellStyle name="20% - Accent3 14" xfId="1543" xr:uid="{BCD06AC3-EF82-4066-94F5-4089D624488A}"/>
    <cellStyle name="20% - Accent3 14 2" xfId="1544" xr:uid="{3B16AD6A-C3D2-42F3-A64B-5E94BE22C611}"/>
    <cellStyle name="20% - Accent3 15" xfId="1545" xr:uid="{184ED762-1943-4A0D-97F5-3C2AC84F148B}"/>
    <cellStyle name="20% - Accent3 15 2" xfId="1546" xr:uid="{627CEB38-F974-4AC2-A6F3-503849DDEE77}"/>
    <cellStyle name="20% - Accent3 16" xfId="1547" xr:uid="{D07FFDDD-201D-4A78-90D5-791CBEFB2343}"/>
    <cellStyle name="20% - Accent3 16 2" xfId="1548" xr:uid="{9B57052D-6940-47FF-99E6-27E2B881CE9A}"/>
    <cellStyle name="20% - Accent3 17" xfId="1549" xr:uid="{8E7564FE-758C-4190-97C2-D79EDEAEB9D1}"/>
    <cellStyle name="20% - Accent3 17 2" xfId="1550" xr:uid="{4C39CD3B-33EC-4BE1-9F68-6816121CC143}"/>
    <cellStyle name="20% - Accent3 18" xfId="1551" xr:uid="{6D36FF34-B1E7-41FD-8E7D-9CD9EB67AE4C}"/>
    <cellStyle name="20% - Accent3 18 2" xfId="1552" xr:uid="{D3394887-EF45-493E-8E3F-EAD33B3AAC95}"/>
    <cellStyle name="20% - Accent3 19" xfId="1553" xr:uid="{E5CF80E0-CA54-4509-BA91-9BEB92351289}"/>
    <cellStyle name="20% - Accent3 19 2" xfId="1554" xr:uid="{6E692E3A-ED8D-4C9D-80D5-45C79632B655}"/>
    <cellStyle name="20% - Accent3 2" xfId="1555" xr:uid="{C7A9B256-D1B0-4BE4-B243-65A3AD2BB465}"/>
    <cellStyle name="20% - Accent3 2 10" xfId="43502" xr:uid="{815C2C0C-760E-4B36-A975-0E6EC29839FF}"/>
    <cellStyle name="20% - Accent3 2 2" xfId="1556" xr:uid="{DFD6178B-F8E9-4739-A46B-159597B874D3}"/>
    <cellStyle name="20% - Accent3 2 2 2" xfId="1557" xr:uid="{3DCFF6F3-6697-4283-ABFE-E5D49E4777E9}"/>
    <cellStyle name="20% - Accent3 2 2 2 2" xfId="1558" xr:uid="{40933C9E-9352-41DC-9B5E-9B95E97BFC11}"/>
    <cellStyle name="20% - Accent3 2 2 2 3" xfId="1559" xr:uid="{F5A29228-D079-422A-83AF-497CC19703B1}"/>
    <cellStyle name="20% - Accent3 2 2 2 4" xfId="34183" xr:uid="{B98EB23D-22DE-4DCE-865A-8D01080F5E83}"/>
    <cellStyle name="20% - Accent3 2 2 3" xfId="1560" xr:uid="{BDCCC8CB-1AC1-406B-8967-513BDDD74063}"/>
    <cellStyle name="20% - Accent3 2 2 3 2" xfId="1561" xr:uid="{7B4A7D82-F859-4381-A8E8-7BA3006B7B5B}"/>
    <cellStyle name="20% - Accent3 2 2 3 3" xfId="34184" xr:uid="{1A048937-9C5B-42F8-AF9A-DA520076C232}"/>
    <cellStyle name="20% - Accent3 2 2 4" xfId="1562" xr:uid="{C9105F2D-A92C-4A5A-B824-FE0EBE785843}"/>
    <cellStyle name="20% - Accent3 2 2 5" xfId="1563" xr:uid="{10738B0D-C1C6-46BE-9251-B536DF42B4C8}"/>
    <cellStyle name="20% - Accent3 2 2 6" xfId="1564" xr:uid="{45EF7E06-DAAA-4D76-9E2C-57C5045D5B20}"/>
    <cellStyle name="20% - Accent3 2 2 7" xfId="34185" xr:uid="{ABDFE47A-9FEC-4DC4-8985-7879BDA8A1F6}"/>
    <cellStyle name="20% - Accent3 2 2_PwrTax 51040" xfId="1565" xr:uid="{147C1216-175D-4C34-A0EA-FBCEFFE432E5}"/>
    <cellStyle name="20% - Accent3 2 3" xfId="1566" xr:uid="{687293E7-F30C-44FD-A15B-20150855ABB5}"/>
    <cellStyle name="20% - Accent3 2 3 10" xfId="1567" xr:uid="{ED1A6183-251F-41BB-80C8-E8D155342D13}"/>
    <cellStyle name="20% - Accent3 2 3 10 2" xfId="34186" xr:uid="{21ED6876-96CD-4988-A1D8-2D236AAC41B3}"/>
    <cellStyle name="20% - Accent3 2 3 11" xfId="34187" xr:uid="{C0741C55-9B8F-451E-AE97-D43AFB5F2197}"/>
    <cellStyle name="20% - Accent3 2 3 12" xfId="34188" xr:uid="{3E1FAD05-5498-45C4-84A2-8D18B2E2B8F2}"/>
    <cellStyle name="20% - Accent3 2 3 2" xfId="1568" xr:uid="{3F666595-E79A-48D0-80AD-BC30E132B8C6}"/>
    <cellStyle name="20% - Accent3 2 3 2 10" xfId="34189" xr:uid="{F541B90C-8CC2-4CCF-8FCA-E30EDA3E7463}"/>
    <cellStyle name="20% - Accent3 2 3 2 11" xfId="34190" xr:uid="{914E7862-B6BE-43CF-99B3-89C0D5821022}"/>
    <cellStyle name="20% - Accent3 2 3 2 2" xfId="1569" xr:uid="{DBAE819A-FB43-48A5-B7D7-581BF725C6D2}"/>
    <cellStyle name="20% - Accent3 2 3 2 2 2" xfId="1570" xr:uid="{C5A5D0A2-C764-4CAA-81CF-876835DA3DB5}"/>
    <cellStyle name="20% - Accent3 2 3 2 2 2 2" xfId="1571" xr:uid="{9527C5CD-994B-4B92-B49B-FFE60EA0ED91}"/>
    <cellStyle name="20% - Accent3 2 3 2 2 2 2 2" xfId="1572" xr:uid="{C2735F41-EDEF-4288-85FE-A4C81DC5ECA1}"/>
    <cellStyle name="20% - Accent3 2 3 2 2 2 2 2 2" xfId="34191" xr:uid="{35BC5E58-1661-4308-9E3D-58F6EBE66058}"/>
    <cellStyle name="20% - Accent3 2 3 2 2 2 2 3" xfId="1573" xr:uid="{20D8160E-45ED-4490-AF86-4D29549F4A9B}"/>
    <cellStyle name="20% - Accent3 2 3 2 2 2 2 3 2" xfId="34192" xr:uid="{4DFF8073-2F13-4655-A0D6-774A1B4A1CCC}"/>
    <cellStyle name="20% - Accent3 2 3 2 2 2 2 4" xfId="34193" xr:uid="{82BB59B4-90D9-4A07-AF29-55136F20F238}"/>
    <cellStyle name="20% - Accent3 2 3 2 2 2 3" xfId="1574" xr:uid="{3526FB88-BEDD-49E5-8901-D3FA4CCD73CF}"/>
    <cellStyle name="20% - Accent3 2 3 2 2 2 3 2" xfId="34194" xr:uid="{432890C3-0256-4146-838D-1008661F82CF}"/>
    <cellStyle name="20% - Accent3 2 3 2 2 2 4" xfId="1575" xr:uid="{EB64DF09-DC4F-4CD6-85F5-2BB47C2F1C7C}"/>
    <cellStyle name="20% - Accent3 2 3 2 2 2 4 2" xfId="34195" xr:uid="{F525F6A8-8B1C-4FFF-B752-37472977E7D8}"/>
    <cellStyle name="20% - Accent3 2 3 2 2 2 5" xfId="34196" xr:uid="{3D1DC1CC-3734-4BF7-A09A-093C0232294E}"/>
    <cellStyle name="20% - Accent3 2 3 2 2 3" xfId="1576" xr:uid="{33DF9744-C95F-4123-ADDE-631707D618B1}"/>
    <cellStyle name="20% - Accent3 2 3 2 2 3 2" xfId="1577" xr:uid="{009CC483-E5B5-472F-AA3E-05026C223462}"/>
    <cellStyle name="20% - Accent3 2 3 2 2 3 2 2" xfId="34197" xr:uid="{BBD74322-146B-4DBF-91CA-96E4D8530ED1}"/>
    <cellStyle name="20% - Accent3 2 3 2 2 3 3" xfId="1578" xr:uid="{6FFF1507-0789-42B9-AEE5-0251E409B5B3}"/>
    <cellStyle name="20% - Accent3 2 3 2 2 3 3 2" xfId="34198" xr:uid="{A766BC0A-2314-4BCD-8B9D-03DC013496C7}"/>
    <cellStyle name="20% - Accent3 2 3 2 2 3 4" xfId="34199" xr:uid="{21158F48-C0BC-4661-8D4C-52817DE73E25}"/>
    <cellStyle name="20% - Accent3 2 3 2 2 4" xfId="1579" xr:uid="{F577EBA2-33BF-48E3-9777-1CC405AA41A2}"/>
    <cellStyle name="20% - Accent3 2 3 2 2 4 2" xfId="34200" xr:uid="{E7F75809-5F3B-4F19-929E-1EE84DF87F2A}"/>
    <cellStyle name="20% - Accent3 2 3 2 2 5" xfId="1580" xr:uid="{EA8F573F-6605-4E57-805D-45FC102232A1}"/>
    <cellStyle name="20% - Accent3 2 3 2 2 5 2" xfId="34201" xr:uid="{A3BB638A-8560-4B10-97B2-B03C6F8A677C}"/>
    <cellStyle name="20% - Accent3 2 3 2 2 6" xfId="34202" xr:uid="{9EA8A67B-55BC-46D0-9264-7E482ECBF6B4}"/>
    <cellStyle name="20% - Accent3 2 3 2 3" xfId="1581" xr:uid="{986939B0-7DAE-4356-8CF5-7BC4D98A12CB}"/>
    <cellStyle name="20% - Accent3 2 3 2 3 2" xfId="1582" xr:uid="{1D370875-990C-4CE5-9A82-E3EF876FE76B}"/>
    <cellStyle name="20% - Accent3 2 3 2 3 2 2" xfId="1583" xr:uid="{090AE7FE-11F1-4CF6-AD19-E9EC21CB0477}"/>
    <cellStyle name="20% - Accent3 2 3 2 3 2 2 2" xfId="34203" xr:uid="{01CBFBEB-8EB8-4BE6-8D29-B9884CDF692C}"/>
    <cellStyle name="20% - Accent3 2 3 2 3 2 3" xfId="1584" xr:uid="{A13AAE5C-EF6F-4A33-A8D3-FA043B9FCA16}"/>
    <cellStyle name="20% - Accent3 2 3 2 3 2 3 2" xfId="34204" xr:uid="{B16983A0-D11E-4372-9C7E-CA956F7B2AC2}"/>
    <cellStyle name="20% - Accent3 2 3 2 3 2 4" xfId="34205" xr:uid="{C82F673A-DBB3-4B0D-BC70-0922C28EB348}"/>
    <cellStyle name="20% - Accent3 2 3 2 3 3" xfId="1585" xr:uid="{65767DEC-9271-42DD-AE76-561E41FE875D}"/>
    <cellStyle name="20% - Accent3 2 3 2 3 3 2" xfId="34206" xr:uid="{17F1CE4E-0BA3-4B7A-AC94-00C547ED924D}"/>
    <cellStyle name="20% - Accent3 2 3 2 3 4" xfId="1586" xr:uid="{3C0D667A-0FF4-4C98-BBAB-DBBBD6523037}"/>
    <cellStyle name="20% - Accent3 2 3 2 3 4 2" xfId="34207" xr:uid="{2BD397C8-89C7-4213-AEB8-14CDAE579B75}"/>
    <cellStyle name="20% - Accent3 2 3 2 3 5" xfId="34208" xr:uid="{AA3B9223-DE9B-4A1B-BC2D-355D43FC00BD}"/>
    <cellStyle name="20% - Accent3 2 3 2 4" xfId="1587" xr:uid="{AD8E8C75-775A-482B-8688-0E3C9225B340}"/>
    <cellStyle name="20% - Accent3 2 3 2 4 2" xfId="1588" xr:uid="{057EDCD6-406E-4F63-BB87-4E3033BE3429}"/>
    <cellStyle name="20% - Accent3 2 3 2 4 2 2" xfId="34209" xr:uid="{E9C7F593-1698-45B4-9D91-4AEF0084C8EC}"/>
    <cellStyle name="20% - Accent3 2 3 2 4 3" xfId="1589" xr:uid="{9FAB6953-D73B-4204-A478-C1C1B0DEE5FA}"/>
    <cellStyle name="20% - Accent3 2 3 2 4 3 2" xfId="34210" xr:uid="{8F88A2F7-C66C-4A4D-A0A3-421AC37F0226}"/>
    <cellStyle name="20% - Accent3 2 3 2 4 4" xfId="34211" xr:uid="{4E6D6276-BA66-43EE-B67D-69CDAED386B5}"/>
    <cellStyle name="20% - Accent3 2 3 2 5" xfId="1590" xr:uid="{EBE08756-FDD0-4DF5-84EC-30D6A5ED1E7D}"/>
    <cellStyle name="20% - Accent3 2 3 2 5 2" xfId="34212" xr:uid="{2AECF6F6-2CD0-41ED-965E-A9C8C72DFEF9}"/>
    <cellStyle name="20% - Accent3 2 3 2 5 2 2" xfId="34213" xr:uid="{E9AD37B5-C39F-4887-A585-C0FC9E9BCD1B}"/>
    <cellStyle name="20% - Accent3 2 3 2 5 3" xfId="34214" xr:uid="{28304E26-625B-4DC4-A38E-4DE74F430356}"/>
    <cellStyle name="20% - Accent3 2 3 2 5 3 2" xfId="34215" xr:uid="{0C84BE5C-99EA-4B38-A57A-E49CF68681D4}"/>
    <cellStyle name="20% - Accent3 2 3 2 5 4" xfId="34216" xr:uid="{1CF71A9B-E7F2-4963-AFE9-23E149E97E3B}"/>
    <cellStyle name="20% - Accent3 2 3 2 6" xfId="1591" xr:uid="{01777A25-4B51-411E-80DA-70DE7AACF1B6}"/>
    <cellStyle name="20% - Accent3 2 3 2 6 2" xfId="34217" xr:uid="{050E314C-A0F5-4E83-80FB-1CD426C172E1}"/>
    <cellStyle name="20% - Accent3 2 3 2 6 2 2" xfId="34218" xr:uid="{A9327878-7E45-46C9-A03F-5F8655965E44}"/>
    <cellStyle name="20% - Accent3 2 3 2 6 3" xfId="34219" xr:uid="{DD39F878-1336-4A00-85E8-3C1AA635E67F}"/>
    <cellStyle name="20% - Accent3 2 3 2 6 3 2" xfId="34220" xr:uid="{CD464111-B49D-47B8-A665-1A05B672965C}"/>
    <cellStyle name="20% - Accent3 2 3 2 6 4" xfId="34221" xr:uid="{B1E9856D-709E-4B25-9F95-8B62635F94C0}"/>
    <cellStyle name="20% - Accent3 2 3 2 7" xfId="1592" xr:uid="{0EB792B8-C21D-4472-AC56-1746AE245065}"/>
    <cellStyle name="20% - Accent3 2 3 2 7 2" xfId="34222" xr:uid="{5732867B-50E9-4BE8-837E-F017279E27B2}"/>
    <cellStyle name="20% - Accent3 2 3 2 7 2 2" xfId="34223" xr:uid="{8E5BA79C-80B1-4D4E-9C9F-92D93E2B5418}"/>
    <cellStyle name="20% - Accent3 2 3 2 7 3" xfId="34224" xr:uid="{1ED6FA19-68DA-4BE3-B74E-774A729480D8}"/>
    <cellStyle name="20% - Accent3 2 3 2 7 3 2" xfId="34225" xr:uid="{38964088-9E70-40C8-B280-BA20E15DE6A6}"/>
    <cellStyle name="20% - Accent3 2 3 2 7 4" xfId="34226" xr:uid="{A59BA13E-5D18-41FE-8FCF-B95B013630CE}"/>
    <cellStyle name="20% - Accent3 2 3 2 8" xfId="34227" xr:uid="{0ADD9260-D384-4990-B852-CE68E4739ACE}"/>
    <cellStyle name="20% - Accent3 2 3 2 8 2" xfId="34228" xr:uid="{A4C47620-0AA8-4544-907D-474233E3E0D0}"/>
    <cellStyle name="20% - Accent3 2 3 2 9" xfId="34229" xr:uid="{AACBA917-E9ED-4389-BFA5-3688633316F7}"/>
    <cellStyle name="20% - Accent3 2 3 2 9 2" xfId="34230" xr:uid="{514BC2A9-C9FA-42DE-A49F-126C49EAF71D}"/>
    <cellStyle name="20% - Accent3 2 3 3" xfId="1593" xr:uid="{C7532FE8-B5E8-41EE-8E81-D98B882CEA90}"/>
    <cellStyle name="20% - Accent3 2 3 3 10" xfId="34231" xr:uid="{0881FC60-7EEB-47FA-AB74-FC469C9E4D04}"/>
    <cellStyle name="20% - Accent3 2 3 3 2" xfId="1594" xr:uid="{18A35843-433C-41AF-B4FF-24E672BED58B}"/>
    <cellStyle name="20% - Accent3 2 3 3 2 2" xfId="1595" xr:uid="{7A56E151-EF57-43EB-AD1B-718F2CB86AB7}"/>
    <cellStyle name="20% - Accent3 2 3 3 2 2 2" xfId="1596" xr:uid="{EC9445EB-DC0D-463E-AA95-020747303700}"/>
    <cellStyle name="20% - Accent3 2 3 3 2 2 2 2" xfId="34232" xr:uid="{1EC98CD0-840A-48ED-87F8-94952485E028}"/>
    <cellStyle name="20% - Accent3 2 3 3 2 2 3" xfId="1597" xr:uid="{590642C7-3B1C-4222-99D3-0D2B10BCCE27}"/>
    <cellStyle name="20% - Accent3 2 3 3 2 2 3 2" xfId="34233" xr:uid="{501AFF69-390A-4FE5-8606-51FB2516B896}"/>
    <cellStyle name="20% - Accent3 2 3 3 2 2 4" xfId="34234" xr:uid="{2C41C38A-AC9C-4DB4-B0EB-A833E4DEACF9}"/>
    <cellStyle name="20% - Accent3 2 3 3 2 3" xfId="1598" xr:uid="{977A4F32-CB4A-4CF8-A840-5F12B7BA91C5}"/>
    <cellStyle name="20% - Accent3 2 3 3 2 3 2" xfId="34235" xr:uid="{FF6E7FEF-69FE-4A63-B189-17DC1459CABA}"/>
    <cellStyle name="20% - Accent3 2 3 3 2 4" xfId="1599" xr:uid="{B23755A4-C3E9-49AD-88AB-C9D1BC7AFA24}"/>
    <cellStyle name="20% - Accent3 2 3 3 2 4 2" xfId="34236" xr:uid="{B7C4D735-5DAD-48BE-BC46-6079573B4088}"/>
    <cellStyle name="20% - Accent3 2 3 3 2 5" xfId="34237" xr:uid="{C2D3AE68-E3A5-4A1C-9B81-0C72D4980359}"/>
    <cellStyle name="20% - Accent3 2 3 3 3" xfId="1600" xr:uid="{18157A3F-4A94-4B35-A39C-D8B9C3DD501E}"/>
    <cellStyle name="20% - Accent3 2 3 3 3 2" xfId="1601" xr:uid="{0159A353-D79B-44D1-A8BE-2CF8B5BEA26C}"/>
    <cellStyle name="20% - Accent3 2 3 3 3 2 2" xfId="34238" xr:uid="{32DDFCA9-AC2F-44E1-8E11-9FC7746B4167}"/>
    <cellStyle name="20% - Accent3 2 3 3 3 3" xfId="1602" xr:uid="{548EE9FF-3731-4250-86A7-743DE782060A}"/>
    <cellStyle name="20% - Accent3 2 3 3 3 3 2" xfId="34239" xr:uid="{30C86ABA-E7CF-4503-AE8F-DED42AD96B36}"/>
    <cellStyle name="20% - Accent3 2 3 3 3 4" xfId="34240" xr:uid="{0D8F9A47-1C75-4E4D-AC1E-D04458402752}"/>
    <cellStyle name="20% - Accent3 2 3 3 4" xfId="1603" xr:uid="{414A4157-2EAB-480D-8AA2-3DEAA315973B}"/>
    <cellStyle name="20% - Accent3 2 3 3 4 2" xfId="34241" xr:uid="{39D2BD1E-069D-4599-9F9E-333FE4A5EE51}"/>
    <cellStyle name="20% - Accent3 2 3 3 4 2 2" xfId="34242" xr:uid="{2A8ED920-5698-40A2-BC93-F2B1230E0E94}"/>
    <cellStyle name="20% - Accent3 2 3 3 4 3" xfId="34243" xr:uid="{6EC13C10-8C7B-4556-9B52-4D7E834159CA}"/>
    <cellStyle name="20% - Accent3 2 3 3 4 3 2" xfId="34244" xr:uid="{CEB4A164-83EC-4D32-932A-1DD721C059C5}"/>
    <cellStyle name="20% - Accent3 2 3 3 4 4" xfId="34245" xr:uid="{7AC51458-0D23-4948-B8F7-BCFE0BD114F3}"/>
    <cellStyle name="20% - Accent3 2 3 3 5" xfId="1604" xr:uid="{FED91337-3759-42A6-9C5A-73B1E7B3424C}"/>
    <cellStyle name="20% - Accent3 2 3 3 5 2" xfId="34246" xr:uid="{690EECCF-F16C-4769-A54A-9CAEDBBD4EF7}"/>
    <cellStyle name="20% - Accent3 2 3 3 5 2 2" xfId="34247" xr:uid="{9A7828CC-1E0C-43AB-958D-56B5D5AA3799}"/>
    <cellStyle name="20% - Accent3 2 3 3 5 3" xfId="34248" xr:uid="{51A95858-1656-42C1-86DB-1FA6B9AD0E59}"/>
    <cellStyle name="20% - Accent3 2 3 3 5 3 2" xfId="34249" xr:uid="{729AF59C-4746-4E77-AE23-A9BB3633CF45}"/>
    <cellStyle name="20% - Accent3 2 3 3 5 4" xfId="34250" xr:uid="{5B0448A8-BB6B-41E2-ADBF-C2D09FAEF99B}"/>
    <cellStyle name="20% - Accent3 2 3 3 6" xfId="1605" xr:uid="{259DF953-7885-4910-A894-82DF455A1585}"/>
    <cellStyle name="20% - Accent3 2 3 3 6 2" xfId="34251" xr:uid="{4BB1439D-4381-41CD-BD0B-75073C5FFB33}"/>
    <cellStyle name="20% - Accent3 2 3 3 6 2 2" xfId="34252" xr:uid="{B7B9303D-1794-4C5A-9BFC-FEE666047F99}"/>
    <cellStyle name="20% - Accent3 2 3 3 6 3" xfId="34253" xr:uid="{6B01198C-FFB2-419B-8A42-F5B95EB7F191}"/>
    <cellStyle name="20% - Accent3 2 3 3 6 3 2" xfId="34254" xr:uid="{A561641B-1A04-45DC-9D32-C0683E757C62}"/>
    <cellStyle name="20% - Accent3 2 3 3 6 4" xfId="34255" xr:uid="{7609634A-76F9-4278-89D2-0ABE44B3849A}"/>
    <cellStyle name="20% - Accent3 2 3 3 7" xfId="34256" xr:uid="{34232868-C76C-46B8-B958-4E6979EB2E8F}"/>
    <cellStyle name="20% - Accent3 2 3 3 7 2" xfId="34257" xr:uid="{FA97ABA2-D76C-41BD-8E4C-A0B1B1393A83}"/>
    <cellStyle name="20% - Accent3 2 3 3 8" xfId="34258" xr:uid="{658D0E07-E27C-4AE1-A4E8-35ED7F9508C9}"/>
    <cellStyle name="20% - Accent3 2 3 3 8 2" xfId="34259" xr:uid="{CF0A240E-A95A-44B8-9B25-A51D4532CDE4}"/>
    <cellStyle name="20% - Accent3 2 3 3 9" xfId="34260" xr:uid="{36266216-B23A-48FB-BE16-9884B389207F}"/>
    <cellStyle name="20% - Accent3 2 3 4" xfId="1606" xr:uid="{82ADDBEC-D3BA-4876-97F7-30E0F35BC9F8}"/>
    <cellStyle name="20% - Accent3 2 3 4 2" xfId="1607" xr:uid="{63C31843-3D48-4B45-BF9B-D480B69F6C4E}"/>
    <cellStyle name="20% - Accent3 2 3 4 2 2" xfId="1608" xr:uid="{89BD1DAB-C730-4193-B17A-FF334AC0B475}"/>
    <cellStyle name="20% - Accent3 2 3 4 2 2 2" xfId="34261" xr:uid="{E762A58D-BCA4-4053-AC17-2F6DC4CEDEC3}"/>
    <cellStyle name="20% - Accent3 2 3 4 2 3" xfId="1609" xr:uid="{E3D73B0C-D940-41EB-A805-13F04EFD08D1}"/>
    <cellStyle name="20% - Accent3 2 3 4 2 3 2" xfId="34262" xr:uid="{F282717D-20FE-43CA-BA7F-9AFD002F9234}"/>
    <cellStyle name="20% - Accent3 2 3 4 2 4" xfId="34263" xr:uid="{D68BB9E1-03FD-4A47-9242-3ACA5B4A2855}"/>
    <cellStyle name="20% - Accent3 2 3 4 3" xfId="1610" xr:uid="{912D3285-113B-4F61-8B1F-F72F24D1C207}"/>
    <cellStyle name="20% - Accent3 2 3 4 3 2" xfId="34264" xr:uid="{47EA5DF1-6DEA-4486-AE67-09A3DB6B7D40}"/>
    <cellStyle name="20% - Accent3 2 3 4 3 2 2" xfId="34265" xr:uid="{D4C1AA14-CA3A-4836-B3D0-40F649829C60}"/>
    <cellStyle name="20% - Accent3 2 3 4 3 3" xfId="34266" xr:uid="{F264882C-38EF-4823-91E8-D5ACB3FB3B6F}"/>
    <cellStyle name="20% - Accent3 2 3 4 3 3 2" xfId="34267" xr:uid="{9D16CD46-236F-45D3-85DA-ECBF3E1CAA79}"/>
    <cellStyle name="20% - Accent3 2 3 4 3 4" xfId="34268" xr:uid="{B451B643-6708-4E79-BAE0-A86976FCAB6A}"/>
    <cellStyle name="20% - Accent3 2 3 4 4" xfId="1611" xr:uid="{3A142197-9A55-4C32-B818-A1DF298AD1AA}"/>
    <cellStyle name="20% - Accent3 2 3 4 4 2" xfId="34269" xr:uid="{34D2CE13-F4FB-48BF-A176-E64DD5CB41BA}"/>
    <cellStyle name="20% - Accent3 2 3 4 4 2 2" xfId="34270" xr:uid="{CDBF6DB4-5DA9-49F2-BFFB-53F7AEA51CB6}"/>
    <cellStyle name="20% - Accent3 2 3 4 4 3" xfId="34271" xr:uid="{0BDDE23A-F6F7-4D5A-81BB-ADEFFE50BCE7}"/>
    <cellStyle name="20% - Accent3 2 3 4 4 3 2" xfId="34272" xr:uid="{E8DCF295-B524-47CD-8E7C-B494C5498E56}"/>
    <cellStyle name="20% - Accent3 2 3 4 4 4" xfId="34273" xr:uid="{C226DF0F-89EF-4A03-895B-AF674007E32B}"/>
    <cellStyle name="20% - Accent3 2 3 4 5" xfId="34274" xr:uid="{652EFCCB-99E5-41BA-8C51-A7B9EE8AC0D8}"/>
    <cellStyle name="20% - Accent3 2 3 4 5 2" xfId="34275" xr:uid="{2855027A-78EB-4135-BC7B-D1EA50579168}"/>
    <cellStyle name="20% - Accent3 2 3 4 5 2 2" xfId="34276" xr:uid="{24ADD761-7D1D-4270-A787-71AC37888744}"/>
    <cellStyle name="20% - Accent3 2 3 4 5 3" xfId="34277" xr:uid="{1D924AB6-4CDE-438B-99F4-09AAAC3A8402}"/>
    <cellStyle name="20% - Accent3 2 3 4 5 3 2" xfId="34278" xr:uid="{F132FACF-49CD-4FC1-8262-35F687EB0EED}"/>
    <cellStyle name="20% - Accent3 2 3 4 5 4" xfId="34279" xr:uid="{ECAD1D79-9618-4AA5-9482-BC93AF066416}"/>
    <cellStyle name="20% - Accent3 2 3 4 6" xfId="34280" xr:uid="{21726A7E-21CF-490D-A356-0951789358F0}"/>
    <cellStyle name="20% - Accent3 2 3 4 6 2" xfId="34281" xr:uid="{D8CDE797-5CF2-4903-AE34-F8B9CB5AD0F3}"/>
    <cellStyle name="20% - Accent3 2 3 4 7" xfId="34282" xr:uid="{720DCF69-609A-44CC-9560-65D9B69A64EE}"/>
    <cellStyle name="20% - Accent3 2 3 4 7 2" xfId="34283" xr:uid="{0462B13A-AA7F-4599-839C-C279A1769348}"/>
    <cellStyle name="20% - Accent3 2 3 4 8" xfId="34284" xr:uid="{9A639C29-9078-47F5-9A7F-451F076DA6F4}"/>
    <cellStyle name="20% - Accent3 2 3 5" xfId="1612" xr:uid="{379ACF47-5C0D-49FF-A873-4A9403A4CC5C}"/>
    <cellStyle name="20% - Accent3 2 3 5 2" xfId="1613" xr:uid="{BA56CF9D-9494-4FFA-80EC-4DFBF618E418}"/>
    <cellStyle name="20% - Accent3 2 3 5 2 2" xfId="1614" xr:uid="{E04EE8FD-91CA-4298-8ED5-9836B2456363}"/>
    <cellStyle name="20% - Accent3 2 3 5 2 2 2" xfId="34285" xr:uid="{6C8ADFA1-B893-46D5-885A-8FD4A4C01352}"/>
    <cellStyle name="20% - Accent3 2 3 5 2 3" xfId="1615" xr:uid="{C375C47A-9B2C-4F28-889D-1CF93177EAF8}"/>
    <cellStyle name="20% - Accent3 2 3 5 2 3 2" xfId="34286" xr:uid="{4D3BE596-087F-432B-89EF-9CC1B299D0C4}"/>
    <cellStyle name="20% - Accent3 2 3 5 2 4" xfId="34287" xr:uid="{B97EE126-ADC8-4D62-8D0C-2C16DE977B2F}"/>
    <cellStyle name="20% - Accent3 2 3 5 3" xfId="1616" xr:uid="{8195768F-55ED-4AA6-A359-9ED6CB2915E4}"/>
    <cellStyle name="20% - Accent3 2 3 5 3 2" xfId="34288" xr:uid="{FAB76675-2CC9-4183-8052-21430B68EA85}"/>
    <cellStyle name="20% - Accent3 2 3 5 3 2 2" xfId="34289" xr:uid="{3010E72D-E410-4290-AEE3-ACCDA6AE856A}"/>
    <cellStyle name="20% - Accent3 2 3 5 3 3" xfId="34290" xr:uid="{D11C91E9-9552-4EBA-845B-AE00CC24E3AB}"/>
    <cellStyle name="20% - Accent3 2 3 5 3 3 2" xfId="34291" xr:uid="{53092B71-A4D0-4A6F-968C-6A63CD583890}"/>
    <cellStyle name="20% - Accent3 2 3 5 3 4" xfId="34292" xr:uid="{F1AED45D-1F91-470B-B2DD-EB4D637A0D4D}"/>
    <cellStyle name="20% - Accent3 2 3 5 4" xfId="1617" xr:uid="{9CC6253D-DFEF-4333-AFEC-3BBA529AB630}"/>
    <cellStyle name="20% - Accent3 2 3 5 4 2" xfId="34293" xr:uid="{866E800E-5B92-4A6D-8DA5-50091BDB7FE5}"/>
    <cellStyle name="20% - Accent3 2 3 5 4 2 2" xfId="34294" xr:uid="{8C405392-CEA5-4001-8248-6DE4FEBE5CF2}"/>
    <cellStyle name="20% - Accent3 2 3 5 4 3" xfId="34295" xr:uid="{17355D1F-4EB4-44A6-934D-25D3E20FF118}"/>
    <cellStyle name="20% - Accent3 2 3 5 4 3 2" xfId="34296" xr:uid="{D7C34E07-9259-4EA7-BE6E-22265F6D824C}"/>
    <cellStyle name="20% - Accent3 2 3 5 4 4" xfId="34297" xr:uid="{3A97E29A-F621-48A5-BCCB-83E8096EF13C}"/>
    <cellStyle name="20% - Accent3 2 3 5 5" xfId="34298" xr:uid="{F085F3D1-5F19-4662-88AB-13BAD344065D}"/>
    <cellStyle name="20% - Accent3 2 3 5 5 2" xfId="34299" xr:uid="{E84523B7-CC83-4780-BCD3-793EEB8F0666}"/>
    <cellStyle name="20% - Accent3 2 3 5 6" xfId="34300" xr:uid="{4B98C59D-0E09-4528-B7CD-8E9AE0CF71FB}"/>
    <cellStyle name="20% - Accent3 2 3 5 6 2" xfId="34301" xr:uid="{C735C4F5-8C33-4026-B613-B64416D52331}"/>
    <cellStyle name="20% - Accent3 2 3 5 7" xfId="34302" xr:uid="{6302CEBA-2FD2-4B52-AB39-82D701838876}"/>
    <cellStyle name="20% - Accent3 2 3 6" xfId="1618" xr:uid="{E96037E6-7630-4DD2-AFC0-3D57B075B85C}"/>
    <cellStyle name="20% - Accent3 2 3 6 2" xfId="1619" xr:uid="{09462EC1-5B89-4552-A58E-ADA25CCCD4B3}"/>
    <cellStyle name="20% - Accent3 2 3 6 2 2" xfId="34303" xr:uid="{8D7A52F3-24C5-4B66-8C5D-AE90A6B2233F}"/>
    <cellStyle name="20% - Accent3 2 3 6 3" xfId="1620" xr:uid="{2A1AEB57-F637-4FB6-9D03-7C6EFA4A59C4}"/>
    <cellStyle name="20% - Accent3 2 3 6 3 2" xfId="34304" xr:uid="{9C8F566D-BD7F-416A-A135-C8913D2341F4}"/>
    <cellStyle name="20% - Accent3 2 3 6 4" xfId="34305" xr:uid="{0B6AF650-B0E0-46C1-A72E-FEDAC5C09B36}"/>
    <cellStyle name="20% - Accent3 2 3 7" xfId="1621" xr:uid="{AB3A872D-95C4-4B44-BB3F-EF30B93BB2CA}"/>
    <cellStyle name="20% - Accent3 2 3 7 2" xfId="34306" xr:uid="{EB4F3687-87D3-4481-9944-C6C8CE9A0FFC}"/>
    <cellStyle name="20% - Accent3 2 3 7 2 2" xfId="34307" xr:uid="{418BD5FB-B7FC-4300-BD7B-DA498FE02084}"/>
    <cellStyle name="20% - Accent3 2 3 7 3" xfId="34308" xr:uid="{A28A5624-DE91-411F-B5A0-ED72ABFBC7F6}"/>
    <cellStyle name="20% - Accent3 2 3 7 3 2" xfId="34309" xr:uid="{343B7E85-F3DE-4741-BA3B-114D4CB13998}"/>
    <cellStyle name="20% - Accent3 2 3 7 4" xfId="34310" xr:uid="{338AECC6-D05D-4B56-A964-616B14FAC71C}"/>
    <cellStyle name="20% - Accent3 2 3 8" xfId="1622" xr:uid="{98748267-882F-45AD-AF88-65D2298FED70}"/>
    <cellStyle name="20% - Accent3 2 3 8 2" xfId="34311" xr:uid="{29BC88F1-8824-4228-B1DF-649246CB7469}"/>
    <cellStyle name="20% - Accent3 2 3 8 2 2" xfId="34312" xr:uid="{6ECB321D-3A1E-4B61-8622-8E277B2DC2EF}"/>
    <cellStyle name="20% - Accent3 2 3 8 3" xfId="34313" xr:uid="{0ED377A2-D2C9-4DE6-A6C5-D607FFFBDC1C}"/>
    <cellStyle name="20% - Accent3 2 3 8 3 2" xfId="34314" xr:uid="{EDD10F61-A805-47CE-865D-367DF089D610}"/>
    <cellStyle name="20% - Accent3 2 3 8 4" xfId="34315" xr:uid="{71250BFC-3C4D-4A37-A0AA-F8A266C30569}"/>
    <cellStyle name="20% - Accent3 2 3 9" xfId="1623" xr:uid="{9A9BDB8A-7440-4A71-9AB2-E5763B433A4D}"/>
    <cellStyle name="20% - Accent3 2 3 9 2" xfId="34316" xr:uid="{7B157CA8-FA58-4F08-8F81-3CDDE45FB6E0}"/>
    <cellStyle name="20% - Accent3 2 4" xfId="1624" xr:uid="{A88A9408-B96A-4995-A1DA-DE1B4E966643}"/>
    <cellStyle name="20% - Accent3 2 4 2" xfId="1625" xr:uid="{FDEAD066-7F36-41E7-97AF-DAD855E30902}"/>
    <cellStyle name="20% - Accent3 2 4 2 2" xfId="1626" xr:uid="{B989DD73-EFDD-4D0A-934D-EC2A1C5F3243}"/>
    <cellStyle name="20% - Accent3 2 4 2 2 2" xfId="34317" xr:uid="{40F2830F-8514-4CB2-BECA-FBEF84ECDD35}"/>
    <cellStyle name="20% - Accent3 2 4 2 2 2 2" xfId="34318" xr:uid="{F0855939-E77B-4566-B66D-A9C9112AD21F}"/>
    <cellStyle name="20% - Accent3 2 4 2 2 3" xfId="34319" xr:uid="{332C3403-F51D-42A8-A498-B47D5F327870}"/>
    <cellStyle name="20% - Accent3 2 4 2 2 3 2" xfId="34320" xr:uid="{1FA504B3-BC68-4DE8-BAEB-EAC8D2894D2E}"/>
    <cellStyle name="20% - Accent3 2 4 2 2 4" xfId="34321" xr:uid="{A9F78EA3-5349-4EEF-98C6-ECDC667A72F1}"/>
    <cellStyle name="20% - Accent3 2 4 2 3" xfId="1627" xr:uid="{CDBAD13B-2210-4723-80C0-DB948C78D5FD}"/>
    <cellStyle name="20% - Accent3 2 4 2 3 2" xfId="34322" xr:uid="{F9DF464D-AD75-4E9B-856C-E7A3B515B069}"/>
    <cellStyle name="20% - Accent3 2 4 2 3 2 2" xfId="34323" xr:uid="{20F70788-1E54-4176-9DC1-25E6F2B0649F}"/>
    <cellStyle name="20% - Accent3 2 4 2 3 3" xfId="34324" xr:uid="{A89335C8-73DE-4E75-A6E1-43CDBE0B8915}"/>
    <cellStyle name="20% - Accent3 2 4 2 3 3 2" xfId="34325" xr:uid="{3888B30E-8E11-4AD2-B646-C672BD06C398}"/>
    <cellStyle name="20% - Accent3 2 4 2 3 4" xfId="34326" xr:uid="{E10F7283-85C4-46F5-A9D2-5CB9BFC348B4}"/>
    <cellStyle name="20% - Accent3 2 4 2 4" xfId="34327" xr:uid="{450B580B-96C0-4272-A201-4E00C3B1FA7E}"/>
    <cellStyle name="20% - Accent3 2 4 2 4 2" xfId="34328" xr:uid="{CB8FDADF-D5DD-4B08-AF5B-A90DE463087F}"/>
    <cellStyle name="20% - Accent3 2 4 2 4 2 2" xfId="34329" xr:uid="{D3C52881-DC88-423E-BEF7-899D21FA5EF6}"/>
    <cellStyle name="20% - Accent3 2 4 2 4 3" xfId="34330" xr:uid="{8D21FE16-5E19-4E0E-A9F2-8C7E2F72B4DB}"/>
    <cellStyle name="20% - Accent3 2 4 2 4 3 2" xfId="34331" xr:uid="{3B0AF5C9-14BB-4A9E-A28D-2196BE42A283}"/>
    <cellStyle name="20% - Accent3 2 4 2 4 4" xfId="34332" xr:uid="{546EA7D4-EAD5-4A01-BB29-20162D862A44}"/>
    <cellStyle name="20% - Accent3 2 4 2 5" xfId="34333" xr:uid="{9E89BC26-CE51-469C-86E8-639313C1FC75}"/>
    <cellStyle name="20% - Accent3 2 4 2 5 2" xfId="34334" xr:uid="{27693EBF-C6D9-4527-8EC8-98CF5CA909EC}"/>
    <cellStyle name="20% - Accent3 2 4 2 6" xfId="34335" xr:uid="{6CD6C1E0-CFAE-4F5F-A469-7D9756C63617}"/>
    <cellStyle name="20% - Accent3 2 4 2 6 2" xfId="34336" xr:uid="{F7C5C27E-4710-480A-B7EC-A4ED0B9C60E6}"/>
    <cellStyle name="20% - Accent3 2 4 2 7" xfId="34337" xr:uid="{F514EB0C-6274-4AFB-B0B9-BE68122BD2A9}"/>
    <cellStyle name="20% - Accent3 2 4 3" xfId="1628" xr:uid="{D70A08CC-6C4E-4291-A6E3-B09CF144E428}"/>
    <cellStyle name="20% - Accent3 2 4 3 2" xfId="34338" xr:uid="{03391690-330B-4A89-A4C1-230D1F314798}"/>
    <cellStyle name="20% - Accent3 2 4 3 2 2" xfId="34339" xr:uid="{498AEC3E-AEEC-4B5F-B651-125C7E86BCAB}"/>
    <cellStyle name="20% - Accent3 2 4 3 2 2 2" xfId="34340" xr:uid="{CDCCA7D6-B68E-4ABC-AAF9-34A0209AB2C5}"/>
    <cellStyle name="20% - Accent3 2 4 3 2 3" xfId="34341" xr:uid="{A17EBC29-F64C-4D52-812D-E1344D4306C5}"/>
    <cellStyle name="20% - Accent3 2 4 3 2 3 2" xfId="34342" xr:uid="{BEBCB7E1-9EB0-428A-B1DF-3D9DE49199FD}"/>
    <cellStyle name="20% - Accent3 2 4 3 2 4" xfId="34343" xr:uid="{C8B58CA2-D017-4811-BC14-E460AD15A141}"/>
    <cellStyle name="20% - Accent3 2 4 3 3" xfId="34344" xr:uid="{370CF0D2-BAD2-4CB6-ADE1-513E1DB82654}"/>
    <cellStyle name="20% - Accent3 2 4 3 3 2" xfId="34345" xr:uid="{017621C6-90E5-44DC-A020-A133474D5EF8}"/>
    <cellStyle name="20% - Accent3 2 4 3 3 2 2" xfId="34346" xr:uid="{E64217DD-94B5-41CF-A679-C95336B95075}"/>
    <cellStyle name="20% - Accent3 2 4 3 3 3" xfId="34347" xr:uid="{7E265102-4F6E-4ABB-B605-5D7CE1CAA413}"/>
    <cellStyle name="20% - Accent3 2 4 3 3 3 2" xfId="34348" xr:uid="{5B498EA2-0310-4560-8844-8692DA7BD0F5}"/>
    <cellStyle name="20% - Accent3 2 4 3 3 4" xfId="34349" xr:uid="{95205FA3-7E79-4B8F-8183-837195F78E5C}"/>
    <cellStyle name="20% - Accent3 2 4 3 4" xfId="34350" xr:uid="{12F842AA-F9A5-4BD1-AE66-51D8AF21E083}"/>
    <cellStyle name="20% - Accent3 2 4 3 4 2" xfId="34351" xr:uid="{A522DAF2-07A1-4B77-9EA0-A18411209F7E}"/>
    <cellStyle name="20% - Accent3 2 4 3 4 2 2" xfId="34352" xr:uid="{6FEAFD92-00EB-4E61-9342-F157B8C940D6}"/>
    <cellStyle name="20% - Accent3 2 4 3 4 3" xfId="34353" xr:uid="{E7E98F6E-57A6-4897-A709-8376DF8EB9C2}"/>
    <cellStyle name="20% - Accent3 2 4 3 4 3 2" xfId="34354" xr:uid="{7D097121-B136-46A5-8C0E-18CEBCE66674}"/>
    <cellStyle name="20% - Accent3 2 4 3 4 4" xfId="34355" xr:uid="{0BADCE67-E74B-45D1-8339-DE1074425C6E}"/>
    <cellStyle name="20% - Accent3 2 4 3 5" xfId="34356" xr:uid="{FD1D17F9-84BF-44EF-A237-8D04FFA92232}"/>
    <cellStyle name="20% - Accent3 2 4 3 5 2" xfId="34357" xr:uid="{A68BECFA-A81C-4DF5-8AAD-E0F69CEB6DB4}"/>
    <cellStyle name="20% - Accent3 2 4 3 6" xfId="34358" xr:uid="{41C41D5E-D099-4C0E-BF5A-3540B018E9D0}"/>
    <cellStyle name="20% - Accent3 2 4 3 6 2" xfId="34359" xr:uid="{10345946-6F61-4545-B0B1-2A92822B5FC1}"/>
    <cellStyle name="20% - Accent3 2 4 3 7" xfId="34360" xr:uid="{07BD95BF-B8C6-46D6-BC58-6E456CD4C75E}"/>
    <cellStyle name="20% - Accent3 2 4 4" xfId="1629" xr:uid="{C314EC4C-9E65-4635-9F67-07BDD6131E6A}"/>
    <cellStyle name="20% - Accent3 2 4 4 2" xfId="34361" xr:uid="{567416FB-38AF-4AAA-A758-8EC25F1467A7}"/>
    <cellStyle name="20% - Accent3 2 4 4 2 2" xfId="34362" xr:uid="{70F8CCD6-DA84-4784-8530-8C7E400F38C4}"/>
    <cellStyle name="20% - Accent3 2 4 4 3" xfId="34363" xr:uid="{5DA220E1-DF28-440F-A943-867E9D4065C8}"/>
    <cellStyle name="20% - Accent3 2 4 4 3 2" xfId="34364" xr:uid="{C4383C2F-9F08-4E98-9620-48BD536A26E2}"/>
    <cellStyle name="20% - Accent3 2 4 4 4" xfId="34365" xr:uid="{E5141F07-0F52-4CAC-9F47-E9D16C9B3613}"/>
    <cellStyle name="20% - Accent3 2 4 5" xfId="1630" xr:uid="{FE51A635-1C19-49B2-97F5-5CBD319106B4}"/>
    <cellStyle name="20% - Accent3 2 4 5 2" xfId="34366" xr:uid="{D694901A-8CCB-4ADC-8FDA-8B18B123089C}"/>
    <cellStyle name="20% - Accent3 2 4 5 2 2" xfId="34367" xr:uid="{6787BB5B-080C-4F55-8337-7F214B5E672A}"/>
    <cellStyle name="20% - Accent3 2 4 5 3" xfId="34368" xr:uid="{2676D6B8-9541-4701-BDB5-FC5D0E684B04}"/>
    <cellStyle name="20% - Accent3 2 4 5 3 2" xfId="34369" xr:uid="{B9DCCDCD-E909-4A43-936A-0A666D6A8DC5}"/>
    <cellStyle name="20% - Accent3 2 4 5 4" xfId="34370" xr:uid="{D8AEE0F4-22F0-4A8C-9481-5CDC57B3D83A}"/>
    <cellStyle name="20% - Accent3 2 4 6" xfId="34371" xr:uid="{B8F149E4-26C1-48CD-B226-FB49C475EC5F}"/>
    <cellStyle name="20% - Accent3 2 4 6 2" xfId="34372" xr:uid="{DB4F3538-9E4F-409D-BC2C-0DF94B6FA1EA}"/>
    <cellStyle name="20% - Accent3 2 4 6 2 2" xfId="34373" xr:uid="{08E0B6D6-FB7B-4917-8148-4EE9F0AAA014}"/>
    <cellStyle name="20% - Accent3 2 4 6 3" xfId="34374" xr:uid="{C53B8BE1-F514-4C82-89FC-63B8107D2270}"/>
    <cellStyle name="20% - Accent3 2 4 6 3 2" xfId="34375" xr:uid="{FAFDF454-3B39-4A9C-BA4F-A9E8A1FA0E19}"/>
    <cellStyle name="20% - Accent3 2 4 6 4" xfId="34376" xr:uid="{BB74B391-5B21-418D-9E1F-0916AF0ED86E}"/>
    <cellStyle name="20% - Accent3 2 4 7" xfId="34377" xr:uid="{FCCAB012-CAE9-448D-B69D-567E7F27AC9B}"/>
    <cellStyle name="20% - Accent3 2 4 7 2" xfId="34378" xr:uid="{5EB7CF46-49D4-4B86-A981-76C769786E5A}"/>
    <cellStyle name="20% - Accent3 2 4 8" xfId="34379" xr:uid="{835B7297-08DA-4335-A49F-FA75A61069D4}"/>
    <cellStyle name="20% - Accent3 2 4 8 2" xfId="34380" xr:uid="{C42C79BD-3490-4FE4-A30E-70BD71EC505D}"/>
    <cellStyle name="20% - Accent3 2 4 9" xfId="34381" xr:uid="{1BB9615F-B0D3-47BE-9E32-8DED4372C35C}"/>
    <cellStyle name="20% - Accent3 2 5" xfId="34382" xr:uid="{FC9635E0-0F36-4E54-BD5F-9391880BDC72}"/>
    <cellStyle name="20% - Accent3 2 5 2" xfId="34383" xr:uid="{DD251819-40BB-4D67-867B-1D2379E87396}"/>
    <cellStyle name="20% - Accent3 2 5 2 2" xfId="34384" xr:uid="{89C3F7B8-45AE-4118-AD7C-80BAB3F537FC}"/>
    <cellStyle name="20% - Accent3 2 5 2 2 2" xfId="34385" xr:uid="{278BE797-C654-4F7D-AB77-21B3AED25582}"/>
    <cellStyle name="20% - Accent3 2 5 2 3" xfId="34386" xr:uid="{65758FCA-CD41-4992-9FCA-63ABAC40FB68}"/>
    <cellStyle name="20% - Accent3 2 5 2 3 2" xfId="34387" xr:uid="{198DAAAB-839A-4005-AE4A-E1409CC59DA5}"/>
    <cellStyle name="20% - Accent3 2 5 2 4" xfId="34388" xr:uid="{5160AE5B-6A0F-4EC2-96A1-36C30B3AC04F}"/>
    <cellStyle name="20% - Accent3 2 5 3" xfId="34389" xr:uid="{E06989C3-01DE-45B7-8861-1F2426F0336E}"/>
    <cellStyle name="20% - Accent3 2 5 3 2" xfId="34390" xr:uid="{34FFDDE6-ABE5-4C89-BF4B-9EEAED7D249D}"/>
    <cellStyle name="20% - Accent3 2 5 3 2 2" xfId="34391" xr:uid="{FBF9CBFB-997C-497A-AD30-E63D1F7BB2E9}"/>
    <cellStyle name="20% - Accent3 2 5 3 3" xfId="34392" xr:uid="{4D338B46-91E9-42D8-8164-FA7033AC678B}"/>
    <cellStyle name="20% - Accent3 2 5 3 3 2" xfId="34393" xr:uid="{A64A25D7-A71B-469D-9754-DE34BC55BE0B}"/>
    <cellStyle name="20% - Accent3 2 5 3 4" xfId="34394" xr:uid="{90619798-4093-4490-BE78-54D9EC450D5C}"/>
    <cellStyle name="20% - Accent3 2 5 4" xfId="34395" xr:uid="{7CCCBB59-F58C-406E-AD52-5C3075B08C91}"/>
    <cellStyle name="20% - Accent3 2 5 4 2" xfId="34396" xr:uid="{B19021EC-CE10-4774-B80E-F00DF6854157}"/>
    <cellStyle name="20% - Accent3 2 5 4 2 2" xfId="34397" xr:uid="{F9AC58C0-E23D-4204-8C4C-53AD48D38966}"/>
    <cellStyle name="20% - Accent3 2 5 4 3" xfId="34398" xr:uid="{AEB71033-B9B4-4E59-8D8A-F1F967D08AC1}"/>
    <cellStyle name="20% - Accent3 2 5 4 3 2" xfId="34399" xr:uid="{4A4DF80F-0B8E-4E22-99D4-2191E6524E45}"/>
    <cellStyle name="20% - Accent3 2 5 4 4" xfId="34400" xr:uid="{796D2D11-19DE-4A9B-8E6F-BCB3FFA7500A}"/>
    <cellStyle name="20% - Accent3 2 5 5" xfId="34401" xr:uid="{267DF9E1-3AD1-4997-A849-22B753689917}"/>
    <cellStyle name="20% - Accent3 2 5 5 2" xfId="34402" xr:uid="{74710EE1-19EE-4D67-8A53-571E2BDDF74D}"/>
    <cellStyle name="20% - Accent3 2 5 6" xfId="34403" xr:uid="{34314529-1C5F-4C48-A6DC-D0EC3116B8DC}"/>
    <cellStyle name="20% - Accent3 2 5 6 2" xfId="34404" xr:uid="{641F96E7-F18C-4528-B030-94D472ED96AC}"/>
    <cellStyle name="20% - Accent3 2 5 7" xfId="34405" xr:uid="{DD67758A-97D8-4FC6-BFA7-84EDBB036581}"/>
    <cellStyle name="20% - Accent3 2 6" xfId="34406" xr:uid="{2D451468-DE30-4646-B9F8-27DB7C8F9FC5}"/>
    <cellStyle name="20% - Accent3 2 6 2" xfId="34407" xr:uid="{0016CA45-C815-48DA-89C5-3DB8FB1F24DC}"/>
    <cellStyle name="20% - Accent3 2 6 2 2" xfId="34408" xr:uid="{D8B1E5BD-DF97-497B-9D61-D1EAF087BFAF}"/>
    <cellStyle name="20% - Accent3 2 6 3" xfId="34409" xr:uid="{B8FC827B-C847-4BD5-BCF5-A56226D3E370}"/>
    <cellStyle name="20% - Accent3 2 6 3 2" xfId="34410" xr:uid="{51A68D02-A4CE-44DF-A0FB-5878AEB2FCC4}"/>
    <cellStyle name="20% - Accent3 2 6 4" xfId="34411" xr:uid="{D3899376-EF76-43C6-9491-620FE9550290}"/>
    <cellStyle name="20% - Accent3 2 7" xfId="34412" xr:uid="{8CC273F4-A3F0-4175-9E58-00BB1013F5D9}"/>
    <cellStyle name="20% - Accent3 2 7 2" xfId="34413" xr:uid="{A0E169A9-F12F-46CF-9AD8-D21D6FDBCF61}"/>
    <cellStyle name="20% - Accent3 2 7 2 2" xfId="34414" xr:uid="{8931387D-7ED0-4327-B704-F20382D3CDE6}"/>
    <cellStyle name="20% - Accent3 2 7 3" xfId="34415" xr:uid="{9AFE2FD3-8EFC-483D-BC57-E7D414C88B1D}"/>
    <cellStyle name="20% - Accent3 2 7 3 2" xfId="34416" xr:uid="{C4E8996E-98A9-43B2-A015-569759C0A265}"/>
    <cellStyle name="20% - Accent3 2 7 4" xfId="34417" xr:uid="{34229A34-DA62-4A59-A9E7-FA47DB9EC1B0}"/>
    <cellStyle name="20% - Accent3 2 8" xfId="34418" xr:uid="{C6824755-64AF-4999-965F-F66C0DEDEB4C}"/>
    <cellStyle name="20% - Accent3 2 9" xfId="34419" xr:uid="{B322D156-6C6D-4A83-B5DE-56EF77A4F324}"/>
    <cellStyle name="20% - Accent3 2_PwrTax 51040" xfId="1631" xr:uid="{F87259D5-CB42-4822-B6E6-92F8E029A415}"/>
    <cellStyle name="20% - Accent3 20" xfId="1632" xr:uid="{70BB151B-675A-4D2B-8C35-CAB2DB387A3A}"/>
    <cellStyle name="20% - Accent3 21" xfId="1633" xr:uid="{3F16FE14-608A-4FBF-A785-6D881011DAD9}"/>
    <cellStyle name="20% - Accent3 22" xfId="1634" xr:uid="{2736313B-DCF0-4DC1-BD65-43F1532944E0}"/>
    <cellStyle name="20% - Accent3 23" xfId="1635" xr:uid="{77E2675C-CBED-4BD1-BA61-4F35CFF30A6E}"/>
    <cellStyle name="20% - Accent3 24" xfId="1636" xr:uid="{CF39418A-967B-4A53-9580-3FC63B353A04}"/>
    <cellStyle name="20% - Accent3 25" xfId="1637" xr:uid="{F6581496-93D4-42C7-8651-DC7B88195E6D}"/>
    <cellStyle name="20% - Accent3 26" xfId="1638" xr:uid="{E157132D-7EDA-4991-9C39-2A0B528219CB}"/>
    <cellStyle name="20% - Accent3 27" xfId="1639" xr:uid="{415A7843-81A2-455C-8A0C-C71E44B55265}"/>
    <cellStyle name="20% - Accent3 28" xfId="1640" xr:uid="{E807E270-5766-42A2-890D-466E3BCAA5C2}"/>
    <cellStyle name="20% - Accent3 29" xfId="1641" xr:uid="{F20B82B9-CA29-4A6C-A9D3-42E2EAF12148}"/>
    <cellStyle name="20% - Accent3 3" xfId="1642" xr:uid="{FBA7AFEC-8E3D-4CA1-B661-532B39BC041D}"/>
    <cellStyle name="20% - Accent3 3 10" xfId="34420" xr:uid="{C0AA5423-3CA8-4C24-8A23-AD08F17708E2}"/>
    <cellStyle name="20% - Accent3 3 11" xfId="43531" xr:uid="{3BB51661-1C78-4D69-A6B6-361563C03855}"/>
    <cellStyle name="20% - Accent3 3 2" xfId="1643" xr:uid="{3D02AC29-2BE9-4CAB-9878-79976F09BF93}"/>
    <cellStyle name="20% - Accent3 3 2 2" xfId="34421" xr:uid="{594281B3-1D39-4D27-A2DB-0B24F5C54867}"/>
    <cellStyle name="20% - Accent3 3 2 2 2" xfId="34422" xr:uid="{3203C7D0-9437-4299-A4CF-841E4691E191}"/>
    <cellStyle name="20% - Accent3 3 2 3" xfId="34423" xr:uid="{4C9915BF-070B-43C7-9AE2-53DC758A8E8A}"/>
    <cellStyle name="20% - Accent3 3 3" xfId="1644" xr:uid="{89057F7E-177B-4C25-9CD8-EEECF5CA09F7}"/>
    <cellStyle name="20% - Accent3 3 3 10" xfId="34424" xr:uid="{1CD3E581-C793-4069-BE64-72443776BADC}"/>
    <cellStyle name="20% - Accent3 3 3 10 2" xfId="34425" xr:uid="{74AE10AD-0CBF-47E7-932B-9EC34ACAFB93}"/>
    <cellStyle name="20% - Accent3 3 3 11" xfId="34426" xr:uid="{F2FC130E-051E-4750-8372-8291648B859C}"/>
    <cellStyle name="20% - Accent3 3 3 12" xfId="34427" xr:uid="{FC98CD59-D7EC-4455-822E-911354D187BC}"/>
    <cellStyle name="20% - Accent3 3 3 2" xfId="1645" xr:uid="{2435FB71-9380-4901-ADBD-AC741C46AF0A}"/>
    <cellStyle name="20% - Accent3 3 3 2 2" xfId="1646" xr:uid="{1E2CA59D-4E74-4A78-91BB-090C4E868822}"/>
    <cellStyle name="20% - Accent3 3 3 2 2 2" xfId="1647" xr:uid="{BDFCDB63-E421-4B52-B901-C92D5F6D9CDD}"/>
    <cellStyle name="20% - Accent3 3 3 2 2 2 2" xfId="1648" xr:uid="{609CA87E-A763-4274-8400-D9FC45F147A0}"/>
    <cellStyle name="20% - Accent3 3 3 2 2 2 2 2" xfId="34428" xr:uid="{80D74658-857F-405E-AA9E-EDDDF6A81CB5}"/>
    <cellStyle name="20% - Accent3 3 3 2 2 2 3" xfId="1649" xr:uid="{C957A302-7DC9-4BCD-AD95-D16D6AEA1186}"/>
    <cellStyle name="20% - Accent3 3 3 2 2 2 3 2" xfId="34429" xr:uid="{3FF2BE16-8362-472A-BA53-56B0940F9684}"/>
    <cellStyle name="20% - Accent3 3 3 2 2 2 4" xfId="34430" xr:uid="{69B10CD3-4D0F-4D39-BFBF-D162200D9FFE}"/>
    <cellStyle name="20% - Accent3 3 3 2 2 3" xfId="1650" xr:uid="{C0FB1CD2-87C4-4FE2-9748-CD77D80A7ED8}"/>
    <cellStyle name="20% - Accent3 3 3 2 2 3 2" xfId="34431" xr:uid="{92EF9B27-277A-4C45-94F8-3387921C9585}"/>
    <cellStyle name="20% - Accent3 3 3 2 2 4" xfId="1651" xr:uid="{287C997A-BC4E-413A-BD8A-31E5FACBBA00}"/>
    <cellStyle name="20% - Accent3 3 3 2 2 4 2" xfId="34432" xr:uid="{9C36B63E-618C-4181-B118-5902ABDEE966}"/>
    <cellStyle name="20% - Accent3 3 3 2 2 5" xfId="34433" xr:uid="{24468433-825C-4BDA-8EF5-B4217ADD5C70}"/>
    <cellStyle name="20% - Accent3 3 3 2 3" xfId="1652" xr:uid="{41ED902E-25D2-473F-8EDA-62234CD42A49}"/>
    <cellStyle name="20% - Accent3 3 3 2 3 2" xfId="1653" xr:uid="{F7A9B9F9-1367-4209-8A27-054A328B917F}"/>
    <cellStyle name="20% - Accent3 3 3 2 3 2 2" xfId="34434" xr:uid="{12FB0565-168C-4B61-89D1-4F336DB15B74}"/>
    <cellStyle name="20% - Accent3 3 3 2 3 3" xfId="1654" xr:uid="{7B0B714F-09DD-4292-9E31-3B243FED99AA}"/>
    <cellStyle name="20% - Accent3 3 3 2 3 3 2" xfId="34435" xr:uid="{F9DDAEFF-D8DD-46EA-B8A6-9DE632549FF8}"/>
    <cellStyle name="20% - Accent3 3 3 2 3 4" xfId="34436" xr:uid="{741EB917-079A-42BF-AED5-67E1198AF68A}"/>
    <cellStyle name="20% - Accent3 3 3 2 4" xfId="1655" xr:uid="{2FAB941E-294B-4DCA-B1D7-5C3D142D1A75}"/>
    <cellStyle name="20% - Accent3 3 3 2 4 2" xfId="34437" xr:uid="{22DE0467-F25E-48F5-B1ED-455FE2792171}"/>
    <cellStyle name="20% - Accent3 3 3 2 4 2 2" xfId="34438" xr:uid="{A346473E-4D44-4B9C-8A9E-BE635C885F01}"/>
    <cellStyle name="20% - Accent3 3 3 2 4 3" xfId="34439" xr:uid="{143E5250-05C0-42C5-8AF1-0FEEDD05E02E}"/>
    <cellStyle name="20% - Accent3 3 3 2 4 3 2" xfId="34440" xr:uid="{CF58969E-3DC5-4949-918D-B9DCDF4AA5FA}"/>
    <cellStyle name="20% - Accent3 3 3 2 4 4" xfId="34441" xr:uid="{41587514-C116-4074-B895-4315B2617978}"/>
    <cellStyle name="20% - Accent3 3 3 2 5" xfId="1656" xr:uid="{0F031BA4-4CA9-41AA-A3AA-AF3E2264BEB5}"/>
    <cellStyle name="20% - Accent3 3 3 2 5 2" xfId="34442" xr:uid="{50797830-FABA-47BD-AE73-08EDB7C83E62}"/>
    <cellStyle name="20% - Accent3 3 3 2 5 2 2" xfId="34443" xr:uid="{E2F5EADE-2E10-44DA-AEC0-7B36AE143F61}"/>
    <cellStyle name="20% - Accent3 3 3 2 5 3" xfId="34444" xr:uid="{BA33A86C-68D4-424C-A74A-3FB549882D7B}"/>
    <cellStyle name="20% - Accent3 3 3 2 5 3 2" xfId="34445" xr:uid="{4A84D505-4B0D-4903-9730-11286C2E7BDC}"/>
    <cellStyle name="20% - Accent3 3 3 2 5 4" xfId="34446" xr:uid="{4C6FD5C2-7DA3-4173-8B57-182DA15D36A1}"/>
    <cellStyle name="20% - Accent3 3 3 2 6" xfId="1657" xr:uid="{45DD9F3F-59D3-424F-B430-E3B87EF542A0}"/>
    <cellStyle name="20% - Accent3 3 3 2 6 2" xfId="34447" xr:uid="{35801A62-243E-4946-8597-663E892D4676}"/>
    <cellStyle name="20% - Accent3 3 3 2 6 2 2" xfId="34448" xr:uid="{2854B90E-2951-4EE6-A964-3F5D8D3AD4D6}"/>
    <cellStyle name="20% - Accent3 3 3 2 6 3" xfId="34449" xr:uid="{8C827C4B-DC33-477D-AABF-9200E8FF382F}"/>
    <cellStyle name="20% - Accent3 3 3 2 6 3 2" xfId="34450" xr:uid="{CB867DCA-507C-415A-B75A-9EFD8DCA304D}"/>
    <cellStyle name="20% - Accent3 3 3 2 6 4" xfId="34451" xr:uid="{8B051B2B-0921-400B-9781-271D368FBCAA}"/>
    <cellStyle name="20% - Accent3 3 3 2 7" xfId="34452" xr:uid="{DFE51A79-F9C8-4DB6-9682-874CD0D9C278}"/>
    <cellStyle name="20% - Accent3 3 3 2 7 2" xfId="34453" xr:uid="{ED0C51B8-7B15-494D-8E2E-C1F18DED9D2B}"/>
    <cellStyle name="20% - Accent3 3 3 2 8" xfId="34454" xr:uid="{FCD8A1F6-696E-4E3F-8487-6FBD71BB30B3}"/>
    <cellStyle name="20% - Accent3 3 3 2 8 2" xfId="34455" xr:uid="{452024A2-0482-44EA-B50A-26139F46CEF3}"/>
    <cellStyle name="20% - Accent3 3 3 2 9" xfId="34456" xr:uid="{D8A71EDC-DB32-442E-979D-4896E5787543}"/>
    <cellStyle name="20% - Accent3 3 3 3" xfId="1658" xr:uid="{FE4E2D3B-1792-42EA-BAC1-9316B3B02B00}"/>
    <cellStyle name="20% - Accent3 3 3 3 2" xfId="1659" xr:uid="{13D14009-7EE4-40C7-9E7F-9FDCC9014230}"/>
    <cellStyle name="20% - Accent3 3 3 3 2 2" xfId="1660" xr:uid="{8F343316-BB0D-4D0B-84F2-301DC26B638B}"/>
    <cellStyle name="20% - Accent3 3 3 3 2 2 2" xfId="34457" xr:uid="{95826000-E379-4EE3-8498-89FF8C8A81D9}"/>
    <cellStyle name="20% - Accent3 3 3 3 2 3" xfId="1661" xr:uid="{422EB1B8-AEB1-4508-9B05-1AC78F58E5DF}"/>
    <cellStyle name="20% - Accent3 3 3 3 2 3 2" xfId="34458" xr:uid="{B1E7211D-6CD7-4049-A27C-85F9654BFC99}"/>
    <cellStyle name="20% - Accent3 3 3 3 2 4" xfId="34459" xr:uid="{8E3AFE15-50D7-460D-ABC8-5E5D43893D05}"/>
    <cellStyle name="20% - Accent3 3 3 3 3" xfId="1662" xr:uid="{CE17C9B4-8101-4538-A689-D3FEF734882C}"/>
    <cellStyle name="20% - Accent3 3 3 3 3 2" xfId="34460" xr:uid="{14D1E80E-A2F1-497B-9A27-8BAA2C0014D1}"/>
    <cellStyle name="20% - Accent3 3 3 3 3 2 2" xfId="34461" xr:uid="{6200CF10-23B1-42C2-8195-176908D94220}"/>
    <cellStyle name="20% - Accent3 3 3 3 3 3" xfId="34462" xr:uid="{F8387A8D-BAAA-4607-8843-E7AAA6D44545}"/>
    <cellStyle name="20% - Accent3 3 3 3 3 3 2" xfId="34463" xr:uid="{8E4546DD-7DF8-481E-9BB5-D125F285D964}"/>
    <cellStyle name="20% - Accent3 3 3 3 3 4" xfId="34464" xr:uid="{01785325-D685-4960-815F-A7CBE9DB080C}"/>
    <cellStyle name="20% - Accent3 3 3 3 4" xfId="1663" xr:uid="{2527458A-FD49-45E7-AC25-4C0844A2F610}"/>
    <cellStyle name="20% - Accent3 3 3 3 4 2" xfId="34465" xr:uid="{AFA72CB6-D386-4FE0-BA47-F880A5ADBFAD}"/>
    <cellStyle name="20% - Accent3 3 3 3 4 2 2" xfId="34466" xr:uid="{B65CE8F3-F1D5-4060-A9C5-141B1B05371D}"/>
    <cellStyle name="20% - Accent3 3 3 3 4 3" xfId="34467" xr:uid="{FA6F5261-50E8-4A31-A9F2-9FBE78FB7DFD}"/>
    <cellStyle name="20% - Accent3 3 3 3 4 3 2" xfId="34468" xr:uid="{D9DACF50-98E7-4BA1-BE45-6629D3A79A60}"/>
    <cellStyle name="20% - Accent3 3 3 3 4 4" xfId="34469" xr:uid="{4F11A9D0-36E4-4A1B-969B-A957C9CF9F1C}"/>
    <cellStyle name="20% - Accent3 3 3 3 5" xfId="1664" xr:uid="{C94D898C-6A3C-42F1-AA47-4760FD1E7EC2}"/>
    <cellStyle name="20% - Accent3 3 3 3 5 2" xfId="34470" xr:uid="{29BDFDD3-9469-412B-B214-2698E01E4B5F}"/>
    <cellStyle name="20% - Accent3 3 3 3 5 2 2" xfId="34471" xr:uid="{6860FEAA-0764-4354-BC4B-A12E0D76AB48}"/>
    <cellStyle name="20% - Accent3 3 3 3 5 3" xfId="34472" xr:uid="{F0294D10-E9A2-4B43-9B41-5186540A77A2}"/>
    <cellStyle name="20% - Accent3 3 3 3 5 3 2" xfId="34473" xr:uid="{BB32265E-39FC-487F-94F1-C0E4FCE8FA8B}"/>
    <cellStyle name="20% - Accent3 3 3 3 5 4" xfId="34474" xr:uid="{EE2CC3D0-9D77-4004-9712-9F180DEC7ACC}"/>
    <cellStyle name="20% - Accent3 3 3 3 6" xfId="34475" xr:uid="{E6DB6525-0B60-426E-921E-48849AF9530A}"/>
    <cellStyle name="20% - Accent3 3 3 3 6 2" xfId="34476" xr:uid="{29CBA6DA-521C-411A-9D5E-052CBBFF25A7}"/>
    <cellStyle name="20% - Accent3 3 3 3 7" xfId="34477" xr:uid="{D7631115-9D61-43E7-AC98-CEF7E78ED077}"/>
    <cellStyle name="20% - Accent3 3 3 3 7 2" xfId="34478" xr:uid="{D44F3C42-1A94-448A-8D11-EDB52C9CCD42}"/>
    <cellStyle name="20% - Accent3 3 3 3 8" xfId="34479" xr:uid="{5D15CCF4-3249-4386-9AF4-DEE78D95BBAC}"/>
    <cellStyle name="20% - Accent3 3 3 4" xfId="1665" xr:uid="{D7265A89-50F4-401E-AF2C-0423CE89F2AA}"/>
    <cellStyle name="20% - Accent3 3 3 4 2" xfId="1666" xr:uid="{0B73EF45-01E8-4F8E-A2A2-58D34A8D6DB5}"/>
    <cellStyle name="20% - Accent3 3 3 4 2 2" xfId="1667" xr:uid="{1E9F3148-6603-4579-BFD6-7AB6CED7F60F}"/>
    <cellStyle name="20% - Accent3 3 3 4 2 2 2" xfId="34480" xr:uid="{17894043-F16A-4F10-85E9-0740162D346E}"/>
    <cellStyle name="20% - Accent3 3 3 4 2 3" xfId="1668" xr:uid="{04BE5780-D9C3-4F8D-B39A-4DCF32F26108}"/>
    <cellStyle name="20% - Accent3 3 3 4 2 3 2" xfId="34481" xr:uid="{E9F4ACDC-AB38-490F-BD5D-DA63903F9388}"/>
    <cellStyle name="20% - Accent3 3 3 4 2 4" xfId="34482" xr:uid="{D81A81B1-7FD3-42A0-BAA8-8383051ADE6B}"/>
    <cellStyle name="20% - Accent3 3 3 4 3" xfId="1669" xr:uid="{02557D27-B8B9-4183-85D6-B32396987BD1}"/>
    <cellStyle name="20% - Accent3 3 3 4 3 2" xfId="34483" xr:uid="{D8D60482-2014-48E6-8E32-C86F13FDA91A}"/>
    <cellStyle name="20% - Accent3 3 3 4 3 2 2" xfId="34484" xr:uid="{A8F3BA7D-1C72-40CF-8E4B-A7BEAD9A5A6B}"/>
    <cellStyle name="20% - Accent3 3 3 4 3 3" xfId="34485" xr:uid="{A6579F02-6F09-4BE9-81F1-AB0C329FD15C}"/>
    <cellStyle name="20% - Accent3 3 3 4 3 3 2" xfId="34486" xr:uid="{EA311758-A463-4C67-B671-BAD3D33966BC}"/>
    <cellStyle name="20% - Accent3 3 3 4 3 4" xfId="34487" xr:uid="{9B90BA01-89D8-4023-B0E7-7143CB82BCF0}"/>
    <cellStyle name="20% - Accent3 3 3 4 4" xfId="1670" xr:uid="{3F24D6ED-BE35-4A88-9CD5-46857104458D}"/>
    <cellStyle name="20% - Accent3 3 3 4 4 2" xfId="34488" xr:uid="{5C1EECDB-FDB3-4711-AEA9-4E02611BB06D}"/>
    <cellStyle name="20% - Accent3 3 3 4 4 2 2" xfId="34489" xr:uid="{17BB0CA1-BAE5-433A-84E0-9C4B0FD4A781}"/>
    <cellStyle name="20% - Accent3 3 3 4 4 3" xfId="34490" xr:uid="{7F8DB5C8-7D0D-4F6E-9466-11F1B5A2CE95}"/>
    <cellStyle name="20% - Accent3 3 3 4 4 3 2" xfId="34491" xr:uid="{7AF9D560-C1C3-4059-858F-B1A3951B2233}"/>
    <cellStyle name="20% - Accent3 3 3 4 4 4" xfId="34492" xr:uid="{AF9DA918-F2CD-43BB-8D07-03E70BAB72BE}"/>
    <cellStyle name="20% - Accent3 3 3 4 5" xfId="34493" xr:uid="{DA344B6A-925C-46A6-B675-AAB644648534}"/>
    <cellStyle name="20% - Accent3 3 3 4 5 2" xfId="34494" xr:uid="{3AD43904-2E51-4DAA-ADC8-917C3BA50CED}"/>
    <cellStyle name="20% - Accent3 3 3 4 6" xfId="34495" xr:uid="{85985CC7-EB28-4278-B309-18BC90401DA7}"/>
    <cellStyle name="20% - Accent3 3 3 4 6 2" xfId="34496" xr:uid="{7D9CD366-82E8-4A6E-B0CC-93E89CDDB92A}"/>
    <cellStyle name="20% - Accent3 3 3 4 7" xfId="34497" xr:uid="{196E5AE2-41C3-4B9F-9CA8-DD84AD0A436D}"/>
    <cellStyle name="20% - Accent3 3 3 5" xfId="1671" xr:uid="{3C5551FC-A1C3-4A3F-A0AB-35FFF08EEE0D}"/>
    <cellStyle name="20% - Accent3 3 3 5 2" xfId="1672" xr:uid="{11D95E15-6F92-4413-8720-0E2693CD19D9}"/>
    <cellStyle name="20% - Accent3 3 3 5 2 2" xfId="34498" xr:uid="{190966CA-BCFC-465F-850D-56596914E3AB}"/>
    <cellStyle name="20% - Accent3 3 3 5 2 2 2" xfId="34499" xr:uid="{1FC22298-3077-4C25-A6B3-EB9B12EC7FD4}"/>
    <cellStyle name="20% - Accent3 3 3 5 2 3" xfId="34500" xr:uid="{F8416425-3149-49A5-B985-192A612118BF}"/>
    <cellStyle name="20% - Accent3 3 3 5 2 3 2" xfId="34501" xr:uid="{61F98441-B040-45E9-9911-73A918CDF62D}"/>
    <cellStyle name="20% - Accent3 3 3 5 2 4" xfId="34502" xr:uid="{F65A7B12-E7E5-4695-A569-FFBC7BE58F19}"/>
    <cellStyle name="20% - Accent3 3 3 5 3" xfId="1673" xr:uid="{D8315747-52DF-459B-9C5C-8460EC5DC26B}"/>
    <cellStyle name="20% - Accent3 3 3 5 3 2" xfId="34503" xr:uid="{29A4DAE4-76CE-458B-8B97-256BADC972AC}"/>
    <cellStyle name="20% - Accent3 3 3 5 3 2 2" xfId="34504" xr:uid="{719C44E7-5AB8-4F9C-A9B4-D1E9640BAB11}"/>
    <cellStyle name="20% - Accent3 3 3 5 3 3" xfId="34505" xr:uid="{B65CADDE-7E22-41A3-B586-B80FAD9EED89}"/>
    <cellStyle name="20% - Accent3 3 3 5 3 3 2" xfId="34506" xr:uid="{CB8AAD51-3FA0-4543-BDD5-A9C9A5C1D164}"/>
    <cellStyle name="20% - Accent3 3 3 5 3 4" xfId="34507" xr:uid="{E0A45270-08E8-40B9-8973-D00925F366D8}"/>
    <cellStyle name="20% - Accent3 3 3 5 4" xfId="34508" xr:uid="{465862F8-4D16-4481-BA20-104E4469D23C}"/>
    <cellStyle name="20% - Accent3 3 3 5 4 2" xfId="34509" xr:uid="{603F0D3D-1941-4512-BF13-B29903E2D18E}"/>
    <cellStyle name="20% - Accent3 3 3 5 4 2 2" xfId="34510" xr:uid="{F1B7460D-C465-4D7F-B132-8C84043ED5B2}"/>
    <cellStyle name="20% - Accent3 3 3 5 4 3" xfId="34511" xr:uid="{68F71AFF-0A42-47E6-BD70-3EBCDC492F24}"/>
    <cellStyle name="20% - Accent3 3 3 5 4 3 2" xfId="34512" xr:uid="{1E9659E5-E225-4543-BA0C-770D76CCDB1B}"/>
    <cellStyle name="20% - Accent3 3 3 5 4 4" xfId="34513" xr:uid="{230CF512-5504-4F08-AAB3-5920A25242F3}"/>
    <cellStyle name="20% - Accent3 3 3 5 5" xfId="34514" xr:uid="{1673C694-B143-4940-950C-995E2ABC0F81}"/>
    <cellStyle name="20% - Accent3 3 3 5 5 2" xfId="34515" xr:uid="{AC2B0509-414C-481C-8CA6-2481474D8471}"/>
    <cellStyle name="20% - Accent3 3 3 5 6" xfId="34516" xr:uid="{2C869EF8-F51A-45D9-91E8-A178FD39E93A}"/>
    <cellStyle name="20% - Accent3 3 3 5 6 2" xfId="34517" xr:uid="{69FD6827-336F-494C-8012-F66B0E216EC4}"/>
    <cellStyle name="20% - Accent3 3 3 5 7" xfId="34518" xr:uid="{0A50651E-9B2F-4506-9AAF-5CCA146FCD40}"/>
    <cellStyle name="20% - Accent3 3 3 6" xfId="1674" xr:uid="{7A6D9372-14E2-4251-ACBD-947AF8D8F588}"/>
    <cellStyle name="20% - Accent3 3 3 6 2" xfId="34519" xr:uid="{1FEC4B96-7A02-41C7-A5D0-CAA695712CCD}"/>
    <cellStyle name="20% - Accent3 3 3 6 2 2" xfId="34520" xr:uid="{CE79FAF4-423C-4EE4-8964-19091FBE4A84}"/>
    <cellStyle name="20% - Accent3 3 3 6 3" xfId="34521" xr:uid="{696AF735-72F4-4CE8-8250-F9F1AA3AC4AD}"/>
    <cellStyle name="20% - Accent3 3 3 6 3 2" xfId="34522" xr:uid="{9E2549FB-273E-4E0A-B589-C7FBCCC632A1}"/>
    <cellStyle name="20% - Accent3 3 3 6 4" xfId="34523" xr:uid="{AC09792C-1EAA-4262-BB40-52963BDB2020}"/>
    <cellStyle name="20% - Accent3 3 3 7" xfId="1675" xr:uid="{502A5798-730D-483A-B5C3-19AA097519C9}"/>
    <cellStyle name="20% - Accent3 3 3 7 2" xfId="34524" xr:uid="{61D81F05-AB18-4618-8783-1E579B38596D}"/>
    <cellStyle name="20% - Accent3 3 3 7 2 2" xfId="34525" xr:uid="{C058506E-1C8E-4F8A-9EAE-F38CDD2611E6}"/>
    <cellStyle name="20% - Accent3 3 3 7 3" xfId="34526" xr:uid="{8764A7F1-F6F5-4D74-97C7-8535CB779B82}"/>
    <cellStyle name="20% - Accent3 3 3 7 3 2" xfId="34527" xr:uid="{26775C3A-6520-4685-8182-06A5EA5469C3}"/>
    <cellStyle name="20% - Accent3 3 3 7 4" xfId="34528" xr:uid="{ED083815-6008-41C2-BAD9-5C0C68AE8D5B}"/>
    <cellStyle name="20% - Accent3 3 3 8" xfId="1676" xr:uid="{8E186F60-986D-4580-B2AB-3B51EFDD8137}"/>
    <cellStyle name="20% - Accent3 3 3 8 2" xfId="34529" xr:uid="{37C1953E-D219-424D-A698-3E62E4A2598A}"/>
    <cellStyle name="20% - Accent3 3 3 8 2 2" xfId="34530" xr:uid="{F70755B5-3329-4370-9FE7-0DAD7F6D14B0}"/>
    <cellStyle name="20% - Accent3 3 3 8 3" xfId="34531" xr:uid="{C1247E29-EC90-4944-9C54-BB4B1B749066}"/>
    <cellStyle name="20% - Accent3 3 3 8 3 2" xfId="34532" xr:uid="{3738F64E-CE8A-4DAC-94C0-E0C5BDC183E6}"/>
    <cellStyle name="20% - Accent3 3 3 8 4" xfId="34533" xr:uid="{E9169C53-7342-499C-A2C9-0608964CD605}"/>
    <cellStyle name="20% - Accent3 3 3 9" xfId="34534" xr:uid="{A50CBB60-433C-4212-96E7-B0084322F788}"/>
    <cellStyle name="20% - Accent3 3 3 9 2" xfId="34535" xr:uid="{4FBBBB39-BC09-478A-8738-587F94C346C5}"/>
    <cellStyle name="20% - Accent3 3 4" xfId="1677" xr:uid="{B79AF5C2-808A-4B13-B41E-197D92769F54}"/>
    <cellStyle name="20% - Accent3 3 4 10" xfId="34536" xr:uid="{636B9570-A730-4B52-8317-5381C435EDF4}"/>
    <cellStyle name="20% - Accent3 3 4 2" xfId="1678" xr:uid="{613E1B33-B8AA-4E73-83E7-4F71F55C3C5A}"/>
    <cellStyle name="20% - Accent3 3 4 2 2" xfId="1679" xr:uid="{20DD296E-DF72-48DD-A031-CA6772DCD352}"/>
    <cellStyle name="20% - Accent3 3 4 2 2 2" xfId="1680" xr:uid="{87194615-6E6B-4593-8C1F-A72345523545}"/>
    <cellStyle name="20% - Accent3 3 4 2 2 2 2" xfId="34537" xr:uid="{C2D62349-0639-4EB2-824A-58418F524023}"/>
    <cellStyle name="20% - Accent3 3 4 2 2 3" xfId="1681" xr:uid="{157AD250-527E-4D93-BF2F-5038F44D0FEF}"/>
    <cellStyle name="20% - Accent3 3 4 2 2 3 2" xfId="34538" xr:uid="{D2D88F5B-04D0-427F-82F5-34AA9C1B1EEC}"/>
    <cellStyle name="20% - Accent3 3 4 2 2 4" xfId="34539" xr:uid="{0F6F680F-636E-4F08-B531-9A1290F8E28E}"/>
    <cellStyle name="20% - Accent3 3 4 2 3" xfId="1682" xr:uid="{771C3823-B52E-40D5-80C0-35DE8B8818E8}"/>
    <cellStyle name="20% - Accent3 3 4 2 3 2" xfId="34540" xr:uid="{F4CF11C6-2C5F-427C-9DBC-EEF1E983CDEA}"/>
    <cellStyle name="20% - Accent3 3 4 2 3 2 2" xfId="34541" xr:uid="{05C62F34-9078-4AC9-8A63-0991DE858BE5}"/>
    <cellStyle name="20% - Accent3 3 4 2 3 3" xfId="34542" xr:uid="{B9B6FF11-D1C0-4D54-93E7-E6A3BC3E14F1}"/>
    <cellStyle name="20% - Accent3 3 4 2 3 3 2" xfId="34543" xr:uid="{DDF4A2AD-D346-4264-AD8C-FDD24127BFBD}"/>
    <cellStyle name="20% - Accent3 3 4 2 3 4" xfId="34544" xr:uid="{912EFDD4-8D23-4A3E-8BDA-59EC174168AE}"/>
    <cellStyle name="20% - Accent3 3 4 2 4" xfId="1683" xr:uid="{96FF1086-2DE2-400A-AB72-B6773C0E38AA}"/>
    <cellStyle name="20% - Accent3 3 4 2 4 2" xfId="34545" xr:uid="{3C0BFE1A-D778-42E4-83DE-8AB5F77906D9}"/>
    <cellStyle name="20% - Accent3 3 4 2 4 2 2" xfId="34546" xr:uid="{DD0E9122-C3AC-4A88-96C7-53EE45A51A1E}"/>
    <cellStyle name="20% - Accent3 3 4 2 4 3" xfId="34547" xr:uid="{D6064B4E-55F6-473F-ADAE-1BF00FD6FADB}"/>
    <cellStyle name="20% - Accent3 3 4 2 4 3 2" xfId="34548" xr:uid="{2FCF7AB5-DEA4-43B9-B6B7-393998EFD863}"/>
    <cellStyle name="20% - Accent3 3 4 2 4 4" xfId="34549" xr:uid="{1D4B562E-0F31-45E4-95A1-D5E681915FC5}"/>
    <cellStyle name="20% - Accent3 3 4 2 5" xfId="34550" xr:uid="{D8C7F937-04FF-466F-89B3-D82821ACFEED}"/>
    <cellStyle name="20% - Accent3 3 4 2 5 2" xfId="34551" xr:uid="{49DE8ABA-91C8-47A6-80E6-261521BE519E}"/>
    <cellStyle name="20% - Accent3 3 4 2 5 2 2" xfId="34552" xr:uid="{207F091B-B186-470B-8033-6A9656D5B41A}"/>
    <cellStyle name="20% - Accent3 3 4 2 5 3" xfId="34553" xr:uid="{236A7CE3-5266-42E2-9B59-4F57D94435E6}"/>
    <cellStyle name="20% - Accent3 3 4 2 5 3 2" xfId="34554" xr:uid="{F16E0E15-5AAD-4F03-9A73-2AE7E3349B54}"/>
    <cellStyle name="20% - Accent3 3 4 2 5 4" xfId="34555" xr:uid="{39B01745-4A23-44AF-A972-674B79E8DD15}"/>
    <cellStyle name="20% - Accent3 3 4 2 6" xfId="34556" xr:uid="{7EAB7428-A505-4623-96E3-1466EF7BC3E6}"/>
    <cellStyle name="20% - Accent3 3 4 2 6 2" xfId="34557" xr:uid="{EB04C0E7-E66F-4D8C-88F0-F7E09C2E99E0}"/>
    <cellStyle name="20% - Accent3 3 4 2 7" xfId="34558" xr:uid="{11D92A21-B23C-4E17-8037-D361BE50E028}"/>
    <cellStyle name="20% - Accent3 3 4 2 7 2" xfId="34559" xr:uid="{731A38C0-B5BE-4C6A-8287-B8DE12F55D3F}"/>
    <cellStyle name="20% - Accent3 3 4 2 8" xfId="34560" xr:uid="{CB06B0F2-1150-4E04-9E3A-3FFCBDC1DFED}"/>
    <cellStyle name="20% - Accent3 3 4 3" xfId="1684" xr:uid="{A3CA57DF-5296-434F-984A-DA298A5F392F}"/>
    <cellStyle name="20% - Accent3 3 4 3 2" xfId="1685" xr:uid="{7BE923EA-55C5-4FFA-9C75-55A3FA996727}"/>
    <cellStyle name="20% - Accent3 3 4 3 2 2" xfId="34561" xr:uid="{1353FE17-9F1D-4605-97C5-41C47B1C3E84}"/>
    <cellStyle name="20% - Accent3 3 4 3 2 2 2" xfId="34562" xr:uid="{8AE17D76-2A45-46D4-B930-BC2BE8FF7D3D}"/>
    <cellStyle name="20% - Accent3 3 4 3 2 3" xfId="34563" xr:uid="{6719672D-A53F-411B-B52C-7D625B1227F8}"/>
    <cellStyle name="20% - Accent3 3 4 3 2 3 2" xfId="34564" xr:uid="{8828C8C1-DF17-4D56-BC97-3CB40DD16BEB}"/>
    <cellStyle name="20% - Accent3 3 4 3 2 4" xfId="34565" xr:uid="{33D2BBF7-9DF1-4B9F-B18A-FFA02D8EAB69}"/>
    <cellStyle name="20% - Accent3 3 4 3 3" xfId="1686" xr:uid="{CDB46733-A2DD-46F1-9651-6A6139B50772}"/>
    <cellStyle name="20% - Accent3 3 4 3 3 2" xfId="34566" xr:uid="{EC99FA95-92ED-4E44-AFDC-728E5D1FB0F1}"/>
    <cellStyle name="20% - Accent3 3 4 3 3 2 2" xfId="34567" xr:uid="{2BD53339-B3D5-473B-A6FD-3A974014132A}"/>
    <cellStyle name="20% - Accent3 3 4 3 3 3" xfId="34568" xr:uid="{4D22451E-20D1-4B11-9E5D-385E0F6DC3D0}"/>
    <cellStyle name="20% - Accent3 3 4 3 3 3 2" xfId="34569" xr:uid="{2D965BF3-6DAA-401C-B405-19AC40EDE14A}"/>
    <cellStyle name="20% - Accent3 3 4 3 3 4" xfId="34570" xr:uid="{D790CAAD-DBFF-4C5E-9455-69D4BD03FE38}"/>
    <cellStyle name="20% - Accent3 3 4 3 4" xfId="34571" xr:uid="{411A1CBF-C3D9-4599-9512-BA4C188C5E5D}"/>
    <cellStyle name="20% - Accent3 3 4 3 4 2" xfId="34572" xr:uid="{BD81A53E-D516-4C96-9CBF-4DE49662761D}"/>
    <cellStyle name="20% - Accent3 3 4 3 4 2 2" xfId="34573" xr:uid="{38C92BC6-9496-4688-84B3-94C7EF0D6894}"/>
    <cellStyle name="20% - Accent3 3 4 3 4 3" xfId="34574" xr:uid="{56ED7BAB-7640-4D19-A446-0C1E0E2DC621}"/>
    <cellStyle name="20% - Accent3 3 4 3 4 3 2" xfId="34575" xr:uid="{8753E7AF-8255-45C5-A105-A58B6706649A}"/>
    <cellStyle name="20% - Accent3 3 4 3 4 4" xfId="34576" xr:uid="{3B1C5BAA-9498-4793-9421-84E08A61A876}"/>
    <cellStyle name="20% - Accent3 3 4 3 5" xfId="34577" xr:uid="{36477306-6F5B-455E-AC4D-4904796C09F6}"/>
    <cellStyle name="20% - Accent3 3 4 3 5 2" xfId="34578" xr:uid="{1F8A9C76-945E-4F15-9BD6-815ACA9401C2}"/>
    <cellStyle name="20% - Accent3 3 4 3 6" xfId="34579" xr:uid="{2264C420-84B7-4B80-BC71-1271755EFFF8}"/>
    <cellStyle name="20% - Accent3 3 4 3 6 2" xfId="34580" xr:uid="{768C40BB-5563-4A01-8A3E-98320BF44E88}"/>
    <cellStyle name="20% - Accent3 3 4 3 7" xfId="34581" xr:uid="{9D336F9D-A889-40C9-9F16-D942F2375A36}"/>
    <cellStyle name="20% - Accent3 3 4 4" xfId="1687" xr:uid="{1BB8EF06-8735-4404-B5B3-BF678A6EEBC6}"/>
    <cellStyle name="20% - Accent3 3 4 4 2" xfId="34582" xr:uid="{E66B14EF-8D4D-46A3-9590-D446C6C961FC}"/>
    <cellStyle name="20% - Accent3 3 4 4 2 2" xfId="34583" xr:uid="{25A73444-A262-4989-B9BC-D9970114CE35}"/>
    <cellStyle name="20% - Accent3 3 4 4 3" xfId="34584" xr:uid="{DE15905A-CB9D-490A-9533-C0C187F61D52}"/>
    <cellStyle name="20% - Accent3 3 4 4 3 2" xfId="34585" xr:uid="{385440E4-6247-46CB-BBEF-B2438E1CAB55}"/>
    <cellStyle name="20% - Accent3 3 4 4 4" xfId="34586" xr:uid="{6C06315C-DDDA-48E0-940B-A8377876AF51}"/>
    <cellStyle name="20% - Accent3 3 4 5" xfId="1688" xr:uid="{E4DFFBD2-F944-4E7E-AA6B-AC9734B7F310}"/>
    <cellStyle name="20% - Accent3 3 4 5 2" xfId="34587" xr:uid="{1199742F-9294-4711-8A88-A7752EB0B31A}"/>
    <cellStyle name="20% - Accent3 3 4 5 2 2" xfId="34588" xr:uid="{1F0532CD-09F0-4230-AF38-A4C4898A758A}"/>
    <cellStyle name="20% - Accent3 3 4 5 3" xfId="34589" xr:uid="{8AC4E8BE-6BFD-4E3E-A618-84EC45F233BD}"/>
    <cellStyle name="20% - Accent3 3 4 5 3 2" xfId="34590" xr:uid="{F7632F7E-9ACF-4C75-B63E-BE0A50C1EBCF}"/>
    <cellStyle name="20% - Accent3 3 4 5 4" xfId="34591" xr:uid="{D50E8FFA-BAB8-40EB-AD66-EF4FD590C180}"/>
    <cellStyle name="20% - Accent3 3 4 6" xfId="1689" xr:uid="{BB8B5E6F-4702-4A07-B68C-C5F42B18374F}"/>
    <cellStyle name="20% - Accent3 3 4 6 2" xfId="34592" xr:uid="{FDE01DEC-4727-4788-9461-4F291E653BDA}"/>
    <cellStyle name="20% - Accent3 3 4 6 2 2" xfId="34593" xr:uid="{CD62D7B1-22F2-48A4-9059-0220BD211155}"/>
    <cellStyle name="20% - Accent3 3 4 6 3" xfId="34594" xr:uid="{F2C39985-ACA5-4444-903A-A1CFF5DE2C48}"/>
    <cellStyle name="20% - Accent3 3 4 6 3 2" xfId="34595" xr:uid="{1B38421F-4D89-4474-B1BB-EF3535FB3313}"/>
    <cellStyle name="20% - Accent3 3 4 6 4" xfId="34596" xr:uid="{A50FB29B-50B2-4694-B7B5-9562800BC497}"/>
    <cellStyle name="20% - Accent3 3 4 7" xfId="34597" xr:uid="{DC08FCB8-761D-41BB-9009-F6B4EA068AB5}"/>
    <cellStyle name="20% - Accent3 3 4 7 2" xfId="34598" xr:uid="{5FD4120D-020B-4239-BD42-F2D86DE4FB96}"/>
    <cellStyle name="20% - Accent3 3 4 8" xfId="34599" xr:uid="{2838C4BD-38A1-42A3-8A92-C9FAD60BFF15}"/>
    <cellStyle name="20% - Accent3 3 4 8 2" xfId="34600" xr:uid="{69A72CC4-D694-41C1-A167-C77ADFA6CC29}"/>
    <cellStyle name="20% - Accent3 3 4 9" xfId="34601" xr:uid="{519488F0-F0EA-4E90-ABC1-6F8807CB0068}"/>
    <cellStyle name="20% - Accent3 3 5" xfId="1690" xr:uid="{57F9CFFA-CD9B-47A0-B8B9-EF7B3B695039}"/>
    <cellStyle name="20% - Accent3 3 5 2" xfId="1691" xr:uid="{7A649ADE-2EED-4E91-A145-8F4C84D0049C}"/>
    <cellStyle name="20% - Accent3 3 5 2 2" xfId="1692" xr:uid="{7422F662-E517-46AF-B3A7-3B253A5577CF}"/>
    <cellStyle name="20% - Accent3 3 5 2 2 2" xfId="34602" xr:uid="{E9059397-AD88-4E1E-8493-46100009B6C9}"/>
    <cellStyle name="20% - Accent3 3 5 2 3" xfId="1693" xr:uid="{ACFFB3AB-F81D-4AC3-99F9-C9F151C3170A}"/>
    <cellStyle name="20% - Accent3 3 5 2 3 2" xfId="34603" xr:uid="{FD9CBC5B-B241-4431-82A3-45956D2F661A}"/>
    <cellStyle name="20% - Accent3 3 5 2 4" xfId="34604" xr:uid="{DACDCCAF-DB52-45D0-99B6-08BF7A45E851}"/>
    <cellStyle name="20% - Accent3 3 5 3" xfId="1694" xr:uid="{B7CF7B65-4F90-40C6-B1E8-71766E96E044}"/>
    <cellStyle name="20% - Accent3 3 5 3 2" xfId="34605" xr:uid="{B63338C7-665B-4A86-A9BE-F717DA7B1AB4}"/>
    <cellStyle name="20% - Accent3 3 5 3 2 2" xfId="34606" xr:uid="{2C5D3C29-E284-40E2-9B46-87A37B922CAF}"/>
    <cellStyle name="20% - Accent3 3 5 3 3" xfId="34607" xr:uid="{50FE782A-0C19-4FAE-89B6-0DB57570E414}"/>
    <cellStyle name="20% - Accent3 3 5 3 3 2" xfId="34608" xr:uid="{E42F9E9E-3C4B-4ECE-8D46-7BFA71F6E327}"/>
    <cellStyle name="20% - Accent3 3 5 3 4" xfId="34609" xr:uid="{FD3EA8B7-F334-42E9-95E8-83EBBAA8BFC9}"/>
    <cellStyle name="20% - Accent3 3 5 4" xfId="1695" xr:uid="{423B4383-76AE-40E1-8F0B-CE4D6A1DEEE2}"/>
    <cellStyle name="20% - Accent3 3 5 4 2" xfId="34610" xr:uid="{45271C4E-D241-4A1C-A364-B3F6A8887F12}"/>
    <cellStyle name="20% - Accent3 3 5 4 2 2" xfId="34611" xr:uid="{E3AF54FA-371D-4AB5-87D8-8DD06FEFE3C2}"/>
    <cellStyle name="20% - Accent3 3 5 4 3" xfId="34612" xr:uid="{559C719E-05CE-4039-95DB-401800944AEF}"/>
    <cellStyle name="20% - Accent3 3 5 4 3 2" xfId="34613" xr:uid="{6BBC378E-B322-4D1F-9C3F-CEF911614E09}"/>
    <cellStyle name="20% - Accent3 3 5 4 4" xfId="34614" xr:uid="{99C52516-BB09-46E2-81A0-3233343A57BE}"/>
    <cellStyle name="20% - Accent3 3 5 5" xfId="34615" xr:uid="{EEEB4ADE-BD84-4FD0-B2A6-F621A00BE246}"/>
    <cellStyle name="20% - Accent3 3 5 5 2" xfId="34616" xr:uid="{4BD3B06F-038C-4017-BE93-1BAE518110BF}"/>
    <cellStyle name="20% - Accent3 3 5 5 2 2" xfId="34617" xr:uid="{D0B61B02-FCCE-43E0-80D3-FD4F372F379D}"/>
    <cellStyle name="20% - Accent3 3 5 5 3" xfId="34618" xr:uid="{E26995E3-DB14-48DA-AED2-F68DFED9FB4A}"/>
    <cellStyle name="20% - Accent3 3 5 5 3 2" xfId="34619" xr:uid="{CA4B3113-EA87-4FCA-BBA8-6F3D547DD070}"/>
    <cellStyle name="20% - Accent3 3 5 5 4" xfId="34620" xr:uid="{9ED7B31C-B4FF-4518-8DB3-2867A890F723}"/>
    <cellStyle name="20% - Accent3 3 5 6" xfId="34621" xr:uid="{6952BF86-CEE7-450A-8EF8-9EEFA05B6AA7}"/>
    <cellStyle name="20% - Accent3 3 5 6 2" xfId="34622" xr:uid="{59F22ABD-327A-43B1-971C-CE22E8A275BD}"/>
    <cellStyle name="20% - Accent3 3 5 7" xfId="34623" xr:uid="{6828EF51-370B-4109-8B73-8BD4981AE29D}"/>
    <cellStyle name="20% - Accent3 3 5 7 2" xfId="34624" xr:uid="{D9970539-C672-4F48-87D1-F8DB3364AC41}"/>
    <cellStyle name="20% - Accent3 3 5 8" xfId="34625" xr:uid="{3C3FCA9D-632F-4AD5-8618-E96E78B8F7FF}"/>
    <cellStyle name="20% - Accent3 3 6" xfId="1696" xr:uid="{B5F041B4-8D10-4EE1-9CB6-E4728D83EE67}"/>
    <cellStyle name="20% - Accent3 3 6 2" xfId="1697" xr:uid="{E15F961C-C3CC-46EA-91F1-6B964CE0568C}"/>
    <cellStyle name="20% - Accent3 3 6 2 2" xfId="1698" xr:uid="{409C4980-C75F-4400-A29E-1F0373228519}"/>
    <cellStyle name="20% - Accent3 3 6 2 3" xfId="1699" xr:uid="{248D44B2-1E29-4CAF-8256-015317E7209E}"/>
    <cellStyle name="20% - Accent3 3 6 3" xfId="1700" xr:uid="{1E408CA2-DD70-4716-A420-DF13985089DE}"/>
    <cellStyle name="20% - Accent3 3 6 3 2" xfId="34626" xr:uid="{2DBE467F-B065-4B96-96EB-E281E82FF378}"/>
    <cellStyle name="20% - Accent3 3 6 4" xfId="1701" xr:uid="{47B363A7-D2E3-477B-B880-9F79A01A3774}"/>
    <cellStyle name="20% - Accent3 3 6 5" xfId="34627" xr:uid="{A4D9EA0A-FD9B-4024-BD20-F9300195205A}"/>
    <cellStyle name="20% - Accent3 3 7" xfId="1702" xr:uid="{E636E3C5-C2B9-41FB-8081-F365A4EFA8C1}"/>
    <cellStyle name="20% - Accent3 3 7 2" xfId="1703" xr:uid="{A7C002B6-FF50-4556-AF57-D976B05D0C44}"/>
    <cellStyle name="20% - Accent3 3 7 2 2" xfId="1704" xr:uid="{B7EBCA17-2E4A-42DA-9901-9E37AEFFE3CA}"/>
    <cellStyle name="20% - Accent3 3 7 2 3" xfId="1705" xr:uid="{3582988A-D7AA-4539-80C1-F87857721171}"/>
    <cellStyle name="20% - Accent3 3 7 3" xfId="1706" xr:uid="{4AF39BF5-7A4B-4C37-8BDF-48B51B07C1C9}"/>
    <cellStyle name="20% - Accent3 3 7 3 2" xfId="34628" xr:uid="{CAE21FBE-1959-4C0D-B72E-6B61A71ABA9A}"/>
    <cellStyle name="20% - Accent3 3 7 4" xfId="1707" xr:uid="{4CD94DA8-343D-451F-A7D9-A56CE3AFCB1B}"/>
    <cellStyle name="20% - Accent3 3 8" xfId="1708" xr:uid="{9DA4839C-8E66-465A-8365-73F187B3CC36}"/>
    <cellStyle name="20% - Accent3 3 8 2" xfId="34629" xr:uid="{78DDEACE-0EC8-476A-8C17-6540BAD1A608}"/>
    <cellStyle name="20% - Accent3 3 8 2 2" xfId="34630" xr:uid="{F6E93680-2828-448C-BF85-3DD0797C3F5D}"/>
    <cellStyle name="20% - Accent3 3 8 3" xfId="34631" xr:uid="{53F0C796-2B81-4043-A569-2CEA2DCA0C8B}"/>
    <cellStyle name="20% - Accent3 3 8 3 2" xfId="34632" xr:uid="{A9C48DCB-70EB-4330-B51F-A338ED6ACEB2}"/>
    <cellStyle name="20% - Accent3 3 8 4" xfId="34633" xr:uid="{1D2415C0-B941-48DB-ADB1-DFD743DE0FC5}"/>
    <cellStyle name="20% - Accent3 3 9" xfId="34634" xr:uid="{1EB8A21A-D2E2-456C-8F09-AF2082A12C4C}"/>
    <cellStyle name="20% - Accent3 3_PwrTax 51040" xfId="1709" xr:uid="{76E06D5B-B1E8-4CC2-B8AF-D7A0C80D744D}"/>
    <cellStyle name="20% - Accent3 30" xfId="1710" xr:uid="{67B25F98-AF80-4F15-932D-23CCB204CB21}"/>
    <cellStyle name="20% - Accent3 31" xfId="1711" xr:uid="{8687FF8E-00B9-474D-A607-2507EA056569}"/>
    <cellStyle name="20% - Accent3 32" xfId="1712" xr:uid="{5087FFE7-D057-42F1-84AB-23F3F3FA31CE}"/>
    <cellStyle name="20% - Accent3 33" xfId="1713" xr:uid="{BF367492-BC9D-4368-8070-E608E07B8B6C}"/>
    <cellStyle name="20% - Accent3 34" xfId="1714" xr:uid="{BA5025D4-1C7B-40FA-A5A1-E808A816A570}"/>
    <cellStyle name="20% - Accent3 35" xfId="1715" xr:uid="{ABA12A9E-4719-4CF1-BA60-ABCC4F920CDF}"/>
    <cellStyle name="20% - Accent3 36" xfId="1716" xr:uid="{0AD2C39C-CEC1-440F-A7A3-B1AD929FB482}"/>
    <cellStyle name="20% - Accent3 37" xfId="1717" xr:uid="{D8D9326A-D221-45C5-89B9-C89EC82F639A}"/>
    <cellStyle name="20% - Accent3 37 2" xfId="1718" xr:uid="{ED96421C-C1AD-49B6-9BD9-7A64953E3DD2}"/>
    <cellStyle name="20% - Accent3 37 2 2" xfId="1719" xr:uid="{83C3935A-D806-473F-8722-0F172775BEE7}"/>
    <cellStyle name="20% - Accent3 37 2 3" xfId="34635" xr:uid="{D80FB3FD-46D0-4735-B82D-8BC5D773FAA5}"/>
    <cellStyle name="20% - Accent3 37 3" xfId="1720" xr:uid="{AB0324CC-8721-4896-BF6C-8198BAAF04E9}"/>
    <cellStyle name="20% - Accent3 37 3 2" xfId="1721" xr:uid="{0FBE396B-F241-4194-A3CD-F8976D492E37}"/>
    <cellStyle name="20% - Accent3 37 3 3" xfId="34636" xr:uid="{5C184DB4-7488-4695-AD3D-14E6C69F5E67}"/>
    <cellStyle name="20% - Accent3 37 4" xfId="1722" xr:uid="{21E2863E-9708-4BE3-91F0-EF0DBFEF7B3E}"/>
    <cellStyle name="20% - Accent3 37 5" xfId="34637" xr:uid="{77C6B5B7-9D20-44E6-BF30-91203C45EC6C}"/>
    <cellStyle name="20% - Accent3 37_PwrTax 51040" xfId="1723" xr:uid="{90EBBE58-1F3C-483A-ACA2-24B4C8F16515}"/>
    <cellStyle name="20% - Accent3 38" xfId="1724" xr:uid="{01E4BBC8-140F-4EB4-AD16-8B6E88CD86EE}"/>
    <cellStyle name="20% - Accent3 38 2" xfId="34638" xr:uid="{41465FFC-963B-4008-BEE5-5D9A868F02B6}"/>
    <cellStyle name="20% - Accent3 38 2 2" xfId="34639" xr:uid="{FBBC475B-2B17-4753-B345-4BCBE5A1CC2F}"/>
    <cellStyle name="20% - Accent3 38 2 2 2" xfId="34640" xr:uid="{04A35A95-2DBB-4F1C-BAD3-295D7349C3A7}"/>
    <cellStyle name="20% - Accent3 38 2 3" xfId="34641" xr:uid="{DB16A410-3784-4B5D-B4E5-97AFC0E0A064}"/>
    <cellStyle name="20% - Accent3 38 2 3 2" xfId="34642" xr:uid="{58126879-F200-4409-9948-ACB764502BFF}"/>
    <cellStyle name="20% - Accent3 38 2 4" xfId="34643" xr:uid="{A4F00BA4-640D-4DCF-8901-A299B95E4DE1}"/>
    <cellStyle name="20% - Accent3 38 3" xfId="34644" xr:uid="{BB6EA325-6810-4062-8D2D-1F57AE6F270E}"/>
    <cellStyle name="20% - Accent3 38 3 2" xfId="34645" xr:uid="{C3EC2970-A67A-4010-8F5E-14C19D6AE2CA}"/>
    <cellStyle name="20% - Accent3 38 3 2 2" xfId="34646" xr:uid="{918F2DCC-16C5-40F8-BD88-853F13D18CB3}"/>
    <cellStyle name="20% - Accent3 38 3 3" xfId="34647" xr:uid="{E6CCC52A-A1C0-4041-9D34-7F101895009D}"/>
    <cellStyle name="20% - Accent3 38 3 3 2" xfId="34648" xr:uid="{2976DB83-AB79-493C-A046-E21E65DA87B9}"/>
    <cellStyle name="20% - Accent3 38 3 4" xfId="34649" xr:uid="{B3D6DB94-6B33-4EA7-A52D-476FC15F00FE}"/>
    <cellStyle name="20% - Accent3 38 4" xfId="34650" xr:uid="{EF491BA9-8284-447C-8456-CC7C98E08E7D}"/>
    <cellStyle name="20% - Accent3 38 4 2" xfId="34651" xr:uid="{F4E99969-D22A-477B-B1CA-3C90DBDC1D7A}"/>
    <cellStyle name="20% - Accent3 38 4 2 2" xfId="34652" xr:uid="{9024912C-B961-4449-A359-DADFB90B6B3B}"/>
    <cellStyle name="20% - Accent3 38 4 3" xfId="34653" xr:uid="{76FEC771-A8C2-4135-8A29-1E8B6B1A83BE}"/>
    <cellStyle name="20% - Accent3 38 4 3 2" xfId="34654" xr:uid="{BD9B6F46-6663-4C40-A090-1C82CC105E03}"/>
    <cellStyle name="20% - Accent3 38 4 4" xfId="34655" xr:uid="{AE891E94-BEED-44F5-81E9-A2803234E1C6}"/>
    <cellStyle name="20% - Accent3 38 5" xfId="34656" xr:uid="{EA66B151-12A1-4F82-A714-2609AE9DE6AE}"/>
    <cellStyle name="20% - Accent3 38 5 2" xfId="34657" xr:uid="{918A8763-A505-41A1-A366-0CD793CD4694}"/>
    <cellStyle name="20% - Accent3 38 6" xfId="34658" xr:uid="{9F67B929-28E4-4E67-9224-70F8E63043AE}"/>
    <cellStyle name="20% - Accent3 38 6 2" xfId="34659" xr:uid="{23669767-28CC-4504-A0CE-0205A93F4787}"/>
    <cellStyle name="20% - Accent3 38 7" xfId="34660" xr:uid="{840CDD27-2CFE-47D5-9BFF-AB03D4EB8B63}"/>
    <cellStyle name="20% - Accent3 39" xfId="34661" xr:uid="{46DF41E1-3F22-48BE-848E-0490156E8671}"/>
    <cellStyle name="20% - Accent3 39 2" xfId="34662" xr:uid="{51D542B0-EF43-4318-BB4B-E1DC1F3665C6}"/>
    <cellStyle name="20% - Accent3 4" xfId="1725" xr:uid="{C60EE8DA-81B2-4F2F-BC4E-AF7554F0FED6}"/>
    <cellStyle name="20% - Accent3 4 2" xfId="1726" xr:uid="{64EA5285-6226-4DBC-AABA-098D7F632F18}"/>
    <cellStyle name="20% - Accent3 4 2 2" xfId="1727" xr:uid="{E68CD9A4-C5D7-4DEE-8447-A35E676838BB}"/>
    <cellStyle name="20% - Accent3 4 2 2 2" xfId="34663" xr:uid="{7E0F9E8E-6B29-418C-A640-8F551D696545}"/>
    <cellStyle name="20% - Accent3 4 2 3" xfId="34664" xr:uid="{C8DCE84B-8763-464B-9C92-F94401430BE2}"/>
    <cellStyle name="20% - Accent3 4 3" xfId="1728" xr:uid="{AE5E911F-D1F1-446E-9230-CE53E2B5DF4D}"/>
    <cellStyle name="20% - Accent3 4 3 2" xfId="1729" xr:uid="{774F984E-A90E-4BB2-8A57-732BF0244BF9}"/>
    <cellStyle name="20% - Accent3 4 3 3" xfId="1730" xr:uid="{C4944127-4606-4E17-A950-B04B2A646321}"/>
    <cellStyle name="20% - Accent3 4 3 4" xfId="34665" xr:uid="{69D4834D-2D94-44DC-AE21-3FD160789075}"/>
    <cellStyle name="20% - Accent3 4 4" xfId="1731" xr:uid="{05CFBBA5-2D4F-4520-91A4-556A982726E5}"/>
    <cellStyle name="20% - Accent3 4 4 2" xfId="1732" xr:uid="{CBE832CA-D4C4-4A8C-8E1D-D9B0D0F71CAE}"/>
    <cellStyle name="20% - Accent3 4 4 2 2" xfId="1733" xr:uid="{1A1368F4-8E04-4ECF-8DE2-7A5693C7530A}"/>
    <cellStyle name="20% - Accent3 4 4 2 3" xfId="1734" xr:uid="{2E3FE1DC-25F8-45D4-BF2A-AABF7BD78DE9}"/>
    <cellStyle name="20% - Accent3 4 4 3" xfId="1735" xr:uid="{E33788BC-6D8F-432E-B920-62F7C93F0636}"/>
    <cellStyle name="20% - Accent3 4 4 4" xfId="1736" xr:uid="{1FD99837-CE1A-4C27-A883-33D5104D36FE}"/>
    <cellStyle name="20% - Accent3 4 4 5" xfId="1737" xr:uid="{B9564387-C890-4ACF-9720-061A03DCE177}"/>
    <cellStyle name="20% - Accent3 4 4 6" xfId="34666" xr:uid="{2127F4FE-B4F8-4DD1-95A7-54D1DD4D47DA}"/>
    <cellStyle name="20% - Accent3 4 5" xfId="1738" xr:uid="{4DBD2E60-9F11-4F64-B174-7CE2C01614ED}"/>
    <cellStyle name="20% - Accent3 4 5 2" xfId="1739" xr:uid="{4A4F5237-A26D-4501-B5D1-968AE553298A}"/>
    <cellStyle name="20% - Accent3 4 5 3" xfId="1740" xr:uid="{8C756EED-618F-48C9-95F0-9CF6E8FD3D9D}"/>
    <cellStyle name="20% - Accent3 4 5 4" xfId="34667" xr:uid="{5C65DF07-9629-47B9-80D0-7CDD0A9888F8}"/>
    <cellStyle name="20% - Accent3 4 6" xfId="1741" xr:uid="{CCEAEB8E-AFBD-4F6A-A92A-DCC30417A248}"/>
    <cellStyle name="20% - Accent3 4 7" xfId="34668" xr:uid="{1193FBF8-F515-4CA8-923B-32E4C370D1A3}"/>
    <cellStyle name="20% - Accent3 4 8" xfId="43545" xr:uid="{B595D4D3-51BA-4AA8-9567-636DF163063C}"/>
    <cellStyle name="20% - Accent3 4_PwrTax 51040" xfId="1742" xr:uid="{0C933F25-EEED-408F-ACEA-F2A62B54A554}"/>
    <cellStyle name="20% - Accent3 40" xfId="34669" xr:uid="{AF8C3D9F-D441-49BF-B81C-F523498CCCB1}"/>
    <cellStyle name="20% - Accent3 41" xfId="34670" xr:uid="{B3775216-2C07-4E21-A45B-D7AF56906850}"/>
    <cellStyle name="20% - Accent3 42" xfId="34671" xr:uid="{E11515E8-D746-48FF-9397-3AF4912CD41E}"/>
    <cellStyle name="20% - Accent3 43" xfId="34672" xr:uid="{BA5311C8-0B5D-4964-B0B2-333E14F4549A}"/>
    <cellStyle name="20% - Accent3 44" xfId="34673" xr:uid="{A4F5FD88-4C5A-4397-BF5E-0AC378D4D96C}"/>
    <cellStyle name="20% - Accent3 45" xfId="34674" xr:uid="{75EB6973-3DA6-4EA8-B22D-5699561BA3BD}"/>
    <cellStyle name="20% - Accent3 46" xfId="34675" xr:uid="{38477F67-1FE9-4C66-912C-4699C483522D}"/>
    <cellStyle name="20% - Accent3 47" xfId="34676" xr:uid="{4D8811D9-9F73-42FB-81E4-C9EB9B01F9ED}"/>
    <cellStyle name="20% - Accent3 48" xfId="34677" xr:uid="{0A558454-5D84-4AE9-BC5B-E6901A581B75}"/>
    <cellStyle name="20% - Accent3 49" xfId="34678" xr:uid="{95B7E0F2-E1CC-4523-8A94-75B155C95723}"/>
    <cellStyle name="20% - Accent3 5" xfId="1743" xr:uid="{3D22E124-F04C-42C4-AE9B-01F25484D98F}"/>
    <cellStyle name="20% - Accent3 5 2" xfId="1744" xr:uid="{C2F5D2F5-37D4-4821-8DC3-1D5C9EE9F28B}"/>
    <cellStyle name="20% - Accent3 5 2 2" xfId="34679" xr:uid="{6295E9CC-A5C2-4C31-B5E1-4FC02FF82269}"/>
    <cellStyle name="20% - Accent3 5 3" xfId="1745" xr:uid="{C4E48237-67CD-4542-B19F-A06A6F13CDC1}"/>
    <cellStyle name="20% - Accent3 5 4" xfId="34680" xr:uid="{D3ED6198-B57D-4C3E-9E30-D6BFDA80645F}"/>
    <cellStyle name="20% - Accent3 5 5" xfId="43560" xr:uid="{E1266A06-0F4D-4527-99D6-0C3BD286EAA7}"/>
    <cellStyle name="20% - Accent3 50" xfId="34681" xr:uid="{33B9C4C5-02B6-4733-84B2-14244B955BA4}"/>
    <cellStyle name="20% - Accent3 51" xfId="34682" xr:uid="{E5DDB555-9BE3-442B-935F-8F4DCB166311}"/>
    <cellStyle name="20% - Accent3 52" xfId="34683" xr:uid="{C639106C-65D4-42B6-BD7F-E5C29F4F0CD0}"/>
    <cellStyle name="20% - Accent3 53" xfId="34684" xr:uid="{60276D3C-A042-4BD1-922D-BAFEDE1078E1}"/>
    <cellStyle name="20% - Accent3 54" xfId="34685" xr:uid="{9EAB1AC3-DC10-4459-9BCE-168498B0E278}"/>
    <cellStyle name="20% - Accent3 55" xfId="34686" xr:uid="{601CBEA3-B3E6-45AE-98B8-C6CCA506DB33}"/>
    <cellStyle name="20% - Accent3 56" xfId="34687" xr:uid="{D99FD15E-DC78-40B1-98D0-BB65BC3B5EC0}"/>
    <cellStyle name="20% - Accent3 57" xfId="34688" xr:uid="{FA746F02-49BA-4B98-8D9C-AC043525729E}"/>
    <cellStyle name="20% - Accent3 58" xfId="34689" xr:uid="{AB2A4D69-B2A6-4241-85E7-8E8B88A6CDB2}"/>
    <cellStyle name="20% - Accent3 59" xfId="34690" xr:uid="{0ECDAA65-4F8F-4933-A2D1-40D67AB8AD78}"/>
    <cellStyle name="20% - Accent3 6" xfId="1746" xr:uid="{2A713B21-0971-4116-B42D-75DEB5942F39}"/>
    <cellStyle name="20% - Accent3 6 2" xfId="1747" xr:uid="{ABED2DC2-1538-4BDF-A448-03CF7FF3754F}"/>
    <cellStyle name="20% - Accent3 6 2 2" xfId="34691" xr:uid="{7B1B70EC-73DE-44A7-9E3A-90E0B1D51D2D}"/>
    <cellStyle name="20% - Accent3 6 3" xfId="1748" xr:uid="{4B9BA769-DADA-4ED6-AEF1-5391AAF6B75C}"/>
    <cellStyle name="20% - Accent3 6 4" xfId="34692" xr:uid="{163528F2-09D2-4273-84F8-4794F73A0E46}"/>
    <cellStyle name="20% - Accent3 60" xfId="34693" xr:uid="{07F0B45B-7E29-4E76-89C3-CEAC033DBD6F}"/>
    <cellStyle name="20% - Accent3 61" xfId="34694" xr:uid="{95678E8F-6E36-4F42-9C5A-3FB7C8036217}"/>
    <cellStyle name="20% - Accent3 62" xfId="34695" xr:uid="{4E202EB4-E280-49F2-9064-632EDEC0DF39}"/>
    <cellStyle name="20% - Accent3 63" xfId="34696" xr:uid="{4E035D1C-4388-489D-AC4D-C7625EB6C696}"/>
    <cellStyle name="20% - Accent3 64" xfId="34697" xr:uid="{5DBE58EB-5BB7-41F2-8344-1BB8F9D41EC5}"/>
    <cellStyle name="20% - Accent3 65" xfId="34698" xr:uid="{83DAB823-5343-4F74-8413-D4D722AB62A7}"/>
    <cellStyle name="20% - Accent3 66" xfId="34699" xr:uid="{2EEDF243-B493-4B85-9791-A1F7921E0636}"/>
    <cellStyle name="20% - Accent3 67" xfId="34700" xr:uid="{4A8D330B-7530-49FC-BD96-E005A81C51CB}"/>
    <cellStyle name="20% - Accent3 68" xfId="34701" xr:uid="{A0533431-1DAD-476D-A693-E236C6393D8C}"/>
    <cellStyle name="20% - Accent3 69" xfId="34702" xr:uid="{96D8572C-1C18-4D30-86ED-80FE34F7F20F}"/>
    <cellStyle name="20% - Accent3 7" xfId="1749" xr:uid="{58DA6EE0-BF82-430D-BE73-4D64AB582517}"/>
    <cellStyle name="20% - Accent3 7 2" xfId="1750" xr:uid="{4D785E04-A6ED-4A1E-8428-C7A4752BC4D9}"/>
    <cellStyle name="20% - Accent3 7 3" xfId="1751" xr:uid="{9ED9B151-AADE-4CF8-A429-E4134100B8F7}"/>
    <cellStyle name="20% - Accent3 7 4" xfId="34703" xr:uid="{F18FEB58-E193-446D-A07D-5C35A399BEF2}"/>
    <cellStyle name="20% - Accent3 70" xfId="34704" xr:uid="{CB5CAD0D-E971-4AF8-859E-2B0022BCE51C}"/>
    <cellStyle name="20% - Accent3 71" xfId="34705" xr:uid="{96CC24CB-A0CC-4A7D-8DA6-CC8426FAAB5B}"/>
    <cellStyle name="20% - Accent3 72" xfId="34706" xr:uid="{C56FBA3B-19C8-476D-A9B1-0B58FB38EED9}"/>
    <cellStyle name="20% - Accent3 73" xfId="34707" xr:uid="{FD5066D7-0104-40F5-96A9-BF275E4926B8}"/>
    <cellStyle name="20% - Accent3 74" xfId="34708" xr:uid="{1F9892C8-0253-4022-A095-9EE30F7F9874}"/>
    <cellStyle name="20% - Accent3 75" xfId="34709" xr:uid="{DF5CC351-3B1A-4FDE-B452-8AA850B36F11}"/>
    <cellStyle name="20% - Accent3 76" xfId="34710" xr:uid="{B2CEEED6-7E91-4BCA-934D-9CEE63C757FF}"/>
    <cellStyle name="20% - Accent3 77" xfId="34711" xr:uid="{61A70218-CAFF-4ED3-B6BD-4F0ADB12EB04}"/>
    <cellStyle name="20% - Accent3 78" xfId="34712" xr:uid="{35177794-A5D3-4271-82C6-42F48A6A4247}"/>
    <cellStyle name="20% - Accent3 79" xfId="34713" xr:uid="{D92E51F2-ECA5-4E6D-8D5D-89734B616AAE}"/>
    <cellStyle name="20% - Accent3 8" xfId="1752" xr:uid="{D0F8314A-F082-4CB7-8FF5-4ADA6FD79D4E}"/>
    <cellStyle name="20% - Accent3 8 2" xfId="1753" xr:uid="{FB08F2F9-E13E-4D7D-8FCC-E7C52DED96F2}"/>
    <cellStyle name="20% - Accent3 8 3" xfId="1754" xr:uid="{F70F71F8-3C89-4C42-B15A-B4F5C3174800}"/>
    <cellStyle name="20% - Accent3 8 4" xfId="34714" xr:uid="{A8B0350C-A654-4C07-B73E-C3CEA0CFB6E6}"/>
    <cellStyle name="20% - Accent3 80" xfId="34715" xr:uid="{B23CE0CD-B378-4695-9E58-99CD0BA593D3}"/>
    <cellStyle name="20% - Accent3 81" xfId="34716" xr:uid="{33324700-439E-4311-A564-7388BC8126E4}"/>
    <cellStyle name="20% - Accent3 82" xfId="34717" xr:uid="{52066EB3-7DDC-4171-86D0-B92EFAF37A8C}"/>
    <cellStyle name="20% - Accent3 83" xfId="34718" xr:uid="{D7521365-46AB-4C5D-B385-C1B54FD22670}"/>
    <cellStyle name="20% - Accent3 84" xfId="34719" xr:uid="{20CA5C5A-A95E-4B14-B5EF-C7F65EA8A165}"/>
    <cellStyle name="20% - Accent3 85" xfId="34720" xr:uid="{F3D314CE-6602-4B4C-A394-298D73527BD3}"/>
    <cellStyle name="20% - Accent3 86" xfId="34721" xr:uid="{6B4A0831-9649-48B4-BF12-2FABCAD83E4F}"/>
    <cellStyle name="20% - Accent3 87" xfId="34722" xr:uid="{C6CD95B6-321A-4E81-9C30-093B51334179}"/>
    <cellStyle name="20% - Accent3 88" xfId="34723" xr:uid="{2CE8982B-EECB-40CD-852D-9AE326B4FD5B}"/>
    <cellStyle name="20% - Accent3 89" xfId="34724" xr:uid="{CC09EE3D-BEDF-4270-AC4A-808D9DA485AA}"/>
    <cellStyle name="20% - Accent3 9" xfId="1755" xr:uid="{CBD9969C-E059-46E5-AAEC-54B52E29EABC}"/>
    <cellStyle name="20% - Accent3 9 2" xfId="1756" xr:uid="{2C72AE4B-81DC-42A3-8A39-E10C11FF8832}"/>
    <cellStyle name="20% - Accent3 9 3" xfId="1757" xr:uid="{BEDDBE64-D01B-42EF-90CD-9459983880B3}"/>
    <cellStyle name="20% - Accent3 9 4" xfId="34725" xr:uid="{E379628F-3B91-4DD6-9017-4BCCC26BC828}"/>
    <cellStyle name="20% - Accent3 90" xfId="34726" xr:uid="{697A0BC8-575C-4D2D-872D-0DA160BAF39C}"/>
    <cellStyle name="20% - Accent3 91" xfId="34727" xr:uid="{7BD71970-8D5A-458E-AA5B-E3829A6CD4FE}"/>
    <cellStyle name="20% - Accent3 92" xfId="34728" xr:uid="{60CD2F35-5B2B-4CF7-B3A8-8029F4680922}"/>
    <cellStyle name="20% - Accent3 93" xfId="34729" xr:uid="{2D2CABB2-D00F-4E05-8760-2C2BCACDF4D0}"/>
    <cellStyle name="20% - Accent3 94" xfId="34730" xr:uid="{8EC16544-D459-466E-934B-EBB9FAA3C14C}"/>
    <cellStyle name="20% - Accent3 95" xfId="34731" xr:uid="{1A09FC3A-D02C-4136-B927-95DE29E9DCAA}"/>
    <cellStyle name="20% - Accent3 96" xfId="34732" xr:uid="{ECDE4DE9-53E7-4EB3-9242-5CFDD00B95A2}"/>
    <cellStyle name="20% - Accent3 97" xfId="34733" xr:uid="{3D3C1140-E3A7-4865-A8E0-52C4DDD71146}"/>
    <cellStyle name="20% - Accent3 98" xfId="34734" xr:uid="{11437AF8-864C-47D8-9DB7-C6923EFE25DE}"/>
    <cellStyle name="20% - Accent3 99" xfId="34735" xr:uid="{8C3E4EC8-7434-4777-B204-6D8EC6F51749}"/>
    <cellStyle name="20% - Accent4 10" xfId="1758" xr:uid="{812568F2-2DF2-4E4F-A838-96422D936150}"/>
    <cellStyle name="20% - Accent4 10 2" xfId="1759" xr:uid="{5B84D78C-18A6-4849-9D62-175C8C81EBBB}"/>
    <cellStyle name="20% - Accent4 10 3" xfId="1760" xr:uid="{7462C1FA-26C7-4E9A-B402-175F7556C4D0}"/>
    <cellStyle name="20% - Accent4 10 4" xfId="34736" xr:uid="{9E200DEE-228F-4997-A528-304728117EFB}"/>
    <cellStyle name="20% - Accent4 100" xfId="34737" xr:uid="{BF880EB4-56E0-42F7-B98B-84539883A612}"/>
    <cellStyle name="20% - Accent4 101" xfId="34738" xr:uid="{4C4EA824-98B8-47B1-AF6D-86ADCC84739B}"/>
    <cellStyle name="20% - Accent4 102" xfId="34739" xr:uid="{359BA918-BAC4-4BC4-B0DD-0491C666F698}"/>
    <cellStyle name="20% - Accent4 103" xfId="43476" xr:uid="{9EFEEAF6-7608-4AB6-B4B0-705CF5DCF391}"/>
    <cellStyle name="20% - Accent4 104" xfId="43595" xr:uid="{408BF2B1-4AD6-443F-8098-86FFDFCF74DC}"/>
    <cellStyle name="20% - Accent4 105" xfId="165" xr:uid="{536AD5BD-7170-4FE5-B20F-56744E233BF2}"/>
    <cellStyle name="20% - Accent4 11" xfId="1761" xr:uid="{8D16EDB7-FCAE-4738-ABE4-DD9F503893F7}"/>
    <cellStyle name="20% - Accent4 11 2" xfId="1762" xr:uid="{3AB4A295-6D14-45C2-A9DA-BAB4623A0969}"/>
    <cellStyle name="20% - Accent4 11 3" xfId="1763" xr:uid="{2031A581-4DD7-415B-A278-88C7308F8575}"/>
    <cellStyle name="20% - Accent4 12" xfId="1764" xr:uid="{B3823286-5931-4424-B02F-C12A173F2057}"/>
    <cellStyle name="20% - Accent4 12 2" xfId="1765" xr:uid="{43185EC1-5E5A-4047-BC4E-842DC89BF74E}"/>
    <cellStyle name="20% - Accent4 13" xfId="1766" xr:uid="{BF3D353E-5FA9-4E52-B721-260D2EAD4056}"/>
    <cellStyle name="20% - Accent4 13 2" xfId="1767" xr:uid="{016F9B7A-5E12-4F0B-8BC6-33429ABF6D0F}"/>
    <cellStyle name="20% - Accent4 14" xfId="1768" xr:uid="{18697101-F261-4437-BED9-52DDA9A9F0DA}"/>
    <cellStyle name="20% - Accent4 14 2" xfId="1769" xr:uid="{72EE3FEE-6C58-47B9-8CEA-7DF8F789EC46}"/>
    <cellStyle name="20% - Accent4 15" xfId="1770" xr:uid="{DC9DFDE1-54EE-458B-AB7D-BA52AD318F58}"/>
    <cellStyle name="20% - Accent4 15 2" xfId="1771" xr:uid="{3AF705EA-6BF3-468B-B52C-AC7C5F1A2534}"/>
    <cellStyle name="20% - Accent4 16" xfId="1772" xr:uid="{B09EF707-B500-4225-9D4A-0BB3D06EA708}"/>
    <cellStyle name="20% - Accent4 16 2" xfId="1773" xr:uid="{FF3ADF5D-9E49-4A22-B07D-F937A0E74E75}"/>
    <cellStyle name="20% - Accent4 17" xfId="1774" xr:uid="{0A07A29F-F5A7-4F63-814C-6579BDD55D1F}"/>
    <cellStyle name="20% - Accent4 17 2" xfId="1775" xr:uid="{A15051EB-2044-4489-93BB-BD73C2780DF5}"/>
    <cellStyle name="20% - Accent4 18" xfId="1776" xr:uid="{233E0744-3282-475C-96E0-3748B551EF40}"/>
    <cellStyle name="20% - Accent4 18 2" xfId="1777" xr:uid="{5B73D955-8061-44FD-BD27-A2FE7ADE50BE}"/>
    <cellStyle name="20% - Accent4 19" xfId="1778" xr:uid="{216CD543-56C0-4D70-87E5-ABCBA9721C8E}"/>
    <cellStyle name="20% - Accent4 19 2" xfId="1779" xr:uid="{C30043FA-F288-45E4-A04F-566DA0F2E8FD}"/>
    <cellStyle name="20% - Accent4 2" xfId="1780" xr:uid="{A7853EAF-EA36-4E24-918F-25F478BB4D93}"/>
    <cellStyle name="20% - Accent4 2 10" xfId="43508" xr:uid="{5AEEC6B4-07A9-4B6C-9C1B-CE76B4DBB006}"/>
    <cellStyle name="20% - Accent4 2 2" xfId="1781" xr:uid="{15116D69-C0AF-4F0B-8B7B-789A7A342D2F}"/>
    <cellStyle name="20% - Accent4 2 2 2" xfId="1782" xr:uid="{9B1E2681-D979-4CC3-BA1B-4B4365E19F8F}"/>
    <cellStyle name="20% - Accent4 2 2 2 2" xfId="1783" xr:uid="{F14A9850-D633-4A07-BAA3-7F3B69A38A8D}"/>
    <cellStyle name="20% - Accent4 2 2 2 3" xfId="1784" xr:uid="{D7820A42-79DF-4A36-B365-ECAE69F12F16}"/>
    <cellStyle name="20% - Accent4 2 2 2 4" xfId="34740" xr:uid="{DB969555-E14A-42DC-9007-2385CDEB186F}"/>
    <cellStyle name="20% - Accent4 2 2 3" xfId="1785" xr:uid="{8C4C3AAA-10E4-4733-AE2E-E1E85F8B3AD1}"/>
    <cellStyle name="20% - Accent4 2 2 3 2" xfId="1786" xr:uid="{54E757E4-F42A-4E5A-B05B-C9DA6F07E324}"/>
    <cellStyle name="20% - Accent4 2 2 3 3" xfId="34741" xr:uid="{5B055188-BCEB-47A1-B8EA-2A9CAF8F4B6F}"/>
    <cellStyle name="20% - Accent4 2 2 4" xfId="1787" xr:uid="{4D986091-790A-4868-AF31-AEF3F7FFC7A2}"/>
    <cellStyle name="20% - Accent4 2 2 5" xfId="1788" xr:uid="{716AE674-C048-4CB9-90B6-B586E6EF4C65}"/>
    <cellStyle name="20% - Accent4 2 2 6" xfId="1789" xr:uid="{4A0EB2FD-E844-4274-9F2D-E1AE38A9FFA3}"/>
    <cellStyle name="20% - Accent4 2 2 7" xfId="34742" xr:uid="{9107E90D-CE5A-46A7-AEF5-76C8AC76A7C0}"/>
    <cellStyle name="20% - Accent4 2 2_PwrTax 51040" xfId="1790" xr:uid="{83C6A543-3E1C-4A48-974D-3445D408136B}"/>
    <cellStyle name="20% - Accent4 2 3" xfId="1791" xr:uid="{13C62DE0-B8AD-462C-BCE3-072F0742E2EA}"/>
    <cellStyle name="20% - Accent4 2 3 10" xfId="1792" xr:uid="{BDB39632-8809-4D3E-8249-08DE05C5EF7C}"/>
    <cellStyle name="20% - Accent4 2 3 10 2" xfId="34743" xr:uid="{6E2F2D84-9316-42FC-8C18-0EF80E13E44C}"/>
    <cellStyle name="20% - Accent4 2 3 11" xfId="34744" xr:uid="{E5CDF040-CCCE-48F3-B4D0-6A414E6518DC}"/>
    <cellStyle name="20% - Accent4 2 3 12" xfId="34745" xr:uid="{F3EA04A4-0FB0-40E5-8B0F-89B78ADB2977}"/>
    <cellStyle name="20% - Accent4 2 3 2" xfId="1793" xr:uid="{D951F56A-2BC3-49BC-8AA7-57D5C18CF95F}"/>
    <cellStyle name="20% - Accent4 2 3 2 10" xfId="34746" xr:uid="{2891A102-7917-4B74-8EF8-7703A3CE78CC}"/>
    <cellStyle name="20% - Accent4 2 3 2 11" xfId="34747" xr:uid="{F3D010E3-97EC-46AA-8422-BF22FE3C668F}"/>
    <cellStyle name="20% - Accent4 2 3 2 2" xfId="1794" xr:uid="{8CE07683-EFBA-4A81-A75F-095AC1506997}"/>
    <cellStyle name="20% - Accent4 2 3 2 2 2" xfId="1795" xr:uid="{F94B47E4-D217-492A-89F2-01D115296CC3}"/>
    <cellStyle name="20% - Accent4 2 3 2 2 2 2" xfId="1796" xr:uid="{6258B112-5F52-4A8B-B48F-5343F09AC5FC}"/>
    <cellStyle name="20% - Accent4 2 3 2 2 2 2 2" xfId="1797" xr:uid="{A989FCA6-8360-4533-B575-B6FB16C30B1F}"/>
    <cellStyle name="20% - Accent4 2 3 2 2 2 2 2 2" xfId="34748" xr:uid="{6BEBC61B-28F5-4649-8628-A431D4256A60}"/>
    <cellStyle name="20% - Accent4 2 3 2 2 2 2 3" xfId="1798" xr:uid="{CA880EE1-4781-4134-AD6A-0929A04565E1}"/>
    <cellStyle name="20% - Accent4 2 3 2 2 2 2 3 2" xfId="34749" xr:uid="{95F7191C-A8CC-444D-8289-522363A89524}"/>
    <cellStyle name="20% - Accent4 2 3 2 2 2 2 4" xfId="34750" xr:uid="{5B190E00-6B5B-4C1A-BBFA-87BB0E4EC9BD}"/>
    <cellStyle name="20% - Accent4 2 3 2 2 2 3" xfId="1799" xr:uid="{997B77B3-9703-4DB8-9BA9-670F385B1359}"/>
    <cellStyle name="20% - Accent4 2 3 2 2 2 3 2" xfId="34751" xr:uid="{BF60E85D-1FBB-4807-9F51-D497EF99A1C8}"/>
    <cellStyle name="20% - Accent4 2 3 2 2 2 4" xfId="1800" xr:uid="{4F15CED2-9D8C-4986-B036-E178AB5C326E}"/>
    <cellStyle name="20% - Accent4 2 3 2 2 2 4 2" xfId="34752" xr:uid="{106E7CA1-4BE1-4713-9300-DA7DA75EA4F6}"/>
    <cellStyle name="20% - Accent4 2 3 2 2 2 5" xfId="34753" xr:uid="{BAF575EB-D1CA-49BD-B33B-2C7F8EAA38B5}"/>
    <cellStyle name="20% - Accent4 2 3 2 2 3" xfId="1801" xr:uid="{A447759F-D38C-44E4-92B4-294EDECA25F6}"/>
    <cellStyle name="20% - Accent4 2 3 2 2 3 2" xfId="1802" xr:uid="{6C5BA231-10DB-441A-9B55-5F7C6EE80EF8}"/>
    <cellStyle name="20% - Accent4 2 3 2 2 3 2 2" xfId="34754" xr:uid="{7686AA63-1E39-47AE-B7CE-2F11873C1FA2}"/>
    <cellStyle name="20% - Accent4 2 3 2 2 3 3" xfId="1803" xr:uid="{2AA2A703-6E12-4FC6-8557-44A4714FDAD5}"/>
    <cellStyle name="20% - Accent4 2 3 2 2 3 3 2" xfId="34755" xr:uid="{CE085F62-2443-45E3-8C05-270CCA25DF6C}"/>
    <cellStyle name="20% - Accent4 2 3 2 2 3 4" xfId="34756" xr:uid="{9E21BB75-12D2-48E4-8FC5-DFC1CF7D7B96}"/>
    <cellStyle name="20% - Accent4 2 3 2 2 4" xfId="1804" xr:uid="{34BF2C5A-A96E-4E74-AFEA-D51774190AF8}"/>
    <cellStyle name="20% - Accent4 2 3 2 2 4 2" xfId="34757" xr:uid="{BF91D37E-EB0D-4902-86A2-1BCC1AB08D8F}"/>
    <cellStyle name="20% - Accent4 2 3 2 2 5" xfId="1805" xr:uid="{2CB4CEF5-6799-4813-AEAB-C8F16624BBAD}"/>
    <cellStyle name="20% - Accent4 2 3 2 2 5 2" xfId="34758" xr:uid="{9A40B4CF-8993-4704-B9AD-23DABBE8FCA0}"/>
    <cellStyle name="20% - Accent4 2 3 2 2 6" xfId="34759" xr:uid="{F0305D7B-0FBF-47FA-8FE2-735730173E76}"/>
    <cellStyle name="20% - Accent4 2 3 2 3" xfId="1806" xr:uid="{71D80C31-4987-4D48-BA36-09E6FC8377FC}"/>
    <cellStyle name="20% - Accent4 2 3 2 3 2" xfId="1807" xr:uid="{A9A3F4B6-AF90-4D43-94D3-3AA29DCFEB96}"/>
    <cellStyle name="20% - Accent4 2 3 2 3 2 2" xfId="1808" xr:uid="{5686BED6-7EBC-4047-87E0-770965184517}"/>
    <cellStyle name="20% - Accent4 2 3 2 3 2 2 2" xfId="34760" xr:uid="{7A335D7A-25ED-4D84-9AC8-319BDE8B053A}"/>
    <cellStyle name="20% - Accent4 2 3 2 3 2 3" xfId="1809" xr:uid="{198EB03D-3019-44EA-BC60-B54D94667F04}"/>
    <cellStyle name="20% - Accent4 2 3 2 3 2 3 2" xfId="34761" xr:uid="{BC7AD6F3-57C5-4773-A6CF-C9E08578F3F0}"/>
    <cellStyle name="20% - Accent4 2 3 2 3 2 4" xfId="34762" xr:uid="{B13C4F0E-FB74-4B45-B123-02C5920054F7}"/>
    <cellStyle name="20% - Accent4 2 3 2 3 3" xfId="1810" xr:uid="{1C7AEC26-B48F-4C29-A229-1272B6E12028}"/>
    <cellStyle name="20% - Accent4 2 3 2 3 3 2" xfId="34763" xr:uid="{55ED6F0D-35BA-481E-8ED9-D77E2ABCDCFC}"/>
    <cellStyle name="20% - Accent4 2 3 2 3 4" xfId="1811" xr:uid="{C6D1E664-EE3E-418D-87A6-5CF58EC776EA}"/>
    <cellStyle name="20% - Accent4 2 3 2 3 4 2" xfId="34764" xr:uid="{4ACAF450-D3F0-493C-B3CB-014B8C665EA3}"/>
    <cellStyle name="20% - Accent4 2 3 2 3 5" xfId="34765" xr:uid="{71406CA5-5A04-457B-B779-5D770FE1ED9A}"/>
    <cellStyle name="20% - Accent4 2 3 2 4" xfId="1812" xr:uid="{FF3758BC-2E8E-48C5-90EA-7F3833114A54}"/>
    <cellStyle name="20% - Accent4 2 3 2 4 2" xfId="1813" xr:uid="{1A8E98D7-BB0E-4E84-88CE-6DCFF358E637}"/>
    <cellStyle name="20% - Accent4 2 3 2 4 2 2" xfId="34766" xr:uid="{19C31CB0-D6A8-48C7-9977-936AB86FD68B}"/>
    <cellStyle name="20% - Accent4 2 3 2 4 3" xfId="1814" xr:uid="{CD9B0922-7C99-4DDD-8302-1D40128DFFBA}"/>
    <cellStyle name="20% - Accent4 2 3 2 4 3 2" xfId="34767" xr:uid="{C71BF7BB-FB54-4EE5-B2AD-6CC3D1E63963}"/>
    <cellStyle name="20% - Accent4 2 3 2 4 4" xfId="34768" xr:uid="{7756CBB5-16F7-4A51-85D2-04F5E0125A57}"/>
    <cellStyle name="20% - Accent4 2 3 2 5" xfId="1815" xr:uid="{D1DEA16F-6CF2-4CCE-837A-21BF70AAD666}"/>
    <cellStyle name="20% - Accent4 2 3 2 5 2" xfId="34769" xr:uid="{87CE2BB0-7CCB-46BF-B9F9-4CC2A6CA3FFE}"/>
    <cellStyle name="20% - Accent4 2 3 2 5 2 2" xfId="34770" xr:uid="{DAEE92B9-AD2F-42F8-8811-F20671950449}"/>
    <cellStyle name="20% - Accent4 2 3 2 5 3" xfId="34771" xr:uid="{0124E5E3-0948-4F01-ABF0-57A3BC8FE940}"/>
    <cellStyle name="20% - Accent4 2 3 2 5 3 2" xfId="34772" xr:uid="{263B05F2-C599-422C-9EF2-B450D240DCA4}"/>
    <cellStyle name="20% - Accent4 2 3 2 5 4" xfId="34773" xr:uid="{D903A8F7-4FB3-477A-AD4F-E4E57C1BE039}"/>
    <cellStyle name="20% - Accent4 2 3 2 6" xfId="1816" xr:uid="{4B8AFDBE-D72F-41C9-87DC-9C3EE6820FD4}"/>
    <cellStyle name="20% - Accent4 2 3 2 6 2" xfId="34774" xr:uid="{F589F611-EEB5-4E71-BDA6-29D7B8D8A0FE}"/>
    <cellStyle name="20% - Accent4 2 3 2 6 2 2" xfId="34775" xr:uid="{DCC30F8B-B51C-432F-A810-B6CB10AC018A}"/>
    <cellStyle name="20% - Accent4 2 3 2 6 3" xfId="34776" xr:uid="{5211C813-545D-43DE-B1AE-81761593F4C7}"/>
    <cellStyle name="20% - Accent4 2 3 2 6 3 2" xfId="34777" xr:uid="{8271D13A-79B9-48BB-98F8-0CCCAE8B588A}"/>
    <cellStyle name="20% - Accent4 2 3 2 6 4" xfId="34778" xr:uid="{498A7996-82ED-41C2-9005-6784AA027BCB}"/>
    <cellStyle name="20% - Accent4 2 3 2 7" xfId="1817" xr:uid="{E7025293-644F-4205-A4ED-35D85314591C}"/>
    <cellStyle name="20% - Accent4 2 3 2 7 2" xfId="34779" xr:uid="{AD856C07-E67C-47E2-A83B-CBAFC4AE5172}"/>
    <cellStyle name="20% - Accent4 2 3 2 7 2 2" xfId="34780" xr:uid="{0BACFB68-DE48-4A36-8452-307093B75C6C}"/>
    <cellStyle name="20% - Accent4 2 3 2 7 3" xfId="34781" xr:uid="{D94DCF29-6830-4DA2-9A98-42B92A786D70}"/>
    <cellStyle name="20% - Accent4 2 3 2 7 3 2" xfId="34782" xr:uid="{513733EC-B18A-4486-B189-C3D84B811E11}"/>
    <cellStyle name="20% - Accent4 2 3 2 7 4" xfId="34783" xr:uid="{12174ECE-4AEB-4491-B0A2-DA0F7EE38969}"/>
    <cellStyle name="20% - Accent4 2 3 2 8" xfId="34784" xr:uid="{31FE8BA8-EAAF-4FBE-A766-3171D3431249}"/>
    <cellStyle name="20% - Accent4 2 3 2 8 2" xfId="34785" xr:uid="{3159155C-7DAF-445B-92B2-D2A56177A11E}"/>
    <cellStyle name="20% - Accent4 2 3 2 9" xfId="34786" xr:uid="{1543F0DE-F556-479F-8259-E0B4B0E446CD}"/>
    <cellStyle name="20% - Accent4 2 3 2 9 2" xfId="34787" xr:uid="{AA120592-5985-4E78-9597-2FA83850DE90}"/>
    <cellStyle name="20% - Accent4 2 3 3" xfId="1818" xr:uid="{11A405A2-45CC-4482-8FF2-5D9D44FDD6E4}"/>
    <cellStyle name="20% - Accent4 2 3 3 10" xfId="34788" xr:uid="{59DCD03C-8A5B-4282-A788-2DAF59EF10BE}"/>
    <cellStyle name="20% - Accent4 2 3 3 2" xfId="1819" xr:uid="{AB885CAB-9F06-43CD-BE99-6AB1D7D20DA4}"/>
    <cellStyle name="20% - Accent4 2 3 3 2 2" xfId="1820" xr:uid="{CF68554A-930D-4B8C-849A-1328F8E4A1E3}"/>
    <cellStyle name="20% - Accent4 2 3 3 2 2 2" xfId="1821" xr:uid="{CC6A3871-E915-489F-9A80-06A643FC2E40}"/>
    <cellStyle name="20% - Accent4 2 3 3 2 2 2 2" xfId="34789" xr:uid="{AE7E7AF8-B019-43AB-9AB2-F4065D4C9A1C}"/>
    <cellStyle name="20% - Accent4 2 3 3 2 2 3" xfId="1822" xr:uid="{EA827BAA-E904-4D65-B8BF-6BD53F304651}"/>
    <cellStyle name="20% - Accent4 2 3 3 2 2 3 2" xfId="34790" xr:uid="{5EF3F057-D5FA-4A24-9FF4-0973A0FF90EF}"/>
    <cellStyle name="20% - Accent4 2 3 3 2 2 4" xfId="34791" xr:uid="{2582FC81-BCB0-4EA9-918A-35503505A84F}"/>
    <cellStyle name="20% - Accent4 2 3 3 2 3" xfId="1823" xr:uid="{3F025F47-8AE5-4858-82EF-B9720985A00C}"/>
    <cellStyle name="20% - Accent4 2 3 3 2 3 2" xfId="34792" xr:uid="{986E26A1-F96B-46D8-AB4A-0653909195E9}"/>
    <cellStyle name="20% - Accent4 2 3 3 2 4" xfId="1824" xr:uid="{727EE481-858A-4F4A-8049-91394B871B61}"/>
    <cellStyle name="20% - Accent4 2 3 3 2 4 2" xfId="34793" xr:uid="{0E06F072-D489-4A2D-AF23-CF435BA1A40E}"/>
    <cellStyle name="20% - Accent4 2 3 3 2 5" xfId="34794" xr:uid="{5BAE2729-5490-4209-BA90-EF287BBED5A6}"/>
    <cellStyle name="20% - Accent4 2 3 3 3" xfId="1825" xr:uid="{C0AAF9BA-A1E6-48CF-9E23-922EFC166ACA}"/>
    <cellStyle name="20% - Accent4 2 3 3 3 2" xfId="1826" xr:uid="{F3B6DBDA-661C-4541-AE7B-709CA667E46F}"/>
    <cellStyle name="20% - Accent4 2 3 3 3 2 2" xfId="34795" xr:uid="{10260624-763A-450E-A710-8234FD3FA21F}"/>
    <cellStyle name="20% - Accent4 2 3 3 3 3" xfId="1827" xr:uid="{12302273-3DC3-4FC8-8528-00F8FBB814DB}"/>
    <cellStyle name="20% - Accent4 2 3 3 3 3 2" xfId="34796" xr:uid="{BD67C586-49F4-4432-8AFB-A94C66D906F8}"/>
    <cellStyle name="20% - Accent4 2 3 3 3 4" xfId="34797" xr:uid="{DE81AF51-CCAD-4D12-B4BB-47A8FA316FF0}"/>
    <cellStyle name="20% - Accent4 2 3 3 4" xfId="1828" xr:uid="{79B21443-3747-41D6-AF74-4EF8A16D70B2}"/>
    <cellStyle name="20% - Accent4 2 3 3 4 2" xfId="34798" xr:uid="{6849B8BB-4CEF-449A-A82A-DF2C2967DF1B}"/>
    <cellStyle name="20% - Accent4 2 3 3 4 2 2" xfId="34799" xr:uid="{9B3589F0-929B-43A8-8B3F-35E72792447F}"/>
    <cellStyle name="20% - Accent4 2 3 3 4 3" xfId="34800" xr:uid="{E56704FE-95C2-424F-B40E-FAB4BD4EFC0F}"/>
    <cellStyle name="20% - Accent4 2 3 3 4 3 2" xfId="34801" xr:uid="{DCE2942F-3A18-4379-AFFD-481CC5C7EEC3}"/>
    <cellStyle name="20% - Accent4 2 3 3 4 4" xfId="34802" xr:uid="{D8646C56-92CC-423A-9139-B54F46CDFEA6}"/>
    <cellStyle name="20% - Accent4 2 3 3 5" xfId="1829" xr:uid="{4E57BC1C-0BCD-4714-8F48-D225A25B2DB2}"/>
    <cellStyle name="20% - Accent4 2 3 3 5 2" xfId="34803" xr:uid="{58195E56-83A4-4654-85C0-34E0BABDE19B}"/>
    <cellStyle name="20% - Accent4 2 3 3 5 2 2" xfId="34804" xr:uid="{FC51CA69-06B8-4E14-B7E5-570DBBCB43E9}"/>
    <cellStyle name="20% - Accent4 2 3 3 5 3" xfId="34805" xr:uid="{E577D8C3-9099-4B99-9BFC-385F2E0E407A}"/>
    <cellStyle name="20% - Accent4 2 3 3 5 3 2" xfId="34806" xr:uid="{1C1A4274-A0A8-468E-BC14-D66FCF75438E}"/>
    <cellStyle name="20% - Accent4 2 3 3 5 4" xfId="34807" xr:uid="{552A4C3F-9710-4F7A-9D5B-B487EC40C4AE}"/>
    <cellStyle name="20% - Accent4 2 3 3 6" xfId="1830" xr:uid="{E289A97B-FC88-4AD3-A21B-2DCC490866D5}"/>
    <cellStyle name="20% - Accent4 2 3 3 6 2" xfId="34808" xr:uid="{50BC70AB-A746-4BD2-8635-B4333E886A60}"/>
    <cellStyle name="20% - Accent4 2 3 3 6 2 2" xfId="34809" xr:uid="{1618EA45-3F29-40B9-A963-AD20E2E2A521}"/>
    <cellStyle name="20% - Accent4 2 3 3 6 3" xfId="34810" xr:uid="{AF9DC5B4-55D1-45F7-90E4-BB116F02A5FB}"/>
    <cellStyle name="20% - Accent4 2 3 3 6 3 2" xfId="34811" xr:uid="{1B931D10-740F-47A4-AC67-1E92F989B6D1}"/>
    <cellStyle name="20% - Accent4 2 3 3 6 4" xfId="34812" xr:uid="{F6C81DDE-1CC1-4E1C-A4D2-AC0B68514702}"/>
    <cellStyle name="20% - Accent4 2 3 3 7" xfId="34813" xr:uid="{44F7F07C-0FD9-4D76-9E1C-32DDB0BFA504}"/>
    <cellStyle name="20% - Accent4 2 3 3 7 2" xfId="34814" xr:uid="{783EA27E-E4E3-4D23-8DD4-B2EDC3F690CB}"/>
    <cellStyle name="20% - Accent4 2 3 3 8" xfId="34815" xr:uid="{FCA79B81-8B02-4A29-8484-F2FDD9CFA315}"/>
    <cellStyle name="20% - Accent4 2 3 3 8 2" xfId="34816" xr:uid="{253736E3-0309-443A-9340-E630240F11F2}"/>
    <cellStyle name="20% - Accent4 2 3 3 9" xfId="34817" xr:uid="{EBC20687-EE84-47EE-85D1-87D4D232CAA0}"/>
    <cellStyle name="20% - Accent4 2 3 4" xfId="1831" xr:uid="{FE85F58C-254E-496E-994B-C0E022D92BDA}"/>
    <cellStyle name="20% - Accent4 2 3 4 2" xfId="1832" xr:uid="{70A5DAAE-D56F-4378-BC56-43E671C3751E}"/>
    <cellStyle name="20% - Accent4 2 3 4 2 2" xfId="1833" xr:uid="{A59124E1-DA44-4D4C-A29A-30C6C51F7314}"/>
    <cellStyle name="20% - Accent4 2 3 4 2 2 2" xfId="34818" xr:uid="{5F08DD96-8131-49E8-B818-B092369681F1}"/>
    <cellStyle name="20% - Accent4 2 3 4 2 3" xfId="1834" xr:uid="{B7641C4A-5035-4705-99BE-310A0C2C8676}"/>
    <cellStyle name="20% - Accent4 2 3 4 2 3 2" xfId="34819" xr:uid="{5BA7C123-08AF-4234-8C4F-5B4CAE5F71B3}"/>
    <cellStyle name="20% - Accent4 2 3 4 2 4" xfId="34820" xr:uid="{EB10984C-1D01-49F9-A568-AF66FE325E58}"/>
    <cellStyle name="20% - Accent4 2 3 4 3" xfId="1835" xr:uid="{09764738-066E-41EA-ACB8-B5FF96238ADE}"/>
    <cellStyle name="20% - Accent4 2 3 4 3 2" xfId="34821" xr:uid="{54CD8614-669A-4CA7-A460-3966D977BEC8}"/>
    <cellStyle name="20% - Accent4 2 3 4 3 2 2" xfId="34822" xr:uid="{1F443EB2-0676-4243-A339-6D4CF0DF9697}"/>
    <cellStyle name="20% - Accent4 2 3 4 3 3" xfId="34823" xr:uid="{F71D357F-4E41-4332-9BD2-4DE9C5BCAA5C}"/>
    <cellStyle name="20% - Accent4 2 3 4 3 3 2" xfId="34824" xr:uid="{732354CD-E115-4668-A87B-64A2EBEB61F2}"/>
    <cellStyle name="20% - Accent4 2 3 4 3 4" xfId="34825" xr:uid="{23CBD2EA-E5A7-4923-B7A0-19B3EE790B5D}"/>
    <cellStyle name="20% - Accent4 2 3 4 4" xfId="1836" xr:uid="{CFE085DB-ED58-41E3-A7E3-84A3126917DC}"/>
    <cellStyle name="20% - Accent4 2 3 4 4 2" xfId="34826" xr:uid="{185A8E24-D999-4DBF-AE84-DD5D536C7B05}"/>
    <cellStyle name="20% - Accent4 2 3 4 4 2 2" xfId="34827" xr:uid="{C9332206-A5E0-4B50-9CD5-2A2DA6B8B87C}"/>
    <cellStyle name="20% - Accent4 2 3 4 4 3" xfId="34828" xr:uid="{C5D78A45-640B-4A1A-85DB-343A9C98D1FB}"/>
    <cellStyle name="20% - Accent4 2 3 4 4 3 2" xfId="34829" xr:uid="{334968E4-085C-428A-A322-ADB5D8F1945D}"/>
    <cellStyle name="20% - Accent4 2 3 4 4 4" xfId="34830" xr:uid="{DCAC8A49-D4B2-4AD2-944F-D6A64494884C}"/>
    <cellStyle name="20% - Accent4 2 3 4 5" xfId="34831" xr:uid="{48405248-D2BE-466C-B29C-5C4530A2A20D}"/>
    <cellStyle name="20% - Accent4 2 3 4 5 2" xfId="34832" xr:uid="{A3826B25-F53B-440F-9090-70F167C80BA7}"/>
    <cellStyle name="20% - Accent4 2 3 4 5 2 2" xfId="34833" xr:uid="{5693038E-0DEB-445D-97BC-436790CDB1DA}"/>
    <cellStyle name="20% - Accent4 2 3 4 5 3" xfId="34834" xr:uid="{86839776-F3EA-46DD-A974-C53A5BC3B44A}"/>
    <cellStyle name="20% - Accent4 2 3 4 5 3 2" xfId="34835" xr:uid="{60E6A1C5-77AE-49B0-A868-42E872BA228F}"/>
    <cellStyle name="20% - Accent4 2 3 4 5 4" xfId="34836" xr:uid="{587446FE-B8D3-4881-97D0-8B8F5534196F}"/>
    <cellStyle name="20% - Accent4 2 3 4 6" xfId="34837" xr:uid="{0EDD8CC5-6F83-4C82-9029-61DD5C4C0AFC}"/>
    <cellStyle name="20% - Accent4 2 3 4 6 2" xfId="34838" xr:uid="{8608FFB0-8347-44F7-89B2-BE8A1A6E87DC}"/>
    <cellStyle name="20% - Accent4 2 3 4 7" xfId="34839" xr:uid="{8DE4ED34-36D8-4156-802F-C605572C780E}"/>
    <cellStyle name="20% - Accent4 2 3 4 7 2" xfId="34840" xr:uid="{7B490AE1-CDDB-4D6F-9075-CB8D328EB08E}"/>
    <cellStyle name="20% - Accent4 2 3 4 8" xfId="34841" xr:uid="{9BD51BB3-05D4-48A2-8439-1AC865C114FB}"/>
    <cellStyle name="20% - Accent4 2 3 5" xfId="1837" xr:uid="{3377B5F0-4EE6-4C96-825F-122D1D13A2F6}"/>
    <cellStyle name="20% - Accent4 2 3 5 2" xfId="1838" xr:uid="{371C8248-64AD-4D4E-BB13-CC68FF34917B}"/>
    <cellStyle name="20% - Accent4 2 3 5 2 2" xfId="1839" xr:uid="{CED52F7C-84FE-470B-A4D9-D141E75CC640}"/>
    <cellStyle name="20% - Accent4 2 3 5 2 2 2" xfId="34842" xr:uid="{09953D3C-AD92-44BD-9627-159887F1D98B}"/>
    <cellStyle name="20% - Accent4 2 3 5 2 3" xfId="1840" xr:uid="{3348A115-6630-45AE-9508-543D79176071}"/>
    <cellStyle name="20% - Accent4 2 3 5 2 3 2" xfId="34843" xr:uid="{F1288CAA-37B8-4CCE-B87C-957EED9EED68}"/>
    <cellStyle name="20% - Accent4 2 3 5 2 4" xfId="34844" xr:uid="{BBBDDA52-07E8-4FF5-92E9-5F743D838E86}"/>
    <cellStyle name="20% - Accent4 2 3 5 3" xfId="1841" xr:uid="{03571CD5-4D8A-41DF-9B94-951EACB6EA4E}"/>
    <cellStyle name="20% - Accent4 2 3 5 3 2" xfId="34845" xr:uid="{F8A4239A-6FBD-4DA4-9C8B-C10CEAC55C50}"/>
    <cellStyle name="20% - Accent4 2 3 5 3 2 2" xfId="34846" xr:uid="{31160A64-15C5-45C4-ACE6-8C720C270B47}"/>
    <cellStyle name="20% - Accent4 2 3 5 3 3" xfId="34847" xr:uid="{0DE690F8-348D-4D80-8210-924976570AF1}"/>
    <cellStyle name="20% - Accent4 2 3 5 3 3 2" xfId="34848" xr:uid="{B5E35EB7-182D-4FF5-85BD-439CD8CB5FF2}"/>
    <cellStyle name="20% - Accent4 2 3 5 3 4" xfId="34849" xr:uid="{549D33C2-7CA5-4DF2-9FAF-652C4F8EC812}"/>
    <cellStyle name="20% - Accent4 2 3 5 4" xfId="1842" xr:uid="{7A73EFF7-0BA0-4ED0-B4E3-35B818734BB4}"/>
    <cellStyle name="20% - Accent4 2 3 5 4 2" xfId="34850" xr:uid="{8C2DF163-41D6-4B5E-B253-09681072BCED}"/>
    <cellStyle name="20% - Accent4 2 3 5 4 2 2" xfId="34851" xr:uid="{1F9161A6-C882-48A8-B09E-9BFFD78EC3CE}"/>
    <cellStyle name="20% - Accent4 2 3 5 4 3" xfId="34852" xr:uid="{EF9F22FD-69B9-4F27-ACAD-191345464852}"/>
    <cellStyle name="20% - Accent4 2 3 5 4 3 2" xfId="34853" xr:uid="{232B7935-2E3B-4ABF-ABE4-F8C9318C085D}"/>
    <cellStyle name="20% - Accent4 2 3 5 4 4" xfId="34854" xr:uid="{EAD12CC4-A394-4B13-968B-419F790C3541}"/>
    <cellStyle name="20% - Accent4 2 3 5 5" xfId="34855" xr:uid="{DA102C50-6C73-440F-8CC3-530ED2DA741B}"/>
    <cellStyle name="20% - Accent4 2 3 5 5 2" xfId="34856" xr:uid="{018DFD02-61C1-4001-B347-4A45A8B6FF86}"/>
    <cellStyle name="20% - Accent4 2 3 5 6" xfId="34857" xr:uid="{CEA477ED-3C4B-4A71-B681-B40E889F9F68}"/>
    <cellStyle name="20% - Accent4 2 3 5 6 2" xfId="34858" xr:uid="{76D67848-3367-478A-8FE9-146E06E46357}"/>
    <cellStyle name="20% - Accent4 2 3 5 7" xfId="34859" xr:uid="{260F8B7B-6A6A-4F4B-92A3-42F4096BD779}"/>
    <cellStyle name="20% - Accent4 2 3 6" xfId="1843" xr:uid="{12F7D067-ADC0-452B-BB33-E54C75E66DDB}"/>
    <cellStyle name="20% - Accent4 2 3 6 2" xfId="1844" xr:uid="{0D800679-FFC5-4D89-9ADE-A4CD57BAF81A}"/>
    <cellStyle name="20% - Accent4 2 3 6 2 2" xfId="34860" xr:uid="{65D18B3E-1E72-401E-8E5D-7433DB92593A}"/>
    <cellStyle name="20% - Accent4 2 3 6 3" xfId="1845" xr:uid="{B8CF72B1-EB9E-4D3C-8277-85D4AE41B450}"/>
    <cellStyle name="20% - Accent4 2 3 6 3 2" xfId="34861" xr:uid="{DD973AA7-CDB1-4370-8C36-98F96096B0F3}"/>
    <cellStyle name="20% - Accent4 2 3 6 4" xfId="34862" xr:uid="{E617B20B-1354-4028-B4D7-B249458208AF}"/>
    <cellStyle name="20% - Accent4 2 3 7" xfId="1846" xr:uid="{A70A2156-11D4-40E7-A0C2-74926A681ACB}"/>
    <cellStyle name="20% - Accent4 2 3 7 2" xfId="34863" xr:uid="{5497A5F9-2888-44E7-B4FC-40E05C67D9B1}"/>
    <cellStyle name="20% - Accent4 2 3 7 2 2" xfId="34864" xr:uid="{7C9ACFC1-207E-49DD-8736-40A084DC1D77}"/>
    <cellStyle name="20% - Accent4 2 3 7 3" xfId="34865" xr:uid="{EAAD2A6E-7179-43E5-AA75-FEA07B2434ED}"/>
    <cellStyle name="20% - Accent4 2 3 7 3 2" xfId="34866" xr:uid="{1112CA07-D224-41B6-ACC3-CF6D33A1A51F}"/>
    <cellStyle name="20% - Accent4 2 3 7 4" xfId="34867" xr:uid="{057235EA-3055-4580-AE22-4DC1F4C56222}"/>
    <cellStyle name="20% - Accent4 2 3 8" xfId="1847" xr:uid="{AC22ED0B-DDA4-4B56-A76B-C96021646BC3}"/>
    <cellStyle name="20% - Accent4 2 3 8 2" xfId="34868" xr:uid="{1F6C7723-315E-49E8-800B-2EB77F94A42F}"/>
    <cellStyle name="20% - Accent4 2 3 8 2 2" xfId="34869" xr:uid="{532A2884-7C9C-4476-BDB2-06FBA4E3F846}"/>
    <cellStyle name="20% - Accent4 2 3 8 3" xfId="34870" xr:uid="{5DA0699D-6C88-48E9-927A-BCC2F71560FE}"/>
    <cellStyle name="20% - Accent4 2 3 8 3 2" xfId="34871" xr:uid="{63F7071D-C6C8-49D4-8131-E0E55006C4EF}"/>
    <cellStyle name="20% - Accent4 2 3 8 4" xfId="34872" xr:uid="{792866FD-2E93-4BB1-BCC6-263300E967B7}"/>
    <cellStyle name="20% - Accent4 2 3 9" xfId="1848" xr:uid="{6FD4B254-012F-46B7-A617-47787AF63CAE}"/>
    <cellStyle name="20% - Accent4 2 3 9 2" xfId="34873" xr:uid="{D23CCE6B-5FA4-4298-9D68-31EEBEFD3548}"/>
    <cellStyle name="20% - Accent4 2 4" xfId="1849" xr:uid="{96B09044-D823-47ED-9EBE-8A3F0CE6D443}"/>
    <cellStyle name="20% - Accent4 2 4 2" xfId="1850" xr:uid="{0D2A17BF-ECEC-4E74-B334-8D1A2426EF3B}"/>
    <cellStyle name="20% - Accent4 2 4 2 2" xfId="1851" xr:uid="{3C1E90DE-188D-4FA8-9F2E-831A41A52BB4}"/>
    <cellStyle name="20% - Accent4 2 4 2 2 2" xfId="34874" xr:uid="{CF6F68E1-0C25-4044-ABAC-9D8C1F5E5C41}"/>
    <cellStyle name="20% - Accent4 2 4 2 2 2 2" xfId="34875" xr:uid="{FB7D0820-FA11-4DE4-A923-12D8E4D4B4E0}"/>
    <cellStyle name="20% - Accent4 2 4 2 2 3" xfId="34876" xr:uid="{8F2A4007-EA2F-4B1E-9090-F001683AFCB8}"/>
    <cellStyle name="20% - Accent4 2 4 2 2 3 2" xfId="34877" xr:uid="{309B8256-35C6-4A80-AD8F-C775768666E8}"/>
    <cellStyle name="20% - Accent4 2 4 2 2 4" xfId="34878" xr:uid="{66EAF64B-B637-43E9-80A4-E9389007BCF1}"/>
    <cellStyle name="20% - Accent4 2 4 2 3" xfId="1852" xr:uid="{76ADD68F-E9E4-46F0-B134-AE80B2368C6B}"/>
    <cellStyle name="20% - Accent4 2 4 2 3 2" xfId="34879" xr:uid="{55396143-D8E6-4A0F-88A1-1EADC63C0CCC}"/>
    <cellStyle name="20% - Accent4 2 4 2 3 2 2" xfId="34880" xr:uid="{073C611D-A035-48EA-83E2-59C855640305}"/>
    <cellStyle name="20% - Accent4 2 4 2 3 3" xfId="34881" xr:uid="{E50C3FF0-C5EA-489E-9274-95E6AD9B86AE}"/>
    <cellStyle name="20% - Accent4 2 4 2 3 3 2" xfId="34882" xr:uid="{7F337025-CDCA-4908-85B2-D88E5374A539}"/>
    <cellStyle name="20% - Accent4 2 4 2 3 4" xfId="34883" xr:uid="{40D59756-4AFF-49A7-A08D-22BEAEF790D5}"/>
    <cellStyle name="20% - Accent4 2 4 2 4" xfId="34884" xr:uid="{7BDA2335-8B8E-498D-BC61-7319F786A18F}"/>
    <cellStyle name="20% - Accent4 2 4 2 4 2" xfId="34885" xr:uid="{B75A453B-6330-498A-9EE0-6431CF47F7E4}"/>
    <cellStyle name="20% - Accent4 2 4 2 4 2 2" xfId="34886" xr:uid="{57BE9D04-4217-481C-8256-B7D605682DD5}"/>
    <cellStyle name="20% - Accent4 2 4 2 4 3" xfId="34887" xr:uid="{F57F2FE9-A325-4BB7-BC85-EC3D660752E6}"/>
    <cellStyle name="20% - Accent4 2 4 2 4 3 2" xfId="34888" xr:uid="{EDE34B2C-6BDF-410D-98BA-D88184FDED6F}"/>
    <cellStyle name="20% - Accent4 2 4 2 4 4" xfId="34889" xr:uid="{27E7752E-08A1-42B7-BC0D-1385F87B1A32}"/>
    <cellStyle name="20% - Accent4 2 4 2 5" xfId="34890" xr:uid="{78B42E73-D510-4522-9E42-E077F6FC83DC}"/>
    <cellStyle name="20% - Accent4 2 4 2 5 2" xfId="34891" xr:uid="{640A5A9F-73EE-4062-8154-6737875ECF6B}"/>
    <cellStyle name="20% - Accent4 2 4 2 6" xfId="34892" xr:uid="{0747970A-ED6C-405D-8139-8E40231874A2}"/>
    <cellStyle name="20% - Accent4 2 4 2 6 2" xfId="34893" xr:uid="{94E48B25-4A28-4846-A173-3E321C3CC6D0}"/>
    <cellStyle name="20% - Accent4 2 4 2 7" xfId="34894" xr:uid="{C5D3B210-CE21-482F-A0CD-94F47120612E}"/>
    <cellStyle name="20% - Accent4 2 4 3" xfId="1853" xr:uid="{33813C83-E840-4B1E-9A22-6FF358683F10}"/>
    <cellStyle name="20% - Accent4 2 4 3 2" xfId="34895" xr:uid="{5CEB279D-0C8B-4CB1-BD19-30099FFCD9A0}"/>
    <cellStyle name="20% - Accent4 2 4 3 2 2" xfId="34896" xr:uid="{2DCFCFD1-BF5B-4F3F-BAAD-83D686DE6853}"/>
    <cellStyle name="20% - Accent4 2 4 3 2 2 2" xfId="34897" xr:uid="{34768948-A2D0-4594-A8BC-B38C09652A9F}"/>
    <cellStyle name="20% - Accent4 2 4 3 2 3" xfId="34898" xr:uid="{409FE9D7-2C69-4204-948E-5DEFE53C75B0}"/>
    <cellStyle name="20% - Accent4 2 4 3 2 3 2" xfId="34899" xr:uid="{41919059-3700-4AB0-951C-EB368FD035B0}"/>
    <cellStyle name="20% - Accent4 2 4 3 2 4" xfId="34900" xr:uid="{C0B0C56C-2DCD-458F-BDCF-6D96259914DA}"/>
    <cellStyle name="20% - Accent4 2 4 3 3" xfId="34901" xr:uid="{FFEFB1DA-4AB5-40F4-AE35-BD9B9246CA51}"/>
    <cellStyle name="20% - Accent4 2 4 3 3 2" xfId="34902" xr:uid="{C308400C-2BF0-433E-B229-63E4E9FE4E3A}"/>
    <cellStyle name="20% - Accent4 2 4 3 3 2 2" xfId="34903" xr:uid="{443927DA-A761-4E4D-921B-420C9E5DD7B3}"/>
    <cellStyle name="20% - Accent4 2 4 3 3 3" xfId="34904" xr:uid="{C5AD9B4F-7321-4A68-A68D-3B389F8EA2E9}"/>
    <cellStyle name="20% - Accent4 2 4 3 3 3 2" xfId="34905" xr:uid="{96767E66-8127-42A8-9B8F-D2BA9CF47284}"/>
    <cellStyle name="20% - Accent4 2 4 3 3 4" xfId="34906" xr:uid="{CEC10047-79DD-49A4-AA16-95EF22B5D149}"/>
    <cellStyle name="20% - Accent4 2 4 3 4" xfId="34907" xr:uid="{F92D6D44-1FD3-491A-A603-58CA73FE0C9F}"/>
    <cellStyle name="20% - Accent4 2 4 3 4 2" xfId="34908" xr:uid="{01702281-C8F5-451C-B8C9-409926FC02AB}"/>
    <cellStyle name="20% - Accent4 2 4 3 4 2 2" xfId="34909" xr:uid="{301C297F-748A-46F2-9752-9425294AD32B}"/>
    <cellStyle name="20% - Accent4 2 4 3 4 3" xfId="34910" xr:uid="{E942728D-14AC-4B6B-9DF3-E81BC35F90EF}"/>
    <cellStyle name="20% - Accent4 2 4 3 4 3 2" xfId="34911" xr:uid="{EF809621-886B-49D1-A14C-AF1DFA856963}"/>
    <cellStyle name="20% - Accent4 2 4 3 4 4" xfId="34912" xr:uid="{ED2EFCC3-D1EE-4A06-94AC-817DDE011AFF}"/>
    <cellStyle name="20% - Accent4 2 4 3 5" xfId="34913" xr:uid="{D48BAD5D-F50D-42EE-9254-DFB4B4C38CC6}"/>
    <cellStyle name="20% - Accent4 2 4 3 5 2" xfId="34914" xr:uid="{6DF8394A-27A3-4BEB-9B00-CE6D2B096F97}"/>
    <cellStyle name="20% - Accent4 2 4 3 6" xfId="34915" xr:uid="{D835728E-FBC1-488C-A804-0C513AF6CB97}"/>
    <cellStyle name="20% - Accent4 2 4 3 6 2" xfId="34916" xr:uid="{836EFFF0-5D87-4652-9505-290E09F49484}"/>
    <cellStyle name="20% - Accent4 2 4 3 7" xfId="34917" xr:uid="{A0D28B41-FBCF-4FE2-B8DE-CCA4A6D0D308}"/>
    <cellStyle name="20% - Accent4 2 4 4" xfId="1854" xr:uid="{3EAD04D7-CE28-47D6-99D0-5168B08D280C}"/>
    <cellStyle name="20% - Accent4 2 4 4 2" xfId="34918" xr:uid="{FB3EC957-A0F0-41BE-8D86-D7491206CB99}"/>
    <cellStyle name="20% - Accent4 2 4 4 2 2" xfId="34919" xr:uid="{DE6BDB76-E3A1-4DBC-A928-9DA977D1218D}"/>
    <cellStyle name="20% - Accent4 2 4 4 3" xfId="34920" xr:uid="{6B552BBC-FD1B-413C-81DC-60B9081F58C1}"/>
    <cellStyle name="20% - Accent4 2 4 4 3 2" xfId="34921" xr:uid="{F26C23ED-48FC-4670-810A-CEA5621B5AEC}"/>
    <cellStyle name="20% - Accent4 2 4 4 4" xfId="34922" xr:uid="{1271E273-6A4D-4258-B9CA-F6B624F7287A}"/>
    <cellStyle name="20% - Accent4 2 4 5" xfId="1855" xr:uid="{1360683B-5182-408A-AE64-B15076393715}"/>
    <cellStyle name="20% - Accent4 2 4 5 2" xfId="34923" xr:uid="{4DFF175D-1458-49D4-9D2D-BC3E5942F9E9}"/>
    <cellStyle name="20% - Accent4 2 4 5 2 2" xfId="34924" xr:uid="{063C0870-A021-4D6E-B842-036317C48436}"/>
    <cellStyle name="20% - Accent4 2 4 5 3" xfId="34925" xr:uid="{35895514-EA24-414C-94D2-21F9DDAAC600}"/>
    <cellStyle name="20% - Accent4 2 4 5 3 2" xfId="34926" xr:uid="{95ACA73C-E862-4E4B-90A6-6CDE73045360}"/>
    <cellStyle name="20% - Accent4 2 4 5 4" xfId="34927" xr:uid="{2931B97F-B52D-485A-A767-1994D4121C65}"/>
    <cellStyle name="20% - Accent4 2 4 6" xfId="34928" xr:uid="{AEFEBAF4-B9B4-41A8-9E9B-CBB7C7035CF5}"/>
    <cellStyle name="20% - Accent4 2 4 6 2" xfId="34929" xr:uid="{8FFF6B41-570C-45F6-BDA0-B3222CB6351D}"/>
    <cellStyle name="20% - Accent4 2 4 6 2 2" xfId="34930" xr:uid="{EC25C33E-B835-4E76-9922-976BD0AD3D40}"/>
    <cellStyle name="20% - Accent4 2 4 6 3" xfId="34931" xr:uid="{F78EF72F-51B9-4215-9BB6-D4FC6FE5F36B}"/>
    <cellStyle name="20% - Accent4 2 4 6 3 2" xfId="34932" xr:uid="{191CF7A1-1C12-46A3-935C-9E15A9F6C895}"/>
    <cellStyle name="20% - Accent4 2 4 6 4" xfId="34933" xr:uid="{55A91A28-76FC-4882-B007-1F5293F9C095}"/>
    <cellStyle name="20% - Accent4 2 4 7" xfId="34934" xr:uid="{CFA5E9C5-5876-470E-B1C3-0C60E7F52D4A}"/>
    <cellStyle name="20% - Accent4 2 4 7 2" xfId="34935" xr:uid="{A8B58839-12F8-4736-B0BB-AB11B756B19E}"/>
    <cellStyle name="20% - Accent4 2 4 8" xfId="34936" xr:uid="{925BBE20-5B0E-437B-A3B8-6BE0C2E176ED}"/>
    <cellStyle name="20% - Accent4 2 4 8 2" xfId="34937" xr:uid="{9FE3045B-7E9C-4226-B036-304477DB2298}"/>
    <cellStyle name="20% - Accent4 2 4 9" xfId="34938" xr:uid="{E9C605D9-DAC8-4AB4-922E-F3AE0551DDCD}"/>
    <cellStyle name="20% - Accent4 2 5" xfId="34939" xr:uid="{A08A834E-0B2F-4E83-A952-10024706B1AA}"/>
    <cellStyle name="20% - Accent4 2 5 2" xfId="34940" xr:uid="{E98AC048-BC76-4DF0-9B63-DD2F48045AE7}"/>
    <cellStyle name="20% - Accent4 2 5 2 2" xfId="34941" xr:uid="{F04394E3-E0FF-485D-BE61-DFA0B2C71684}"/>
    <cellStyle name="20% - Accent4 2 5 2 2 2" xfId="34942" xr:uid="{8A735667-A6A1-4CF4-BC00-608AF60F343B}"/>
    <cellStyle name="20% - Accent4 2 5 2 3" xfId="34943" xr:uid="{C46D4268-13A7-4FB2-A949-5578A6634DA9}"/>
    <cellStyle name="20% - Accent4 2 5 2 3 2" xfId="34944" xr:uid="{D9215FBF-1DFB-45A3-B85A-ED8746BBC4BD}"/>
    <cellStyle name="20% - Accent4 2 5 2 4" xfId="34945" xr:uid="{5CDEB61D-ED0C-4568-AD8D-736FFC8FA1F6}"/>
    <cellStyle name="20% - Accent4 2 5 3" xfId="34946" xr:uid="{B8A13F77-6A44-4E3D-B163-08FD616BD541}"/>
    <cellStyle name="20% - Accent4 2 5 3 2" xfId="34947" xr:uid="{14F8A5BC-EA77-4FA4-92E2-188494735C1F}"/>
    <cellStyle name="20% - Accent4 2 5 3 2 2" xfId="34948" xr:uid="{D1BE3A1A-3DB3-4AA5-A773-2794F116952E}"/>
    <cellStyle name="20% - Accent4 2 5 3 3" xfId="34949" xr:uid="{DA04B7B6-07DE-428B-9522-2752FA184126}"/>
    <cellStyle name="20% - Accent4 2 5 3 3 2" xfId="34950" xr:uid="{0653944F-AFF6-4909-9008-F572B81E8BEF}"/>
    <cellStyle name="20% - Accent4 2 5 3 4" xfId="34951" xr:uid="{B080489E-885B-4155-8A99-634480B28A12}"/>
    <cellStyle name="20% - Accent4 2 5 4" xfId="34952" xr:uid="{68F37EF0-3E16-4829-9E65-867390096EB6}"/>
    <cellStyle name="20% - Accent4 2 5 4 2" xfId="34953" xr:uid="{38F74A47-341F-400A-A7E8-EB9D174EC743}"/>
    <cellStyle name="20% - Accent4 2 5 4 2 2" xfId="34954" xr:uid="{C3867810-3F82-4933-824F-64319D8F4E01}"/>
    <cellStyle name="20% - Accent4 2 5 4 3" xfId="34955" xr:uid="{A7778A93-DCE4-4497-A5F3-397D2FA9813F}"/>
    <cellStyle name="20% - Accent4 2 5 4 3 2" xfId="34956" xr:uid="{9395CB64-1DF7-4BB5-8AC1-9020E70337E2}"/>
    <cellStyle name="20% - Accent4 2 5 4 4" xfId="34957" xr:uid="{CCC98B07-3811-4E6F-8BEB-A07140118EB4}"/>
    <cellStyle name="20% - Accent4 2 5 5" xfId="34958" xr:uid="{79E49F23-8105-4A79-A35D-6F72B1519249}"/>
    <cellStyle name="20% - Accent4 2 5 5 2" xfId="34959" xr:uid="{9E2E530A-93EF-480E-9F12-7C450044BC62}"/>
    <cellStyle name="20% - Accent4 2 5 6" xfId="34960" xr:uid="{7B991AED-6EE2-44C4-9C35-167C3771E27C}"/>
    <cellStyle name="20% - Accent4 2 5 6 2" xfId="34961" xr:uid="{EFA40700-3C93-4B21-8D98-88A424B53565}"/>
    <cellStyle name="20% - Accent4 2 5 7" xfId="34962" xr:uid="{9855806B-02FF-4237-8E3F-6EF268F25D26}"/>
    <cellStyle name="20% - Accent4 2 6" xfId="34963" xr:uid="{C206CB7B-F2A2-4CBD-9FEA-4BC3A377F8B8}"/>
    <cellStyle name="20% - Accent4 2 6 2" xfId="34964" xr:uid="{512784BC-F8A9-48DD-95F9-278F14CE0E91}"/>
    <cellStyle name="20% - Accent4 2 6 2 2" xfId="34965" xr:uid="{637080E4-2A22-420A-AC3E-62E69C21F2F7}"/>
    <cellStyle name="20% - Accent4 2 6 3" xfId="34966" xr:uid="{4ACEE047-90F7-4642-A272-5E7B10DF8A92}"/>
    <cellStyle name="20% - Accent4 2 6 3 2" xfId="34967" xr:uid="{6A72CAE4-F9DA-4C6B-BA0B-E441B5906E6D}"/>
    <cellStyle name="20% - Accent4 2 6 4" xfId="34968" xr:uid="{6ECBD43D-AE81-4536-8E01-5150519901E1}"/>
    <cellStyle name="20% - Accent4 2 7" xfId="34969" xr:uid="{BEE5547F-1469-441D-8E2C-E61B4F62DCC9}"/>
    <cellStyle name="20% - Accent4 2 7 2" xfId="34970" xr:uid="{725B7F8A-2882-4455-9426-FC3774EC3F66}"/>
    <cellStyle name="20% - Accent4 2 7 2 2" xfId="34971" xr:uid="{FD7DE920-875F-44F2-8126-BF2761136E58}"/>
    <cellStyle name="20% - Accent4 2 7 3" xfId="34972" xr:uid="{83368A00-D5FE-4240-8F4A-18F596BE6D80}"/>
    <cellStyle name="20% - Accent4 2 7 3 2" xfId="34973" xr:uid="{7964D690-5151-4EDC-BE4C-EAE928F7737E}"/>
    <cellStyle name="20% - Accent4 2 7 4" xfId="34974" xr:uid="{30226459-D779-4732-BC71-CA4690ED45DC}"/>
    <cellStyle name="20% - Accent4 2 8" xfId="34975" xr:uid="{7C6C2A3C-6933-452E-9AA9-BA474C6E18C0}"/>
    <cellStyle name="20% - Accent4 2 9" xfId="34976" xr:uid="{78DCEDF6-FBBD-4DC2-986E-3C32837CBA22}"/>
    <cellStyle name="20% - Accent4 2_PwrTax 51040" xfId="1856" xr:uid="{5A6B1AD3-565F-4A6C-ABB8-BDE69013EA32}"/>
    <cellStyle name="20% - Accent4 20" xfId="1857" xr:uid="{4262F4D0-B3C6-4711-A0EC-CFD986A4EB1D}"/>
    <cellStyle name="20% - Accent4 21" xfId="1858" xr:uid="{4A33F802-14E4-4A8B-B3C7-18E9B1D41873}"/>
    <cellStyle name="20% - Accent4 22" xfId="1859" xr:uid="{516224CF-267B-4EAE-A639-0F65A100F2DA}"/>
    <cellStyle name="20% - Accent4 23" xfId="1860" xr:uid="{C7B33929-5121-457B-A460-CC8E339F0409}"/>
    <cellStyle name="20% - Accent4 24" xfId="1861" xr:uid="{91C91016-A6D0-4E74-A61A-8AB750681EE4}"/>
    <cellStyle name="20% - Accent4 25" xfId="1862" xr:uid="{735B8EBE-241A-477F-A613-832EEF641866}"/>
    <cellStyle name="20% - Accent4 26" xfId="1863" xr:uid="{2E7D7673-E77B-4D1A-AA01-9C13FAE69769}"/>
    <cellStyle name="20% - Accent4 27" xfId="1864" xr:uid="{A906E5FC-C6D7-49A1-AE8A-89760C115816}"/>
    <cellStyle name="20% - Accent4 28" xfId="1865" xr:uid="{594D0E21-A58F-44AF-A08B-1ADAFDA91BB0}"/>
    <cellStyle name="20% - Accent4 29" xfId="1866" xr:uid="{1CFD6861-4D54-4B38-B68F-3B457E60C5AF}"/>
    <cellStyle name="20% - Accent4 3" xfId="1867" xr:uid="{99FA0FE2-3F0B-4550-9157-4FA98E90BD31}"/>
    <cellStyle name="20% - Accent4 3 10" xfId="34977" xr:uid="{3EAD8724-59CC-44B7-810D-85BDB47FEA7B}"/>
    <cellStyle name="20% - Accent4 3 11" xfId="43533" xr:uid="{E660050C-705A-4CD8-A646-D4244CD23CAA}"/>
    <cellStyle name="20% - Accent4 3 2" xfId="1868" xr:uid="{3AD33E65-C046-4221-960B-9102AA7DFC1A}"/>
    <cellStyle name="20% - Accent4 3 2 2" xfId="34978" xr:uid="{C1F63D94-64BD-445F-B039-5E6528313C4B}"/>
    <cellStyle name="20% - Accent4 3 2 2 2" xfId="34979" xr:uid="{AB871EC2-B545-4489-9AE8-122F8DAFC007}"/>
    <cellStyle name="20% - Accent4 3 2 3" xfId="34980" xr:uid="{9B06CB38-D9C5-4E95-9D18-93075A5AEA07}"/>
    <cellStyle name="20% - Accent4 3 3" xfId="1869" xr:uid="{7ADE3BE9-F20C-43CD-AE1B-81222FCA3D36}"/>
    <cellStyle name="20% - Accent4 3 3 10" xfId="34981" xr:uid="{9D3799DB-CE8B-4EED-B7ED-71A491A2266D}"/>
    <cellStyle name="20% - Accent4 3 3 10 2" xfId="34982" xr:uid="{67B52CD7-A636-4A41-BF37-D2D9E058C1FC}"/>
    <cellStyle name="20% - Accent4 3 3 11" xfId="34983" xr:uid="{8A400F42-C48A-49AD-9340-D7955272B8A5}"/>
    <cellStyle name="20% - Accent4 3 3 12" xfId="34984" xr:uid="{C6E9933F-17C0-4377-A187-FC3F22E1DD67}"/>
    <cellStyle name="20% - Accent4 3 3 2" xfId="1870" xr:uid="{12BF28E4-2F28-4BB2-83D1-54E9303AAA17}"/>
    <cellStyle name="20% - Accent4 3 3 2 2" xfId="1871" xr:uid="{9F40D032-1CD4-405B-B0D8-1AD7D786A6DA}"/>
    <cellStyle name="20% - Accent4 3 3 2 2 2" xfId="1872" xr:uid="{C6D968AC-0D72-404C-A6DD-2F99D090C49E}"/>
    <cellStyle name="20% - Accent4 3 3 2 2 2 2" xfId="1873" xr:uid="{73C8EF76-0C8D-455F-BC2B-B91B5203D82C}"/>
    <cellStyle name="20% - Accent4 3 3 2 2 2 2 2" xfId="34985" xr:uid="{C4B74794-C44B-442F-8BC2-7D3814A628A7}"/>
    <cellStyle name="20% - Accent4 3 3 2 2 2 3" xfId="1874" xr:uid="{BFE95F27-42BA-4F11-95C8-F19EFCE20337}"/>
    <cellStyle name="20% - Accent4 3 3 2 2 2 3 2" xfId="34986" xr:uid="{B90C5F1B-6849-4C29-BD6F-65E2A5982C91}"/>
    <cellStyle name="20% - Accent4 3 3 2 2 2 4" xfId="34987" xr:uid="{421F4E8E-3624-4FD7-8282-D5B6BCC873C8}"/>
    <cellStyle name="20% - Accent4 3 3 2 2 3" xfId="1875" xr:uid="{FEC16637-886E-42A6-BD26-2122EDFA8A0D}"/>
    <cellStyle name="20% - Accent4 3 3 2 2 3 2" xfId="34988" xr:uid="{4DF9D26A-6178-4994-A1B0-03A0D92B91D7}"/>
    <cellStyle name="20% - Accent4 3 3 2 2 4" xfId="1876" xr:uid="{8D48D93E-4ADC-43CA-B9A3-24038C40CCBF}"/>
    <cellStyle name="20% - Accent4 3 3 2 2 4 2" xfId="34989" xr:uid="{72DEA1FD-9FAB-4AF0-B4FA-05BAFD0171BE}"/>
    <cellStyle name="20% - Accent4 3 3 2 2 5" xfId="34990" xr:uid="{73E44178-B47D-43A2-A384-EFA44DEE77CD}"/>
    <cellStyle name="20% - Accent4 3 3 2 3" xfId="1877" xr:uid="{7E167D50-4543-4321-8AA7-56EDE1E6BBAD}"/>
    <cellStyle name="20% - Accent4 3 3 2 3 2" xfId="1878" xr:uid="{DB2885E9-017F-42BB-A7B6-FE6CC531E173}"/>
    <cellStyle name="20% - Accent4 3 3 2 3 2 2" xfId="34991" xr:uid="{6F7F6889-4B32-4AF7-9332-81DEFD246A31}"/>
    <cellStyle name="20% - Accent4 3 3 2 3 3" xfId="1879" xr:uid="{B6F39151-6CCD-4E0C-84EB-541EFAAFE82F}"/>
    <cellStyle name="20% - Accent4 3 3 2 3 3 2" xfId="34992" xr:uid="{87FFF311-CDA3-4BDC-BD0C-6965F07E31C3}"/>
    <cellStyle name="20% - Accent4 3 3 2 3 4" xfId="34993" xr:uid="{2E5FF593-A4E1-4D14-97E0-4BC35321AFB6}"/>
    <cellStyle name="20% - Accent4 3 3 2 4" xfId="1880" xr:uid="{DE557A9A-7EEC-4902-A317-FDB05245929F}"/>
    <cellStyle name="20% - Accent4 3 3 2 4 2" xfId="34994" xr:uid="{3FA9FE7A-A0FE-4B42-A769-28D1EB40E009}"/>
    <cellStyle name="20% - Accent4 3 3 2 4 2 2" xfId="34995" xr:uid="{B1F7C833-94EF-4749-A7CD-99CCF499E4CB}"/>
    <cellStyle name="20% - Accent4 3 3 2 4 3" xfId="34996" xr:uid="{AD15864E-1098-40E3-8B5E-648E06EF3C36}"/>
    <cellStyle name="20% - Accent4 3 3 2 4 3 2" xfId="34997" xr:uid="{6BED72C3-31E4-4477-BB13-991EAD51F812}"/>
    <cellStyle name="20% - Accent4 3 3 2 4 4" xfId="34998" xr:uid="{2F07220D-AC0F-4C67-BFB4-F2E8D7E05075}"/>
    <cellStyle name="20% - Accent4 3 3 2 5" xfId="1881" xr:uid="{6FEA743A-7035-402A-AC39-B98EDFB7C3FB}"/>
    <cellStyle name="20% - Accent4 3 3 2 5 2" xfId="34999" xr:uid="{D6220CD2-18A7-46B9-BB01-2C42A6B9EE1A}"/>
    <cellStyle name="20% - Accent4 3 3 2 5 2 2" xfId="35000" xr:uid="{2B2E086C-860C-456F-8870-52F5EA676398}"/>
    <cellStyle name="20% - Accent4 3 3 2 5 3" xfId="35001" xr:uid="{BCE63623-AC4E-432C-BA5D-56ABD8DBF807}"/>
    <cellStyle name="20% - Accent4 3 3 2 5 3 2" xfId="35002" xr:uid="{EF7A377F-012F-4C80-817A-B03C97A199ED}"/>
    <cellStyle name="20% - Accent4 3 3 2 5 4" xfId="35003" xr:uid="{C61FB1EF-56F4-4DCB-858C-AECA5FD0138D}"/>
    <cellStyle name="20% - Accent4 3 3 2 6" xfId="1882" xr:uid="{7C29457F-9AD7-45E2-B263-BED267D0D21C}"/>
    <cellStyle name="20% - Accent4 3 3 2 6 2" xfId="35004" xr:uid="{190215DF-E33E-4724-9DC9-5A695262B68B}"/>
    <cellStyle name="20% - Accent4 3 3 2 6 2 2" xfId="35005" xr:uid="{817038F2-91AE-45EB-8763-47AF94CF5A57}"/>
    <cellStyle name="20% - Accent4 3 3 2 6 3" xfId="35006" xr:uid="{1A61072D-DDDB-4C4D-A930-0547481C12BC}"/>
    <cellStyle name="20% - Accent4 3 3 2 6 3 2" xfId="35007" xr:uid="{F3CABF42-CCA0-45DD-AEF9-7386F032A572}"/>
    <cellStyle name="20% - Accent4 3 3 2 6 4" xfId="35008" xr:uid="{5E244579-FABA-45BD-B6FA-6A24AA458AC8}"/>
    <cellStyle name="20% - Accent4 3 3 2 7" xfId="35009" xr:uid="{FBBC448D-5D01-40A4-9EC6-AFC7B39EF529}"/>
    <cellStyle name="20% - Accent4 3 3 2 7 2" xfId="35010" xr:uid="{10B61497-0960-4925-BB94-4AF664491286}"/>
    <cellStyle name="20% - Accent4 3 3 2 8" xfId="35011" xr:uid="{6FCB1523-BCA8-47B6-A57B-4A9B3D698D16}"/>
    <cellStyle name="20% - Accent4 3 3 2 8 2" xfId="35012" xr:uid="{B9260CC5-5B65-4B57-971A-52CFC654C673}"/>
    <cellStyle name="20% - Accent4 3 3 2 9" xfId="35013" xr:uid="{5DF20C08-900E-45F8-B92B-19C440EB07B3}"/>
    <cellStyle name="20% - Accent4 3 3 3" xfId="1883" xr:uid="{0CF86D6D-0D19-47E8-9157-4A3E5BD0287D}"/>
    <cellStyle name="20% - Accent4 3 3 3 2" xfId="1884" xr:uid="{430E0C84-10BC-4B81-B1B4-D9E7931FBF6F}"/>
    <cellStyle name="20% - Accent4 3 3 3 2 2" xfId="1885" xr:uid="{DB1F025B-E654-4576-8F64-A63F5D692008}"/>
    <cellStyle name="20% - Accent4 3 3 3 2 2 2" xfId="35014" xr:uid="{8B0FCEA5-4A5C-4597-B214-A56EFB2A4D4E}"/>
    <cellStyle name="20% - Accent4 3 3 3 2 3" xfId="1886" xr:uid="{EDCD1CAC-AD26-402A-99FF-1A5B147A42A1}"/>
    <cellStyle name="20% - Accent4 3 3 3 2 3 2" xfId="35015" xr:uid="{399CB29B-860C-43BE-BAFF-E2351CC2B1B5}"/>
    <cellStyle name="20% - Accent4 3 3 3 2 4" xfId="35016" xr:uid="{4671A74C-8BF8-4365-837F-B7F229AFB6EF}"/>
    <cellStyle name="20% - Accent4 3 3 3 3" xfId="1887" xr:uid="{F179EEF6-4825-47C8-8DD8-329093D10155}"/>
    <cellStyle name="20% - Accent4 3 3 3 3 2" xfId="35017" xr:uid="{EE6ADA4C-E319-4BA1-8BF6-8A20372CA135}"/>
    <cellStyle name="20% - Accent4 3 3 3 3 2 2" xfId="35018" xr:uid="{547F22A8-19C5-4F7F-868C-309B7465A5C6}"/>
    <cellStyle name="20% - Accent4 3 3 3 3 3" xfId="35019" xr:uid="{144FED5F-0046-4A2C-8147-B7606496B8C0}"/>
    <cellStyle name="20% - Accent4 3 3 3 3 3 2" xfId="35020" xr:uid="{E09F448F-9A2B-42E7-99AA-486C66F47A04}"/>
    <cellStyle name="20% - Accent4 3 3 3 3 4" xfId="35021" xr:uid="{AEC2C309-42B4-49C0-8017-1ECB76B026C8}"/>
    <cellStyle name="20% - Accent4 3 3 3 4" xfId="1888" xr:uid="{AB6310C6-A267-450C-96F5-70486E682857}"/>
    <cellStyle name="20% - Accent4 3 3 3 4 2" xfId="35022" xr:uid="{B73E5A3E-DC76-4969-A78C-8AF1D1B5DE1F}"/>
    <cellStyle name="20% - Accent4 3 3 3 4 2 2" xfId="35023" xr:uid="{40250EAF-A41D-4365-9F8C-B1B07B8CC555}"/>
    <cellStyle name="20% - Accent4 3 3 3 4 3" xfId="35024" xr:uid="{CF46734F-21C1-46B1-836A-4248EF54477A}"/>
    <cellStyle name="20% - Accent4 3 3 3 4 3 2" xfId="35025" xr:uid="{1159A490-12D5-4D3B-99F5-78317D2A40B1}"/>
    <cellStyle name="20% - Accent4 3 3 3 4 4" xfId="35026" xr:uid="{3266C207-6301-458F-9AC1-509884B19D76}"/>
    <cellStyle name="20% - Accent4 3 3 3 5" xfId="1889" xr:uid="{AC4AE3CE-E1C4-4975-96F6-D088CF58B066}"/>
    <cellStyle name="20% - Accent4 3 3 3 5 2" xfId="35027" xr:uid="{D41E3604-6F60-4097-BA31-8515A76FE674}"/>
    <cellStyle name="20% - Accent4 3 3 3 5 2 2" xfId="35028" xr:uid="{8FB4A4F5-D346-4EC8-B7A5-744B7EDB9972}"/>
    <cellStyle name="20% - Accent4 3 3 3 5 3" xfId="35029" xr:uid="{7B8CFA23-1A7E-4F9A-A782-7F6465CCBD89}"/>
    <cellStyle name="20% - Accent4 3 3 3 5 3 2" xfId="35030" xr:uid="{1EEA97FA-87C5-4E61-BD6C-D1A9CD51129B}"/>
    <cellStyle name="20% - Accent4 3 3 3 5 4" xfId="35031" xr:uid="{BBB2D2B5-7554-48C0-B8F6-270EBBCD4AF0}"/>
    <cellStyle name="20% - Accent4 3 3 3 6" xfId="35032" xr:uid="{37D30C18-2C48-401B-941D-6502D97C24BF}"/>
    <cellStyle name="20% - Accent4 3 3 3 6 2" xfId="35033" xr:uid="{2E950ED8-F0F0-49FB-8BA1-79715428E448}"/>
    <cellStyle name="20% - Accent4 3 3 3 7" xfId="35034" xr:uid="{67E0ED27-32FD-46D0-8316-F876D9E8E7C5}"/>
    <cellStyle name="20% - Accent4 3 3 3 7 2" xfId="35035" xr:uid="{1A172D4C-698A-4D0E-A801-A315CFFC4074}"/>
    <cellStyle name="20% - Accent4 3 3 3 8" xfId="35036" xr:uid="{CA243A42-6A5B-4E38-8F6C-3057E0FA57C0}"/>
    <cellStyle name="20% - Accent4 3 3 4" xfId="1890" xr:uid="{098FF5CE-00EA-41FB-8809-B3446342F620}"/>
    <cellStyle name="20% - Accent4 3 3 4 2" xfId="1891" xr:uid="{664259CA-C6C8-4F77-96F1-9F4F188922CB}"/>
    <cellStyle name="20% - Accent4 3 3 4 2 2" xfId="1892" xr:uid="{A0C7408F-6699-4495-8770-4695F2ACCD4A}"/>
    <cellStyle name="20% - Accent4 3 3 4 2 2 2" xfId="35037" xr:uid="{C08C07B7-B974-45B2-8C25-0DB877831B67}"/>
    <cellStyle name="20% - Accent4 3 3 4 2 3" xfId="1893" xr:uid="{17E5BDE4-6AC6-4E0B-919E-45F2EA2DB96A}"/>
    <cellStyle name="20% - Accent4 3 3 4 2 3 2" xfId="35038" xr:uid="{40CEF43B-5F96-4B9D-9965-51D1671ADC88}"/>
    <cellStyle name="20% - Accent4 3 3 4 2 4" xfId="35039" xr:uid="{AE55AE9C-0FC5-4C3C-81CA-3EBFB4F7B694}"/>
    <cellStyle name="20% - Accent4 3 3 4 3" xfId="1894" xr:uid="{971B8299-813E-4E4B-B34F-504713EC10EB}"/>
    <cellStyle name="20% - Accent4 3 3 4 3 2" xfId="35040" xr:uid="{7A4BB010-AFC7-4A17-85A9-2B1620259BEC}"/>
    <cellStyle name="20% - Accent4 3 3 4 3 2 2" xfId="35041" xr:uid="{AB2C86C4-80EC-49A3-B74C-D9E90A65350D}"/>
    <cellStyle name="20% - Accent4 3 3 4 3 3" xfId="35042" xr:uid="{0509893D-5730-4558-9DA5-4904EBF10447}"/>
    <cellStyle name="20% - Accent4 3 3 4 3 3 2" xfId="35043" xr:uid="{8CFA7945-5A3E-4BCA-A714-CE709131AB26}"/>
    <cellStyle name="20% - Accent4 3 3 4 3 4" xfId="35044" xr:uid="{E0C2FE21-7D33-4EF3-AF50-E7144509AA79}"/>
    <cellStyle name="20% - Accent4 3 3 4 4" xfId="1895" xr:uid="{AF124886-91E0-483C-99CF-AEDD22B3374F}"/>
    <cellStyle name="20% - Accent4 3 3 4 4 2" xfId="35045" xr:uid="{137AD58F-6638-4AEB-AFF9-F499EFA7BDE6}"/>
    <cellStyle name="20% - Accent4 3 3 4 4 2 2" xfId="35046" xr:uid="{97158377-5414-4443-A1E3-A0F440C956C7}"/>
    <cellStyle name="20% - Accent4 3 3 4 4 3" xfId="35047" xr:uid="{BF6A3401-4770-461D-ABE8-DF8A045B4B93}"/>
    <cellStyle name="20% - Accent4 3 3 4 4 3 2" xfId="35048" xr:uid="{8F58EBC9-90A0-40B0-AD85-0AAE602DA3E0}"/>
    <cellStyle name="20% - Accent4 3 3 4 4 4" xfId="35049" xr:uid="{78974D2B-F314-4904-B9CC-1F76C7F2CE94}"/>
    <cellStyle name="20% - Accent4 3 3 4 5" xfId="35050" xr:uid="{87D55484-4481-41D7-8B6D-A71501682840}"/>
    <cellStyle name="20% - Accent4 3 3 4 5 2" xfId="35051" xr:uid="{A1EA8518-D1D3-4031-B599-F57581FAAABD}"/>
    <cellStyle name="20% - Accent4 3 3 4 6" xfId="35052" xr:uid="{4074F452-BA79-4EBA-9E76-EF1209ED8D8E}"/>
    <cellStyle name="20% - Accent4 3 3 4 6 2" xfId="35053" xr:uid="{6BDFE183-065B-4891-9412-D3B9D8E6E6F7}"/>
    <cellStyle name="20% - Accent4 3 3 4 7" xfId="35054" xr:uid="{EFEC7FFA-103E-421E-83E9-38B7A5A90E0E}"/>
    <cellStyle name="20% - Accent4 3 3 5" xfId="1896" xr:uid="{ED2A72E8-F52E-4129-907B-EE998F6E34A6}"/>
    <cellStyle name="20% - Accent4 3 3 5 2" xfId="1897" xr:uid="{B9447BA5-C13F-4888-BC24-BC455BDB4D8A}"/>
    <cellStyle name="20% - Accent4 3 3 5 2 2" xfId="35055" xr:uid="{AA72515E-6AF5-4D2B-9ED1-1C993F2C1935}"/>
    <cellStyle name="20% - Accent4 3 3 5 2 2 2" xfId="35056" xr:uid="{FF3F77B3-178F-4B8E-B362-F668E7E3D194}"/>
    <cellStyle name="20% - Accent4 3 3 5 2 3" xfId="35057" xr:uid="{E1252580-968A-4A04-8ED1-603967958C01}"/>
    <cellStyle name="20% - Accent4 3 3 5 2 3 2" xfId="35058" xr:uid="{D27C6970-12DD-47E7-AFE7-5A068FAA5762}"/>
    <cellStyle name="20% - Accent4 3 3 5 2 4" xfId="35059" xr:uid="{807B51EA-A397-4C32-AA98-B3215BA801B9}"/>
    <cellStyle name="20% - Accent4 3 3 5 3" xfId="1898" xr:uid="{2B943D81-5755-456B-887E-BE856E48097C}"/>
    <cellStyle name="20% - Accent4 3 3 5 3 2" xfId="35060" xr:uid="{452B198F-A71A-4A21-ADD9-C0FFE052386A}"/>
    <cellStyle name="20% - Accent4 3 3 5 3 2 2" xfId="35061" xr:uid="{D63AB84D-AC17-4175-BD4C-33A3A10B50B1}"/>
    <cellStyle name="20% - Accent4 3 3 5 3 3" xfId="35062" xr:uid="{85EE2E1D-3706-4FEF-AB85-8AACE44F7E82}"/>
    <cellStyle name="20% - Accent4 3 3 5 3 3 2" xfId="35063" xr:uid="{9194BC54-59CD-4B65-A527-0CBBA524E046}"/>
    <cellStyle name="20% - Accent4 3 3 5 3 4" xfId="35064" xr:uid="{FEB8B838-8B38-46B1-BA93-8E2A3E600502}"/>
    <cellStyle name="20% - Accent4 3 3 5 4" xfId="35065" xr:uid="{4B9DE788-D194-4151-856E-7DA4A6F47DC0}"/>
    <cellStyle name="20% - Accent4 3 3 5 4 2" xfId="35066" xr:uid="{E0A9C0B1-7997-4E23-95FE-DEC99EAC1ED9}"/>
    <cellStyle name="20% - Accent4 3 3 5 4 2 2" xfId="35067" xr:uid="{DB9645A1-447B-4532-AADA-A2518D4A31A2}"/>
    <cellStyle name="20% - Accent4 3 3 5 4 3" xfId="35068" xr:uid="{807F8193-6DC4-4F4F-8F38-E2257A3C1B54}"/>
    <cellStyle name="20% - Accent4 3 3 5 4 3 2" xfId="35069" xr:uid="{5F7EF2EF-2C4B-4969-8D89-8F23CB00259E}"/>
    <cellStyle name="20% - Accent4 3 3 5 4 4" xfId="35070" xr:uid="{3FCEE5C2-3556-4D2B-99E3-687D8BF8D4CA}"/>
    <cellStyle name="20% - Accent4 3 3 5 5" xfId="35071" xr:uid="{E26BB8D7-28A8-4952-8799-280F462C24F5}"/>
    <cellStyle name="20% - Accent4 3 3 5 5 2" xfId="35072" xr:uid="{9034E059-76D5-4680-B0F7-098A156ADAB2}"/>
    <cellStyle name="20% - Accent4 3 3 5 6" xfId="35073" xr:uid="{283FE27B-B1F4-4924-BD78-3FD925D05FBE}"/>
    <cellStyle name="20% - Accent4 3 3 5 6 2" xfId="35074" xr:uid="{A4A6E9B6-F550-4DA3-89ED-C2698246064C}"/>
    <cellStyle name="20% - Accent4 3 3 5 7" xfId="35075" xr:uid="{83DB7299-A43D-4E28-9082-3F63DDB0E051}"/>
    <cellStyle name="20% - Accent4 3 3 6" xfId="1899" xr:uid="{0F997EE9-A01D-4438-97A7-40038937B6C7}"/>
    <cellStyle name="20% - Accent4 3 3 6 2" xfId="35076" xr:uid="{4865F429-C748-4E17-9905-F6781687FE14}"/>
    <cellStyle name="20% - Accent4 3 3 6 2 2" xfId="35077" xr:uid="{8944A745-19AF-4F40-AC69-3CDEC44BC900}"/>
    <cellStyle name="20% - Accent4 3 3 6 3" xfId="35078" xr:uid="{4DE1990B-80A8-49DF-8802-097E62CBB24D}"/>
    <cellStyle name="20% - Accent4 3 3 6 3 2" xfId="35079" xr:uid="{8D0FB8BA-06B2-4C51-B9F0-E67697BE68E4}"/>
    <cellStyle name="20% - Accent4 3 3 6 4" xfId="35080" xr:uid="{8F2E65B5-DD2F-4C26-8B0D-31D836DCEA1F}"/>
    <cellStyle name="20% - Accent4 3 3 7" xfId="1900" xr:uid="{5A7986FB-4F5C-440E-9D0E-00FAE9E2D67C}"/>
    <cellStyle name="20% - Accent4 3 3 7 2" xfId="35081" xr:uid="{78475E2F-8751-4DE5-AAF3-F7E2D2DCE199}"/>
    <cellStyle name="20% - Accent4 3 3 7 2 2" xfId="35082" xr:uid="{4C14E60D-5577-4149-B330-95661A9F3CEB}"/>
    <cellStyle name="20% - Accent4 3 3 7 3" xfId="35083" xr:uid="{BD4DCBCF-0A21-4A7F-94F2-52766624C919}"/>
    <cellStyle name="20% - Accent4 3 3 7 3 2" xfId="35084" xr:uid="{DE0A2209-03E4-4532-A584-972272E122D0}"/>
    <cellStyle name="20% - Accent4 3 3 7 4" xfId="35085" xr:uid="{E30017EC-89CF-41E0-B5FC-EFBA18AE16F4}"/>
    <cellStyle name="20% - Accent4 3 3 8" xfId="1901" xr:uid="{DD0E3B84-D71F-491D-A044-13A304676AB4}"/>
    <cellStyle name="20% - Accent4 3 3 8 2" xfId="35086" xr:uid="{57AA5D0E-1F94-485E-AD1A-569BAB7FAF40}"/>
    <cellStyle name="20% - Accent4 3 3 8 2 2" xfId="35087" xr:uid="{2746E9B7-E0FD-4813-A8DE-C217305626B4}"/>
    <cellStyle name="20% - Accent4 3 3 8 3" xfId="35088" xr:uid="{3C8D6B5C-985C-4C78-AD3D-C8977FA64835}"/>
    <cellStyle name="20% - Accent4 3 3 8 3 2" xfId="35089" xr:uid="{5C183569-87C8-49D9-B30E-A168FBF39FC3}"/>
    <cellStyle name="20% - Accent4 3 3 8 4" xfId="35090" xr:uid="{D23B6F13-ECC0-46A3-B5AC-E1D20F8ADDD1}"/>
    <cellStyle name="20% - Accent4 3 3 9" xfId="35091" xr:uid="{E0F0D976-5110-4943-9C50-2FDA9289A0D7}"/>
    <cellStyle name="20% - Accent4 3 3 9 2" xfId="35092" xr:uid="{C8C1B18C-0ECD-4BBA-A68C-CBE8C61604D7}"/>
    <cellStyle name="20% - Accent4 3 4" xfId="1902" xr:uid="{FD1064DC-7949-4D7C-976A-38A650737821}"/>
    <cellStyle name="20% - Accent4 3 4 10" xfId="35093" xr:uid="{66190983-B653-4224-8006-6F54BA61A2E8}"/>
    <cellStyle name="20% - Accent4 3 4 2" xfId="1903" xr:uid="{29526677-ECAF-4696-A3FD-A731336DC4CF}"/>
    <cellStyle name="20% - Accent4 3 4 2 2" xfId="1904" xr:uid="{5814B5DA-175E-4ADC-A0EC-7F5A587BCC1B}"/>
    <cellStyle name="20% - Accent4 3 4 2 2 2" xfId="1905" xr:uid="{B34744EC-9C27-46F7-95DE-443667A0BA8F}"/>
    <cellStyle name="20% - Accent4 3 4 2 2 2 2" xfId="35094" xr:uid="{E7A9CA42-C5A4-4FE2-96F4-CB3ECE721192}"/>
    <cellStyle name="20% - Accent4 3 4 2 2 3" xfId="1906" xr:uid="{8BD0A4D9-3772-4E8C-B7CB-01B49FB15E49}"/>
    <cellStyle name="20% - Accent4 3 4 2 2 3 2" xfId="35095" xr:uid="{23189EDF-91A1-4AB8-87FD-DA38C8BC4B6F}"/>
    <cellStyle name="20% - Accent4 3 4 2 2 4" xfId="35096" xr:uid="{FFC7E008-DA50-4BB3-B07B-A0104851F7A3}"/>
    <cellStyle name="20% - Accent4 3 4 2 3" xfId="1907" xr:uid="{D6FA1BAD-73F3-406B-B582-9877A748FB70}"/>
    <cellStyle name="20% - Accent4 3 4 2 3 2" xfId="35097" xr:uid="{309AFE0C-7A06-4D37-A758-19402BB6E353}"/>
    <cellStyle name="20% - Accent4 3 4 2 3 2 2" xfId="35098" xr:uid="{ED4518D3-7992-4CB1-A849-1068D1ACEEBE}"/>
    <cellStyle name="20% - Accent4 3 4 2 3 3" xfId="35099" xr:uid="{8CCF573C-51BE-4D5B-B8A6-AEDDDA9E6ABB}"/>
    <cellStyle name="20% - Accent4 3 4 2 3 3 2" xfId="35100" xr:uid="{9B9B845C-4C70-4809-8E48-70619BDF898C}"/>
    <cellStyle name="20% - Accent4 3 4 2 3 4" xfId="35101" xr:uid="{F66F624D-8217-4214-BDCD-888781DBE215}"/>
    <cellStyle name="20% - Accent4 3 4 2 4" xfId="1908" xr:uid="{4127CACC-565C-40FB-99B9-AB96CFD8859C}"/>
    <cellStyle name="20% - Accent4 3 4 2 4 2" xfId="35102" xr:uid="{447D15BC-F634-4CC2-A56A-16722D902E71}"/>
    <cellStyle name="20% - Accent4 3 4 2 4 2 2" xfId="35103" xr:uid="{3BA777DA-420F-484C-BE7E-9928BB255E6A}"/>
    <cellStyle name="20% - Accent4 3 4 2 4 3" xfId="35104" xr:uid="{3D117E2F-E281-4A5A-A93A-7558D45FF318}"/>
    <cellStyle name="20% - Accent4 3 4 2 4 3 2" xfId="35105" xr:uid="{1A7CBB80-0CFA-4407-A1F8-02BC302BC2B6}"/>
    <cellStyle name="20% - Accent4 3 4 2 4 4" xfId="35106" xr:uid="{BD85ABF8-76A1-41B3-9589-98A30B3D4A32}"/>
    <cellStyle name="20% - Accent4 3 4 2 5" xfId="35107" xr:uid="{10FE6FA8-C072-47C1-9B6C-B946A0686B4E}"/>
    <cellStyle name="20% - Accent4 3 4 2 5 2" xfId="35108" xr:uid="{3BD190A5-A156-423B-9DAE-689DB365274D}"/>
    <cellStyle name="20% - Accent4 3 4 2 5 2 2" xfId="35109" xr:uid="{4E645117-DAA7-4B2C-851C-66C4C9CD116B}"/>
    <cellStyle name="20% - Accent4 3 4 2 5 3" xfId="35110" xr:uid="{C1FA2B47-1E74-4E26-A4A7-09E08903D182}"/>
    <cellStyle name="20% - Accent4 3 4 2 5 3 2" xfId="35111" xr:uid="{B1B8AD6B-2130-4A06-B2AE-EC5EB3FC981D}"/>
    <cellStyle name="20% - Accent4 3 4 2 5 4" xfId="35112" xr:uid="{724370A5-E955-4AF6-B190-2A284327BEBD}"/>
    <cellStyle name="20% - Accent4 3 4 2 6" xfId="35113" xr:uid="{C9C4BCE3-703A-4321-9A98-46E8014611B1}"/>
    <cellStyle name="20% - Accent4 3 4 2 6 2" xfId="35114" xr:uid="{8C83B1BF-C526-4D41-A95B-14E121F5DEEC}"/>
    <cellStyle name="20% - Accent4 3 4 2 7" xfId="35115" xr:uid="{3D0913E9-ACAC-4612-B079-98D1D81FCB4B}"/>
    <cellStyle name="20% - Accent4 3 4 2 7 2" xfId="35116" xr:uid="{87BC3D3A-A542-4ED7-9A26-B62F88477F25}"/>
    <cellStyle name="20% - Accent4 3 4 2 8" xfId="35117" xr:uid="{16DB3A08-48BD-4657-8447-01C316CA92D9}"/>
    <cellStyle name="20% - Accent4 3 4 3" xfId="1909" xr:uid="{4EB82BB8-EBC4-4000-99FE-EEC97376F37A}"/>
    <cellStyle name="20% - Accent4 3 4 3 2" xfId="1910" xr:uid="{51872B5F-605E-43E4-BA68-804F790D1312}"/>
    <cellStyle name="20% - Accent4 3 4 3 2 2" xfId="35118" xr:uid="{B32A8B19-3358-47A8-A57D-DEFF7E9EF10C}"/>
    <cellStyle name="20% - Accent4 3 4 3 2 2 2" xfId="35119" xr:uid="{1D90D4BF-31E9-4424-A603-F0CACA031FFA}"/>
    <cellStyle name="20% - Accent4 3 4 3 2 3" xfId="35120" xr:uid="{33C2585D-C625-4740-9E50-8D771155B562}"/>
    <cellStyle name="20% - Accent4 3 4 3 2 3 2" xfId="35121" xr:uid="{31DEADFC-7EDE-4ED6-A5A8-DBFBA24F4F2B}"/>
    <cellStyle name="20% - Accent4 3 4 3 2 4" xfId="35122" xr:uid="{9B24618C-27DC-4422-BAA3-6402AB96D0CE}"/>
    <cellStyle name="20% - Accent4 3 4 3 3" xfId="1911" xr:uid="{6CAA5B6E-E597-41D6-9B19-9E0F2AC4FBF5}"/>
    <cellStyle name="20% - Accent4 3 4 3 3 2" xfId="35123" xr:uid="{6FD5DED5-6418-4B3F-8507-B25941C782C0}"/>
    <cellStyle name="20% - Accent4 3 4 3 3 2 2" xfId="35124" xr:uid="{013DC771-C2A4-4847-9BB2-5F01A069FC06}"/>
    <cellStyle name="20% - Accent4 3 4 3 3 3" xfId="35125" xr:uid="{DDF3023B-AF96-4242-AF97-145E02F9FDBE}"/>
    <cellStyle name="20% - Accent4 3 4 3 3 3 2" xfId="35126" xr:uid="{D8D959C3-A7E4-4D20-A32A-1DE06E5E3953}"/>
    <cellStyle name="20% - Accent4 3 4 3 3 4" xfId="35127" xr:uid="{A052BED3-B9EF-467D-A64D-BE1E7AEF58B6}"/>
    <cellStyle name="20% - Accent4 3 4 3 4" xfId="35128" xr:uid="{A902BE50-3F0B-439C-A05E-EF652AD8DBB1}"/>
    <cellStyle name="20% - Accent4 3 4 3 4 2" xfId="35129" xr:uid="{371DE183-7DB1-46C7-B547-6E4913E91D06}"/>
    <cellStyle name="20% - Accent4 3 4 3 4 2 2" xfId="35130" xr:uid="{FA11C985-DB86-4E64-A555-067A6ED58EAF}"/>
    <cellStyle name="20% - Accent4 3 4 3 4 3" xfId="35131" xr:uid="{7D1CFC53-8CFD-4CD2-A508-F09A0555A9F5}"/>
    <cellStyle name="20% - Accent4 3 4 3 4 3 2" xfId="35132" xr:uid="{A2F4A53C-E4EE-4F7F-BCD2-37325FB9B994}"/>
    <cellStyle name="20% - Accent4 3 4 3 4 4" xfId="35133" xr:uid="{4527262E-DEC4-4D89-A87B-6798865E6906}"/>
    <cellStyle name="20% - Accent4 3 4 3 5" xfId="35134" xr:uid="{5B767A29-8B43-410B-A25C-65F1E8A8E3B5}"/>
    <cellStyle name="20% - Accent4 3 4 3 5 2" xfId="35135" xr:uid="{18186EB4-CFAF-4C2A-836D-F8867C289E02}"/>
    <cellStyle name="20% - Accent4 3 4 3 6" xfId="35136" xr:uid="{F758C565-2FAA-40AE-BEBF-C940FF24B610}"/>
    <cellStyle name="20% - Accent4 3 4 3 6 2" xfId="35137" xr:uid="{5773E1EF-813B-424F-A90B-AA3E52122778}"/>
    <cellStyle name="20% - Accent4 3 4 3 7" xfId="35138" xr:uid="{615C98F9-4B30-439E-9E8D-6587D68C86E8}"/>
    <cellStyle name="20% - Accent4 3 4 4" xfId="1912" xr:uid="{0D0341CA-36FD-44AF-ADE5-D9BBE4992EDD}"/>
    <cellStyle name="20% - Accent4 3 4 4 2" xfId="35139" xr:uid="{9F0C8A63-F6E8-4144-A03B-FCE79BCB927A}"/>
    <cellStyle name="20% - Accent4 3 4 4 2 2" xfId="35140" xr:uid="{1EE1A99E-EB61-46C7-8112-F1B7D193CF58}"/>
    <cellStyle name="20% - Accent4 3 4 4 3" xfId="35141" xr:uid="{645561D7-C3A1-4773-99AE-8E8045E6344F}"/>
    <cellStyle name="20% - Accent4 3 4 4 3 2" xfId="35142" xr:uid="{573C6CDA-7EA3-4EFE-99E3-C205CC2C6E24}"/>
    <cellStyle name="20% - Accent4 3 4 4 4" xfId="35143" xr:uid="{6019CC1E-5EFB-4F2A-9DF2-71F421CF278F}"/>
    <cellStyle name="20% - Accent4 3 4 5" xfId="1913" xr:uid="{9ED28071-DD4F-4213-AA06-9E86AD21C014}"/>
    <cellStyle name="20% - Accent4 3 4 5 2" xfId="35144" xr:uid="{74EA708D-8784-4FF7-AE91-E8CBF27D681E}"/>
    <cellStyle name="20% - Accent4 3 4 5 2 2" xfId="35145" xr:uid="{47F3B20A-2DA4-48A8-8B2E-5A6C99333452}"/>
    <cellStyle name="20% - Accent4 3 4 5 3" xfId="35146" xr:uid="{0F4EB81F-853E-4A23-869A-91AA60520168}"/>
    <cellStyle name="20% - Accent4 3 4 5 3 2" xfId="35147" xr:uid="{909A4F3F-C211-4BA4-9BC9-8E00180F7AAA}"/>
    <cellStyle name="20% - Accent4 3 4 5 4" xfId="35148" xr:uid="{43ECF685-C7CE-41A0-8FDF-8F418E1A2433}"/>
    <cellStyle name="20% - Accent4 3 4 6" xfId="1914" xr:uid="{2C2C7317-492E-49A6-B8D2-B9A2390099C1}"/>
    <cellStyle name="20% - Accent4 3 4 6 2" xfId="35149" xr:uid="{6A25907A-8451-4119-8BC1-A386AD83602F}"/>
    <cellStyle name="20% - Accent4 3 4 6 2 2" xfId="35150" xr:uid="{41704EC0-6AEB-432D-92EF-A387090D8036}"/>
    <cellStyle name="20% - Accent4 3 4 6 3" xfId="35151" xr:uid="{19E4AD3D-3A3D-4629-9E0F-459BE07258C0}"/>
    <cellStyle name="20% - Accent4 3 4 6 3 2" xfId="35152" xr:uid="{6E23140C-514D-4E0B-9E5F-6318C47F379F}"/>
    <cellStyle name="20% - Accent4 3 4 6 4" xfId="35153" xr:uid="{BE48639A-92FA-4CBF-B175-AD2D66D9CAD2}"/>
    <cellStyle name="20% - Accent4 3 4 7" xfId="35154" xr:uid="{24508323-51C9-4402-BC59-B08B9B3E85D0}"/>
    <cellStyle name="20% - Accent4 3 4 7 2" xfId="35155" xr:uid="{E4ACDF94-BFC4-47B3-9526-FA541056FFFB}"/>
    <cellStyle name="20% - Accent4 3 4 8" xfId="35156" xr:uid="{F293CCA3-B231-4F33-AC16-5FCB71B15122}"/>
    <cellStyle name="20% - Accent4 3 4 8 2" xfId="35157" xr:uid="{561ED9CD-122B-49AE-B2FD-C43FD9255878}"/>
    <cellStyle name="20% - Accent4 3 4 9" xfId="35158" xr:uid="{4DE60F97-8CE4-4A7F-9241-45A58E980AD4}"/>
    <cellStyle name="20% - Accent4 3 5" xfId="1915" xr:uid="{331A466A-482A-40FE-AF6C-DB9F182F6191}"/>
    <cellStyle name="20% - Accent4 3 5 2" xfId="1916" xr:uid="{3027653E-90F9-4B2D-A614-7245CD2D9133}"/>
    <cellStyle name="20% - Accent4 3 5 2 2" xfId="1917" xr:uid="{DD033596-292F-4A16-8EEB-8E2E8CD96EE3}"/>
    <cellStyle name="20% - Accent4 3 5 2 2 2" xfId="35159" xr:uid="{1D2FDC3E-47D2-4196-A974-19D264AF2DC9}"/>
    <cellStyle name="20% - Accent4 3 5 2 3" xfId="1918" xr:uid="{9006ED4A-392C-404E-86EB-477E99B138FD}"/>
    <cellStyle name="20% - Accent4 3 5 2 3 2" xfId="35160" xr:uid="{9F5A7274-CCA3-4948-94C5-67D9EB596EED}"/>
    <cellStyle name="20% - Accent4 3 5 2 4" xfId="35161" xr:uid="{BBEE72B7-9D34-45C5-AE48-DEC97515EDB4}"/>
    <cellStyle name="20% - Accent4 3 5 3" xfId="1919" xr:uid="{F89243A2-1C38-470C-81EC-60A6B4587300}"/>
    <cellStyle name="20% - Accent4 3 5 3 2" xfId="35162" xr:uid="{BAA06756-0E9E-4867-BF3C-B952748C5330}"/>
    <cellStyle name="20% - Accent4 3 5 3 2 2" xfId="35163" xr:uid="{A9784C91-6696-4C5E-8720-D8C5F38A5A74}"/>
    <cellStyle name="20% - Accent4 3 5 3 3" xfId="35164" xr:uid="{D3C15DF6-B0A0-4AB0-A0AE-8AC262FBCDCA}"/>
    <cellStyle name="20% - Accent4 3 5 3 3 2" xfId="35165" xr:uid="{4485EF8F-7224-42AF-82AF-6CCF6D1B2E98}"/>
    <cellStyle name="20% - Accent4 3 5 3 4" xfId="35166" xr:uid="{781A3478-5603-429C-AFCD-E95E97B41FB0}"/>
    <cellStyle name="20% - Accent4 3 5 4" xfId="1920" xr:uid="{347465A4-CAF7-42A5-8447-0CECE126F30E}"/>
    <cellStyle name="20% - Accent4 3 5 4 2" xfId="35167" xr:uid="{F70F7D75-FF30-4656-9246-8B623D44E57F}"/>
    <cellStyle name="20% - Accent4 3 5 4 2 2" xfId="35168" xr:uid="{A1F35FF5-D6D6-47E0-98A6-6C4DC3BA985A}"/>
    <cellStyle name="20% - Accent4 3 5 4 3" xfId="35169" xr:uid="{EC59FB98-C344-4E7E-AB0D-62FF21100DC6}"/>
    <cellStyle name="20% - Accent4 3 5 4 3 2" xfId="35170" xr:uid="{17553CD1-7DCF-4737-B862-7E332AF6BD96}"/>
    <cellStyle name="20% - Accent4 3 5 4 4" xfId="35171" xr:uid="{EEE73BFD-7EA6-469A-8695-5547CF7855E4}"/>
    <cellStyle name="20% - Accent4 3 5 5" xfId="35172" xr:uid="{4F0AA8BC-832D-43A0-AFD6-8C97FCD2177E}"/>
    <cellStyle name="20% - Accent4 3 5 5 2" xfId="35173" xr:uid="{3DB02A46-22B1-4306-BC32-1604CA0CE0D0}"/>
    <cellStyle name="20% - Accent4 3 5 5 2 2" xfId="35174" xr:uid="{7BDCDE92-1617-461E-8EBD-EA708E444960}"/>
    <cellStyle name="20% - Accent4 3 5 5 3" xfId="35175" xr:uid="{35900459-E621-4CBA-B26D-2F61E9525B21}"/>
    <cellStyle name="20% - Accent4 3 5 5 3 2" xfId="35176" xr:uid="{B61890A0-A26F-41E9-9548-391E1837A4DF}"/>
    <cellStyle name="20% - Accent4 3 5 5 4" xfId="35177" xr:uid="{BE0C9BC7-7750-4CFE-B457-537C06222EB6}"/>
    <cellStyle name="20% - Accent4 3 5 6" xfId="35178" xr:uid="{EC4DCEEF-F9E0-49D1-9DA8-696241868697}"/>
    <cellStyle name="20% - Accent4 3 5 6 2" xfId="35179" xr:uid="{1E4806CA-EE3A-4144-984D-EB102BBDF677}"/>
    <cellStyle name="20% - Accent4 3 5 7" xfId="35180" xr:uid="{7D572627-A472-428E-A593-FB80B8586DA4}"/>
    <cellStyle name="20% - Accent4 3 5 7 2" xfId="35181" xr:uid="{DB5884E3-B044-4A3D-B6B5-16B3246AA775}"/>
    <cellStyle name="20% - Accent4 3 5 8" xfId="35182" xr:uid="{9E416B4E-315D-457D-817D-694E430BB220}"/>
    <cellStyle name="20% - Accent4 3 6" xfId="1921" xr:uid="{6F755514-9FAE-4A98-8445-C78F4B1DFFE5}"/>
    <cellStyle name="20% - Accent4 3 6 2" xfId="1922" xr:uid="{6E795DED-A732-4914-ABCF-48466D191013}"/>
    <cellStyle name="20% - Accent4 3 6 2 2" xfId="1923" xr:uid="{AA6B0E54-8896-4ED3-9ADD-309D0B6E52B2}"/>
    <cellStyle name="20% - Accent4 3 6 2 3" xfId="1924" xr:uid="{C01225D3-2E43-42D0-A148-966FFC7D50E6}"/>
    <cellStyle name="20% - Accent4 3 6 3" xfId="1925" xr:uid="{46DA5346-C418-43C4-A0C2-C9E908E57ED9}"/>
    <cellStyle name="20% - Accent4 3 6 3 2" xfId="35183" xr:uid="{23090509-16E2-4A1B-9ACE-C19C9EF188C6}"/>
    <cellStyle name="20% - Accent4 3 6 4" xfId="1926" xr:uid="{E5DA9519-D828-4F20-B3D8-DA28BB135BC6}"/>
    <cellStyle name="20% - Accent4 3 6 5" xfId="35184" xr:uid="{E51AA6AE-2142-495B-9B03-40E4CF7C5B82}"/>
    <cellStyle name="20% - Accent4 3 7" xfId="1927" xr:uid="{AC1CA992-FD9E-4B72-ADFC-A97D9FD517E1}"/>
    <cellStyle name="20% - Accent4 3 7 2" xfId="1928" xr:uid="{7F1F32D8-FAB6-42F1-90D2-227D3363C7BD}"/>
    <cellStyle name="20% - Accent4 3 7 2 2" xfId="1929" xr:uid="{0F186D4F-8266-4898-9A62-FF628E84D3D5}"/>
    <cellStyle name="20% - Accent4 3 7 2 3" xfId="1930" xr:uid="{2B0581EB-1CEA-419A-9422-5EECECA66A1B}"/>
    <cellStyle name="20% - Accent4 3 7 3" xfId="1931" xr:uid="{896AB9A8-C6B3-484F-A2FC-EB6A366CABC4}"/>
    <cellStyle name="20% - Accent4 3 7 3 2" xfId="35185" xr:uid="{07DB8A57-1238-4475-B4BA-1746532B149A}"/>
    <cellStyle name="20% - Accent4 3 7 4" xfId="1932" xr:uid="{D41C9A4B-B248-4B09-80E7-8A75ED782720}"/>
    <cellStyle name="20% - Accent4 3 8" xfId="1933" xr:uid="{AF4369FD-ADE7-418E-893D-B500B36B2C24}"/>
    <cellStyle name="20% - Accent4 3 8 2" xfId="35186" xr:uid="{89F8ED26-AA9E-4299-AFE5-37A709707A29}"/>
    <cellStyle name="20% - Accent4 3 8 2 2" xfId="35187" xr:uid="{A40EDDA0-576A-4F2D-B623-89720B3DDF85}"/>
    <cellStyle name="20% - Accent4 3 8 3" xfId="35188" xr:uid="{3EB01779-70FE-4AEA-8BE0-E13F6F993812}"/>
    <cellStyle name="20% - Accent4 3 8 3 2" xfId="35189" xr:uid="{6F618E75-7075-48F1-904D-580A37D4D8E9}"/>
    <cellStyle name="20% - Accent4 3 8 4" xfId="35190" xr:uid="{7A6E6C19-2EE9-4E18-9148-338D60554C66}"/>
    <cellStyle name="20% - Accent4 3 9" xfId="35191" xr:uid="{00531F5F-38A7-453A-8C56-80211368FE67}"/>
    <cellStyle name="20% - Accent4 3_PwrTax 51040" xfId="1934" xr:uid="{5224DD96-8F95-4215-8489-C4B1FE2B2B61}"/>
    <cellStyle name="20% - Accent4 30" xfId="1935" xr:uid="{5DFDECA2-04C5-4AF0-AE7A-3E008B20DD76}"/>
    <cellStyle name="20% - Accent4 31" xfId="1936" xr:uid="{5E0086FB-C069-4F8C-AB73-4CAC069FD612}"/>
    <cellStyle name="20% - Accent4 32" xfId="1937" xr:uid="{CCD8A8AB-CDB4-4E96-86CE-4C2887D87334}"/>
    <cellStyle name="20% - Accent4 33" xfId="1938" xr:uid="{C4852E7B-A776-4D4C-9B3F-A618E126F3B9}"/>
    <cellStyle name="20% - Accent4 34" xfId="1939" xr:uid="{1C1CC47E-07EB-424C-980D-A0611F85C608}"/>
    <cellStyle name="20% - Accent4 35" xfId="1940" xr:uid="{53DB8EB9-F0A7-4B61-BED2-E329458AB682}"/>
    <cellStyle name="20% - Accent4 36" xfId="1941" xr:uid="{E4917E26-A489-45DF-AA00-8FB8BAAAB3F3}"/>
    <cellStyle name="20% - Accent4 37" xfId="1942" xr:uid="{D47B8293-4C8F-41F5-AA49-5CAF2F2CA11E}"/>
    <cellStyle name="20% - Accent4 37 2" xfId="1943" xr:uid="{44D5AD40-F161-4C28-BC4C-902DF6309B84}"/>
    <cellStyle name="20% - Accent4 37 2 2" xfId="1944" xr:uid="{1F380F77-AAF3-48AE-9E43-7F3A51BF11CA}"/>
    <cellStyle name="20% - Accent4 37 2 3" xfId="35192" xr:uid="{E5EB0E1D-37DA-4690-BF5D-C1A9831D401D}"/>
    <cellStyle name="20% - Accent4 37 3" xfId="1945" xr:uid="{0FEB363A-CC16-4B74-9205-8402FE84FDA2}"/>
    <cellStyle name="20% - Accent4 37 3 2" xfId="1946" xr:uid="{F045C1F9-7E3B-4369-AB9C-FD5CD647B37B}"/>
    <cellStyle name="20% - Accent4 37 3 3" xfId="35193" xr:uid="{CECF49CB-2B93-4CB9-A36B-6FDE8CD3F7D8}"/>
    <cellStyle name="20% - Accent4 37 4" xfId="1947" xr:uid="{DE43C80D-1DB9-4187-9683-0AC3B338215D}"/>
    <cellStyle name="20% - Accent4 37 5" xfId="35194" xr:uid="{333D290B-E2D4-4116-8CFB-4FE6238560C8}"/>
    <cellStyle name="20% - Accent4 37_PwrTax 51040" xfId="1948" xr:uid="{D16922DB-3C44-4750-B598-B4F06B7F2ABA}"/>
    <cellStyle name="20% - Accent4 38" xfId="1949" xr:uid="{D71AF5B1-A894-4F35-B142-B4EA885EFE4A}"/>
    <cellStyle name="20% - Accent4 38 2" xfId="35195" xr:uid="{D629E751-197C-43AE-8085-11B56E2640E1}"/>
    <cellStyle name="20% - Accent4 38 2 2" xfId="35196" xr:uid="{0423DC36-78E3-4B89-94C9-357B5BAE740E}"/>
    <cellStyle name="20% - Accent4 38 2 2 2" xfId="35197" xr:uid="{D215D844-A059-41B1-97C5-A5A61F00458B}"/>
    <cellStyle name="20% - Accent4 38 2 3" xfId="35198" xr:uid="{991E30F5-120C-4B98-A932-71EF4ED643CF}"/>
    <cellStyle name="20% - Accent4 38 2 3 2" xfId="35199" xr:uid="{A74941A1-E009-45DF-987F-D4F4931A6B40}"/>
    <cellStyle name="20% - Accent4 38 2 4" xfId="35200" xr:uid="{F6A204F8-4B05-40C5-9E59-463230831B7A}"/>
    <cellStyle name="20% - Accent4 38 3" xfId="35201" xr:uid="{24545691-D935-4534-B5A0-3587921FCBFE}"/>
    <cellStyle name="20% - Accent4 38 3 2" xfId="35202" xr:uid="{F1BD5D47-1FAB-43B6-893D-37800A151B95}"/>
    <cellStyle name="20% - Accent4 38 3 2 2" xfId="35203" xr:uid="{80717DD1-3383-4015-A3E9-6F5226A3A2F0}"/>
    <cellStyle name="20% - Accent4 38 3 3" xfId="35204" xr:uid="{77181167-0FD1-40F9-B831-0E729810DFA4}"/>
    <cellStyle name="20% - Accent4 38 3 3 2" xfId="35205" xr:uid="{030B525D-8FFB-4C9F-AAAA-5E3C87484A2B}"/>
    <cellStyle name="20% - Accent4 38 3 4" xfId="35206" xr:uid="{3C2CC303-3EA2-454F-96F4-88C87BE67446}"/>
    <cellStyle name="20% - Accent4 38 4" xfId="35207" xr:uid="{03966726-338C-4A50-8AEC-2689C5FCC24A}"/>
    <cellStyle name="20% - Accent4 38 4 2" xfId="35208" xr:uid="{B9AD0F41-B806-4D80-8E50-A64A7270D077}"/>
    <cellStyle name="20% - Accent4 38 4 2 2" xfId="35209" xr:uid="{13AA3246-710A-41F0-9B57-EA8BA0AA1B52}"/>
    <cellStyle name="20% - Accent4 38 4 3" xfId="35210" xr:uid="{5C437EFB-DC76-4D87-B8DD-70D572DF9ED6}"/>
    <cellStyle name="20% - Accent4 38 4 3 2" xfId="35211" xr:uid="{CD0BD72B-4078-46B5-B4E5-72196CC95C4A}"/>
    <cellStyle name="20% - Accent4 38 4 4" xfId="35212" xr:uid="{A891DD95-F350-4CEE-AC0E-5A269D50E7F8}"/>
    <cellStyle name="20% - Accent4 38 5" xfId="35213" xr:uid="{FFAE958D-B90F-47B9-A938-2E1468D01DE4}"/>
    <cellStyle name="20% - Accent4 38 5 2" xfId="35214" xr:uid="{DDA7DE83-A0B0-4EA7-9884-2F3D7F3D862A}"/>
    <cellStyle name="20% - Accent4 38 6" xfId="35215" xr:uid="{A15B550C-6BF1-41D8-80D7-6666061E07DA}"/>
    <cellStyle name="20% - Accent4 38 6 2" xfId="35216" xr:uid="{0C4E99CB-ABE8-46B5-B2D9-C3D5BAA2DB4B}"/>
    <cellStyle name="20% - Accent4 38 7" xfId="35217" xr:uid="{8FA3EF9C-9C02-4390-B8B0-81BB69FCC15C}"/>
    <cellStyle name="20% - Accent4 39" xfId="35218" xr:uid="{F1951F28-A66C-454D-A228-A727FE0A29E3}"/>
    <cellStyle name="20% - Accent4 39 2" xfId="35219" xr:uid="{2A76D316-DFB8-4CBF-BA2E-52AE95911257}"/>
    <cellStyle name="20% - Accent4 4" xfId="1950" xr:uid="{BB6A8A35-FD0A-4301-8153-635FFFF7647C}"/>
    <cellStyle name="20% - Accent4 4 2" xfId="1951" xr:uid="{7B7B6911-ED5A-441C-BDB6-B9F9D867ADF0}"/>
    <cellStyle name="20% - Accent4 4 2 2" xfId="1952" xr:uid="{046C3D17-A0CB-4A6A-AE68-6FA8AF923F93}"/>
    <cellStyle name="20% - Accent4 4 2 2 2" xfId="35220" xr:uid="{AD3484C2-B55D-4AEF-9313-78D009D6EAB3}"/>
    <cellStyle name="20% - Accent4 4 2 3" xfId="35221" xr:uid="{7175907B-96C0-4E86-828E-736591F8EE8D}"/>
    <cellStyle name="20% - Accent4 4 3" xfId="1953" xr:uid="{8FFE75D2-7BFB-44F4-A214-3EE7FF39A5FC}"/>
    <cellStyle name="20% - Accent4 4 3 2" xfId="1954" xr:uid="{27F33B06-82B9-4E4A-ACE7-A2B5E9BBD12E}"/>
    <cellStyle name="20% - Accent4 4 3 3" xfId="1955" xr:uid="{09007CE2-BDCF-4D61-A1EE-66D592BD6539}"/>
    <cellStyle name="20% - Accent4 4 3 4" xfId="35222" xr:uid="{68537E01-8BA8-4988-ABB5-D875EFC7F0A8}"/>
    <cellStyle name="20% - Accent4 4 4" xfId="1956" xr:uid="{C1DAEC72-1F65-444C-8BA1-7B423E668A29}"/>
    <cellStyle name="20% - Accent4 4 4 2" xfId="1957" xr:uid="{AC4CE2CC-7282-4496-A959-46556E443A41}"/>
    <cellStyle name="20% - Accent4 4 4 2 2" xfId="1958" xr:uid="{CF0152AD-C48B-4DA9-8AA4-310B0657AA4C}"/>
    <cellStyle name="20% - Accent4 4 4 2 3" xfId="1959" xr:uid="{F52AF9C1-34C5-4E91-99A2-CC5315DA8E6B}"/>
    <cellStyle name="20% - Accent4 4 4 3" xfId="1960" xr:uid="{117F09C2-4F50-4F84-9B26-25B3763878B4}"/>
    <cellStyle name="20% - Accent4 4 4 4" xfId="1961" xr:uid="{F3161F0E-7F4B-468A-9E7F-DA771728D91A}"/>
    <cellStyle name="20% - Accent4 4 4 5" xfId="1962" xr:uid="{EE383CEF-C009-4CD1-80C6-625958C5A8C3}"/>
    <cellStyle name="20% - Accent4 4 4 6" xfId="35223" xr:uid="{5A99B77E-AED9-4F3D-A242-4E371CA1792D}"/>
    <cellStyle name="20% - Accent4 4 5" xfId="1963" xr:uid="{7E2C7C35-F5A7-4FA8-96ED-7ED6495BFBA8}"/>
    <cellStyle name="20% - Accent4 4 5 2" xfId="1964" xr:uid="{F7805552-0E59-44A0-8F8A-D2A1F3D63392}"/>
    <cellStyle name="20% - Accent4 4 5 3" xfId="1965" xr:uid="{24DDB8D6-C39D-440E-9B4D-F5AFE297D4E5}"/>
    <cellStyle name="20% - Accent4 4 5 4" xfId="35224" xr:uid="{4A1CD343-C495-4021-B1E3-FC0F02B1DEB6}"/>
    <cellStyle name="20% - Accent4 4 6" xfId="1966" xr:uid="{E34037A2-B5A5-4D2E-AE04-A8BA2A9C431E}"/>
    <cellStyle name="20% - Accent4 4 7" xfId="35225" xr:uid="{A572CAF2-0DD7-4889-9A26-38B940283FB9}"/>
    <cellStyle name="20% - Accent4 4 8" xfId="43547" xr:uid="{DA8A1AE3-2E39-41B4-BFF3-8680937C6B2D}"/>
    <cellStyle name="20% - Accent4 4_PwrTax 51040" xfId="1967" xr:uid="{1A4CC964-E673-4847-A03B-A8D296E6C32D}"/>
    <cellStyle name="20% - Accent4 40" xfId="35226" xr:uid="{AF62A6CF-BF00-4F1D-AB30-093635CCE8C2}"/>
    <cellStyle name="20% - Accent4 41" xfId="35227" xr:uid="{5E65738B-1D92-45E2-9494-A95DD84B0413}"/>
    <cellStyle name="20% - Accent4 42" xfId="35228" xr:uid="{7B5D33A2-AFE1-4F77-911E-626759FED1F6}"/>
    <cellStyle name="20% - Accent4 43" xfId="35229" xr:uid="{D10E721E-EE33-4EB1-97FB-FD730F47A098}"/>
    <cellStyle name="20% - Accent4 44" xfId="35230" xr:uid="{39A15C50-F473-40EB-AD06-901FA7E6749C}"/>
    <cellStyle name="20% - Accent4 45" xfId="35231" xr:uid="{A2188874-D0D0-4FB8-9B5B-EAAD84C73A1D}"/>
    <cellStyle name="20% - Accent4 46" xfId="35232" xr:uid="{E4B3BA5B-7296-4DAA-9EFB-31CB8D508D0F}"/>
    <cellStyle name="20% - Accent4 47" xfId="35233" xr:uid="{7B72E242-AB32-4F5B-A412-076FC4633A5F}"/>
    <cellStyle name="20% - Accent4 48" xfId="35234" xr:uid="{71C05AC3-DC08-41C1-8EF6-892074CD6CFB}"/>
    <cellStyle name="20% - Accent4 49" xfId="35235" xr:uid="{14C27414-46E9-481C-8B25-D530B17A4446}"/>
    <cellStyle name="20% - Accent4 5" xfId="1968" xr:uid="{51EBDC65-1D19-4EBC-A320-3FDAA76FD761}"/>
    <cellStyle name="20% - Accent4 5 2" xfId="1969" xr:uid="{7B8214C4-30AC-4271-ADA0-8E74411688CD}"/>
    <cellStyle name="20% - Accent4 5 2 2" xfId="35236" xr:uid="{3E93EEDD-6713-458C-A800-52F8BB72B70D}"/>
    <cellStyle name="20% - Accent4 5 3" xfId="1970" xr:uid="{61C610B7-218B-491A-8118-0598FE3A68FD}"/>
    <cellStyle name="20% - Accent4 5 4" xfId="35237" xr:uid="{4945B4B8-022D-4ADD-8FBE-C706F704FDFC}"/>
    <cellStyle name="20% - Accent4 5 5" xfId="43562" xr:uid="{706CA356-4382-4FF2-9F18-1038FCF90176}"/>
    <cellStyle name="20% - Accent4 50" xfId="35238" xr:uid="{D79327F0-9344-4415-8262-1CA6D4EB9D64}"/>
    <cellStyle name="20% - Accent4 51" xfId="35239" xr:uid="{CBEB9092-F1BD-4927-88C8-B3280BCD43E8}"/>
    <cellStyle name="20% - Accent4 52" xfId="35240" xr:uid="{2D206864-4EC5-4CFC-A38F-1BFB3179938B}"/>
    <cellStyle name="20% - Accent4 53" xfId="35241" xr:uid="{86E1ADB6-4CD3-439F-9B36-96F81D1FF52E}"/>
    <cellStyle name="20% - Accent4 54" xfId="35242" xr:uid="{7D32CB76-6884-4C7B-A790-1C86964EACCA}"/>
    <cellStyle name="20% - Accent4 55" xfId="35243" xr:uid="{56F9E973-3849-4CF1-938B-1E071DFCB27B}"/>
    <cellStyle name="20% - Accent4 56" xfId="35244" xr:uid="{3AF93DA3-4CFF-4D3C-9D79-DAE8A2C19F20}"/>
    <cellStyle name="20% - Accent4 57" xfId="35245" xr:uid="{142E71DE-7B83-4F5E-A0C6-C9FF07CCD0C5}"/>
    <cellStyle name="20% - Accent4 58" xfId="35246" xr:uid="{15BF9F98-1870-44AF-844C-0FE74E2E2372}"/>
    <cellStyle name="20% - Accent4 59" xfId="35247" xr:uid="{ADA1FD47-204E-4C23-9994-A29DE58BF1A0}"/>
    <cellStyle name="20% - Accent4 6" xfId="1971" xr:uid="{66CA898B-8469-4CDC-AA8D-1DFDEEAFC5D3}"/>
    <cellStyle name="20% - Accent4 6 2" xfId="1972" xr:uid="{D520ACF5-6124-49BC-96DA-10D53464E536}"/>
    <cellStyle name="20% - Accent4 6 2 2" xfId="35248" xr:uid="{1F73C09D-8392-4EC2-A5FA-6E7D24AB4CF5}"/>
    <cellStyle name="20% - Accent4 6 3" xfId="1973" xr:uid="{10B15A73-47E0-4221-9DBD-C9FC810BF12F}"/>
    <cellStyle name="20% - Accent4 6 4" xfId="35249" xr:uid="{58972C1A-74DB-4405-8FEE-945B8C3A1592}"/>
    <cellStyle name="20% - Accent4 60" xfId="35250" xr:uid="{FE716773-745C-4D3C-B998-C6E0851EEC3A}"/>
    <cellStyle name="20% - Accent4 61" xfId="35251" xr:uid="{828891B1-40BF-4B53-9DB4-F42458168BFD}"/>
    <cellStyle name="20% - Accent4 62" xfId="35252" xr:uid="{867EDBE3-427C-4115-81CD-829C0E577413}"/>
    <cellStyle name="20% - Accent4 63" xfId="35253" xr:uid="{F7E15694-51BE-4F18-B797-45E25AA4C982}"/>
    <cellStyle name="20% - Accent4 64" xfId="35254" xr:uid="{05E73E53-927A-45F0-BB22-FF7E300C4BFD}"/>
    <cellStyle name="20% - Accent4 65" xfId="35255" xr:uid="{39490E92-42B1-48C7-9F18-52B0FB1CE6E3}"/>
    <cellStyle name="20% - Accent4 66" xfId="35256" xr:uid="{A9E764BC-E90B-47D1-9FB2-843376316337}"/>
    <cellStyle name="20% - Accent4 67" xfId="35257" xr:uid="{385891D1-D18E-4E82-8B3D-03E3B0E14DE0}"/>
    <cellStyle name="20% - Accent4 68" xfId="35258" xr:uid="{19874F46-54BE-4A29-AE59-9FE3413BF586}"/>
    <cellStyle name="20% - Accent4 69" xfId="35259" xr:uid="{98E756EA-3DE9-4BC0-8848-C74DF9D6E18D}"/>
    <cellStyle name="20% - Accent4 7" xfId="1974" xr:uid="{4A0D6788-52F6-42FD-84EF-22923906D058}"/>
    <cellStyle name="20% - Accent4 7 2" xfId="1975" xr:uid="{AFBE8E14-7FFF-49A2-BD9E-90B7622F8894}"/>
    <cellStyle name="20% - Accent4 7 3" xfId="1976" xr:uid="{B748B893-90F4-42C2-BD1F-ABADCC6FFD33}"/>
    <cellStyle name="20% - Accent4 7 4" xfId="35260" xr:uid="{E14B7DE0-DC5D-4947-9183-DBF43468AA1A}"/>
    <cellStyle name="20% - Accent4 70" xfId="35261" xr:uid="{7CA53199-D78A-4340-8949-BD0A4A31EA8C}"/>
    <cellStyle name="20% - Accent4 71" xfId="35262" xr:uid="{26EBAC34-1414-4015-B463-6C94FDD2C8EE}"/>
    <cellStyle name="20% - Accent4 72" xfId="35263" xr:uid="{BFE4C76F-9144-4EBF-8478-58713066FCDB}"/>
    <cellStyle name="20% - Accent4 73" xfId="35264" xr:uid="{8DB9CDC8-9C1B-4B2C-8871-B384A14D40AF}"/>
    <cellStyle name="20% - Accent4 74" xfId="35265" xr:uid="{F12FBEE2-B122-45B9-B355-58C44EB0E66C}"/>
    <cellStyle name="20% - Accent4 75" xfId="35266" xr:uid="{6E4062C9-D1A0-483F-B6B4-E1AACF298D8F}"/>
    <cellStyle name="20% - Accent4 76" xfId="35267" xr:uid="{97BB2160-8903-44A6-853C-3AC20A810D25}"/>
    <cellStyle name="20% - Accent4 77" xfId="35268" xr:uid="{A04FDAF3-9596-4498-8FBB-1354A429D389}"/>
    <cellStyle name="20% - Accent4 78" xfId="35269" xr:uid="{4FFFFF5F-E3CC-413A-A0AA-DDE85CA165A1}"/>
    <cellStyle name="20% - Accent4 79" xfId="35270" xr:uid="{786521A1-6FA4-4284-BA20-98E0BA8D531B}"/>
    <cellStyle name="20% - Accent4 8" xfId="1977" xr:uid="{CFF06568-5B3B-477D-844A-DDCEAA51717D}"/>
    <cellStyle name="20% - Accent4 8 2" xfId="1978" xr:uid="{46ACE52A-23C9-412F-A0FD-1D1B5DB0A15B}"/>
    <cellStyle name="20% - Accent4 8 3" xfId="1979" xr:uid="{0371F856-7BE0-4277-A91B-CAF5D5A4F22A}"/>
    <cellStyle name="20% - Accent4 8 4" xfId="35271" xr:uid="{692F2C1C-6011-4910-A77A-76DB0414E832}"/>
    <cellStyle name="20% - Accent4 80" xfId="35272" xr:uid="{81631540-CA27-4AA0-912E-A85F49520FE4}"/>
    <cellStyle name="20% - Accent4 81" xfId="35273" xr:uid="{B289C04B-6BA2-424C-8781-8A71F3D7ABA1}"/>
    <cellStyle name="20% - Accent4 82" xfId="35274" xr:uid="{6D3EFBB1-181C-482E-A253-57CEF23C7B07}"/>
    <cellStyle name="20% - Accent4 83" xfId="35275" xr:uid="{2162DE05-8141-4C0A-A384-A252DCEE12A8}"/>
    <cellStyle name="20% - Accent4 84" xfId="35276" xr:uid="{F8F17576-247C-47DB-887B-21FAA4B5815C}"/>
    <cellStyle name="20% - Accent4 85" xfId="35277" xr:uid="{4586D2C2-6E5B-4D70-891C-B62529C050D5}"/>
    <cellStyle name="20% - Accent4 86" xfId="35278" xr:uid="{BA908E01-C545-499F-9D14-015B7C38DFCE}"/>
    <cellStyle name="20% - Accent4 87" xfId="35279" xr:uid="{B77CE86C-B260-4034-800E-9258BC105E57}"/>
    <cellStyle name="20% - Accent4 88" xfId="35280" xr:uid="{7D2AD299-EEC2-48E2-A3E0-366B4C3318A3}"/>
    <cellStyle name="20% - Accent4 89" xfId="35281" xr:uid="{FDFD2E5C-C026-4A1D-92A3-3B1896E88DCA}"/>
    <cellStyle name="20% - Accent4 9" xfId="1980" xr:uid="{A13FF549-6613-4123-A38B-D47D166D2588}"/>
    <cellStyle name="20% - Accent4 9 2" xfId="1981" xr:uid="{F856DD6F-7CF1-4AB5-8CBD-4CB2547425DB}"/>
    <cellStyle name="20% - Accent4 9 3" xfId="1982" xr:uid="{304D461C-4A81-4EAA-B965-E7AE8EB44B80}"/>
    <cellStyle name="20% - Accent4 9 4" xfId="35282" xr:uid="{112101CF-F2D5-4198-AFA4-F21608F6441B}"/>
    <cellStyle name="20% - Accent4 90" xfId="35283" xr:uid="{EEB5B869-7077-4CB9-9EA9-C5628E651811}"/>
    <cellStyle name="20% - Accent4 91" xfId="35284" xr:uid="{61B03D0B-F212-4C7B-A139-2C2622436452}"/>
    <cellStyle name="20% - Accent4 92" xfId="35285" xr:uid="{D52494DE-BD05-466C-A484-42BAF5076B97}"/>
    <cellStyle name="20% - Accent4 93" xfId="35286" xr:uid="{C74EDAA1-1241-4273-8CFA-F9DCF4E61869}"/>
    <cellStyle name="20% - Accent4 94" xfId="35287" xr:uid="{E52D411F-9F5D-4356-AF82-0BDD594B4706}"/>
    <cellStyle name="20% - Accent4 95" xfId="35288" xr:uid="{0703A23F-0988-4919-B503-52165D61C835}"/>
    <cellStyle name="20% - Accent4 96" xfId="35289" xr:uid="{1A4CE89A-BC9D-4948-84BB-EF17EF84BC57}"/>
    <cellStyle name="20% - Accent4 97" xfId="35290" xr:uid="{04A6130A-91AD-4F64-BA1D-3520278D0764}"/>
    <cellStyle name="20% - Accent4 98" xfId="35291" xr:uid="{4E4C028A-CB82-4498-8B56-9E96EA62FD2F}"/>
    <cellStyle name="20% - Accent4 99" xfId="35292" xr:uid="{5418ABDA-A333-4A30-B5AC-2FAF2E6568B0}"/>
    <cellStyle name="20% - Accent5 10" xfId="1983" xr:uid="{16E43CCA-704D-4BF7-810D-183E8D2E695F}"/>
    <cellStyle name="20% - Accent5 10 2" xfId="1984" xr:uid="{18525015-84D4-4753-8787-B2E768835011}"/>
    <cellStyle name="20% - Accent5 10 3" xfId="1985" xr:uid="{E1C933E8-E369-4C2A-A8CF-3E770A3ABB95}"/>
    <cellStyle name="20% - Accent5 10 4" xfId="35293" xr:uid="{2A473CBA-A4A1-4927-9452-2B3522EBF658}"/>
    <cellStyle name="20% - Accent5 100" xfId="35294" xr:uid="{E8C5904E-D683-4832-B5B9-69A42164943D}"/>
    <cellStyle name="20% - Accent5 101" xfId="35295" xr:uid="{08EB4B1B-716D-4C2E-9BFE-5923AEC81454}"/>
    <cellStyle name="20% - Accent5 102" xfId="35296" xr:uid="{246FE557-A5B6-449A-9DFF-FDDC73C82A01}"/>
    <cellStyle name="20% - Accent5 103" xfId="43479" xr:uid="{D83C44B4-451A-43EF-9C31-DE6CDE12B0B7}"/>
    <cellStyle name="20% - Accent5 104" xfId="43598" xr:uid="{861C6E52-DC43-46FD-BD6A-E1A32EA563DF}"/>
    <cellStyle name="20% - Accent5 105" xfId="166" xr:uid="{56E35943-B752-489E-9F3C-5D9B9FECBEA3}"/>
    <cellStyle name="20% - Accent5 11" xfId="1986" xr:uid="{4406F6CD-66CA-4F42-B1FF-4E3B125137C8}"/>
    <cellStyle name="20% - Accent5 11 2" xfId="1987" xr:uid="{953E48FB-7AE4-4301-AE11-A533655E9BA9}"/>
    <cellStyle name="20% - Accent5 11 3" xfId="1988" xr:uid="{D65E8808-80AD-4189-8045-0B45CF5DB71E}"/>
    <cellStyle name="20% - Accent5 12" xfId="1989" xr:uid="{B1359047-F3F9-4378-A10F-75BDED3C74AE}"/>
    <cellStyle name="20% - Accent5 12 2" xfId="1990" xr:uid="{BD8411FA-19BA-435B-B3C5-34B2828D3FA8}"/>
    <cellStyle name="20% - Accent5 13" xfId="1991" xr:uid="{6E9B14AF-6042-4AE0-BC95-2F5B9CA2AAA2}"/>
    <cellStyle name="20% - Accent5 13 2" xfId="1992" xr:uid="{E3CE2141-B0E9-4791-AC8B-0AFC59A93EC3}"/>
    <cellStyle name="20% - Accent5 14" xfId="1993" xr:uid="{AF15ECBD-FEC2-4717-831D-1C6EF38A41E5}"/>
    <cellStyle name="20% - Accent5 14 2" xfId="1994" xr:uid="{722FF94F-108D-468E-9187-49B3EA111E25}"/>
    <cellStyle name="20% - Accent5 15" xfId="1995" xr:uid="{780C213B-D84A-4565-8F78-8427EB4D4314}"/>
    <cellStyle name="20% - Accent5 15 2" xfId="1996" xr:uid="{213FEF25-A174-43D7-BB02-F4BB780D6C30}"/>
    <cellStyle name="20% - Accent5 16" xfId="1997" xr:uid="{7BD94518-AAE1-4F6A-8E8F-42952EC8D254}"/>
    <cellStyle name="20% - Accent5 16 2" xfId="1998" xr:uid="{D2252A01-EE49-4F21-803F-396AB8FC3360}"/>
    <cellStyle name="20% - Accent5 17" xfId="1999" xr:uid="{22B85A09-D266-4166-902A-040CD866D1EE}"/>
    <cellStyle name="20% - Accent5 17 2" xfId="2000" xr:uid="{02B6CBAE-37F3-443B-BC5F-0E8799503A90}"/>
    <cellStyle name="20% - Accent5 18" xfId="2001" xr:uid="{BC2F3AA2-82B1-496A-B31F-A68064474BA9}"/>
    <cellStyle name="20% - Accent5 18 2" xfId="2002" xr:uid="{A0075257-3A73-4702-BA35-1DFC5B61C61F}"/>
    <cellStyle name="20% - Accent5 19" xfId="2003" xr:uid="{56FD6BFC-0653-4D0F-B584-C9C8D79459FD}"/>
    <cellStyle name="20% - Accent5 19 2" xfId="2004" xr:uid="{49719CBE-E17A-43DA-9E86-BA393380F9A5}"/>
    <cellStyle name="20% - Accent5 2" xfId="2005" xr:uid="{7EB352DA-58D8-4F51-9BD1-3175D911A7EC}"/>
    <cellStyle name="20% - Accent5 2 10" xfId="43510" xr:uid="{B1EA6AD8-CD94-4F78-8496-88FCCA7212DB}"/>
    <cellStyle name="20% - Accent5 2 2" xfId="2006" xr:uid="{5D872FE2-6EDA-4AB2-A7E2-54B45EF66761}"/>
    <cellStyle name="20% - Accent5 2 2 2" xfId="2007" xr:uid="{62D79D0D-2A1C-4174-9355-F28E2CB19BF8}"/>
    <cellStyle name="20% - Accent5 2 2 2 2" xfId="2008" xr:uid="{2B44D81D-D7A6-4991-AEE4-1927EF32F386}"/>
    <cellStyle name="20% - Accent5 2 2 2 3" xfId="2009" xr:uid="{40BAC5A7-30C1-44B7-A7EA-E8D8D31B5804}"/>
    <cellStyle name="20% - Accent5 2 2 2 4" xfId="35297" xr:uid="{9E81BA6B-C6D6-4EAE-B7AE-8A735C696BCA}"/>
    <cellStyle name="20% - Accent5 2 2 3" xfId="2010" xr:uid="{F97D0333-B00F-4604-BEF5-FE28FD2ECA75}"/>
    <cellStyle name="20% - Accent5 2 2 3 2" xfId="2011" xr:uid="{8D14A16E-C308-4A56-80C0-6A61769DBF5C}"/>
    <cellStyle name="20% - Accent5 2 2 3 3" xfId="35298" xr:uid="{3EA10308-337C-4F58-802F-70C331E66606}"/>
    <cellStyle name="20% - Accent5 2 2 4" xfId="2012" xr:uid="{E3FBF154-3A68-4219-955F-5F292958BFFF}"/>
    <cellStyle name="20% - Accent5 2 2 5" xfId="2013" xr:uid="{D08600E6-942C-45CA-A5B4-0D48DA893585}"/>
    <cellStyle name="20% - Accent5 2 2 6" xfId="2014" xr:uid="{1E508D21-12CE-4402-B914-C9A8CA11CAAD}"/>
    <cellStyle name="20% - Accent5 2 2 7" xfId="35299" xr:uid="{ED4DC97C-0A55-45EE-A0F3-51E5C6591151}"/>
    <cellStyle name="20% - Accent5 2 2_PwrTax 51040" xfId="2015" xr:uid="{0729DCC9-7E22-452C-B5B9-585A950034BC}"/>
    <cellStyle name="20% - Accent5 2 3" xfId="2016" xr:uid="{05C52065-590C-419C-91E4-6F63C657ACD8}"/>
    <cellStyle name="20% - Accent5 2 3 10" xfId="2017" xr:uid="{879A7F48-4A0E-4667-8692-E1D8FA13CCE6}"/>
    <cellStyle name="20% - Accent5 2 3 10 2" xfId="35300" xr:uid="{6DE7F33F-9B65-4A03-9C30-E02F8365CA8B}"/>
    <cellStyle name="20% - Accent5 2 3 11" xfId="35301" xr:uid="{EB9A3780-1958-4193-A5F8-67ABAF8F65EF}"/>
    <cellStyle name="20% - Accent5 2 3 12" xfId="35302" xr:uid="{1D4DA25E-7835-4A10-A8B3-5AE3FD2196ED}"/>
    <cellStyle name="20% - Accent5 2 3 2" xfId="2018" xr:uid="{F66F25EA-293E-4E7F-9992-71142D533B01}"/>
    <cellStyle name="20% - Accent5 2 3 2 10" xfId="35303" xr:uid="{DE7395A2-88EC-4C8E-9B00-153DF463E3B1}"/>
    <cellStyle name="20% - Accent5 2 3 2 11" xfId="35304" xr:uid="{607A27C3-BB2F-4E8C-8604-8ED5EC36A02B}"/>
    <cellStyle name="20% - Accent5 2 3 2 2" xfId="2019" xr:uid="{FCE59B3D-7F7D-4B8A-87D4-39745B571279}"/>
    <cellStyle name="20% - Accent5 2 3 2 2 2" xfId="2020" xr:uid="{0C145EB9-ADC2-49AB-8E7C-31BFE8350A04}"/>
    <cellStyle name="20% - Accent5 2 3 2 2 2 2" xfId="2021" xr:uid="{4D6D3316-3512-4CCA-99DD-54C75BD7BB3F}"/>
    <cellStyle name="20% - Accent5 2 3 2 2 2 2 2" xfId="2022" xr:uid="{D9788BD5-31E2-48F3-85AC-A2255A2B98C0}"/>
    <cellStyle name="20% - Accent5 2 3 2 2 2 2 2 2" xfId="35305" xr:uid="{23E955F6-CE75-4F63-B89E-48F5490F671F}"/>
    <cellStyle name="20% - Accent5 2 3 2 2 2 2 3" xfId="2023" xr:uid="{E23FDE33-C517-4ECA-A6B8-A929D0C44A73}"/>
    <cellStyle name="20% - Accent5 2 3 2 2 2 2 3 2" xfId="35306" xr:uid="{030675CD-DA27-42EB-88EE-BBC306D76075}"/>
    <cellStyle name="20% - Accent5 2 3 2 2 2 2 4" xfId="35307" xr:uid="{9F110F3E-5490-4AD5-A81C-5350A05B73AF}"/>
    <cellStyle name="20% - Accent5 2 3 2 2 2 3" xfId="2024" xr:uid="{2AE80EA1-1748-46E7-BE39-7C03EA9ACB78}"/>
    <cellStyle name="20% - Accent5 2 3 2 2 2 3 2" xfId="35308" xr:uid="{E0CC47E3-4A09-4DB5-ABD6-14A4E9676B92}"/>
    <cellStyle name="20% - Accent5 2 3 2 2 2 4" xfId="2025" xr:uid="{1A7866D6-75B6-4A58-A519-25A4DA6EB101}"/>
    <cellStyle name="20% - Accent5 2 3 2 2 2 4 2" xfId="35309" xr:uid="{819E922B-3BC4-4058-AB01-5C5A79BC6D43}"/>
    <cellStyle name="20% - Accent5 2 3 2 2 2 5" xfId="35310" xr:uid="{D5ED8AD6-EF71-4812-8D8F-1FC070059BA3}"/>
    <cellStyle name="20% - Accent5 2 3 2 2 3" xfId="2026" xr:uid="{B65A6469-6AFD-45C3-A9C9-0D32AC49A9EC}"/>
    <cellStyle name="20% - Accent5 2 3 2 2 3 2" xfId="2027" xr:uid="{03CAD052-3FF9-432C-9EC7-2064A79EFDF5}"/>
    <cellStyle name="20% - Accent5 2 3 2 2 3 2 2" xfId="35311" xr:uid="{DDAC2B93-EBBE-41D8-B145-E161E3BFA99D}"/>
    <cellStyle name="20% - Accent5 2 3 2 2 3 3" xfId="2028" xr:uid="{0FF28EEC-103B-4BAD-A3F1-7B48D4C90A6A}"/>
    <cellStyle name="20% - Accent5 2 3 2 2 3 3 2" xfId="35312" xr:uid="{11563734-1039-4618-9213-EBEA8C888E6D}"/>
    <cellStyle name="20% - Accent5 2 3 2 2 3 4" xfId="35313" xr:uid="{D36CF64C-0CBE-458E-B530-37C53E42CC5A}"/>
    <cellStyle name="20% - Accent5 2 3 2 2 4" xfId="2029" xr:uid="{DAABF777-C2AD-48D5-B4A2-6FF0BFD1FD2A}"/>
    <cellStyle name="20% - Accent5 2 3 2 2 4 2" xfId="35314" xr:uid="{8BCA4A1C-1505-4190-90D3-3303C9BD76DD}"/>
    <cellStyle name="20% - Accent5 2 3 2 2 5" xfId="2030" xr:uid="{7D76E14F-568E-4B18-8F47-22BB83764325}"/>
    <cellStyle name="20% - Accent5 2 3 2 2 5 2" xfId="35315" xr:uid="{C963FCDB-19F0-4D3C-834B-8EDE43DEDB3F}"/>
    <cellStyle name="20% - Accent5 2 3 2 2 6" xfId="35316" xr:uid="{88BD6784-A401-40ED-BA65-DA46FFE76B22}"/>
    <cellStyle name="20% - Accent5 2 3 2 3" xfId="2031" xr:uid="{DD77B993-DF05-4216-BA15-0D00770FA90D}"/>
    <cellStyle name="20% - Accent5 2 3 2 3 2" xfId="2032" xr:uid="{9E4C1AB3-AC87-4294-865D-B2C4B06DE4FD}"/>
    <cellStyle name="20% - Accent5 2 3 2 3 2 2" xfId="2033" xr:uid="{B57D8C71-30FB-4932-B79A-028AE7E940F9}"/>
    <cellStyle name="20% - Accent5 2 3 2 3 2 2 2" xfId="35317" xr:uid="{34C68A89-39B3-4875-81FD-67EF6335CB8E}"/>
    <cellStyle name="20% - Accent5 2 3 2 3 2 3" xfId="2034" xr:uid="{8635F130-885C-42C4-A09B-43C8D210A93C}"/>
    <cellStyle name="20% - Accent5 2 3 2 3 2 3 2" xfId="35318" xr:uid="{E41F7EED-81C9-4BF9-A606-852CA8F05074}"/>
    <cellStyle name="20% - Accent5 2 3 2 3 2 4" xfId="35319" xr:uid="{BC63907A-A228-43D4-BC1A-21543891D4FE}"/>
    <cellStyle name="20% - Accent5 2 3 2 3 3" xfId="2035" xr:uid="{557168EA-55CF-4E27-B149-1DE169A9A386}"/>
    <cellStyle name="20% - Accent5 2 3 2 3 3 2" xfId="35320" xr:uid="{C1BCD0B5-33E9-4962-BDEC-1978C4B41731}"/>
    <cellStyle name="20% - Accent5 2 3 2 3 4" xfId="2036" xr:uid="{F0560DE4-FC8B-4FBD-A130-28529A13C7F3}"/>
    <cellStyle name="20% - Accent5 2 3 2 3 4 2" xfId="35321" xr:uid="{F529E07E-9343-4EB0-8C1F-454C35C20EFF}"/>
    <cellStyle name="20% - Accent5 2 3 2 3 5" xfId="35322" xr:uid="{B5FADD35-7DDB-409C-9373-F30FEFFFAE77}"/>
    <cellStyle name="20% - Accent5 2 3 2 4" xfId="2037" xr:uid="{A0789850-BFB5-4DFE-B8EA-0D4C9980E232}"/>
    <cellStyle name="20% - Accent5 2 3 2 4 2" xfId="2038" xr:uid="{99AFCA72-FD46-414B-A840-B7E934348FF5}"/>
    <cellStyle name="20% - Accent5 2 3 2 4 2 2" xfId="35323" xr:uid="{B035B6A0-A971-478F-BAAF-B5A9035DE8FE}"/>
    <cellStyle name="20% - Accent5 2 3 2 4 3" xfId="2039" xr:uid="{C0FBC761-CCEF-4D02-94C7-3C0DF5B785BA}"/>
    <cellStyle name="20% - Accent5 2 3 2 4 3 2" xfId="35324" xr:uid="{60A836D1-E93D-4F60-9BA8-42C31B04AFF8}"/>
    <cellStyle name="20% - Accent5 2 3 2 4 4" xfId="35325" xr:uid="{45E01779-CF56-49A7-8DBC-EB46B7A81629}"/>
    <cellStyle name="20% - Accent5 2 3 2 5" xfId="2040" xr:uid="{CD54D54D-A040-4D97-BEE8-BC6719BA6268}"/>
    <cellStyle name="20% - Accent5 2 3 2 5 2" xfId="35326" xr:uid="{0A1F77F6-41D0-4AFF-A7F9-C1A22809FDEC}"/>
    <cellStyle name="20% - Accent5 2 3 2 5 2 2" xfId="35327" xr:uid="{7C13E317-9C03-4308-8755-2B35631003F0}"/>
    <cellStyle name="20% - Accent5 2 3 2 5 3" xfId="35328" xr:uid="{444DFC01-7C06-47D7-A2C0-2BB6085BF972}"/>
    <cellStyle name="20% - Accent5 2 3 2 5 3 2" xfId="35329" xr:uid="{6FE51FF8-9AFC-4F27-8735-0B4D3D37FE5D}"/>
    <cellStyle name="20% - Accent5 2 3 2 5 4" xfId="35330" xr:uid="{E517F59D-857C-402A-84BE-5E8497EFB500}"/>
    <cellStyle name="20% - Accent5 2 3 2 6" xfId="2041" xr:uid="{142F5567-CBF9-4991-B843-FC2D680D24D1}"/>
    <cellStyle name="20% - Accent5 2 3 2 6 2" xfId="35331" xr:uid="{50FD3723-3BE7-4CAD-8044-57C1AA98DE20}"/>
    <cellStyle name="20% - Accent5 2 3 2 6 2 2" xfId="35332" xr:uid="{D53C166A-DEDC-42F6-B933-A2A7BFB148C4}"/>
    <cellStyle name="20% - Accent5 2 3 2 6 3" xfId="35333" xr:uid="{3EF4BF03-E6C9-40B6-94E9-229BBDBC1175}"/>
    <cellStyle name="20% - Accent5 2 3 2 6 3 2" xfId="35334" xr:uid="{A280AAFC-EDC4-4878-9347-65C600C5AE56}"/>
    <cellStyle name="20% - Accent5 2 3 2 6 4" xfId="35335" xr:uid="{F05F1A6F-10BA-42C7-8DE3-74C343E6A39F}"/>
    <cellStyle name="20% - Accent5 2 3 2 7" xfId="2042" xr:uid="{D2E9FDF6-D024-4527-BEE8-31CCF0FCE2F0}"/>
    <cellStyle name="20% - Accent5 2 3 2 7 2" xfId="35336" xr:uid="{99689ED2-3E7E-4439-A20D-E48041700B8E}"/>
    <cellStyle name="20% - Accent5 2 3 2 7 2 2" xfId="35337" xr:uid="{D27BED5D-713D-4797-80C3-CF9E5A808237}"/>
    <cellStyle name="20% - Accent5 2 3 2 7 3" xfId="35338" xr:uid="{2B3D5F41-BD57-4C72-8E7D-0565467D33EA}"/>
    <cellStyle name="20% - Accent5 2 3 2 7 3 2" xfId="35339" xr:uid="{9E06B61D-BE3A-4629-B8F3-86B344BBBD14}"/>
    <cellStyle name="20% - Accent5 2 3 2 7 4" xfId="35340" xr:uid="{5AA153D0-77D5-4639-9D68-47722F4766F9}"/>
    <cellStyle name="20% - Accent5 2 3 2 8" xfId="35341" xr:uid="{E22712D3-27C8-43C4-B1F9-328CD007D252}"/>
    <cellStyle name="20% - Accent5 2 3 2 8 2" xfId="35342" xr:uid="{34C6BF72-EC5B-4F70-A5E0-20C8AE48DE87}"/>
    <cellStyle name="20% - Accent5 2 3 2 9" xfId="35343" xr:uid="{AAAD76A1-6ED6-4189-98CE-457C5B08F3BE}"/>
    <cellStyle name="20% - Accent5 2 3 2 9 2" xfId="35344" xr:uid="{B9D30388-4ABC-45D6-BA4B-A22D23534747}"/>
    <cellStyle name="20% - Accent5 2 3 3" xfId="2043" xr:uid="{CEBCD6D3-8881-428D-A5B0-BBCEE86EFC98}"/>
    <cellStyle name="20% - Accent5 2 3 3 10" xfId="35345" xr:uid="{94B2B208-0199-40C2-A711-9E769DCF04A8}"/>
    <cellStyle name="20% - Accent5 2 3 3 2" xfId="2044" xr:uid="{5CB4BEF7-3329-4C49-B57B-4B02143D5A89}"/>
    <cellStyle name="20% - Accent5 2 3 3 2 2" xfId="2045" xr:uid="{5AC5EB50-E45B-48BC-BE25-EC78F9FF7DD1}"/>
    <cellStyle name="20% - Accent5 2 3 3 2 2 2" xfId="2046" xr:uid="{28693707-65C9-4FDE-8856-9EDEE73799C1}"/>
    <cellStyle name="20% - Accent5 2 3 3 2 2 2 2" xfId="35346" xr:uid="{9EC01092-BE71-4818-9722-0D4E215B1054}"/>
    <cellStyle name="20% - Accent5 2 3 3 2 2 3" xfId="2047" xr:uid="{93E33AFA-A6B1-4AAA-92E3-04142D1F1DCB}"/>
    <cellStyle name="20% - Accent5 2 3 3 2 2 3 2" xfId="35347" xr:uid="{E00FCE74-8BDE-42C1-B453-7FAA1A5AEA16}"/>
    <cellStyle name="20% - Accent5 2 3 3 2 2 4" xfId="35348" xr:uid="{111DCCC8-DF64-4190-AAE9-A8BE9E99A503}"/>
    <cellStyle name="20% - Accent5 2 3 3 2 3" xfId="2048" xr:uid="{D28B766A-114E-4623-8D4C-A15256147E30}"/>
    <cellStyle name="20% - Accent5 2 3 3 2 3 2" xfId="35349" xr:uid="{4C00D4E4-B5FC-4744-8EF4-6D8D9C01CC57}"/>
    <cellStyle name="20% - Accent5 2 3 3 2 4" xfId="2049" xr:uid="{AA0719D0-2329-40C6-9400-0294F2181DEE}"/>
    <cellStyle name="20% - Accent5 2 3 3 2 4 2" xfId="35350" xr:uid="{85F41C26-2050-498F-8417-FCB86C9A5DD4}"/>
    <cellStyle name="20% - Accent5 2 3 3 2 5" xfId="35351" xr:uid="{C8B4B595-F029-4399-B18D-A539A5CE6105}"/>
    <cellStyle name="20% - Accent5 2 3 3 3" xfId="2050" xr:uid="{005EA74B-2B66-4BFA-9B68-81688F9FCF29}"/>
    <cellStyle name="20% - Accent5 2 3 3 3 2" xfId="2051" xr:uid="{4EB8A407-FBB0-477A-BC3B-DC9C6F20E6A4}"/>
    <cellStyle name="20% - Accent5 2 3 3 3 2 2" xfId="35352" xr:uid="{30439F18-541B-4341-9B82-2317DBB44EB3}"/>
    <cellStyle name="20% - Accent5 2 3 3 3 3" xfId="2052" xr:uid="{E30CD82B-F3BC-4A8E-AE97-AAD0CE5995DB}"/>
    <cellStyle name="20% - Accent5 2 3 3 3 3 2" xfId="35353" xr:uid="{4C5C1D72-606D-4C41-95BE-FC61D85F5871}"/>
    <cellStyle name="20% - Accent5 2 3 3 3 4" xfId="35354" xr:uid="{655D2B93-493D-4592-9F8E-9FD3BDC679B1}"/>
    <cellStyle name="20% - Accent5 2 3 3 4" xfId="2053" xr:uid="{E1F5537F-CE3A-4ABA-BD22-916067F98E1D}"/>
    <cellStyle name="20% - Accent5 2 3 3 4 2" xfId="35355" xr:uid="{760A059C-F8A8-4CEB-9CBF-EAFEBBE9DA4E}"/>
    <cellStyle name="20% - Accent5 2 3 3 4 2 2" xfId="35356" xr:uid="{3F1F38C1-BC65-4E67-A0FC-6E16ED66858E}"/>
    <cellStyle name="20% - Accent5 2 3 3 4 3" xfId="35357" xr:uid="{1DE760B4-03B5-4729-9791-F3BA8E566450}"/>
    <cellStyle name="20% - Accent5 2 3 3 4 3 2" xfId="35358" xr:uid="{67D6779C-693D-4889-8033-AC67812977D0}"/>
    <cellStyle name="20% - Accent5 2 3 3 4 4" xfId="35359" xr:uid="{5E46D1CB-5456-4DC1-BD92-AD9C354BE672}"/>
    <cellStyle name="20% - Accent5 2 3 3 5" xfId="2054" xr:uid="{37BBF164-25F3-4DBC-8365-25E884D64E5B}"/>
    <cellStyle name="20% - Accent5 2 3 3 5 2" xfId="35360" xr:uid="{144E4193-469B-432F-8629-307FEB4AD149}"/>
    <cellStyle name="20% - Accent5 2 3 3 5 2 2" xfId="35361" xr:uid="{06F95CDB-6661-4227-8755-0D852BF7C4C1}"/>
    <cellStyle name="20% - Accent5 2 3 3 5 3" xfId="35362" xr:uid="{9FB060C1-BDCA-40AB-B6CB-AC3070544AB9}"/>
    <cellStyle name="20% - Accent5 2 3 3 5 3 2" xfId="35363" xr:uid="{CD8EAEAF-5E52-4141-9CF2-4A94170360A8}"/>
    <cellStyle name="20% - Accent5 2 3 3 5 4" xfId="35364" xr:uid="{AA6B3978-CEEA-4623-91F5-91012908B387}"/>
    <cellStyle name="20% - Accent5 2 3 3 6" xfId="2055" xr:uid="{56DF0000-B674-4C26-B13E-3E269D60DF5A}"/>
    <cellStyle name="20% - Accent5 2 3 3 6 2" xfId="35365" xr:uid="{B0F5E87C-5FA1-4D5B-BDC9-A285ED4DFC77}"/>
    <cellStyle name="20% - Accent5 2 3 3 6 2 2" xfId="35366" xr:uid="{3000BDC3-CE42-4157-8666-4AE73EBE979D}"/>
    <cellStyle name="20% - Accent5 2 3 3 6 3" xfId="35367" xr:uid="{48C31A1A-D458-485E-B3AC-F6BFAE0EEF03}"/>
    <cellStyle name="20% - Accent5 2 3 3 6 3 2" xfId="35368" xr:uid="{E2AA56E3-4FA9-404C-BB02-173846C55AEC}"/>
    <cellStyle name="20% - Accent5 2 3 3 6 4" xfId="35369" xr:uid="{896B2D8C-96E0-4404-AC2C-6E2B74B7ECC0}"/>
    <cellStyle name="20% - Accent5 2 3 3 7" xfId="35370" xr:uid="{9857671D-CB5F-4EEA-9F5E-D34AD6CAE9FF}"/>
    <cellStyle name="20% - Accent5 2 3 3 7 2" xfId="35371" xr:uid="{40090971-048A-4C7C-9C75-FF01DC677981}"/>
    <cellStyle name="20% - Accent5 2 3 3 8" xfId="35372" xr:uid="{4C71B47A-B9AD-4897-A93E-486D824AC284}"/>
    <cellStyle name="20% - Accent5 2 3 3 8 2" xfId="35373" xr:uid="{D42C8CDB-515D-459A-8A70-44AB3102321F}"/>
    <cellStyle name="20% - Accent5 2 3 3 9" xfId="35374" xr:uid="{9B46363F-669B-460C-9CBE-09CBF4001C00}"/>
    <cellStyle name="20% - Accent5 2 3 4" xfId="2056" xr:uid="{1E7FA82B-0E34-47DF-8552-C5B9A830EDB0}"/>
    <cellStyle name="20% - Accent5 2 3 4 2" xfId="2057" xr:uid="{971B3FFA-B229-4679-B4C0-E62F1FACABDB}"/>
    <cellStyle name="20% - Accent5 2 3 4 2 2" xfId="2058" xr:uid="{7C40C80D-9C90-48F7-8FFD-565CFB96FD9A}"/>
    <cellStyle name="20% - Accent5 2 3 4 2 2 2" xfId="35375" xr:uid="{E8DE86D1-2295-49A8-BEA4-182CB4AE4CA9}"/>
    <cellStyle name="20% - Accent5 2 3 4 2 3" xfId="2059" xr:uid="{ED388D25-CD81-41C9-9323-84D096264A89}"/>
    <cellStyle name="20% - Accent5 2 3 4 2 3 2" xfId="35376" xr:uid="{81062CA4-DD62-4FE6-8671-650FE3B78C87}"/>
    <cellStyle name="20% - Accent5 2 3 4 2 4" xfId="35377" xr:uid="{C379F25A-7A90-463D-8B1D-D51BD637296C}"/>
    <cellStyle name="20% - Accent5 2 3 4 3" xfId="2060" xr:uid="{7EAE5266-28DB-4350-B3E7-D6F020DCE6BC}"/>
    <cellStyle name="20% - Accent5 2 3 4 3 2" xfId="35378" xr:uid="{2C941FD9-35BE-490B-8D4C-BCFAF1C5D4B5}"/>
    <cellStyle name="20% - Accent5 2 3 4 3 2 2" xfId="35379" xr:uid="{7B5DA8BC-A340-47EC-842C-B5457A54C958}"/>
    <cellStyle name="20% - Accent5 2 3 4 3 3" xfId="35380" xr:uid="{66664CB6-3FC6-44A8-9980-DDBA7C80FE97}"/>
    <cellStyle name="20% - Accent5 2 3 4 3 3 2" xfId="35381" xr:uid="{79AC2B48-3732-44B7-A5EB-5BC3AA2C3C34}"/>
    <cellStyle name="20% - Accent5 2 3 4 3 4" xfId="35382" xr:uid="{1FE042A8-75F4-409C-B289-9E5822AEDC95}"/>
    <cellStyle name="20% - Accent5 2 3 4 4" xfId="2061" xr:uid="{4059527B-C864-4176-B67B-475A46F27848}"/>
    <cellStyle name="20% - Accent5 2 3 4 4 2" xfId="35383" xr:uid="{FE74A223-2716-4577-9295-AD4360F58B37}"/>
    <cellStyle name="20% - Accent5 2 3 4 4 2 2" xfId="35384" xr:uid="{8A4F6ACB-7702-4D7D-A3C7-B3B3BF101437}"/>
    <cellStyle name="20% - Accent5 2 3 4 4 3" xfId="35385" xr:uid="{CDDD2083-9E0D-43BC-B0F3-61C29CBCB06A}"/>
    <cellStyle name="20% - Accent5 2 3 4 4 3 2" xfId="35386" xr:uid="{B329767C-C201-4F21-B9E7-0CC42EC0BFDB}"/>
    <cellStyle name="20% - Accent5 2 3 4 4 4" xfId="35387" xr:uid="{8156F61B-EA49-47F3-AFBA-33DBB8F8BF74}"/>
    <cellStyle name="20% - Accent5 2 3 4 5" xfId="35388" xr:uid="{43222EB1-6D32-4F98-B51A-9C0399F04D31}"/>
    <cellStyle name="20% - Accent5 2 3 4 5 2" xfId="35389" xr:uid="{C59113C7-8852-4195-B59E-44665F528F2D}"/>
    <cellStyle name="20% - Accent5 2 3 4 5 2 2" xfId="35390" xr:uid="{2D7584C5-2C6C-4DEA-B20C-87D01EF1859C}"/>
    <cellStyle name="20% - Accent5 2 3 4 5 3" xfId="35391" xr:uid="{D0B6ADFE-3CC0-4CCA-A98F-2FC5085DE773}"/>
    <cellStyle name="20% - Accent5 2 3 4 5 3 2" xfId="35392" xr:uid="{4FB416E8-B76F-4B05-83F2-9D2B67E0707C}"/>
    <cellStyle name="20% - Accent5 2 3 4 5 4" xfId="35393" xr:uid="{B8D58C7D-F76A-475C-A151-F14A803A0F77}"/>
    <cellStyle name="20% - Accent5 2 3 4 6" xfId="35394" xr:uid="{993A353A-28E7-48CC-8ED9-2A090EE063A5}"/>
    <cellStyle name="20% - Accent5 2 3 4 6 2" xfId="35395" xr:uid="{2BB37C70-FBD3-464A-AA85-76712503F70A}"/>
    <cellStyle name="20% - Accent5 2 3 4 7" xfId="35396" xr:uid="{14D60029-9307-45F5-818B-45C5771951A3}"/>
    <cellStyle name="20% - Accent5 2 3 4 7 2" xfId="35397" xr:uid="{2185281D-639B-4683-8FE4-763FC1B4C618}"/>
    <cellStyle name="20% - Accent5 2 3 4 8" xfId="35398" xr:uid="{7F27D416-0FBD-405B-8423-E457934D3D53}"/>
    <cellStyle name="20% - Accent5 2 3 5" xfId="2062" xr:uid="{6DA2D4F2-0DB1-4DEB-A78C-07FB3F066625}"/>
    <cellStyle name="20% - Accent5 2 3 5 2" xfId="2063" xr:uid="{B2F9C214-3774-4B91-8C4F-8FEF347DFB73}"/>
    <cellStyle name="20% - Accent5 2 3 5 2 2" xfId="2064" xr:uid="{85E3BCC2-D9AF-4403-BB5D-EBB35E6C187C}"/>
    <cellStyle name="20% - Accent5 2 3 5 2 2 2" xfId="35399" xr:uid="{520CC580-778F-44FD-AB32-BBABD760FBBC}"/>
    <cellStyle name="20% - Accent5 2 3 5 2 3" xfId="2065" xr:uid="{287F83BF-06F6-4C0C-835F-22169CE4BA1E}"/>
    <cellStyle name="20% - Accent5 2 3 5 2 3 2" xfId="35400" xr:uid="{6FEC11E2-E5D4-4EA5-ABB3-6EE842177366}"/>
    <cellStyle name="20% - Accent5 2 3 5 2 4" xfId="35401" xr:uid="{D8571EA6-123B-458B-9FC6-97E95DB65401}"/>
    <cellStyle name="20% - Accent5 2 3 5 3" xfId="2066" xr:uid="{9371E2AC-AF8A-4516-8D88-B0624EC858EC}"/>
    <cellStyle name="20% - Accent5 2 3 5 3 2" xfId="35402" xr:uid="{3AE9282F-8AF7-4F5D-A545-7A6D170E3458}"/>
    <cellStyle name="20% - Accent5 2 3 5 3 2 2" xfId="35403" xr:uid="{F89E367B-591C-43EA-A444-06328CAC4589}"/>
    <cellStyle name="20% - Accent5 2 3 5 3 3" xfId="35404" xr:uid="{16AC8B11-2B9E-4CAD-B192-A03AE8DFFD03}"/>
    <cellStyle name="20% - Accent5 2 3 5 3 3 2" xfId="35405" xr:uid="{A7604016-CAAA-4E7B-9A91-98992ED7645B}"/>
    <cellStyle name="20% - Accent5 2 3 5 3 4" xfId="35406" xr:uid="{9A1B7BB2-BC0B-4438-AA0B-4A7D8C59596D}"/>
    <cellStyle name="20% - Accent5 2 3 5 4" xfId="2067" xr:uid="{A26849A0-E387-4A5A-9DC6-91ACFA9B95A5}"/>
    <cellStyle name="20% - Accent5 2 3 5 4 2" xfId="35407" xr:uid="{64B7DD87-861E-4E65-9225-802A97E2A30B}"/>
    <cellStyle name="20% - Accent5 2 3 5 4 2 2" xfId="35408" xr:uid="{1E45F784-7D18-4F8F-A289-D8B3977A88B7}"/>
    <cellStyle name="20% - Accent5 2 3 5 4 3" xfId="35409" xr:uid="{A0F55C5E-DF2A-4489-B733-77C004268A7F}"/>
    <cellStyle name="20% - Accent5 2 3 5 4 3 2" xfId="35410" xr:uid="{7111BEC8-A343-4DB0-ACB6-AB00471DCF08}"/>
    <cellStyle name="20% - Accent5 2 3 5 4 4" xfId="35411" xr:uid="{412771AD-C596-401C-AB4F-35BC6E035B7C}"/>
    <cellStyle name="20% - Accent5 2 3 5 5" xfId="35412" xr:uid="{31751E6B-55D4-4E7F-A80E-E64B8D8C105E}"/>
    <cellStyle name="20% - Accent5 2 3 5 5 2" xfId="35413" xr:uid="{968D1159-2B53-4D70-91E2-79E688588A1A}"/>
    <cellStyle name="20% - Accent5 2 3 5 6" xfId="35414" xr:uid="{BA3CF5ED-F71E-47FD-925E-B2BAAB4020F1}"/>
    <cellStyle name="20% - Accent5 2 3 5 6 2" xfId="35415" xr:uid="{07534B1A-12C7-4BA5-A465-24204B923C0E}"/>
    <cellStyle name="20% - Accent5 2 3 5 7" xfId="35416" xr:uid="{6A2BAEE3-ED2F-4153-A4F6-9C36FD74A53A}"/>
    <cellStyle name="20% - Accent5 2 3 6" xfId="2068" xr:uid="{9FAAAC7D-4332-4BF0-ACC0-ECE41A089336}"/>
    <cellStyle name="20% - Accent5 2 3 6 2" xfId="2069" xr:uid="{20ABBDE5-BB3A-4B3A-BF5D-D997B6AB9DEB}"/>
    <cellStyle name="20% - Accent5 2 3 6 2 2" xfId="35417" xr:uid="{000D8FA0-A16E-4895-A9B3-2F75F71CE65F}"/>
    <cellStyle name="20% - Accent5 2 3 6 3" xfId="2070" xr:uid="{8D6A3166-85F6-4F45-9AC8-7CB013D6F0BE}"/>
    <cellStyle name="20% - Accent5 2 3 6 3 2" xfId="35418" xr:uid="{FF68F903-A208-47AD-BC6A-BA88FA562D6B}"/>
    <cellStyle name="20% - Accent5 2 3 6 4" xfId="35419" xr:uid="{C2C67469-A99A-49F0-90F5-864EE8AC03B6}"/>
    <cellStyle name="20% - Accent5 2 3 7" xfId="2071" xr:uid="{B455449B-1A86-45E0-B8EC-A04C63B9CB65}"/>
    <cellStyle name="20% - Accent5 2 3 7 2" xfId="35420" xr:uid="{39AA447A-C877-4DFE-9616-6A4F0F6D7024}"/>
    <cellStyle name="20% - Accent5 2 3 7 2 2" xfId="35421" xr:uid="{721E4EB0-559A-4805-BBEC-10B92AD58E9C}"/>
    <cellStyle name="20% - Accent5 2 3 7 3" xfId="35422" xr:uid="{5E9E14E5-D308-4AFE-A377-54A97A7ABDCF}"/>
    <cellStyle name="20% - Accent5 2 3 7 3 2" xfId="35423" xr:uid="{88829313-D6F9-4265-A227-E8059F4C6EBB}"/>
    <cellStyle name="20% - Accent5 2 3 7 4" xfId="35424" xr:uid="{1001DA40-4AC6-43DB-BC2C-3A003DD51227}"/>
    <cellStyle name="20% - Accent5 2 3 8" xfId="2072" xr:uid="{D6521CB5-0CAC-4D06-BF6F-290E230BE2CF}"/>
    <cellStyle name="20% - Accent5 2 3 8 2" xfId="35425" xr:uid="{F5BE5865-8684-45CA-A818-6B28FBC86EA4}"/>
    <cellStyle name="20% - Accent5 2 3 8 2 2" xfId="35426" xr:uid="{20C130CE-6B49-4990-9C60-4B5029E1AB63}"/>
    <cellStyle name="20% - Accent5 2 3 8 3" xfId="35427" xr:uid="{CA362B55-81C0-4E53-BA9F-31BBB6869935}"/>
    <cellStyle name="20% - Accent5 2 3 8 3 2" xfId="35428" xr:uid="{5A8BFD47-1DDC-48F8-A379-42FA03ED1B9D}"/>
    <cellStyle name="20% - Accent5 2 3 8 4" xfId="35429" xr:uid="{AEB24389-BA03-44AF-B046-0FCF05034949}"/>
    <cellStyle name="20% - Accent5 2 3 9" xfId="2073" xr:uid="{672FA6E8-0DD8-4E85-B41D-44146EDEE1AB}"/>
    <cellStyle name="20% - Accent5 2 3 9 2" xfId="35430" xr:uid="{8BF7A753-33B7-4AD9-A02F-883CFAB1BE4E}"/>
    <cellStyle name="20% - Accent5 2 4" xfId="2074" xr:uid="{47ECC01A-5D56-4821-B350-E79A929E3779}"/>
    <cellStyle name="20% - Accent5 2 4 2" xfId="2075" xr:uid="{EAAD3A6A-05EE-45E2-8FC7-FE8622E22ADD}"/>
    <cellStyle name="20% - Accent5 2 4 2 2" xfId="2076" xr:uid="{FDE348AC-E79F-468C-9E83-CEBE4AF2802D}"/>
    <cellStyle name="20% - Accent5 2 4 2 2 2" xfId="35431" xr:uid="{FF9CF403-FB3D-4B99-BCEF-59D202CE529B}"/>
    <cellStyle name="20% - Accent5 2 4 2 2 2 2" xfId="35432" xr:uid="{2F43532B-888E-4429-A882-D8362CA5F94F}"/>
    <cellStyle name="20% - Accent5 2 4 2 2 3" xfId="35433" xr:uid="{2B5154D8-4352-4FF4-BCF1-68E97CD7DECF}"/>
    <cellStyle name="20% - Accent5 2 4 2 2 3 2" xfId="35434" xr:uid="{58A6D2FF-D022-4DE0-825B-758779B12BB6}"/>
    <cellStyle name="20% - Accent5 2 4 2 2 4" xfId="35435" xr:uid="{48AB46AE-8A02-4353-9FE8-A19F489501B6}"/>
    <cellStyle name="20% - Accent5 2 4 2 3" xfId="2077" xr:uid="{AB8C4EA5-E309-4149-A0BB-47B90BCBC3CB}"/>
    <cellStyle name="20% - Accent5 2 4 2 3 2" xfId="35436" xr:uid="{995DD17A-D566-4A0D-A04D-5632DC1C8C1D}"/>
    <cellStyle name="20% - Accent5 2 4 2 3 2 2" xfId="35437" xr:uid="{C640AA0D-18CA-4A6A-B0BC-47FC93172AB7}"/>
    <cellStyle name="20% - Accent5 2 4 2 3 3" xfId="35438" xr:uid="{3BB78B2E-4DD4-4551-AACC-25997C12AC64}"/>
    <cellStyle name="20% - Accent5 2 4 2 3 3 2" xfId="35439" xr:uid="{868FDA64-214E-4491-98E2-0BE959911A4E}"/>
    <cellStyle name="20% - Accent5 2 4 2 3 4" xfId="35440" xr:uid="{D0D9F4F1-BD3D-4831-8CAD-918ADD433364}"/>
    <cellStyle name="20% - Accent5 2 4 2 4" xfId="35441" xr:uid="{B6BDE9D0-AF9A-4B83-B147-E2DC3CF18365}"/>
    <cellStyle name="20% - Accent5 2 4 2 4 2" xfId="35442" xr:uid="{8EE602DA-DBED-4886-A773-E0668F318DBD}"/>
    <cellStyle name="20% - Accent5 2 4 2 4 2 2" xfId="35443" xr:uid="{5ECAEA21-7144-4238-91DC-7CD8A9C61920}"/>
    <cellStyle name="20% - Accent5 2 4 2 4 3" xfId="35444" xr:uid="{517D5F4C-BDB3-44A0-BBC6-7D818C36B945}"/>
    <cellStyle name="20% - Accent5 2 4 2 4 3 2" xfId="35445" xr:uid="{5AB2568F-5CF7-444B-8D94-6E0BDAD154DD}"/>
    <cellStyle name="20% - Accent5 2 4 2 4 4" xfId="35446" xr:uid="{4BE098B5-65D3-4222-AB2A-830128DF352C}"/>
    <cellStyle name="20% - Accent5 2 4 2 5" xfId="35447" xr:uid="{8DBD0EDC-0F32-461F-B40D-F0A498AD5AB5}"/>
    <cellStyle name="20% - Accent5 2 4 2 5 2" xfId="35448" xr:uid="{097084CD-56B4-4016-B7A4-011C8D9C6AC6}"/>
    <cellStyle name="20% - Accent5 2 4 2 6" xfId="35449" xr:uid="{08144D06-816B-4AE0-AED3-B8D2729E8FC3}"/>
    <cellStyle name="20% - Accent5 2 4 2 6 2" xfId="35450" xr:uid="{7FB65C94-071D-4DC1-9744-AC7F657CD095}"/>
    <cellStyle name="20% - Accent5 2 4 2 7" xfId="35451" xr:uid="{B35567CB-271E-4B81-B2DD-2155A6EF026F}"/>
    <cellStyle name="20% - Accent5 2 4 3" xfId="2078" xr:uid="{F236ED72-183D-4B19-8A34-665D16973792}"/>
    <cellStyle name="20% - Accent5 2 4 3 2" xfId="35452" xr:uid="{A88F5C96-CBCB-420E-94FE-BF8123B41E58}"/>
    <cellStyle name="20% - Accent5 2 4 3 2 2" xfId="35453" xr:uid="{22404CF1-9938-46A9-8F41-A108374D3ED3}"/>
    <cellStyle name="20% - Accent5 2 4 3 2 2 2" xfId="35454" xr:uid="{6567C31C-91B7-42A8-9E7F-8FB3EA387969}"/>
    <cellStyle name="20% - Accent5 2 4 3 2 3" xfId="35455" xr:uid="{24058325-B170-4AE0-A02F-475D7438BB90}"/>
    <cellStyle name="20% - Accent5 2 4 3 2 3 2" xfId="35456" xr:uid="{C64D17AD-27F9-4066-983C-E5D3987A71D8}"/>
    <cellStyle name="20% - Accent5 2 4 3 2 4" xfId="35457" xr:uid="{DC428F82-787B-4C7C-A3BB-87668A3E299C}"/>
    <cellStyle name="20% - Accent5 2 4 3 3" xfId="35458" xr:uid="{C7B35C44-9440-4DDF-B8C9-92AF989FF719}"/>
    <cellStyle name="20% - Accent5 2 4 3 3 2" xfId="35459" xr:uid="{E8DD2B1D-02FA-446C-9D9A-2663D476C176}"/>
    <cellStyle name="20% - Accent5 2 4 3 3 2 2" xfId="35460" xr:uid="{F7021A48-C92C-469E-A1F5-F1BBBEEC8AD5}"/>
    <cellStyle name="20% - Accent5 2 4 3 3 3" xfId="35461" xr:uid="{3526FE76-2D9F-4E58-A7B3-E49CF9D7C593}"/>
    <cellStyle name="20% - Accent5 2 4 3 3 3 2" xfId="35462" xr:uid="{33CDF194-D0FC-4827-AF2A-C73C1210CCD9}"/>
    <cellStyle name="20% - Accent5 2 4 3 3 4" xfId="35463" xr:uid="{704EA488-A1AE-4B03-BDB5-82E0A856968E}"/>
    <cellStyle name="20% - Accent5 2 4 3 4" xfId="35464" xr:uid="{52A403E9-76B5-439F-BC93-B1579A356CAF}"/>
    <cellStyle name="20% - Accent5 2 4 3 4 2" xfId="35465" xr:uid="{852E080F-ABB1-4F72-BB1F-0CB66C058716}"/>
    <cellStyle name="20% - Accent5 2 4 3 4 2 2" xfId="35466" xr:uid="{238C6CB1-A61A-4D4D-AB98-41FB239A2EA9}"/>
    <cellStyle name="20% - Accent5 2 4 3 4 3" xfId="35467" xr:uid="{F33114F2-BCE6-4581-BBC9-5071C36C37B9}"/>
    <cellStyle name="20% - Accent5 2 4 3 4 3 2" xfId="35468" xr:uid="{D06233EA-3436-482E-A074-00495F4CF734}"/>
    <cellStyle name="20% - Accent5 2 4 3 4 4" xfId="35469" xr:uid="{D4F75D60-F406-473A-87E1-5B76F227984D}"/>
    <cellStyle name="20% - Accent5 2 4 3 5" xfId="35470" xr:uid="{92576692-822F-4017-AF5D-4A1797FEB753}"/>
    <cellStyle name="20% - Accent5 2 4 3 5 2" xfId="35471" xr:uid="{38234EF8-87DA-4423-8D89-056300AC6860}"/>
    <cellStyle name="20% - Accent5 2 4 3 6" xfId="35472" xr:uid="{D9171346-2E5E-4DB0-AC0F-DECD692BC7A6}"/>
    <cellStyle name="20% - Accent5 2 4 3 6 2" xfId="35473" xr:uid="{4DCAE6E4-D245-4EE0-BF35-889C4D7FAED2}"/>
    <cellStyle name="20% - Accent5 2 4 3 7" xfId="35474" xr:uid="{172E7A97-0661-4E13-AB31-26D06F11C324}"/>
    <cellStyle name="20% - Accent5 2 4 4" xfId="2079" xr:uid="{CB9AD030-ACC0-4ABE-BEAE-AD23F8E4A037}"/>
    <cellStyle name="20% - Accent5 2 4 4 2" xfId="35475" xr:uid="{EE79D5B0-33F1-4E1C-BAA2-4E68D526BC9D}"/>
    <cellStyle name="20% - Accent5 2 4 4 2 2" xfId="35476" xr:uid="{3A015BCC-6CC8-40C1-958F-68BA6BCF9DAC}"/>
    <cellStyle name="20% - Accent5 2 4 4 3" xfId="35477" xr:uid="{1AA264BB-BED0-4BFB-8E3E-44312B30997B}"/>
    <cellStyle name="20% - Accent5 2 4 4 3 2" xfId="35478" xr:uid="{6150BD57-6634-45FE-90B3-351EC5ABC238}"/>
    <cellStyle name="20% - Accent5 2 4 4 4" xfId="35479" xr:uid="{FDB18F85-0D42-40FE-B150-9BA5CAAD90DD}"/>
    <cellStyle name="20% - Accent5 2 4 5" xfId="2080" xr:uid="{EAFEE7E3-FE0D-430C-846F-576C7D019D42}"/>
    <cellStyle name="20% - Accent5 2 4 5 2" xfId="35480" xr:uid="{60896BFE-27BF-4949-BAC0-BA97B48A4463}"/>
    <cellStyle name="20% - Accent5 2 4 5 2 2" xfId="35481" xr:uid="{11816813-B993-4D6A-9139-B88A7B839485}"/>
    <cellStyle name="20% - Accent5 2 4 5 3" xfId="35482" xr:uid="{EC20D6C3-005A-4CF4-AFB7-D2F8AD1CB736}"/>
    <cellStyle name="20% - Accent5 2 4 5 3 2" xfId="35483" xr:uid="{FD87FECB-1FA9-4691-93FF-EFA7FF83E1FE}"/>
    <cellStyle name="20% - Accent5 2 4 5 4" xfId="35484" xr:uid="{2DE528DA-BC6D-44C9-A081-9E7521DCAA70}"/>
    <cellStyle name="20% - Accent5 2 4 6" xfId="35485" xr:uid="{C3C2D0B5-EFE5-4298-975F-F5C421D1B4A6}"/>
    <cellStyle name="20% - Accent5 2 4 6 2" xfId="35486" xr:uid="{0B82B991-28F3-4C85-9909-C66AA941C698}"/>
    <cellStyle name="20% - Accent5 2 4 6 2 2" xfId="35487" xr:uid="{286FDFA7-F95E-4A10-9A5A-375462010920}"/>
    <cellStyle name="20% - Accent5 2 4 6 3" xfId="35488" xr:uid="{396AA295-7BD2-4337-B7EE-E2E178FDF104}"/>
    <cellStyle name="20% - Accent5 2 4 6 3 2" xfId="35489" xr:uid="{EEC4B80C-F8ED-48BF-8EDE-FADBD49F6FCD}"/>
    <cellStyle name="20% - Accent5 2 4 6 4" xfId="35490" xr:uid="{7C354683-90EB-49F6-B6A3-A8D7A0FE6515}"/>
    <cellStyle name="20% - Accent5 2 4 7" xfId="35491" xr:uid="{889B8923-046B-4CE4-9C28-0781F9503EF6}"/>
    <cellStyle name="20% - Accent5 2 4 7 2" xfId="35492" xr:uid="{9590712C-3B9E-42FC-968B-5B79A3A644B7}"/>
    <cellStyle name="20% - Accent5 2 4 8" xfId="35493" xr:uid="{A962BAA7-59A7-4D4E-BDD6-398853A73B4F}"/>
    <cellStyle name="20% - Accent5 2 4 8 2" xfId="35494" xr:uid="{A03484E4-C840-486D-8061-6ACB4948B92A}"/>
    <cellStyle name="20% - Accent5 2 4 9" xfId="35495" xr:uid="{4B80E0B5-1C4F-46B0-9380-6C684B19E8A3}"/>
    <cellStyle name="20% - Accent5 2 5" xfId="35496" xr:uid="{35A7DC81-377A-4809-B9E3-D4BD9E60DF3D}"/>
    <cellStyle name="20% - Accent5 2 5 2" xfId="35497" xr:uid="{F855E470-7618-4122-BB6D-D38FACB64712}"/>
    <cellStyle name="20% - Accent5 2 5 2 2" xfId="35498" xr:uid="{3472A5AF-1A49-4E3C-81B7-2CF074586A51}"/>
    <cellStyle name="20% - Accent5 2 5 2 2 2" xfId="35499" xr:uid="{F0161A66-ACDB-46CA-BF6E-D8327A1B9692}"/>
    <cellStyle name="20% - Accent5 2 5 2 3" xfId="35500" xr:uid="{E2A251C9-5E01-4EA1-AAC0-FF731B85B3CB}"/>
    <cellStyle name="20% - Accent5 2 5 2 3 2" xfId="35501" xr:uid="{55E2FE2D-B5FE-4800-BD79-B0189F41CFBC}"/>
    <cellStyle name="20% - Accent5 2 5 2 4" xfId="35502" xr:uid="{C4D219A0-ACAF-4BC7-9A43-3FC0FC6B927E}"/>
    <cellStyle name="20% - Accent5 2 5 3" xfId="35503" xr:uid="{2FA005DA-42BD-450E-AA3A-3196FD25F389}"/>
    <cellStyle name="20% - Accent5 2 5 3 2" xfId="35504" xr:uid="{1517D046-1F88-43FC-BFFD-2348AB9F706C}"/>
    <cellStyle name="20% - Accent5 2 5 3 2 2" xfId="35505" xr:uid="{4689671A-C571-4CF0-91A4-CB3855F98FC2}"/>
    <cellStyle name="20% - Accent5 2 5 3 3" xfId="35506" xr:uid="{B9579721-BA1F-4E10-83C2-66E51E6B46A1}"/>
    <cellStyle name="20% - Accent5 2 5 3 3 2" xfId="35507" xr:uid="{61A1CBBA-C46D-4E76-9784-3C456B0F2EFD}"/>
    <cellStyle name="20% - Accent5 2 5 3 4" xfId="35508" xr:uid="{1DB98E9E-C0C0-48C6-AA22-1CE3088CC05D}"/>
    <cellStyle name="20% - Accent5 2 5 4" xfId="35509" xr:uid="{C02C31D4-946F-4E71-9AAA-3CCBBDF2CADD}"/>
    <cellStyle name="20% - Accent5 2 5 4 2" xfId="35510" xr:uid="{03FBD6BC-A538-405B-9C92-D5D549EC7448}"/>
    <cellStyle name="20% - Accent5 2 5 4 2 2" xfId="35511" xr:uid="{0479F711-35C8-467D-B24E-587CEDEE4D5D}"/>
    <cellStyle name="20% - Accent5 2 5 4 3" xfId="35512" xr:uid="{642C6BDA-F918-4A01-9949-9E2E7AD8412B}"/>
    <cellStyle name="20% - Accent5 2 5 4 3 2" xfId="35513" xr:uid="{F8C002FB-6112-4BBC-B78B-654357A446A6}"/>
    <cellStyle name="20% - Accent5 2 5 4 4" xfId="35514" xr:uid="{E7E92652-0A58-4153-B4B7-12422500E49F}"/>
    <cellStyle name="20% - Accent5 2 5 5" xfId="35515" xr:uid="{AD59A3D0-C205-45C1-9D91-7DB52EA0F76D}"/>
    <cellStyle name="20% - Accent5 2 5 5 2" xfId="35516" xr:uid="{9F7A54AD-FA90-44E9-A1AE-0859E69AB485}"/>
    <cellStyle name="20% - Accent5 2 5 6" xfId="35517" xr:uid="{226EE857-E260-45E8-A094-886E9AF1B928}"/>
    <cellStyle name="20% - Accent5 2 5 6 2" xfId="35518" xr:uid="{601D7A5D-1C45-41B6-8023-E2E89F72BA36}"/>
    <cellStyle name="20% - Accent5 2 5 7" xfId="35519" xr:uid="{2B5C49C3-BD9D-413E-9B02-68F6280A6CBA}"/>
    <cellStyle name="20% - Accent5 2 6" xfId="35520" xr:uid="{5A64124F-A095-4665-97BC-BBD74CC0C010}"/>
    <cellStyle name="20% - Accent5 2 6 2" xfId="35521" xr:uid="{429D15DD-AF0F-4E4E-B990-680E5426CDF3}"/>
    <cellStyle name="20% - Accent5 2 6 2 2" xfId="35522" xr:uid="{F529DD7D-EDF5-4163-8335-FCBA8049EB8C}"/>
    <cellStyle name="20% - Accent5 2 6 3" xfId="35523" xr:uid="{F83031E6-3472-47AF-A238-81D04CE24E88}"/>
    <cellStyle name="20% - Accent5 2 6 3 2" xfId="35524" xr:uid="{9DC03931-EEBA-4873-B164-8F2271AA75AC}"/>
    <cellStyle name="20% - Accent5 2 6 4" xfId="35525" xr:uid="{07883EDD-7542-4C5B-8C62-F081B90472FF}"/>
    <cellStyle name="20% - Accent5 2 7" xfId="35526" xr:uid="{A9C44299-328D-4930-AEF5-9574E80FB495}"/>
    <cellStyle name="20% - Accent5 2 7 2" xfId="35527" xr:uid="{02F10BBA-3218-4B86-9167-B8C985663542}"/>
    <cellStyle name="20% - Accent5 2 7 2 2" xfId="35528" xr:uid="{F627E984-F40C-44D6-884B-E37DD9DD016F}"/>
    <cellStyle name="20% - Accent5 2 7 3" xfId="35529" xr:uid="{F41DF9C2-AEDA-4DE3-AAB1-7E7F8F01099C}"/>
    <cellStyle name="20% - Accent5 2 7 3 2" xfId="35530" xr:uid="{3D074AC3-D73F-4159-AC00-0F096E14482C}"/>
    <cellStyle name="20% - Accent5 2 7 4" xfId="35531" xr:uid="{10C3AC84-9F25-4382-AA9C-F1C2182C32C0}"/>
    <cellStyle name="20% - Accent5 2 8" xfId="35532" xr:uid="{8894CA7B-6D12-4EB0-A68A-247303C405B2}"/>
    <cellStyle name="20% - Accent5 2 9" xfId="35533" xr:uid="{7FDA1935-361C-4A4A-B736-CF99B4D495F1}"/>
    <cellStyle name="20% - Accent5 2_PwrTax 51040" xfId="2081" xr:uid="{24F22DCD-0416-48F2-B182-00D9DB4963EF}"/>
    <cellStyle name="20% - Accent5 20" xfId="2082" xr:uid="{35D14416-4291-4764-A01B-8735FC61EB41}"/>
    <cellStyle name="20% - Accent5 21" xfId="2083" xr:uid="{51B58ADE-024C-4724-ABD3-B635D5011052}"/>
    <cellStyle name="20% - Accent5 22" xfId="2084" xr:uid="{8D5E76EE-A5CE-480C-9726-39F3F3E5D269}"/>
    <cellStyle name="20% - Accent5 23" xfId="2085" xr:uid="{11CE4F2E-B001-4E6A-8C07-C5E38B91B159}"/>
    <cellStyle name="20% - Accent5 24" xfId="2086" xr:uid="{B24767E6-F116-4098-815A-1D1C748D6A1F}"/>
    <cellStyle name="20% - Accent5 25" xfId="2087" xr:uid="{472E7F67-C083-4FA2-AA0F-C2C74AD3A250}"/>
    <cellStyle name="20% - Accent5 26" xfId="2088" xr:uid="{3E0911C2-0B10-477A-9DA3-728F3CA8056E}"/>
    <cellStyle name="20% - Accent5 27" xfId="2089" xr:uid="{6D895CC5-49DE-4A92-AD01-8C85BB2FE5BE}"/>
    <cellStyle name="20% - Accent5 28" xfId="2090" xr:uid="{CE72906C-58BD-44C1-916B-CDBF1F5D6E6D}"/>
    <cellStyle name="20% - Accent5 29" xfId="2091" xr:uid="{E2EA47AA-9F91-4346-A87B-A24ACE421A49}"/>
    <cellStyle name="20% - Accent5 3" xfId="2092" xr:uid="{F485E7CC-7DEC-495B-9451-ED420FAB46AD}"/>
    <cellStyle name="20% - Accent5 3 10" xfId="35534" xr:uid="{526F2AF0-384C-40F4-BD0D-38D74BCD1D3D}"/>
    <cellStyle name="20% - Accent5 3 11" xfId="43535" xr:uid="{A77D1656-4259-42CD-ACA9-151BD3140321}"/>
    <cellStyle name="20% - Accent5 3 2" xfId="2093" xr:uid="{7C14A07C-F5EE-4DD2-952E-0648200B14BA}"/>
    <cellStyle name="20% - Accent5 3 2 2" xfId="35535" xr:uid="{5396F419-7602-4BB1-B236-3FF6CAF72990}"/>
    <cellStyle name="20% - Accent5 3 2 2 2" xfId="35536" xr:uid="{845F95BB-FBA3-41AC-94C9-5F61333B86B2}"/>
    <cellStyle name="20% - Accent5 3 2 3" xfId="35537" xr:uid="{80C880AF-F3D5-43F2-ABDE-017BEACD1D45}"/>
    <cellStyle name="20% - Accent5 3 3" xfId="2094" xr:uid="{573F5B2A-60AB-44AA-B2E3-4AC720370DED}"/>
    <cellStyle name="20% - Accent5 3 3 10" xfId="35538" xr:uid="{EF208061-55BF-4EC7-B913-D81F3DE9CE55}"/>
    <cellStyle name="20% - Accent5 3 3 10 2" xfId="35539" xr:uid="{FD6F332B-69A6-4FEE-B7CC-54A1224937A5}"/>
    <cellStyle name="20% - Accent5 3 3 11" xfId="35540" xr:uid="{DF854881-F718-4BA2-BA90-7E8CA63A640D}"/>
    <cellStyle name="20% - Accent5 3 3 12" xfId="35541" xr:uid="{E4B9C5B7-59B2-47EB-AD79-5B894CF2CB79}"/>
    <cellStyle name="20% - Accent5 3 3 2" xfId="2095" xr:uid="{3D38E475-0CC5-48AA-B012-03C0CA38F1E8}"/>
    <cellStyle name="20% - Accent5 3 3 2 2" xfId="2096" xr:uid="{A7456E08-FC0B-43F4-8011-F3CD519B2D2B}"/>
    <cellStyle name="20% - Accent5 3 3 2 2 2" xfId="2097" xr:uid="{B8F7096E-C6FB-4B10-96EA-838004E0C2FC}"/>
    <cellStyle name="20% - Accent5 3 3 2 2 2 2" xfId="2098" xr:uid="{2E84632E-AD96-453E-9EF0-43F526F3E4E1}"/>
    <cellStyle name="20% - Accent5 3 3 2 2 2 2 2" xfId="35542" xr:uid="{E31F6E88-ABF8-4442-869B-B8E5E84298AB}"/>
    <cellStyle name="20% - Accent5 3 3 2 2 2 3" xfId="2099" xr:uid="{2E6FF085-8CD7-4D9E-8481-9732D13F1D54}"/>
    <cellStyle name="20% - Accent5 3 3 2 2 2 3 2" xfId="35543" xr:uid="{67A168E9-FF1F-4AF7-89AC-C2148D200D2E}"/>
    <cellStyle name="20% - Accent5 3 3 2 2 2 4" xfId="35544" xr:uid="{3B5AAA9B-5D7C-478A-9AD5-CFB71A4320E7}"/>
    <cellStyle name="20% - Accent5 3 3 2 2 3" xfId="2100" xr:uid="{15687296-7C65-4E1B-BFB2-268F50CB5F43}"/>
    <cellStyle name="20% - Accent5 3 3 2 2 3 2" xfId="35545" xr:uid="{E0D11A7E-3494-4C1A-852E-AF5AA946010E}"/>
    <cellStyle name="20% - Accent5 3 3 2 2 4" xfId="2101" xr:uid="{25D03482-C1D3-4EC5-9C7B-93CC94074440}"/>
    <cellStyle name="20% - Accent5 3 3 2 2 4 2" xfId="35546" xr:uid="{27684AB6-7866-4C85-A176-A7E349891CAE}"/>
    <cellStyle name="20% - Accent5 3 3 2 2 5" xfId="35547" xr:uid="{A5B2156B-9FC0-412C-9318-486C52962F3F}"/>
    <cellStyle name="20% - Accent5 3 3 2 3" xfId="2102" xr:uid="{7512BB7D-3009-41C3-809B-AF8A6B34BF6A}"/>
    <cellStyle name="20% - Accent5 3 3 2 3 2" xfId="2103" xr:uid="{DAECA7DC-8682-46F4-80B9-D20CAC0E63A8}"/>
    <cellStyle name="20% - Accent5 3 3 2 3 2 2" xfId="35548" xr:uid="{A3FBBE1A-1AD5-4C88-A552-DADA2D4DECD4}"/>
    <cellStyle name="20% - Accent5 3 3 2 3 3" xfId="2104" xr:uid="{A8A6418C-CDCE-487A-8B24-1CD75479AAA5}"/>
    <cellStyle name="20% - Accent5 3 3 2 3 3 2" xfId="35549" xr:uid="{3D026904-5592-41F0-8628-DB9BC600270E}"/>
    <cellStyle name="20% - Accent5 3 3 2 3 4" xfId="35550" xr:uid="{748B1155-43A8-4542-9E65-1DCAAE695B8A}"/>
    <cellStyle name="20% - Accent5 3 3 2 4" xfId="2105" xr:uid="{60C59F49-6B93-447D-86F9-31DCE219BBE0}"/>
    <cellStyle name="20% - Accent5 3 3 2 4 2" xfId="35551" xr:uid="{646AE258-5B61-4F13-BD5B-CAF1800C89E6}"/>
    <cellStyle name="20% - Accent5 3 3 2 4 2 2" xfId="35552" xr:uid="{960D67DA-7B14-47F1-8D66-1207FA5C9EE7}"/>
    <cellStyle name="20% - Accent5 3 3 2 4 3" xfId="35553" xr:uid="{9B675AC6-DD6D-4B81-927C-991F1E0A0571}"/>
    <cellStyle name="20% - Accent5 3 3 2 4 3 2" xfId="35554" xr:uid="{C3548916-CD9A-4D43-8973-730ABDBBDCBE}"/>
    <cellStyle name="20% - Accent5 3 3 2 4 4" xfId="35555" xr:uid="{C4CEA19A-87E9-4075-BD97-00C59F0AEAED}"/>
    <cellStyle name="20% - Accent5 3 3 2 5" xfId="2106" xr:uid="{93A23B19-024C-45BE-9FE2-FDF1F17B82E8}"/>
    <cellStyle name="20% - Accent5 3 3 2 5 2" xfId="35556" xr:uid="{0FE6232F-B2E9-4216-85D6-BA2C3D7F5305}"/>
    <cellStyle name="20% - Accent5 3 3 2 5 2 2" xfId="35557" xr:uid="{513DA8A5-99B8-44DA-A143-CC342E86AD4C}"/>
    <cellStyle name="20% - Accent5 3 3 2 5 3" xfId="35558" xr:uid="{66AB920A-E5D7-4973-B6F3-977F50FACA5B}"/>
    <cellStyle name="20% - Accent5 3 3 2 5 3 2" xfId="35559" xr:uid="{27BB1D94-2A7E-4430-8E1C-9C0DBB9ECD9C}"/>
    <cellStyle name="20% - Accent5 3 3 2 5 4" xfId="35560" xr:uid="{EE07CC84-D78F-478B-AB2D-6941FBECC2D6}"/>
    <cellStyle name="20% - Accent5 3 3 2 6" xfId="35561" xr:uid="{20D7DDD5-A4B2-4FFB-9596-C7AE721BB6A1}"/>
    <cellStyle name="20% - Accent5 3 3 2 6 2" xfId="35562" xr:uid="{64BB0810-91D3-4356-98CD-B245E7A8E5DD}"/>
    <cellStyle name="20% - Accent5 3 3 2 6 2 2" xfId="35563" xr:uid="{BC3D7B3F-C09B-4819-9F8D-09F0517D8DE6}"/>
    <cellStyle name="20% - Accent5 3 3 2 6 3" xfId="35564" xr:uid="{50EB2D51-C3C9-454C-9879-BFE3A8A9D8F5}"/>
    <cellStyle name="20% - Accent5 3 3 2 6 3 2" xfId="35565" xr:uid="{FE1D9930-0B77-4AF6-935E-843ABBDE056E}"/>
    <cellStyle name="20% - Accent5 3 3 2 6 4" xfId="35566" xr:uid="{A58569EF-002B-4DBE-A932-996D857F73A2}"/>
    <cellStyle name="20% - Accent5 3 3 2 7" xfId="35567" xr:uid="{0CDDC168-7AEC-431C-8BF2-6C8446160853}"/>
    <cellStyle name="20% - Accent5 3 3 2 7 2" xfId="35568" xr:uid="{10925F87-BCF7-4F98-9A39-3B9DA7E03E6B}"/>
    <cellStyle name="20% - Accent5 3 3 2 8" xfId="35569" xr:uid="{F9BB63AD-0417-4408-BF89-D8A48E693BB3}"/>
    <cellStyle name="20% - Accent5 3 3 2 8 2" xfId="35570" xr:uid="{7C4176CF-FD50-4025-9360-89626E86EAEC}"/>
    <cellStyle name="20% - Accent5 3 3 2 9" xfId="35571" xr:uid="{9042D8AE-D624-458B-BEEA-6ED8BAC677EC}"/>
    <cellStyle name="20% - Accent5 3 3 3" xfId="2107" xr:uid="{C8E3E086-B5D0-47FD-ACFC-07D7570C6F53}"/>
    <cellStyle name="20% - Accent5 3 3 3 2" xfId="2108" xr:uid="{52D94A3B-0917-4347-935F-E92EB88403FE}"/>
    <cellStyle name="20% - Accent5 3 3 3 2 2" xfId="2109" xr:uid="{FD07D5DC-FAB1-43AC-A880-30CCE9171C53}"/>
    <cellStyle name="20% - Accent5 3 3 3 2 2 2" xfId="35572" xr:uid="{F812CD93-518A-4574-B7D7-3C5B38E903F5}"/>
    <cellStyle name="20% - Accent5 3 3 3 2 3" xfId="2110" xr:uid="{1D1B27C3-BD5F-4C48-8C66-378933716366}"/>
    <cellStyle name="20% - Accent5 3 3 3 2 3 2" xfId="35573" xr:uid="{C8E0D2A3-3C98-448E-9CC3-252FF872B764}"/>
    <cellStyle name="20% - Accent5 3 3 3 2 4" xfId="35574" xr:uid="{9830F0F1-FAE2-4F88-AC45-59553DD5674C}"/>
    <cellStyle name="20% - Accent5 3 3 3 3" xfId="2111" xr:uid="{9BC9D2F5-5E74-4305-900C-8583C9FEAC55}"/>
    <cellStyle name="20% - Accent5 3 3 3 3 2" xfId="35575" xr:uid="{165AD5EA-9E89-418D-BDB9-6C6C4C5EF550}"/>
    <cellStyle name="20% - Accent5 3 3 3 3 2 2" xfId="35576" xr:uid="{9E39AAFA-6CAB-44C3-A1EE-B64E10FB200D}"/>
    <cellStyle name="20% - Accent5 3 3 3 3 3" xfId="35577" xr:uid="{C1F48B51-0B01-49B3-AFDC-66D2D6F2F62A}"/>
    <cellStyle name="20% - Accent5 3 3 3 3 3 2" xfId="35578" xr:uid="{7A3FD7D0-EA47-4245-B383-17A6CBBDE2CB}"/>
    <cellStyle name="20% - Accent5 3 3 3 3 4" xfId="35579" xr:uid="{BAE38F70-F977-4ACB-A41C-984FB5FB9C49}"/>
    <cellStyle name="20% - Accent5 3 3 3 4" xfId="2112" xr:uid="{0EE3CAF0-5F1F-4C8D-96EC-1E11854027E2}"/>
    <cellStyle name="20% - Accent5 3 3 3 4 2" xfId="35580" xr:uid="{B58FD324-1F7C-4ABA-8CB2-1B360B50F29F}"/>
    <cellStyle name="20% - Accent5 3 3 3 4 2 2" xfId="35581" xr:uid="{FAA89574-8379-4AC5-9065-D09209D93263}"/>
    <cellStyle name="20% - Accent5 3 3 3 4 3" xfId="35582" xr:uid="{6C4B03C1-A947-47EA-922D-C5E1F54FE054}"/>
    <cellStyle name="20% - Accent5 3 3 3 4 3 2" xfId="35583" xr:uid="{EDB5F5AD-D1A2-4179-93C1-B1F46A7D8A15}"/>
    <cellStyle name="20% - Accent5 3 3 3 4 4" xfId="35584" xr:uid="{9B693E7B-DBFD-47BA-9024-35FFBF5B50DC}"/>
    <cellStyle name="20% - Accent5 3 3 3 5" xfId="2113" xr:uid="{32742C78-9FB7-4861-881C-CA76C2EF86E6}"/>
    <cellStyle name="20% - Accent5 3 3 3 5 2" xfId="35585" xr:uid="{E9A90024-02E0-49D8-964F-AD875EAB8841}"/>
    <cellStyle name="20% - Accent5 3 3 3 5 2 2" xfId="35586" xr:uid="{007948B3-B703-49B3-A888-94D5057471F3}"/>
    <cellStyle name="20% - Accent5 3 3 3 5 3" xfId="35587" xr:uid="{5C495078-85FE-4ECA-93C6-5D294FEC8D03}"/>
    <cellStyle name="20% - Accent5 3 3 3 5 3 2" xfId="35588" xr:uid="{86DDD0FD-C40D-417E-B1DF-493AD82031C8}"/>
    <cellStyle name="20% - Accent5 3 3 3 5 4" xfId="35589" xr:uid="{22E155BF-FEE3-45BB-BBA2-5CBFD4DC2153}"/>
    <cellStyle name="20% - Accent5 3 3 3 6" xfId="35590" xr:uid="{3FB362CA-0741-4541-93EA-CB92811CC22E}"/>
    <cellStyle name="20% - Accent5 3 3 3 6 2" xfId="35591" xr:uid="{21285655-88EE-44AA-8D14-915EAE23A332}"/>
    <cellStyle name="20% - Accent5 3 3 3 7" xfId="35592" xr:uid="{74717852-5AAB-4AEA-8C6B-93A48E24451A}"/>
    <cellStyle name="20% - Accent5 3 3 3 7 2" xfId="35593" xr:uid="{302E280B-DD58-4A4E-8A48-953A72784006}"/>
    <cellStyle name="20% - Accent5 3 3 3 8" xfId="35594" xr:uid="{4D9F6590-ADE2-4FE9-90A5-832AAD817E34}"/>
    <cellStyle name="20% - Accent5 3 3 4" xfId="2114" xr:uid="{DBF2BA1C-A5E7-4AF5-9534-16131E89C636}"/>
    <cellStyle name="20% - Accent5 3 3 4 2" xfId="2115" xr:uid="{F209F4EB-0F99-433D-B95B-17F5D4B234D1}"/>
    <cellStyle name="20% - Accent5 3 3 4 2 2" xfId="2116" xr:uid="{265DDDF0-0C00-4657-B474-CD762749D17B}"/>
    <cellStyle name="20% - Accent5 3 3 4 2 2 2" xfId="35595" xr:uid="{841C3A56-5C14-42BC-BE8C-3DF521273B9C}"/>
    <cellStyle name="20% - Accent5 3 3 4 2 3" xfId="2117" xr:uid="{3A51F18E-885B-4836-8740-BE4735D44093}"/>
    <cellStyle name="20% - Accent5 3 3 4 2 3 2" xfId="35596" xr:uid="{52FE31FF-8F32-44EE-970D-B78E692AB312}"/>
    <cellStyle name="20% - Accent5 3 3 4 2 4" xfId="35597" xr:uid="{8C0EB1EA-7873-4DF9-B026-5843CF2713F9}"/>
    <cellStyle name="20% - Accent5 3 3 4 3" xfId="2118" xr:uid="{8B56DEF0-CC3A-4397-B5DB-1F06754DB6F8}"/>
    <cellStyle name="20% - Accent5 3 3 4 3 2" xfId="35598" xr:uid="{3AB9AA57-65CA-4AAE-A3A7-D3CD3A7A7D6F}"/>
    <cellStyle name="20% - Accent5 3 3 4 3 2 2" xfId="35599" xr:uid="{C29C98AB-5A28-4AA8-A4E6-BD162C6835F9}"/>
    <cellStyle name="20% - Accent5 3 3 4 3 3" xfId="35600" xr:uid="{7755D96B-6C28-4076-9716-490D5D42633C}"/>
    <cellStyle name="20% - Accent5 3 3 4 3 3 2" xfId="35601" xr:uid="{44AF8378-62F6-4F46-BAA9-71C115265185}"/>
    <cellStyle name="20% - Accent5 3 3 4 3 4" xfId="35602" xr:uid="{09530AA9-898D-4701-BCB6-6A6D01740840}"/>
    <cellStyle name="20% - Accent5 3 3 4 4" xfId="2119" xr:uid="{54D1C124-FD77-4C08-9522-4F232CFE32BD}"/>
    <cellStyle name="20% - Accent5 3 3 4 4 2" xfId="35603" xr:uid="{CBE02671-3B93-4612-BC69-83A210424097}"/>
    <cellStyle name="20% - Accent5 3 3 4 4 2 2" xfId="35604" xr:uid="{7DC1EC82-EC97-4FBB-8995-42D64D55C969}"/>
    <cellStyle name="20% - Accent5 3 3 4 4 3" xfId="35605" xr:uid="{8AA9B16C-D800-46B4-A810-8A84AAE5337B}"/>
    <cellStyle name="20% - Accent5 3 3 4 4 3 2" xfId="35606" xr:uid="{F46CB34B-3C2D-4595-9F2E-C09797A007AC}"/>
    <cellStyle name="20% - Accent5 3 3 4 4 4" xfId="35607" xr:uid="{C1423CC7-17E6-4DD8-8A36-04BB8E57445D}"/>
    <cellStyle name="20% - Accent5 3 3 4 5" xfId="35608" xr:uid="{5574A55C-3AA5-478B-A3D3-21F5A51A15AA}"/>
    <cellStyle name="20% - Accent5 3 3 4 5 2" xfId="35609" xr:uid="{828B648B-FEFE-4FA5-8B82-39E034B36E1A}"/>
    <cellStyle name="20% - Accent5 3 3 4 6" xfId="35610" xr:uid="{2CE41F82-9138-4C08-938C-BB8DB48003EF}"/>
    <cellStyle name="20% - Accent5 3 3 4 6 2" xfId="35611" xr:uid="{83D44335-5B41-4742-ADD4-AF5ACD83B9ED}"/>
    <cellStyle name="20% - Accent5 3 3 4 7" xfId="35612" xr:uid="{4FED9A0A-58D8-430B-B28B-F07F422B2D0C}"/>
    <cellStyle name="20% - Accent5 3 3 5" xfId="2120" xr:uid="{9135170F-56FB-4401-9255-BFB9A29258A4}"/>
    <cellStyle name="20% - Accent5 3 3 5 2" xfId="2121" xr:uid="{8177D94F-9231-4AB3-83A7-432479647AB6}"/>
    <cellStyle name="20% - Accent5 3 3 5 2 2" xfId="35613" xr:uid="{80D652A4-56BE-4518-883A-2D9EE3B99AA0}"/>
    <cellStyle name="20% - Accent5 3 3 5 2 2 2" xfId="35614" xr:uid="{0E4A10DD-5CF3-47D9-865F-123E41C42BBD}"/>
    <cellStyle name="20% - Accent5 3 3 5 2 3" xfId="35615" xr:uid="{84BD709C-342B-49FF-B881-13DBFA0ECB07}"/>
    <cellStyle name="20% - Accent5 3 3 5 2 3 2" xfId="35616" xr:uid="{BECA32A0-B64A-4A75-90CA-36F5D069CAD5}"/>
    <cellStyle name="20% - Accent5 3 3 5 2 4" xfId="35617" xr:uid="{9F8E78E0-820B-4D1B-B209-9FBA7B19EB07}"/>
    <cellStyle name="20% - Accent5 3 3 5 3" xfId="2122" xr:uid="{F3C4E8B5-6C4C-4FD2-823C-E4397D39B6FC}"/>
    <cellStyle name="20% - Accent5 3 3 5 3 2" xfId="35618" xr:uid="{AFE532B9-AAF6-4F28-9A7E-0333D24DF5B2}"/>
    <cellStyle name="20% - Accent5 3 3 5 3 2 2" xfId="35619" xr:uid="{AE0AE7C6-D3BC-4CC4-9AEA-251E696301CB}"/>
    <cellStyle name="20% - Accent5 3 3 5 3 3" xfId="35620" xr:uid="{8E7B915A-BB91-476F-A593-1B742FD8EEFF}"/>
    <cellStyle name="20% - Accent5 3 3 5 3 3 2" xfId="35621" xr:uid="{FD1F48A4-48E8-4F15-ADDC-D73C00A9DB46}"/>
    <cellStyle name="20% - Accent5 3 3 5 3 4" xfId="35622" xr:uid="{6A85C865-8322-432A-B23D-F75ED12CAC9A}"/>
    <cellStyle name="20% - Accent5 3 3 5 4" xfId="35623" xr:uid="{09566B0F-C155-40DE-9E4D-C48055329487}"/>
    <cellStyle name="20% - Accent5 3 3 5 4 2" xfId="35624" xr:uid="{D8C97E5C-9683-4A67-B18B-B1C71DA9E1AB}"/>
    <cellStyle name="20% - Accent5 3 3 5 4 2 2" xfId="35625" xr:uid="{BA93DFF1-AFF7-4142-9245-B6A8AD3C14A5}"/>
    <cellStyle name="20% - Accent5 3 3 5 4 3" xfId="35626" xr:uid="{515D9F6B-0931-4F93-A0A8-7D1CF56A3FB4}"/>
    <cellStyle name="20% - Accent5 3 3 5 4 3 2" xfId="35627" xr:uid="{EFC682C6-E50B-4C96-B6E7-7F4D8C7934CC}"/>
    <cellStyle name="20% - Accent5 3 3 5 4 4" xfId="35628" xr:uid="{A25DA4B3-9D86-4219-88EF-FE6D40F42B11}"/>
    <cellStyle name="20% - Accent5 3 3 5 5" xfId="35629" xr:uid="{D9FDFF96-DDED-4FF2-8274-5ABB6AC696BB}"/>
    <cellStyle name="20% - Accent5 3 3 5 5 2" xfId="35630" xr:uid="{C36193FB-C72C-4474-9F80-C5229E6392B2}"/>
    <cellStyle name="20% - Accent5 3 3 5 6" xfId="35631" xr:uid="{04CAB834-5DB2-4CFC-BA10-45504F0A754F}"/>
    <cellStyle name="20% - Accent5 3 3 5 6 2" xfId="35632" xr:uid="{884389B5-4796-425D-B94A-AFC993F300F8}"/>
    <cellStyle name="20% - Accent5 3 3 5 7" xfId="35633" xr:uid="{0168BC15-1D0B-47BC-91A9-933502BD397D}"/>
    <cellStyle name="20% - Accent5 3 3 6" xfId="2123" xr:uid="{F3946571-C296-4E0C-BEDA-B485AE4763F6}"/>
    <cellStyle name="20% - Accent5 3 3 6 2" xfId="35634" xr:uid="{62B59F98-49FE-4EF3-B202-BA4BBFD49DDD}"/>
    <cellStyle name="20% - Accent5 3 3 6 2 2" xfId="35635" xr:uid="{5881CDFA-F4C1-4CBA-A187-16BA6EC88916}"/>
    <cellStyle name="20% - Accent5 3 3 6 3" xfId="35636" xr:uid="{C0F881A9-AF3A-48CF-9471-639750B4C93C}"/>
    <cellStyle name="20% - Accent5 3 3 6 3 2" xfId="35637" xr:uid="{FDAAA0FB-D143-4999-BDEE-80B6D4E64CD7}"/>
    <cellStyle name="20% - Accent5 3 3 6 4" xfId="35638" xr:uid="{6588297F-4299-4DCA-88B9-159023E3E17D}"/>
    <cellStyle name="20% - Accent5 3 3 7" xfId="2124" xr:uid="{526D3591-8704-4C42-850E-35F4A6C02B39}"/>
    <cellStyle name="20% - Accent5 3 3 7 2" xfId="35639" xr:uid="{6734DCD7-7C48-4431-9C7B-DB7E58AF71D0}"/>
    <cellStyle name="20% - Accent5 3 3 7 2 2" xfId="35640" xr:uid="{0CC8AB57-BBD2-43E2-A3E7-F89F9459D06E}"/>
    <cellStyle name="20% - Accent5 3 3 7 3" xfId="35641" xr:uid="{352350A2-E2FF-4291-98DD-4691B6D495EB}"/>
    <cellStyle name="20% - Accent5 3 3 7 3 2" xfId="35642" xr:uid="{288576E5-54A7-4729-9DA1-664045633E90}"/>
    <cellStyle name="20% - Accent5 3 3 7 4" xfId="35643" xr:uid="{48C045FA-1374-4C53-98BF-BCDCEACCEDAA}"/>
    <cellStyle name="20% - Accent5 3 3 8" xfId="2125" xr:uid="{AB071CD9-6FF3-4EBE-BFC0-AF4284EF66B6}"/>
    <cellStyle name="20% - Accent5 3 3 8 2" xfId="35644" xr:uid="{E24ECBD0-11A5-46DE-8DB5-8CA4C93122E7}"/>
    <cellStyle name="20% - Accent5 3 3 8 2 2" xfId="35645" xr:uid="{378F03F2-9E4D-4859-9253-8687B64E2DC0}"/>
    <cellStyle name="20% - Accent5 3 3 8 3" xfId="35646" xr:uid="{CD2F003F-90F5-49EC-893C-457319412882}"/>
    <cellStyle name="20% - Accent5 3 3 8 3 2" xfId="35647" xr:uid="{98008E28-A1CA-4595-AE5F-D9DA5E705715}"/>
    <cellStyle name="20% - Accent5 3 3 8 4" xfId="35648" xr:uid="{2976B068-EA05-4C10-B49E-C75B5F739658}"/>
    <cellStyle name="20% - Accent5 3 3 9" xfId="35649" xr:uid="{81C23985-8B48-4AD4-A4D7-F101B3A72274}"/>
    <cellStyle name="20% - Accent5 3 3 9 2" xfId="35650" xr:uid="{D8847ECB-6F78-44B5-A2A7-B0225F61A4B8}"/>
    <cellStyle name="20% - Accent5 3 4" xfId="2126" xr:uid="{6313A2EA-571D-489E-8806-F6DC275A6915}"/>
    <cellStyle name="20% - Accent5 3 4 10" xfId="35651" xr:uid="{F13FC071-0BA0-45F0-8B33-C860A30DE74A}"/>
    <cellStyle name="20% - Accent5 3 4 2" xfId="2127" xr:uid="{1A5DA92A-9452-49C9-A23D-DA1E7C82989B}"/>
    <cellStyle name="20% - Accent5 3 4 2 2" xfId="2128" xr:uid="{0650670B-8AD4-4D20-BE0F-DA77A0BEB1C1}"/>
    <cellStyle name="20% - Accent5 3 4 2 2 2" xfId="2129" xr:uid="{0E6DCB34-A45A-448E-94E8-4C17AE008792}"/>
    <cellStyle name="20% - Accent5 3 4 2 2 2 2" xfId="35652" xr:uid="{24E0F9F8-A347-469D-81CF-0089A6916371}"/>
    <cellStyle name="20% - Accent5 3 4 2 2 3" xfId="2130" xr:uid="{3CE8114D-7636-442E-AD3C-0190B735C4D0}"/>
    <cellStyle name="20% - Accent5 3 4 2 2 3 2" xfId="35653" xr:uid="{AB928BF3-6BE8-4370-9B5F-E586A17C69A1}"/>
    <cellStyle name="20% - Accent5 3 4 2 2 4" xfId="35654" xr:uid="{E6956D5F-EBB1-4739-84CA-D2DF6A58DB7B}"/>
    <cellStyle name="20% - Accent5 3 4 2 3" xfId="2131" xr:uid="{A5C83918-110B-4AC1-B3C3-AFF426B59A55}"/>
    <cellStyle name="20% - Accent5 3 4 2 3 2" xfId="35655" xr:uid="{608153B4-E9EF-46B9-9DA2-C31815CA5BF2}"/>
    <cellStyle name="20% - Accent5 3 4 2 3 2 2" xfId="35656" xr:uid="{5BC0E0DF-E1EE-488B-BC88-CE2EDC5D7A5A}"/>
    <cellStyle name="20% - Accent5 3 4 2 3 3" xfId="35657" xr:uid="{79ABD24E-9102-40F6-8312-B9D084E3B6B8}"/>
    <cellStyle name="20% - Accent5 3 4 2 3 3 2" xfId="35658" xr:uid="{25D2697B-E42E-4333-9A39-6F248B2149AF}"/>
    <cellStyle name="20% - Accent5 3 4 2 3 4" xfId="35659" xr:uid="{87026664-3E37-4024-9F98-3A100D16D6C4}"/>
    <cellStyle name="20% - Accent5 3 4 2 4" xfId="2132" xr:uid="{E22ED765-9E03-4ABA-BA2D-D7366B60A600}"/>
    <cellStyle name="20% - Accent5 3 4 2 4 2" xfId="35660" xr:uid="{2A05734C-F04A-4103-9FB1-800F611E87FD}"/>
    <cellStyle name="20% - Accent5 3 4 2 4 2 2" xfId="35661" xr:uid="{8E782272-9888-48B2-A714-856229C22BB6}"/>
    <cellStyle name="20% - Accent5 3 4 2 4 3" xfId="35662" xr:uid="{9EAF0B53-80EE-41EA-9446-CAEA8C57CBB4}"/>
    <cellStyle name="20% - Accent5 3 4 2 4 3 2" xfId="35663" xr:uid="{EC5EF007-D463-4754-B650-83248F844F76}"/>
    <cellStyle name="20% - Accent5 3 4 2 4 4" xfId="35664" xr:uid="{9DA0E772-BA75-4FEF-BA44-C87F5802A507}"/>
    <cellStyle name="20% - Accent5 3 4 2 5" xfId="35665" xr:uid="{782678C6-A5A2-47E4-9917-84C719E21342}"/>
    <cellStyle name="20% - Accent5 3 4 2 5 2" xfId="35666" xr:uid="{7B518DA5-AC6B-483A-8469-696B9857F201}"/>
    <cellStyle name="20% - Accent5 3 4 2 5 2 2" xfId="35667" xr:uid="{3D15155A-CBC3-42C0-AAB6-E5190844AE4B}"/>
    <cellStyle name="20% - Accent5 3 4 2 5 3" xfId="35668" xr:uid="{611223D2-A288-46DC-AE7F-3989C9536DAD}"/>
    <cellStyle name="20% - Accent5 3 4 2 5 3 2" xfId="35669" xr:uid="{F2502D9C-A12D-4C40-8CB0-17FDE035A9FA}"/>
    <cellStyle name="20% - Accent5 3 4 2 5 4" xfId="35670" xr:uid="{34193330-5D68-4C5D-96A4-7BE372CAD3E9}"/>
    <cellStyle name="20% - Accent5 3 4 2 6" xfId="35671" xr:uid="{98B09B05-1726-44BA-9425-F7CDFEC77CE1}"/>
    <cellStyle name="20% - Accent5 3 4 2 6 2" xfId="35672" xr:uid="{9853ABB8-1F80-44C6-A485-B5F26B54206F}"/>
    <cellStyle name="20% - Accent5 3 4 2 7" xfId="35673" xr:uid="{D0DACBE1-BCF2-4A94-9186-314DC526D664}"/>
    <cellStyle name="20% - Accent5 3 4 2 7 2" xfId="35674" xr:uid="{0016CB8D-191C-47ED-B552-48D4B84B30BA}"/>
    <cellStyle name="20% - Accent5 3 4 2 8" xfId="35675" xr:uid="{4049471D-98BD-4971-986F-564E6E876844}"/>
    <cellStyle name="20% - Accent5 3 4 3" xfId="2133" xr:uid="{61F8F796-5B1F-492C-BA9C-72ADCA4EEAFF}"/>
    <cellStyle name="20% - Accent5 3 4 3 2" xfId="2134" xr:uid="{482D4167-ED00-40A6-A9D4-75473052E4AB}"/>
    <cellStyle name="20% - Accent5 3 4 3 2 2" xfId="35676" xr:uid="{99589FAE-2F01-4DCD-BA7A-5FB6FEED2353}"/>
    <cellStyle name="20% - Accent5 3 4 3 2 2 2" xfId="35677" xr:uid="{298AAB29-819E-453F-A49D-183DE2948C4D}"/>
    <cellStyle name="20% - Accent5 3 4 3 2 3" xfId="35678" xr:uid="{0F82446B-2067-4143-9B73-6808CDDE9233}"/>
    <cellStyle name="20% - Accent5 3 4 3 2 3 2" xfId="35679" xr:uid="{F7DE4994-1087-4AA7-9F9F-CBF2D489C43D}"/>
    <cellStyle name="20% - Accent5 3 4 3 2 4" xfId="35680" xr:uid="{659BD026-9390-46BE-9F8F-7897E9E3FC68}"/>
    <cellStyle name="20% - Accent5 3 4 3 3" xfId="2135" xr:uid="{BC62B223-5DAC-4092-9069-B1B296F0E70D}"/>
    <cellStyle name="20% - Accent5 3 4 3 3 2" xfId="35681" xr:uid="{4F61653E-76DE-4E5A-B7F6-E5189522A1E6}"/>
    <cellStyle name="20% - Accent5 3 4 3 3 2 2" xfId="35682" xr:uid="{3AD14CBB-385F-4FD8-B2BC-B455651A3784}"/>
    <cellStyle name="20% - Accent5 3 4 3 3 3" xfId="35683" xr:uid="{9C5F67E1-3503-44A1-8941-994D56EFE20C}"/>
    <cellStyle name="20% - Accent5 3 4 3 3 3 2" xfId="35684" xr:uid="{C30B835C-DE2E-4CE8-A0F6-F3D8B4EB4775}"/>
    <cellStyle name="20% - Accent5 3 4 3 3 4" xfId="35685" xr:uid="{2ECF9F9A-D64B-41D5-8070-2AA18D06ED7E}"/>
    <cellStyle name="20% - Accent5 3 4 3 4" xfId="35686" xr:uid="{97033A05-6A0B-4216-9E6F-F1778EB23BF8}"/>
    <cellStyle name="20% - Accent5 3 4 3 4 2" xfId="35687" xr:uid="{B735B723-68AA-4ECB-BF7A-94E430BF8B20}"/>
    <cellStyle name="20% - Accent5 3 4 3 4 2 2" xfId="35688" xr:uid="{7F0A8FBB-50D1-4D0B-A751-3D746C717EC2}"/>
    <cellStyle name="20% - Accent5 3 4 3 4 3" xfId="35689" xr:uid="{F0223FA2-4D0C-4E8E-A7F0-49AA504FB36B}"/>
    <cellStyle name="20% - Accent5 3 4 3 4 3 2" xfId="35690" xr:uid="{53F9407D-83A5-4AA7-A2C0-10C141757789}"/>
    <cellStyle name="20% - Accent5 3 4 3 4 4" xfId="35691" xr:uid="{335C31AE-D346-4BB8-8ECD-D3484EA222C7}"/>
    <cellStyle name="20% - Accent5 3 4 3 5" xfId="35692" xr:uid="{7D6B764E-632E-4888-A64D-0C2B44138370}"/>
    <cellStyle name="20% - Accent5 3 4 3 5 2" xfId="35693" xr:uid="{E4C0A20A-AC01-4C6F-BE4E-B36E19478739}"/>
    <cellStyle name="20% - Accent5 3 4 3 6" xfId="35694" xr:uid="{851C258D-BE4A-4336-BC70-B0ACB72503AE}"/>
    <cellStyle name="20% - Accent5 3 4 3 6 2" xfId="35695" xr:uid="{72C4B1DC-393D-4C15-925A-3C7F4137A77D}"/>
    <cellStyle name="20% - Accent5 3 4 3 7" xfId="35696" xr:uid="{1542EE16-9DFF-4C3D-B6D4-74790C0FD096}"/>
    <cellStyle name="20% - Accent5 3 4 4" xfId="2136" xr:uid="{6D862685-7A29-4B18-8E52-DD5BE16BF9B5}"/>
    <cellStyle name="20% - Accent5 3 4 4 2" xfId="35697" xr:uid="{3BF5BB14-CFB6-49AF-B0BF-22D78A06D3D9}"/>
    <cellStyle name="20% - Accent5 3 4 4 2 2" xfId="35698" xr:uid="{3EB7BEB7-B09B-41C6-AB5F-9F8152BE830E}"/>
    <cellStyle name="20% - Accent5 3 4 4 3" xfId="35699" xr:uid="{6B754463-CEF5-4036-AF45-44525714558E}"/>
    <cellStyle name="20% - Accent5 3 4 4 3 2" xfId="35700" xr:uid="{C4AF508F-DCDE-431F-85B2-ABF2C6E115BC}"/>
    <cellStyle name="20% - Accent5 3 4 4 4" xfId="35701" xr:uid="{530CCF0C-A5E1-439F-B1F4-03331A1205BA}"/>
    <cellStyle name="20% - Accent5 3 4 5" xfId="2137" xr:uid="{01AC16F0-733F-4BBE-B815-3CB44881A158}"/>
    <cellStyle name="20% - Accent5 3 4 5 2" xfId="35702" xr:uid="{EDBE36D0-F737-4341-95B4-F2B30EB24926}"/>
    <cellStyle name="20% - Accent5 3 4 5 2 2" xfId="35703" xr:uid="{CA6CAE7B-515D-4425-ADE3-0963788E2B50}"/>
    <cellStyle name="20% - Accent5 3 4 5 3" xfId="35704" xr:uid="{BCE0193B-947F-4F44-A939-8A9B1815404A}"/>
    <cellStyle name="20% - Accent5 3 4 5 3 2" xfId="35705" xr:uid="{00FF5D5C-AF32-4F1A-A607-14F39CF302F9}"/>
    <cellStyle name="20% - Accent5 3 4 5 4" xfId="35706" xr:uid="{456F09A2-2DBC-4DDD-99D7-88DC4D7628E6}"/>
    <cellStyle name="20% - Accent5 3 4 6" xfId="2138" xr:uid="{B70CA5BC-F852-4A0F-86E1-6109696CD64F}"/>
    <cellStyle name="20% - Accent5 3 4 6 2" xfId="35707" xr:uid="{F84014D5-3C2C-4C2A-918A-797FCBE7C5E9}"/>
    <cellStyle name="20% - Accent5 3 4 6 2 2" xfId="35708" xr:uid="{7920234E-F5C4-495E-9AC5-F9D54E7E2D7A}"/>
    <cellStyle name="20% - Accent5 3 4 6 3" xfId="35709" xr:uid="{3E38E67C-39AB-4CA9-864C-A5DE714CDD9A}"/>
    <cellStyle name="20% - Accent5 3 4 6 3 2" xfId="35710" xr:uid="{04072AF4-280F-41FA-90ED-1A98E208E40C}"/>
    <cellStyle name="20% - Accent5 3 4 6 4" xfId="35711" xr:uid="{0A6AA87C-5350-4636-ABD9-BD15E2C07E4C}"/>
    <cellStyle name="20% - Accent5 3 4 7" xfId="35712" xr:uid="{AC30E0CF-FE5F-40B5-B944-ECFC044A0356}"/>
    <cellStyle name="20% - Accent5 3 4 7 2" xfId="35713" xr:uid="{1DCAB76A-153C-416B-AECE-042054672841}"/>
    <cellStyle name="20% - Accent5 3 4 8" xfId="35714" xr:uid="{894EFD65-6328-4480-B7D3-E65222C45144}"/>
    <cellStyle name="20% - Accent5 3 4 8 2" xfId="35715" xr:uid="{9AEEE24D-CAB0-4354-BEED-8515BFBCB724}"/>
    <cellStyle name="20% - Accent5 3 4 9" xfId="35716" xr:uid="{21E3B8DE-E610-4FE2-A865-E4FC6EABDEAB}"/>
    <cellStyle name="20% - Accent5 3 5" xfId="2139" xr:uid="{612CA537-1963-4D23-8EBD-A07AFADD6696}"/>
    <cellStyle name="20% - Accent5 3 5 2" xfId="2140" xr:uid="{ADC1C3F7-5C3F-405E-9767-FA6473C4F8FF}"/>
    <cellStyle name="20% - Accent5 3 5 2 2" xfId="2141" xr:uid="{B067AD2E-8A99-4758-BC7A-1A4305A5A3AB}"/>
    <cellStyle name="20% - Accent5 3 5 2 2 2" xfId="35717" xr:uid="{792549AF-8082-4A0B-98AA-C0A3BC2335C0}"/>
    <cellStyle name="20% - Accent5 3 5 2 3" xfId="2142" xr:uid="{EB3F9B3D-D589-4EFC-9D5A-AA2F024191B8}"/>
    <cellStyle name="20% - Accent5 3 5 2 3 2" xfId="35718" xr:uid="{D443A323-6693-475D-9CD7-FA00E1C908A2}"/>
    <cellStyle name="20% - Accent5 3 5 2 4" xfId="35719" xr:uid="{8CF3A5B8-4482-4DD9-8A31-F2BD4385E89F}"/>
    <cellStyle name="20% - Accent5 3 5 3" xfId="2143" xr:uid="{3382A32A-C12C-4306-9D10-E4F6B6DA3D9A}"/>
    <cellStyle name="20% - Accent5 3 5 3 2" xfId="35720" xr:uid="{9AE94B31-5E18-421F-BA57-26FE17D79D79}"/>
    <cellStyle name="20% - Accent5 3 5 3 2 2" xfId="35721" xr:uid="{BD33B1DE-3906-4754-A3C0-AB227C300D27}"/>
    <cellStyle name="20% - Accent5 3 5 3 3" xfId="35722" xr:uid="{433BCF9D-D255-40AA-A2F7-0A87A7F28FBC}"/>
    <cellStyle name="20% - Accent5 3 5 3 3 2" xfId="35723" xr:uid="{F40E5FC5-C48F-4EFF-93EF-FA8919851DD1}"/>
    <cellStyle name="20% - Accent5 3 5 3 4" xfId="35724" xr:uid="{78337E27-F79A-4936-AA03-3E54838E3839}"/>
    <cellStyle name="20% - Accent5 3 5 4" xfId="2144" xr:uid="{40AA2C52-5141-4C81-83F5-8C585AC00037}"/>
    <cellStyle name="20% - Accent5 3 5 4 2" xfId="35725" xr:uid="{E2023404-6DCC-43C8-9B76-1D1D69B08618}"/>
    <cellStyle name="20% - Accent5 3 5 4 2 2" xfId="35726" xr:uid="{D94E3B5D-D899-4B26-A2D5-8860A28995D1}"/>
    <cellStyle name="20% - Accent5 3 5 4 3" xfId="35727" xr:uid="{30D76BEE-C271-4F1D-858B-70914C3F001C}"/>
    <cellStyle name="20% - Accent5 3 5 4 3 2" xfId="35728" xr:uid="{3F2F8ADA-7AAE-46D3-A3D1-17C68DCB207E}"/>
    <cellStyle name="20% - Accent5 3 5 4 4" xfId="35729" xr:uid="{FD6450DB-94F4-42E6-87A4-B776ECE44BD0}"/>
    <cellStyle name="20% - Accent5 3 5 5" xfId="35730" xr:uid="{92B588A8-FFCA-499A-AB4D-68A7675B845E}"/>
    <cellStyle name="20% - Accent5 3 5 5 2" xfId="35731" xr:uid="{87AB3298-3FB1-4066-9DBF-E1ED64FC6625}"/>
    <cellStyle name="20% - Accent5 3 5 5 2 2" xfId="35732" xr:uid="{26D38A68-F211-40E5-84B1-7780690D6752}"/>
    <cellStyle name="20% - Accent5 3 5 5 3" xfId="35733" xr:uid="{6800AE69-9A2B-45CF-B079-BF2627E54A91}"/>
    <cellStyle name="20% - Accent5 3 5 5 3 2" xfId="35734" xr:uid="{D28E730A-1701-4D21-9DC4-A052D8880F52}"/>
    <cellStyle name="20% - Accent5 3 5 5 4" xfId="35735" xr:uid="{5BC20321-E6EC-42A0-9860-9A0387164801}"/>
    <cellStyle name="20% - Accent5 3 5 6" xfId="35736" xr:uid="{25D23C5B-4BC7-4628-A332-BC897F17FCDE}"/>
    <cellStyle name="20% - Accent5 3 5 6 2" xfId="35737" xr:uid="{CB0FD0E1-A62E-48F7-A84E-DD7E18D78027}"/>
    <cellStyle name="20% - Accent5 3 5 7" xfId="35738" xr:uid="{52B8B504-6CF0-4B9D-8333-91810F06C7F3}"/>
    <cellStyle name="20% - Accent5 3 5 7 2" xfId="35739" xr:uid="{AE072A63-06AF-4703-945F-408B71A41056}"/>
    <cellStyle name="20% - Accent5 3 5 8" xfId="35740" xr:uid="{86FB12B2-6295-491A-BD5F-FA094477FB50}"/>
    <cellStyle name="20% - Accent5 3 6" xfId="2145" xr:uid="{9912B12D-2632-4A81-A566-FFA4B0C7FC10}"/>
    <cellStyle name="20% - Accent5 3 6 2" xfId="2146" xr:uid="{E5C98E5F-4BA7-4E43-8464-73EFBEFE4FB1}"/>
    <cellStyle name="20% - Accent5 3 6 2 2" xfId="2147" xr:uid="{3BF4A05C-BD96-40FB-80C5-6C20D36125A6}"/>
    <cellStyle name="20% - Accent5 3 6 2 3" xfId="2148" xr:uid="{13C4CFA5-DA26-4026-9C00-D8BCD994D8E6}"/>
    <cellStyle name="20% - Accent5 3 6 3" xfId="2149" xr:uid="{6A26FCC6-D40E-416D-8A96-3D7349C28DA0}"/>
    <cellStyle name="20% - Accent5 3 6 3 2" xfId="35741" xr:uid="{07AE9FB4-AC1E-44EC-9BF9-981B24F1C5F8}"/>
    <cellStyle name="20% - Accent5 3 6 4" xfId="2150" xr:uid="{8298936C-DECF-41A8-AFDB-CE48B0D80001}"/>
    <cellStyle name="20% - Accent5 3 6 5" xfId="35742" xr:uid="{95466101-349C-4090-8226-50D19FF2C437}"/>
    <cellStyle name="20% - Accent5 3 7" xfId="2151" xr:uid="{DE6CCEF8-8FF5-4EA8-9FF4-8EC7F66DA38C}"/>
    <cellStyle name="20% - Accent5 3 7 2" xfId="2152" xr:uid="{ADA885E4-6774-49E4-AFA6-F4B779CA3238}"/>
    <cellStyle name="20% - Accent5 3 7 2 2" xfId="2153" xr:uid="{90CF659B-1099-4861-9378-2C7AAB6DC110}"/>
    <cellStyle name="20% - Accent5 3 7 2 3" xfId="2154" xr:uid="{DC4F8C80-C91A-4019-A513-B41DAFCA8047}"/>
    <cellStyle name="20% - Accent5 3 7 3" xfId="2155" xr:uid="{989C0EDB-55DD-4CB0-9060-B90B8F4E2177}"/>
    <cellStyle name="20% - Accent5 3 7 3 2" xfId="35743" xr:uid="{05CFD71C-2D37-4B00-8DF1-6767A2F19F29}"/>
    <cellStyle name="20% - Accent5 3 7 4" xfId="2156" xr:uid="{46CDC6EF-7DDE-4A8C-8079-9AE33616EF91}"/>
    <cellStyle name="20% - Accent5 3 8" xfId="2157" xr:uid="{EBB9E215-5DD9-4FB7-A8FB-4A6F4ED65CFA}"/>
    <cellStyle name="20% - Accent5 3 8 2" xfId="35744" xr:uid="{6DBF153C-168A-4B5A-9D92-365A049DBDE6}"/>
    <cellStyle name="20% - Accent5 3 8 2 2" xfId="35745" xr:uid="{6FBA00C3-415F-4802-BC0A-2B3B481A3EEC}"/>
    <cellStyle name="20% - Accent5 3 8 3" xfId="35746" xr:uid="{A95E7740-D4E1-4A48-AA0D-EF6B7F4E2162}"/>
    <cellStyle name="20% - Accent5 3 8 3 2" xfId="35747" xr:uid="{54FC2C22-5F11-45DC-BB4D-9352CEC8A2CC}"/>
    <cellStyle name="20% - Accent5 3 8 4" xfId="35748" xr:uid="{75400AEB-620B-4A0D-8B1F-FB70D83820DF}"/>
    <cellStyle name="20% - Accent5 3 9" xfId="35749" xr:uid="{1EE9AA4E-58F7-4FA7-8198-BD63CB18DA67}"/>
    <cellStyle name="20% - Accent5 3_PwrTax 51040" xfId="2158" xr:uid="{F80659CD-1498-4DAB-8C4F-8CDA5DF091E7}"/>
    <cellStyle name="20% - Accent5 30" xfId="2159" xr:uid="{584C77D8-5902-45B0-959F-24009740F489}"/>
    <cellStyle name="20% - Accent5 31" xfId="2160" xr:uid="{6C236FDC-FCD5-4625-A4A7-C5723E3B62CB}"/>
    <cellStyle name="20% - Accent5 32" xfId="2161" xr:uid="{5B278222-8946-497B-B246-2239F71E8334}"/>
    <cellStyle name="20% - Accent5 33" xfId="2162" xr:uid="{263679DB-2793-480A-9B56-AB5BF9BE45F8}"/>
    <cellStyle name="20% - Accent5 34" xfId="2163" xr:uid="{7F6AC45D-F70E-41E7-96E1-28617312EB36}"/>
    <cellStyle name="20% - Accent5 35" xfId="2164" xr:uid="{10479724-4FA5-4D78-933D-3D6EF7F90E11}"/>
    <cellStyle name="20% - Accent5 36" xfId="2165" xr:uid="{61320F20-6C2C-4E27-8873-0C4F1ACA8717}"/>
    <cellStyle name="20% - Accent5 37" xfId="2166" xr:uid="{B5781DEF-F76F-4672-AAD1-44898E0D4874}"/>
    <cellStyle name="20% - Accent5 37 2" xfId="2167" xr:uid="{92D6B3EC-F41C-45FF-9E13-A606B205DAD7}"/>
    <cellStyle name="20% - Accent5 37 2 2" xfId="2168" xr:uid="{F0B1DD09-BC3E-4A4F-97E4-54009DDEBC98}"/>
    <cellStyle name="20% - Accent5 37 2 3" xfId="35750" xr:uid="{CED2FECE-62F5-4687-A3A4-32887B7E6E3B}"/>
    <cellStyle name="20% - Accent5 37 3" xfId="2169" xr:uid="{AEA76C13-83B8-4EB2-A3EC-BBE84C368B79}"/>
    <cellStyle name="20% - Accent5 37 3 2" xfId="2170" xr:uid="{1EC262F8-0FAC-4D06-90FA-F4352CF03D17}"/>
    <cellStyle name="20% - Accent5 37 3 3" xfId="35751" xr:uid="{3E791160-7285-4E19-BFB1-25BC66D87647}"/>
    <cellStyle name="20% - Accent5 37 4" xfId="2171" xr:uid="{FC7CCC66-FD09-4894-B752-3D8408BFDA88}"/>
    <cellStyle name="20% - Accent5 37 5" xfId="35752" xr:uid="{FA745D6E-5F42-4025-ABC0-A9B7A6B7B45F}"/>
    <cellStyle name="20% - Accent5 37_PwrTax 51040" xfId="2172" xr:uid="{D17E71F3-090E-4F57-960B-2F6C0C9DA18D}"/>
    <cellStyle name="20% - Accent5 38" xfId="2173" xr:uid="{580CEA0A-AAF5-4509-B935-DD5B6735E657}"/>
    <cellStyle name="20% - Accent5 38 2" xfId="35753" xr:uid="{A29E392F-A225-407B-A694-96DA3DB5A6A4}"/>
    <cellStyle name="20% - Accent5 38 2 2" xfId="35754" xr:uid="{ED20EF14-4616-4DF2-A4CB-B23E13DADA04}"/>
    <cellStyle name="20% - Accent5 38 2 2 2" xfId="35755" xr:uid="{00F39DD2-33F3-4E07-B4EF-BD205C37FACF}"/>
    <cellStyle name="20% - Accent5 38 2 3" xfId="35756" xr:uid="{5B58AF8F-467F-4016-8F99-A6D392A95394}"/>
    <cellStyle name="20% - Accent5 38 2 3 2" xfId="35757" xr:uid="{DEF2FFEC-4162-4ED4-89C6-1AABC57D5838}"/>
    <cellStyle name="20% - Accent5 38 2 4" xfId="35758" xr:uid="{DE588F35-A993-4DB7-BEB2-0762F5334CE5}"/>
    <cellStyle name="20% - Accent5 38 3" xfId="35759" xr:uid="{2346A00F-A9E9-48FD-8229-11B50FB4F094}"/>
    <cellStyle name="20% - Accent5 38 3 2" xfId="35760" xr:uid="{EAA12EFC-C587-4DCB-A784-ED4E9036953D}"/>
    <cellStyle name="20% - Accent5 38 3 2 2" xfId="35761" xr:uid="{C2E6EF36-62C7-47CD-9F97-04691152F581}"/>
    <cellStyle name="20% - Accent5 38 3 3" xfId="35762" xr:uid="{8FFD2CE7-B940-4D5E-853B-1D511557CED8}"/>
    <cellStyle name="20% - Accent5 38 3 3 2" xfId="35763" xr:uid="{B716FA2A-4C35-4C3A-9225-5D52D28E3EDA}"/>
    <cellStyle name="20% - Accent5 38 3 4" xfId="35764" xr:uid="{84F6F01D-951C-4727-86C0-B77BF5F22521}"/>
    <cellStyle name="20% - Accent5 38 4" xfId="35765" xr:uid="{B2E4C818-C8C8-4830-8A6F-55453FBDCB90}"/>
    <cellStyle name="20% - Accent5 38 4 2" xfId="35766" xr:uid="{6A3C761D-63CA-4EBB-B4D7-0DE5AEE25B02}"/>
    <cellStyle name="20% - Accent5 38 4 2 2" xfId="35767" xr:uid="{A123A724-A104-47EE-9098-3785C5F0B23A}"/>
    <cellStyle name="20% - Accent5 38 4 3" xfId="35768" xr:uid="{F9B45BD2-2F7D-4D6B-8BBA-5A123D9D81D1}"/>
    <cellStyle name="20% - Accent5 38 4 3 2" xfId="35769" xr:uid="{99DD3902-6BA3-45CB-B61B-B8993641B3DB}"/>
    <cellStyle name="20% - Accent5 38 4 4" xfId="35770" xr:uid="{73A813C2-64EF-4AAC-A91E-D4BE4268171F}"/>
    <cellStyle name="20% - Accent5 38 5" xfId="35771" xr:uid="{F3903B49-4E30-4C8B-826C-94FE53B8FB8E}"/>
    <cellStyle name="20% - Accent5 38 5 2" xfId="35772" xr:uid="{4A0F58DC-0830-46A2-B677-1270E59971E0}"/>
    <cellStyle name="20% - Accent5 38 6" xfId="35773" xr:uid="{6635AFFE-2747-403A-9EC4-465835A88690}"/>
    <cellStyle name="20% - Accent5 38 6 2" xfId="35774" xr:uid="{42ACB8B6-3408-4AE4-BEB1-3A27BDBB43BF}"/>
    <cellStyle name="20% - Accent5 38 7" xfId="35775" xr:uid="{99604E44-14C7-4A7E-B942-8EB156E74E64}"/>
    <cellStyle name="20% - Accent5 39" xfId="35776" xr:uid="{E6267382-7A32-44A3-B84D-6F330AD5DBB5}"/>
    <cellStyle name="20% - Accent5 39 2" xfId="35777" xr:uid="{98B33740-9D03-4428-8C86-5002B192B855}"/>
    <cellStyle name="20% - Accent5 4" xfId="2174" xr:uid="{B4C27A2C-AAC7-4F19-9133-78B421EEA89C}"/>
    <cellStyle name="20% - Accent5 4 2" xfId="2175" xr:uid="{0262FF6E-CC19-4088-822A-FEEE737B8A0D}"/>
    <cellStyle name="20% - Accent5 4 2 2" xfId="2176" xr:uid="{678B877F-C8B2-4D34-AD87-C70301C48ECA}"/>
    <cellStyle name="20% - Accent5 4 2 2 2" xfId="35778" xr:uid="{567ABB18-BD1D-4B8E-A8EB-D3486988564B}"/>
    <cellStyle name="20% - Accent5 4 2 3" xfId="35779" xr:uid="{A69613F3-FE4B-4640-BB8B-4B931F9DADFA}"/>
    <cellStyle name="20% - Accent5 4 3" xfId="2177" xr:uid="{49B35AC7-0EF6-4621-AA22-4958C2E14C7B}"/>
    <cellStyle name="20% - Accent5 4 3 2" xfId="2178" xr:uid="{6AB5BD68-9EDB-4E4A-9C3F-AA6463894DA9}"/>
    <cellStyle name="20% - Accent5 4 3 3" xfId="2179" xr:uid="{0C8AB78B-7A82-4808-9C13-2ADF629831FF}"/>
    <cellStyle name="20% - Accent5 4 3 4" xfId="35780" xr:uid="{2B05F50E-71BF-42C1-AC25-6EB94DD3B106}"/>
    <cellStyle name="20% - Accent5 4 4" xfId="2180" xr:uid="{047C991C-7DC3-4B35-BC3B-CBF41F50B2C9}"/>
    <cellStyle name="20% - Accent5 4 4 2" xfId="2181" xr:uid="{E530E842-31FB-4115-89F5-25943DEF9EBF}"/>
    <cellStyle name="20% - Accent5 4 4 2 2" xfId="2182" xr:uid="{EEFD9B06-20EC-4D94-A341-D9F4FD757631}"/>
    <cellStyle name="20% - Accent5 4 4 2 3" xfId="2183" xr:uid="{203E97C6-4F8D-4A53-8AEC-3BE0A066CEEB}"/>
    <cellStyle name="20% - Accent5 4 4 3" xfId="2184" xr:uid="{6319840C-ABC2-4372-986E-336B744231FD}"/>
    <cellStyle name="20% - Accent5 4 4 4" xfId="2185" xr:uid="{82EA2CEE-A88D-47E4-9D82-F6B7FD2EE557}"/>
    <cellStyle name="20% - Accent5 4 4 5" xfId="2186" xr:uid="{646EBAF2-E204-418A-B656-EACFF07D2383}"/>
    <cellStyle name="20% - Accent5 4 4 6" xfId="35781" xr:uid="{A60430B4-358F-4A8F-8C86-BA94BAA314CF}"/>
    <cellStyle name="20% - Accent5 4 5" xfId="2187" xr:uid="{7A195ED9-6F0E-4240-B1C7-1F1587301050}"/>
    <cellStyle name="20% - Accent5 4 5 2" xfId="2188" xr:uid="{35862395-471B-4036-84DC-67478B913689}"/>
    <cellStyle name="20% - Accent5 4 5 3" xfId="2189" xr:uid="{4855F4B2-84AF-4A37-B3A4-D978987BA85C}"/>
    <cellStyle name="20% - Accent5 4 5 4" xfId="35782" xr:uid="{2D7D0130-8C49-435D-9EC5-F6228F9AA08D}"/>
    <cellStyle name="20% - Accent5 4 6" xfId="2190" xr:uid="{2FB96C80-FD1C-41AC-9C84-8DB152C70AF2}"/>
    <cellStyle name="20% - Accent5 4 7" xfId="35783" xr:uid="{6442DD1E-ABBC-491D-8471-F9D9BD647662}"/>
    <cellStyle name="20% - Accent5 4 8" xfId="43549" xr:uid="{448442C3-49AA-4F73-928D-11EA1561102C}"/>
    <cellStyle name="20% - Accent5 4_PwrTax 51040" xfId="2191" xr:uid="{C8989737-FADB-4FCD-8C78-FCF669E62717}"/>
    <cellStyle name="20% - Accent5 40" xfId="35784" xr:uid="{8774584B-C0E2-4680-A846-E84886E10216}"/>
    <cellStyle name="20% - Accent5 41" xfId="35785" xr:uid="{3E137E22-1849-4DAE-9E91-9618E2386D5B}"/>
    <cellStyle name="20% - Accent5 42" xfId="35786" xr:uid="{610E538D-D13B-4A85-A662-AEFBBA2BA065}"/>
    <cellStyle name="20% - Accent5 43" xfId="35787" xr:uid="{086D4929-D06F-45B3-8C4C-FC55BE844DD3}"/>
    <cellStyle name="20% - Accent5 44" xfId="35788" xr:uid="{FF4EF22E-AEE9-494B-BD06-65556EC2F39F}"/>
    <cellStyle name="20% - Accent5 45" xfId="35789" xr:uid="{92FFEBB6-7670-4CC3-9684-309FD90ADA8C}"/>
    <cellStyle name="20% - Accent5 46" xfId="35790" xr:uid="{EAB42DCA-5A11-42A3-9F04-64116C471385}"/>
    <cellStyle name="20% - Accent5 47" xfId="35791" xr:uid="{3C4FE576-6CA6-4B0C-AE75-8DC5389881FA}"/>
    <cellStyle name="20% - Accent5 48" xfId="35792" xr:uid="{27974610-CF9A-4EDE-8BCB-AABA797CD0BF}"/>
    <cellStyle name="20% - Accent5 49" xfId="35793" xr:uid="{B49024A5-BA5F-47D1-99CE-58DE65D37309}"/>
    <cellStyle name="20% - Accent5 5" xfId="2192" xr:uid="{3EBB3770-AD45-4CCE-AC8B-782D1326DC5D}"/>
    <cellStyle name="20% - Accent5 5 2" xfId="2193" xr:uid="{27639A30-F577-4126-93A5-23DD1B6553DF}"/>
    <cellStyle name="20% - Accent5 5 2 2" xfId="35794" xr:uid="{4C52FFB1-87D2-4ABD-849A-200ACC3AD8D8}"/>
    <cellStyle name="20% - Accent5 5 3" xfId="2194" xr:uid="{744DE942-EB70-4B5B-A20D-6BAE6F563701}"/>
    <cellStyle name="20% - Accent5 5 4" xfId="35795" xr:uid="{7D3A48B3-FF0F-43D2-9499-C7BF42647A70}"/>
    <cellStyle name="20% - Accent5 5 5" xfId="43564" xr:uid="{C3C06357-0177-4FEF-8ECF-646058E2BBB0}"/>
    <cellStyle name="20% - Accent5 50" xfId="35796" xr:uid="{E46CA0CA-8129-4003-89F7-6C6D3CA74316}"/>
    <cellStyle name="20% - Accent5 51" xfId="35797" xr:uid="{B677A3D9-C375-45BD-949B-F83C6FC07142}"/>
    <cellStyle name="20% - Accent5 52" xfId="35798" xr:uid="{E0CFD49E-8129-4A17-B202-AB20723750A1}"/>
    <cellStyle name="20% - Accent5 53" xfId="35799" xr:uid="{DBDD2D93-FCF9-4324-943D-071013CE0BD8}"/>
    <cellStyle name="20% - Accent5 54" xfId="35800" xr:uid="{E14C810E-C021-4508-AB07-8611B4C6448E}"/>
    <cellStyle name="20% - Accent5 55" xfId="35801" xr:uid="{9B1BD180-D907-44C3-BE3D-1A10F3091BBD}"/>
    <cellStyle name="20% - Accent5 56" xfId="35802" xr:uid="{30CB0900-85C6-489B-A04B-1B2A150368F3}"/>
    <cellStyle name="20% - Accent5 57" xfId="35803" xr:uid="{13DA7F73-299D-4C87-88BB-E6D2369EE12E}"/>
    <cellStyle name="20% - Accent5 58" xfId="35804" xr:uid="{ED8E14F2-0FC4-4EDA-B7A1-CAF801A93AA1}"/>
    <cellStyle name="20% - Accent5 59" xfId="35805" xr:uid="{B4751E1D-691C-43CD-8A56-6021E192F5E8}"/>
    <cellStyle name="20% - Accent5 6" xfId="2195" xr:uid="{3236C0EB-0F68-48D2-AB11-8BB65C60EF2A}"/>
    <cellStyle name="20% - Accent5 6 2" xfId="2196" xr:uid="{E3D77D10-131A-480D-A8F4-E1FF25B618C4}"/>
    <cellStyle name="20% - Accent5 6 2 2" xfId="35806" xr:uid="{EDEC6B19-44D0-4229-AB13-03C482C96F5C}"/>
    <cellStyle name="20% - Accent5 6 3" xfId="2197" xr:uid="{7537FA10-1F54-4E20-B66C-F498D3241265}"/>
    <cellStyle name="20% - Accent5 6 4" xfId="35807" xr:uid="{B86380F5-C93B-412D-99EB-68084D8E0C7F}"/>
    <cellStyle name="20% - Accent5 60" xfId="35808" xr:uid="{FCAEA8FE-4835-4563-AE57-40BE0DB09AF0}"/>
    <cellStyle name="20% - Accent5 61" xfId="35809" xr:uid="{098AEAC1-D80A-4792-9F60-9A544BE73412}"/>
    <cellStyle name="20% - Accent5 62" xfId="35810" xr:uid="{77D83D08-4262-49DD-8F5A-724C945545C8}"/>
    <cellStyle name="20% - Accent5 63" xfId="35811" xr:uid="{0030E1B8-48F1-4B48-96AE-54613B1299E4}"/>
    <cellStyle name="20% - Accent5 64" xfId="35812" xr:uid="{6ACBDBF3-A40B-4CF2-9AD2-A73BE1099348}"/>
    <cellStyle name="20% - Accent5 65" xfId="35813" xr:uid="{E08B25AD-94F4-44C0-A39F-843087A15778}"/>
    <cellStyle name="20% - Accent5 66" xfId="35814" xr:uid="{C5019C20-64A8-42EE-80F1-25BFD63DE9DA}"/>
    <cellStyle name="20% - Accent5 67" xfId="35815" xr:uid="{B1557F53-EE69-431E-B34A-92C04609C0CF}"/>
    <cellStyle name="20% - Accent5 68" xfId="35816" xr:uid="{39BB785C-54D2-4085-A7B7-FE5CB1E20F60}"/>
    <cellStyle name="20% - Accent5 69" xfId="35817" xr:uid="{872C6E9E-312B-4243-853D-F16B75B323F4}"/>
    <cellStyle name="20% - Accent5 7" xfId="2198" xr:uid="{8AA68A8A-0574-4926-9296-58CA8031EE0D}"/>
    <cellStyle name="20% - Accent5 7 2" xfId="2199" xr:uid="{C9911779-0F23-4D80-A6CC-1B20CF25C854}"/>
    <cellStyle name="20% - Accent5 7 3" xfId="2200" xr:uid="{2BE0E08D-BB44-4B7A-9296-5304E5B405B3}"/>
    <cellStyle name="20% - Accent5 7 4" xfId="35818" xr:uid="{3FC2DE1B-9180-4660-8513-925EB0CE8A1E}"/>
    <cellStyle name="20% - Accent5 70" xfId="35819" xr:uid="{320D830F-F4E8-4463-B06A-7B32A2785EBA}"/>
    <cellStyle name="20% - Accent5 71" xfId="35820" xr:uid="{98BDE4F3-21D9-43EA-B8B6-7DE66BE5040A}"/>
    <cellStyle name="20% - Accent5 72" xfId="35821" xr:uid="{20604884-25F5-41AA-B217-81DC4CE8E08B}"/>
    <cellStyle name="20% - Accent5 73" xfId="35822" xr:uid="{FDCE7699-35A0-4A01-B365-22D1EBBA2ABD}"/>
    <cellStyle name="20% - Accent5 74" xfId="35823" xr:uid="{C4E85C8E-8F9E-4597-81CF-32F15A8894E6}"/>
    <cellStyle name="20% - Accent5 75" xfId="35824" xr:uid="{E018E8DC-D1B0-45A9-BB9F-18BD7D2A2B16}"/>
    <cellStyle name="20% - Accent5 76" xfId="35825" xr:uid="{2FA0892B-FE01-4064-9381-B9D16E4ED4BD}"/>
    <cellStyle name="20% - Accent5 77" xfId="35826" xr:uid="{89F5D844-E7FA-4E0A-9F5F-34D994AED067}"/>
    <cellStyle name="20% - Accent5 78" xfId="35827" xr:uid="{1866553A-570A-47BC-B378-D165B76059F7}"/>
    <cellStyle name="20% - Accent5 79" xfId="35828" xr:uid="{3591D7E6-381E-4975-AAAE-107407C65DAA}"/>
    <cellStyle name="20% - Accent5 8" xfId="2201" xr:uid="{6F4C0937-B423-45F0-800E-449B2B06523D}"/>
    <cellStyle name="20% - Accent5 8 2" xfId="2202" xr:uid="{66FD7329-6E3D-4363-9DB2-DFFF79FDF1C4}"/>
    <cellStyle name="20% - Accent5 8 3" xfId="2203" xr:uid="{94C2834C-B5AE-44F8-B1E0-C91658FBB6FA}"/>
    <cellStyle name="20% - Accent5 8 4" xfId="35829" xr:uid="{FC793C6B-C4DA-4B6F-A647-D73960161FC1}"/>
    <cellStyle name="20% - Accent5 80" xfId="35830" xr:uid="{5FAB44E0-6993-4D40-A8A5-75841090538E}"/>
    <cellStyle name="20% - Accent5 81" xfId="35831" xr:uid="{0BA3477F-399E-4145-A634-9CE8A98FD833}"/>
    <cellStyle name="20% - Accent5 82" xfId="35832" xr:uid="{BA929EAC-17FB-41A0-B9B0-BE4C869B30AF}"/>
    <cellStyle name="20% - Accent5 83" xfId="35833" xr:uid="{6FBF9B21-2A80-450B-9F94-F1F3944E1533}"/>
    <cellStyle name="20% - Accent5 84" xfId="35834" xr:uid="{59D06262-A59F-459D-B900-515D5074D5D4}"/>
    <cellStyle name="20% - Accent5 85" xfId="35835" xr:uid="{9CE615EB-A81A-43D3-803E-DAEB626CC24A}"/>
    <cellStyle name="20% - Accent5 86" xfId="35836" xr:uid="{CF3BDE29-64B4-47AD-AE25-92C28E8CEBAC}"/>
    <cellStyle name="20% - Accent5 87" xfId="35837" xr:uid="{99607449-92E3-409C-9D66-9E7287EBC7AB}"/>
    <cellStyle name="20% - Accent5 88" xfId="35838" xr:uid="{11E93182-C431-4A7B-818C-B3DFA6B1733B}"/>
    <cellStyle name="20% - Accent5 89" xfId="35839" xr:uid="{A5E60989-CC15-4CA6-9439-0E30D2912B82}"/>
    <cellStyle name="20% - Accent5 9" xfId="2204" xr:uid="{3E60AA28-7DAB-425F-A670-19BAD022D3C3}"/>
    <cellStyle name="20% - Accent5 9 2" xfId="2205" xr:uid="{3E9E0BD0-696A-487B-A1AA-4083FB15ECA9}"/>
    <cellStyle name="20% - Accent5 9 3" xfId="2206" xr:uid="{28774E8F-B936-449F-B8D6-F037F2BD0005}"/>
    <cellStyle name="20% - Accent5 9 4" xfId="35840" xr:uid="{4956530E-E076-4CCC-9440-0B2EC1AB1FC7}"/>
    <cellStyle name="20% - Accent5 90" xfId="35841" xr:uid="{C152F7A5-6DE0-4A68-9F0A-A597DED4EAC6}"/>
    <cellStyle name="20% - Accent5 91" xfId="35842" xr:uid="{20097BC2-FAA8-4C96-91A6-29366D91F3CD}"/>
    <cellStyle name="20% - Accent5 92" xfId="35843" xr:uid="{57BE7139-629E-4CE6-BC49-9E8A086044A4}"/>
    <cellStyle name="20% - Accent5 93" xfId="35844" xr:uid="{FDCABA1D-5575-4EE4-9469-285133548918}"/>
    <cellStyle name="20% - Accent5 94" xfId="35845" xr:uid="{6DF18349-3DE3-4A4C-AC2D-5A435C7F4E0F}"/>
    <cellStyle name="20% - Accent5 95" xfId="35846" xr:uid="{BA4315E2-6739-42E5-A45F-08A0DC33A197}"/>
    <cellStyle name="20% - Accent5 96" xfId="35847" xr:uid="{78347049-0E10-4682-A175-851E088719D2}"/>
    <cellStyle name="20% - Accent5 97" xfId="35848" xr:uid="{6CEE92BD-14AA-49FA-AA2A-448F39F2C7E8}"/>
    <cellStyle name="20% - Accent5 98" xfId="35849" xr:uid="{A3EE297E-3EAC-4F5D-9E00-513AD17837CA}"/>
    <cellStyle name="20% - Accent5 99" xfId="35850" xr:uid="{8BE0B263-AAD2-4BDD-B6FA-94539C0B0385}"/>
    <cellStyle name="20% - Accent6 10" xfId="2207" xr:uid="{8AC8E21C-C813-4281-B5AE-1DD669487888}"/>
    <cellStyle name="20% - Accent6 10 2" xfId="2208" xr:uid="{FA9B9B15-C755-4238-9B28-5FA65A6D8217}"/>
    <cellStyle name="20% - Accent6 10 3" xfId="2209" xr:uid="{9F982354-97B4-464B-B2DD-BA64DC2CC9BF}"/>
    <cellStyle name="20% - Accent6 10 4" xfId="35851" xr:uid="{36BEA92B-87A9-488E-A877-7F95CB8F6393}"/>
    <cellStyle name="20% - Accent6 100" xfId="35852" xr:uid="{51750E17-C081-4058-8D0D-4CCBB77C3FFE}"/>
    <cellStyle name="20% - Accent6 101" xfId="35853" xr:uid="{ABC4FFAC-675D-4C4B-93E8-3ADD69C98AFD}"/>
    <cellStyle name="20% - Accent6 102" xfId="35854" xr:uid="{00FE316F-F9D1-48BE-B881-8DEEA603A93C}"/>
    <cellStyle name="20% - Accent6 103" xfId="43482" xr:uid="{37FCA4F4-AC60-4F4D-A1C2-98922A775F34}"/>
    <cellStyle name="20% - Accent6 104" xfId="43601" xr:uid="{E93F1BBB-B68D-4350-BC12-6422EB2FCA98}"/>
    <cellStyle name="20% - Accent6 105" xfId="167" xr:uid="{0B983665-5620-4AF0-8AE1-9FC4ACDB290B}"/>
    <cellStyle name="20% - Accent6 11" xfId="2210" xr:uid="{1F1EC557-D49A-4F19-90DE-008076E9FA82}"/>
    <cellStyle name="20% - Accent6 11 2" xfId="2211" xr:uid="{A1104589-EE17-4019-892B-718FC8DD0042}"/>
    <cellStyle name="20% - Accent6 11 3" xfId="2212" xr:uid="{3E2001EC-5356-4831-B2C9-EEB52080EE84}"/>
    <cellStyle name="20% - Accent6 12" xfId="2213" xr:uid="{7A8C030D-09B0-487B-A13B-43EEFF146567}"/>
    <cellStyle name="20% - Accent6 12 2" xfId="2214" xr:uid="{F324F1B2-977B-42A1-A577-85E521D8A68D}"/>
    <cellStyle name="20% - Accent6 13" xfId="2215" xr:uid="{48A91105-E16C-48A0-9C33-80009CFB1071}"/>
    <cellStyle name="20% - Accent6 13 2" xfId="2216" xr:uid="{69373567-4C31-4C01-A56C-9484EA80C013}"/>
    <cellStyle name="20% - Accent6 14" xfId="2217" xr:uid="{13EA5577-2DDA-4A76-BC98-6F19BEA73CD7}"/>
    <cellStyle name="20% - Accent6 14 2" xfId="2218" xr:uid="{61B9233F-54BC-4A8E-9ADA-1FE4EC0332C0}"/>
    <cellStyle name="20% - Accent6 15" xfId="2219" xr:uid="{F1358BDB-29C0-48B3-B283-C41E7E3E4FDF}"/>
    <cellStyle name="20% - Accent6 15 2" xfId="2220" xr:uid="{F8B743F3-5779-4C78-B453-A53AA3201E20}"/>
    <cellStyle name="20% - Accent6 16" xfId="2221" xr:uid="{609FD5A6-D085-43D2-8037-9463E8D10350}"/>
    <cellStyle name="20% - Accent6 16 2" xfId="2222" xr:uid="{A81C7ED1-D726-4D0B-8C82-88D548906CF6}"/>
    <cellStyle name="20% - Accent6 17" xfId="2223" xr:uid="{C29AA8F5-A946-4E74-B130-C35E823BF973}"/>
    <cellStyle name="20% - Accent6 17 2" xfId="2224" xr:uid="{96343605-4610-4ECB-893C-D5F663A358E3}"/>
    <cellStyle name="20% - Accent6 18" xfId="2225" xr:uid="{63D27307-7B08-4CF4-95F7-405F2CD4E678}"/>
    <cellStyle name="20% - Accent6 18 2" xfId="2226" xr:uid="{B85D9457-9B56-428B-B2CE-E99E1B0FCB08}"/>
    <cellStyle name="20% - Accent6 19" xfId="2227" xr:uid="{4F76BBA6-D303-4D70-8AC3-927ADCFB54B9}"/>
    <cellStyle name="20% - Accent6 19 2" xfId="2228" xr:uid="{B08A67BB-4BD7-4D1A-AD0D-9A2F23E2D5ED}"/>
    <cellStyle name="20% - Accent6 2" xfId="2229" xr:uid="{20C3E9CE-3868-478D-9BAE-B8AFC770BF20}"/>
    <cellStyle name="20% - Accent6 2 10" xfId="43512" xr:uid="{1EA71874-4A6B-4184-BF50-4B8CC5F78873}"/>
    <cellStyle name="20% - Accent6 2 2" xfId="2230" xr:uid="{43AC9C4D-CA94-4D19-8ECF-E2CED8A64550}"/>
    <cellStyle name="20% - Accent6 2 2 2" xfId="2231" xr:uid="{EA1C0AEC-D230-4DA2-AEB9-F2611BFA3994}"/>
    <cellStyle name="20% - Accent6 2 2 2 2" xfId="2232" xr:uid="{8A7DB011-CE48-4290-AF08-A38A82F2CC79}"/>
    <cellStyle name="20% - Accent6 2 2 2 3" xfId="2233" xr:uid="{D8AFEBFA-F934-4E86-BEA5-C3DF68796825}"/>
    <cellStyle name="20% - Accent6 2 2 2 4" xfId="35855" xr:uid="{CC618882-FA5A-4C8A-B460-EA1E6EBBC8BF}"/>
    <cellStyle name="20% - Accent6 2 2 3" xfId="2234" xr:uid="{052E87E0-1FE4-44E5-AA81-1780F5E4C3BA}"/>
    <cellStyle name="20% - Accent6 2 2 3 2" xfId="2235" xr:uid="{FB855791-31FF-4CE9-A36C-C3EECD239546}"/>
    <cellStyle name="20% - Accent6 2 2 3 3" xfId="35856" xr:uid="{2BBB6CF2-E6AD-4F7E-BEBF-33FA4DB194D0}"/>
    <cellStyle name="20% - Accent6 2 2 4" xfId="2236" xr:uid="{15679926-F3B0-4B15-8622-11508AA3E5DA}"/>
    <cellStyle name="20% - Accent6 2 2 5" xfId="2237" xr:uid="{717E4F49-966C-4BDA-A060-C3EB4A15F98F}"/>
    <cellStyle name="20% - Accent6 2 2 6" xfId="2238" xr:uid="{9126FB19-C0F2-4717-A333-D7F4AF53F6A0}"/>
    <cellStyle name="20% - Accent6 2 2 7" xfId="35857" xr:uid="{B93C5796-C7B7-4529-A10C-D5ADF699847F}"/>
    <cellStyle name="20% - Accent6 2 2_PwrTax 51040" xfId="2239" xr:uid="{8DF04855-94AE-4344-BCAC-5BEFC336B52E}"/>
    <cellStyle name="20% - Accent6 2 3" xfId="2240" xr:uid="{102A35FA-BF42-4B1E-B36D-6823D7B5B049}"/>
    <cellStyle name="20% - Accent6 2 3 10" xfId="2241" xr:uid="{64537D53-81CB-4A4D-A950-2523424E3101}"/>
    <cellStyle name="20% - Accent6 2 3 10 2" xfId="35858" xr:uid="{2AEF9DE0-B53F-4BDE-828E-042CE6E38424}"/>
    <cellStyle name="20% - Accent6 2 3 11" xfId="35859" xr:uid="{D13E62DC-9B15-4A2F-AC32-AE7E7C7F75BC}"/>
    <cellStyle name="20% - Accent6 2 3 12" xfId="35860" xr:uid="{DCF8AE2C-491B-4904-805B-48F8F1CCC690}"/>
    <cellStyle name="20% - Accent6 2 3 2" xfId="2242" xr:uid="{74D2AB62-F5AF-44BC-A257-56169E3BB713}"/>
    <cellStyle name="20% - Accent6 2 3 2 10" xfId="35861" xr:uid="{005EEB29-7F72-4828-BED0-379C27926027}"/>
    <cellStyle name="20% - Accent6 2 3 2 11" xfId="35862" xr:uid="{56E4C388-3547-40B6-9030-258B5A6637B1}"/>
    <cellStyle name="20% - Accent6 2 3 2 2" xfId="2243" xr:uid="{E5C6277C-D19F-4EC3-AE2A-49E4DDC3ABEC}"/>
    <cellStyle name="20% - Accent6 2 3 2 2 2" xfId="2244" xr:uid="{B40E91BC-3883-42BF-9B6C-BAB26C7DC909}"/>
    <cellStyle name="20% - Accent6 2 3 2 2 2 2" xfId="2245" xr:uid="{715A759F-C615-4246-B043-DEEC56E5125C}"/>
    <cellStyle name="20% - Accent6 2 3 2 2 2 2 2" xfId="2246" xr:uid="{E88ADBCB-BE0F-4BCB-BDDA-60934F92CB1E}"/>
    <cellStyle name="20% - Accent6 2 3 2 2 2 2 2 2" xfId="35863" xr:uid="{A90E51B9-9438-4AEC-A9E0-4EB0318E859E}"/>
    <cellStyle name="20% - Accent6 2 3 2 2 2 2 3" xfId="2247" xr:uid="{5A77BB9B-ACA4-4947-9F7B-0654C25FA209}"/>
    <cellStyle name="20% - Accent6 2 3 2 2 2 2 3 2" xfId="35864" xr:uid="{DF53C15C-EA87-4284-8B36-038ADB9F6357}"/>
    <cellStyle name="20% - Accent6 2 3 2 2 2 2 4" xfId="35865" xr:uid="{F5357417-D27A-41C1-9BFA-4733236F0BEB}"/>
    <cellStyle name="20% - Accent6 2 3 2 2 2 3" xfId="2248" xr:uid="{D9BB119A-9B77-4E89-90D7-A5976B0227CB}"/>
    <cellStyle name="20% - Accent6 2 3 2 2 2 3 2" xfId="35866" xr:uid="{A92A8C4C-A0FB-4AF8-8314-F9732B86D0C9}"/>
    <cellStyle name="20% - Accent6 2 3 2 2 2 4" xfId="2249" xr:uid="{97C68226-6F6C-477F-90B4-CF53AC7DA660}"/>
    <cellStyle name="20% - Accent6 2 3 2 2 2 4 2" xfId="35867" xr:uid="{32109DFE-A982-4C5A-A2FE-8D01E48E6522}"/>
    <cellStyle name="20% - Accent6 2 3 2 2 2 5" xfId="35868" xr:uid="{631C1A2A-4AB0-4B8F-9B3D-1CFE49225626}"/>
    <cellStyle name="20% - Accent6 2 3 2 2 3" xfId="2250" xr:uid="{872C4715-D3AA-4CA3-BD89-B78D0ED877E9}"/>
    <cellStyle name="20% - Accent6 2 3 2 2 3 2" xfId="2251" xr:uid="{8D288F90-468A-432C-9ABC-770E66EBE305}"/>
    <cellStyle name="20% - Accent6 2 3 2 2 3 2 2" xfId="35869" xr:uid="{A21C957C-994D-42B2-8144-72DB55E8D5E0}"/>
    <cellStyle name="20% - Accent6 2 3 2 2 3 3" xfId="2252" xr:uid="{E72893A9-1581-4FBA-9DBF-2D79FC608B80}"/>
    <cellStyle name="20% - Accent6 2 3 2 2 3 3 2" xfId="35870" xr:uid="{713CF867-4886-409B-8A76-F3817D87C251}"/>
    <cellStyle name="20% - Accent6 2 3 2 2 3 4" xfId="35871" xr:uid="{37F320E6-0482-4BE7-A1D0-24DEDEF6B05F}"/>
    <cellStyle name="20% - Accent6 2 3 2 2 4" xfId="2253" xr:uid="{06D18AC5-1206-4264-A5B6-8945CDC3A9FA}"/>
    <cellStyle name="20% - Accent6 2 3 2 2 4 2" xfId="35872" xr:uid="{203ED779-72B8-4428-BC21-0BA2C1A5BCBB}"/>
    <cellStyle name="20% - Accent6 2 3 2 2 5" xfId="2254" xr:uid="{E639FF9C-1FBE-4DB4-9525-81C37F1801D7}"/>
    <cellStyle name="20% - Accent6 2 3 2 2 5 2" xfId="35873" xr:uid="{E41FBD26-4FAF-420B-B777-CFD5641EDDBA}"/>
    <cellStyle name="20% - Accent6 2 3 2 2 6" xfId="35874" xr:uid="{C541F242-D65D-437D-8E2A-8211A873F2F1}"/>
    <cellStyle name="20% - Accent6 2 3 2 3" xfId="2255" xr:uid="{D914808A-6F54-41B3-AFBB-9CA6A34D93FB}"/>
    <cellStyle name="20% - Accent6 2 3 2 3 2" xfId="2256" xr:uid="{B64A543E-3253-47FD-8635-81B66757F9F2}"/>
    <cellStyle name="20% - Accent6 2 3 2 3 2 2" xfId="2257" xr:uid="{91C9BA77-6874-42F0-80AE-F9203F0422D8}"/>
    <cellStyle name="20% - Accent6 2 3 2 3 2 2 2" xfId="35875" xr:uid="{BF40A538-F80B-4764-87F8-58706437639A}"/>
    <cellStyle name="20% - Accent6 2 3 2 3 2 3" xfId="2258" xr:uid="{3DED2383-9117-447E-B021-E9339A2DC2F1}"/>
    <cellStyle name="20% - Accent6 2 3 2 3 2 3 2" xfId="35876" xr:uid="{109C9661-88D2-4E33-8843-D78E23EE2A08}"/>
    <cellStyle name="20% - Accent6 2 3 2 3 2 4" xfId="35877" xr:uid="{B72E8E39-78E4-4EB4-A684-B3E812BC4A26}"/>
    <cellStyle name="20% - Accent6 2 3 2 3 3" xfId="2259" xr:uid="{A66FB125-EB30-40A8-B759-D08051083E69}"/>
    <cellStyle name="20% - Accent6 2 3 2 3 3 2" xfId="35878" xr:uid="{E7B1A101-EB17-41CD-9858-E67E69EF928A}"/>
    <cellStyle name="20% - Accent6 2 3 2 3 4" xfId="2260" xr:uid="{391F4650-A863-4BAF-A82B-15B78081EEEA}"/>
    <cellStyle name="20% - Accent6 2 3 2 3 4 2" xfId="35879" xr:uid="{47BC1BE8-49E2-48B1-B144-850E3F4ABBF8}"/>
    <cellStyle name="20% - Accent6 2 3 2 3 5" xfId="35880" xr:uid="{222EC3E0-5FB8-4410-BE3E-A91B5F2545BD}"/>
    <cellStyle name="20% - Accent6 2 3 2 4" xfId="2261" xr:uid="{B08C08FE-6CD7-473E-B48E-165D2238A210}"/>
    <cellStyle name="20% - Accent6 2 3 2 4 2" xfId="2262" xr:uid="{9767F507-F0A1-49B4-8DB8-5F3237F593CF}"/>
    <cellStyle name="20% - Accent6 2 3 2 4 2 2" xfId="35881" xr:uid="{8FBB6074-52D2-4BEC-B2F5-BD288252DB2A}"/>
    <cellStyle name="20% - Accent6 2 3 2 4 3" xfId="2263" xr:uid="{E66C7A41-EED2-425A-B1B3-75C720276D27}"/>
    <cellStyle name="20% - Accent6 2 3 2 4 3 2" xfId="35882" xr:uid="{DF999C61-D8D7-40CE-B9B5-2C3203BD51C2}"/>
    <cellStyle name="20% - Accent6 2 3 2 4 4" xfId="35883" xr:uid="{7D0BAA5E-4497-4C4C-B753-C7FD57FBD5FF}"/>
    <cellStyle name="20% - Accent6 2 3 2 5" xfId="2264" xr:uid="{03A02554-A531-479A-B6D1-159DC6954FD0}"/>
    <cellStyle name="20% - Accent6 2 3 2 5 2" xfId="35884" xr:uid="{286CFB7D-B9FA-4DC2-AD3B-6FEDDFD50676}"/>
    <cellStyle name="20% - Accent6 2 3 2 5 2 2" xfId="35885" xr:uid="{87D59DAF-C3BC-44B8-9CEA-1BBC901270F3}"/>
    <cellStyle name="20% - Accent6 2 3 2 5 3" xfId="35886" xr:uid="{ADE6E30D-16B1-4FAE-81F0-F4A9A905EC7C}"/>
    <cellStyle name="20% - Accent6 2 3 2 5 3 2" xfId="35887" xr:uid="{69F5573F-53F1-4ED6-9815-84C8FDF0EE6A}"/>
    <cellStyle name="20% - Accent6 2 3 2 5 4" xfId="35888" xr:uid="{9BC68618-EAEE-4BC6-B56E-45D4C9ECBAFA}"/>
    <cellStyle name="20% - Accent6 2 3 2 6" xfId="2265" xr:uid="{731CA377-CCF9-4D00-98D2-97E5A748D855}"/>
    <cellStyle name="20% - Accent6 2 3 2 6 2" xfId="35889" xr:uid="{C82480B2-0F8D-4975-ACEF-DCD82983013E}"/>
    <cellStyle name="20% - Accent6 2 3 2 6 2 2" xfId="35890" xr:uid="{FF671963-BE42-45D8-9834-41C64149FC81}"/>
    <cellStyle name="20% - Accent6 2 3 2 6 3" xfId="35891" xr:uid="{34321F4F-7638-474F-B048-87452A6D9008}"/>
    <cellStyle name="20% - Accent6 2 3 2 6 3 2" xfId="35892" xr:uid="{4B91BB5F-D04B-45B9-98DD-A037D1D9E013}"/>
    <cellStyle name="20% - Accent6 2 3 2 6 4" xfId="35893" xr:uid="{EA187181-0753-400C-89CB-1310E42F76C2}"/>
    <cellStyle name="20% - Accent6 2 3 2 7" xfId="2266" xr:uid="{5DFA35F1-7490-4127-9AED-D165F70E5A92}"/>
    <cellStyle name="20% - Accent6 2 3 2 7 2" xfId="35894" xr:uid="{67871BE7-F7B5-404D-B85E-AEDD5B4B9CC5}"/>
    <cellStyle name="20% - Accent6 2 3 2 7 2 2" xfId="35895" xr:uid="{97C58A98-00C9-4CF1-BC25-98E2FFFC118F}"/>
    <cellStyle name="20% - Accent6 2 3 2 7 3" xfId="35896" xr:uid="{1D856C97-F0B8-4805-88E4-076A6E4ABFB0}"/>
    <cellStyle name="20% - Accent6 2 3 2 7 3 2" xfId="35897" xr:uid="{4E5839A0-7505-4D32-BE64-A6CD03A4C8C6}"/>
    <cellStyle name="20% - Accent6 2 3 2 7 4" xfId="35898" xr:uid="{CCF6B86B-004E-4D11-92F2-4A43D888EA86}"/>
    <cellStyle name="20% - Accent6 2 3 2 8" xfId="35899" xr:uid="{8DF892CF-56F2-4F92-A4C9-41DD9E05E3B4}"/>
    <cellStyle name="20% - Accent6 2 3 2 8 2" xfId="35900" xr:uid="{D631A946-F8A8-476A-8351-05EB52BE6655}"/>
    <cellStyle name="20% - Accent6 2 3 2 9" xfId="35901" xr:uid="{69B6C420-29E3-4034-A3A8-E1A14DD95B15}"/>
    <cellStyle name="20% - Accent6 2 3 2 9 2" xfId="35902" xr:uid="{C01648EE-2B5A-490A-AB4D-90FBC3E07D45}"/>
    <cellStyle name="20% - Accent6 2 3 3" xfId="2267" xr:uid="{7CEDEBE9-BD8F-4FFC-8898-32A9E74ACC67}"/>
    <cellStyle name="20% - Accent6 2 3 3 10" xfId="35903" xr:uid="{FD0EC110-481D-4329-8A19-DEE100F1F974}"/>
    <cellStyle name="20% - Accent6 2 3 3 2" xfId="2268" xr:uid="{FB42A9E6-648F-408D-876C-C37D227D7466}"/>
    <cellStyle name="20% - Accent6 2 3 3 2 2" xfId="2269" xr:uid="{B4ACDF22-FA65-464C-8233-E1071F8E888C}"/>
    <cellStyle name="20% - Accent6 2 3 3 2 2 2" xfId="2270" xr:uid="{CE842404-9A72-4546-877C-1D77B0B09D24}"/>
    <cellStyle name="20% - Accent6 2 3 3 2 2 2 2" xfId="35904" xr:uid="{3B22363C-3EF2-4D3D-B9FC-958F63847A10}"/>
    <cellStyle name="20% - Accent6 2 3 3 2 2 3" xfId="2271" xr:uid="{7A2AEDFC-4FA9-4389-B1DB-B449DEDCC7BE}"/>
    <cellStyle name="20% - Accent6 2 3 3 2 2 3 2" xfId="35905" xr:uid="{34BC4DCF-8C5B-4A2A-BCD0-56831C810EBE}"/>
    <cellStyle name="20% - Accent6 2 3 3 2 2 4" xfId="35906" xr:uid="{AA83FD83-635E-41DE-BA40-4EBDAF4ACF61}"/>
    <cellStyle name="20% - Accent6 2 3 3 2 3" xfId="2272" xr:uid="{6D84D2DB-EBB3-4110-BDE7-69EE87A17B9C}"/>
    <cellStyle name="20% - Accent6 2 3 3 2 3 2" xfId="35907" xr:uid="{9441BE1C-C717-4C8B-966D-9BE389A16424}"/>
    <cellStyle name="20% - Accent6 2 3 3 2 4" xfId="2273" xr:uid="{CEBFECF5-FD8B-4AB8-85BD-4BA08EBE9820}"/>
    <cellStyle name="20% - Accent6 2 3 3 2 4 2" xfId="35908" xr:uid="{D6404763-8D21-4957-8FE3-0617DA85CFE0}"/>
    <cellStyle name="20% - Accent6 2 3 3 2 5" xfId="35909" xr:uid="{0FAAFAF1-F2B9-4C4A-9D07-B54EEA9FA523}"/>
    <cellStyle name="20% - Accent6 2 3 3 3" xfId="2274" xr:uid="{D993DA3C-FCE3-4B07-846F-5E8EF1AB3B69}"/>
    <cellStyle name="20% - Accent6 2 3 3 3 2" xfId="2275" xr:uid="{5631F438-B525-4BD2-AD65-7462DEF68E0E}"/>
    <cellStyle name="20% - Accent6 2 3 3 3 2 2" xfId="35910" xr:uid="{0D1BA5E3-2C9D-4E82-9A64-B895004AB342}"/>
    <cellStyle name="20% - Accent6 2 3 3 3 3" xfId="2276" xr:uid="{D7A36D50-0184-49BC-9402-6C0BAF43FD6C}"/>
    <cellStyle name="20% - Accent6 2 3 3 3 3 2" xfId="35911" xr:uid="{23F7AF8D-01E0-471C-83A6-7FEAF02A6CE9}"/>
    <cellStyle name="20% - Accent6 2 3 3 3 4" xfId="35912" xr:uid="{3FD54FE5-FB1C-40E0-A0CE-C3F3CF896BAE}"/>
    <cellStyle name="20% - Accent6 2 3 3 4" xfId="2277" xr:uid="{7C6641E6-D8B4-4806-A45C-2795253E041F}"/>
    <cellStyle name="20% - Accent6 2 3 3 4 2" xfId="35913" xr:uid="{9E38BE6C-54C8-4323-8B0B-DABD6405FF3B}"/>
    <cellStyle name="20% - Accent6 2 3 3 4 2 2" xfId="35914" xr:uid="{51F235D1-2971-437F-BF4A-3636BC7ABE87}"/>
    <cellStyle name="20% - Accent6 2 3 3 4 3" xfId="35915" xr:uid="{58F41E41-4B9F-415B-BD42-0405AA66CFE4}"/>
    <cellStyle name="20% - Accent6 2 3 3 4 3 2" xfId="35916" xr:uid="{4160C913-8995-47EE-B69D-BCBDBA4E9A20}"/>
    <cellStyle name="20% - Accent6 2 3 3 4 4" xfId="35917" xr:uid="{7D7CF0A1-C6D8-4016-A36B-E511B9A1F0D3}"/>
    <cellStyle name="20% - Accent6 2 3 3 5" xfId="2278" xr:uid="{A109C1AD-CCB0-4DFE-86B8-A77F343149A1}"/>
    <cellStyle name="20% - Accent6 2 3 3 5 2" xfId="35918" xr:uid="{4E22500B-A9D9-4FE1-AEA1-CBA5CF43878E}"/>
    <cellStyle name="20% - Accent6 2 3 3 5 2 2" xfId="35919" xr:uid="{75F5E8E4-5191-4BBE-B779-9146A8DD53CC}"/>
    <cellStyle name="20% - Accent6 2 3 3 5 3" xfId="35920" xr:uid="{4FEE2B28-3CC9-4F72-8EAB-0D07244AC377}"/>
    <cellStyle name="20% - Accent6 2 3 3 5 3 2" xfId="35921" xr:uid="{CA53D313-67AF-4B7C-9F81-17448827E5B0}"/>
    <cellStyle name="20% - Accent6 2 3 3 5 4" xfId="35922" xr:uid="{AC440302-99C5-4304-95F2-56F79B1BE590}"/>
    <cellStyle name="20% - Accent6 2 3 3 6" xfId="2279" xr:uid="{F228CA8D-D599-492C-BD30-B41593ABEEB0}"/>
    <cellStyle name="20% - Accent6 2 3 3 6 2" xfId="35923" xr:uid="{BE27AB70-21AF-400D-973E-A24C9A17E078}"/>
    <cellStyle name="20% - Accent6 2 3 3 6 2 2" xfId="35924" xr:uid="{2671B80F-DB7E-4A61-ABDB-171B31D08701}"/>
    <cellStyle name="20% - Accent6 2 3 3 6 3" xfId="35925" xr:uid="{88E48B6C-DB2F-4CF0-9B31-84A1C9E7B5B5}"/>
    <cellStyle name="20% - Accent6 2 3 3 6 3 2" xfId="35926" xr:uid="{55830CCA-3282-4D19-94AA-6CBFC9F02282}"/>
    <cellStyle name="20% - Accent6 2 3 3 6 4" xfId="35927" xr:uid="{41726075-3DA1-44F0-87BA-03FFFED5ACEA}"/>
    <cellStyle name="20% - Accent6 2 3 3 7" xfId="35928" xr:uid="{D69FC484-8671-4F92-8C58-276036D6A8D9}"/>
    <cellStyle name="20% - Accent6 2 3 3 7 2" xfId="35929" xr:uid="{B5DA377F-01F1-4C40-8442-B42FC5A5F874}"/>
    <cellStyle name="20% - Accent6 2 3 3 8" xfId="35930" xr:uid="{E2694C56-E6C7-4EA4-9624-2A5C591A265B}"/>
    <cellStyle name="20% - Accent6 2 3 3 8 2" xfId="35931" xr:uid="{FD924A0C-5F7D-43D1-AA31-4FF611F17F2B}"/>
    <cellStyle name="20% - Accent6 2 3 3 9" xfId="35932" xr:uid="{46C0BF9A-A9B6-4799-A684-7E2BD5071B35}"/>
    <cellStyle name="20% - Accent6 2 3 4" xfId="2280" xr:uid="{7382F3A9-ACC1-4C8E-8EF7-1ABC1C4BFAAC}"/>
    <cellStyle name="20% - Accent6 2 3 4 2" xfId="2281" xr:uid="{815A0A13-ECD2-4B99-865E-3500347F4168}"/>
    <cellStyle name="20% - Accent6 2 3 4 2 2" xfId="2282" xr:uid="{837BA61B-A4F8-45F8-AD0E-03C7AB106AD1}"/>
    <cellStyle name="20% - Accent6 2 3 4 2 2 2" xfId="35933" xr:uid="{EA995D41-12A0-4F74-910A-9AAED527814E}"/>
    <cellStyle name="20% - Accent6 2 3 4 2 3" xfId="2283" xr:uid="{B9D79BC9-F0AF-41D0-9307-802E975B418D}"/>
    <cellStyle name="20% - Accent6 2 3 4 2 3 2" xfId="35934" xr:uid="{5983BDA6-B678-4F5B-9BF7-5430217DFAFE}"/>
    <cellStyle name="20% - Accent6 2 3 4 2 4" xfId="35935" xr:uid="{2DCE2C48-127F-438E-8911-176B60D7242D}"/>
    <cellStyle name="20% - Accent6 2 3 4 3" xfId="2284" xr:uid="{94F785A2-F5F3-47C3-9296-205FA12ACC08}"/>
    <cellStyle name="20% - Accent6 2 3 4 3 2" xfId="35936" xr:uid="{B900C1CC-420C-40C3-93BA-3D51F3BD1C67}"/>
    <cellStyle name="20% - Accent6 2 3 4 3 2 2" xfId="35937" xr:uid="{857201CE-8F42-4086-91AF-DC57259EA098}"/>
    <cellStyle name="20% - Accent6 2 3 4 3 3" xfId="35938" xr:uid="{020CBEDA-687F-4F62-BBD7-7686DA98459B}"/>
    <cellStyle name="20% - Accent6 2 3 4 3 3 2" xfId="35939" xr:uid="{D16CDD23-D2F6-49B9-90C7-ADB7D7276152}"/>
    <cellStyle name="20% - Accent6 2 3 4 3 4" xfId="35940" xr:uid="{69313A5C-CD30-4517-9E99-192EC54D9F94}"/>
    <cellStyle name="20% - Accent6 2 3 4 4" xfId="2285" xr:uid="{C7278F19-8352-4B6C-851E-5029AEA57A1C}"/>
    <cellStyle name="20% - Accent6 2 3 4 4 2" xfId="35941" xr:uid="{041EEE24-C72A-458E-8CCA-4ACA3F123320}"/>
    <cellStyle name="20% - Accent6 2 3 4 4 2 2" xfId="35942" xr:uid="{E5D5CCC1-EAFE-43FF-B216-4D3017DAAB56}"/>
    <cellStyle name="20% - Accent6 2 3 4 4 3" xfId="35943" xr:uid="{DF27C9C1-2B75-44E9-BEB7-276555487337}"/>
    <cellStyle name="20% - Accent6 2 3 4 4 3 2" xfId="35944" xr:uid="{AB43C85B-12D2-4F33-9247-0D63150F8180}"/>
    <cellStyle name="20% - Accent6 2 3 4 4 4" xfId="35945" xr:uid="{5C6BCA43-9750-4C63-A1B6-E8C4FDFDFF9B}"/>
    <cellStyle name="20% - Accent6 2 3 4 5" xfId="35946" xr:uid="{D8FE1BAC-282C-4B1B-9B0A-B1114E12746A}"/>
    <cellStyle name="20% - Accent6 2 3 4 5 2" xfId="35947" xr:uid="{4BB597F3-9E67-4673-BA75-A2D4B3A821C9}"/>
    <cellStyle name="20% - Accent6 2 3 4 5 2 2" xfId="35948" xr:uid="{1D74D6E0-C693-44B7-9A4B-C1351D5BA3DF}"/>
    <cellStyle name="20% - Accent6 2 3 4 5 3" xfId="35949" xr:uid="{2A30893E-9FDF-47E1-88AA-219ACC1DEF51}"/>
    <cellStyle name="20% - Accent6 2 3 4 5 3 2" xfId="35950" xr:uid="{AE45D67E-FFAA-4E33-ADD5-228F2DDA8592}"/>
    <cellStyle name="20% - Accent6 2 3 4 5 4" xfId="35951" xr:uid="{AC0E50BC-1E14-4A27-9342-1C9FBC71F914}"/>
    <cellStyle name="20% - Accent6 2 3 4 6" xfId="35952" xr:uid="{3B2780FB-B5A0-44C0-B1E1-4BE6E2E4D53E}"/>
    <cellStyle name="20% - Accent6 2 3 4 6 2" xfId="35953" xr:uid="{0289C84F-6D9E-4D8E-B619-E5633C6A6E11}"/>
    <cellStyle name="20% - Accent6 2 3 4 7" xfId="35954" xr:uid="{27ABF4CA-86F2-4B2D-AD71-3F4F8BCFCB0F}"/>
    <cellStyle name="20% - Accent6 2 3 4 7 2" xfId="35955" xr:uid="{743BC6CE-8CE6-4AAE-B07B-6E88753245E9}"/>
    <cellStyle name="20% - Accent6 2 3 4 8" xfId="35956" xr:uid="{FAB9595B-393E-442C-ADB6-BD48EE51DE11}"/>
    <cellStyle name="20% - Accent6 2 3 5" xfId="2286" xr:uid="{4C167E58-4E08-4405-9EE0-7B85E0800E06}"/>
    <cellStyle name="20% - Accent6 2 3 5 2" xfId="2287" xr:uid="{452C453D-B66D-4BDE-8CF0-175F2016EEDA}"/>
    <cellStyle name="20% - Accent6 2 3 5 2 2" xfId="2288" xr:uid="{0B749C9B-8697-4E82-9787-6D62A1BE22CD}"/>
    <cellStyle name="20% - Accent6 2 3 5 2 2 2" xfId="35957" xr:uid="{901F6424-1FBE-47E8-8460-68748EE3ECDA}"/>
    <cellStyle name="20% - Accent6 2 3 5 2 3" xfId="2289" xr:uid="{6DDEEA1C-A41D-457A-B9BD-4196674CD23E}"/>
    <cellStyle name="20% - Accent6 2 3 5 2 3 2" xfId="35958" xr:uid="{E9A37012-10A6-4919-8E8D-0F96ACD22AC8}"/>
    <cellStyle name="20% - Accent6 2 3 5 2 4" xfId="35959" xr:uid="{D7AD700E-26FF-4911-A442-EDC5CD848C74}"/>
    <cellStyle name="20% - Accent6 2 3 5 3" xfId="2290" xr:uid="{C06A1C6B-4323-4485-A5B6-35583C28BF07}"/>
    <cellStyle name="20% - Accent6 2 3 5 3 2" xfId="35960" xr:uid="{50E98437-7ECB-42D7-9154-C2DC81F3CD10}"/>
    <cellStyle name="20% - Accent6 2 3 5 3 2 2" xfId="35961" xr:uid="{415CF40E-2B1B-493E-81AF-8B8AAF2D9D12}"/>
    <cellStyle name="20% - Accent6 2 3 5 3 3" xfId="35962" xr:uid="{89417498-8F72-4279-87BF-19DF4A848401}"/>
    <cellStyle name="20% - Accent6 2 3 5 3 3 2" xfId="35963" xr:uid="{65A8AAFB-4585-48B8-9E22-F922D33F7827}"/>
    <cellStyle name="20% - Accent6 2 3 5 3 4" xfId="35964" xr:uid="{C3F23EFB-B671-4EB1-973D-FFE6C26A38D2}"/>
    <cellStyle name="20% - Accent6 2 3 5 4" xfId="2291" xr:uid="{2BB32D67-3C34-4FA4-86C0-98FB4D08AB0D}"/>
    <cellStyle name="20% - Accent6 2 3 5 4 2" xfId="35965" xr:uid="{D0A7A2CF-6A47-4669-83A3-427CA98AE7E9}"/>
    <cellStyle name="20% - Accent6 2 3 5 4 2 2" xfId="35966" xr:uid="{7C1A0666-F830-4BDC-B9DB-2B9A700999FD}"/>
    <cellStyle name="20% - Accent6 2 3 5 4 3" xfId="35967" xr:uid="{DD819CBD-53A6-466B-85D6-5E00E3DB5478}"/>
    <cellStyle name="20% - Accent6 2 3 5 4 3 2" xfId="35968" xr:uid="{5B9108B0-08AB-4462-A28A-FB71873ACCA7}"/>
    <cellStyle name="20% - Accent6 2 3 5 4 4" xfId="35969" xr:uid="{61D3663C-C76C-4FE0-9EBD-447BAD950425}"/>
    <cellStyle name="20% - Accent6 2 3 5 5" xfId="35970" xr:uid="{8E640715-C778-4CD6-AD30-91C1463B6243}"/>
    <cellStyle name="20% - Accent6 2 3 5 5 2" xfId="35971" xr:uid="{CC108BC4-A715-472E-B8BD-06A77EDCAF22}"/>
    <cellStyle name="20% - Accent6 2 3 5 6" xfId="35972" xr:uid="{6A4EF439-5BCA-4784-BDF7-8C076CBD0192}"/>
    <cellStyle name="20% - Accent6 2 3 5 6 2" xfId="35973" xr:uid="{693E3DA9-E777-4930-B47F-BDF226FB9665}"/>
    <cellStyle name="20% - Accent6 2 3 5 7" xfId="35974" xr:uid="{E143D28C-7119-4CA8-A91D-B372E340CF66}"/>
    <cellStyle name="20% - Accent6 2 3 6" xfId="2292" xr:uid="{035CB6CC-0735-4181-A139-88909927D189}"/>
    <cellStyle name="20% - Accent6 2 3 6 2" xfId="2293" xr:uid="{0A5B525B-8970-4B64-825F-6FE1BB191D9A}"/>
    <cellStyle name="20% - Accent6 2 3 6 2 2" xfId="35975" xr:uid="{0F8B029A-1913-4425-9349-0B0C2EB9B65D}"/>
    <cellStyle name="20% - Accent6 2 3 6 3" xfId="2294" xr:uid="{2BBA0762-B1BF-4F10-9815-5783674D57E8}"/>
    <cellStyle name="20% - Accent6 2 3 6 3 2" xfId="35976" xr:uid="{4AD0534B-2427-453A-9D08-E0FBE881A347}"/>
    <cellStyle name="20% - Accent6 2 3 6 4" xfId="35977" xr:uid="{2D5AF7B8-75FF-421D-B3BD-6959569BE90B}"/>
    <cellStyle name="20% - Accent6 2 3 7" xfId="2295" xr:uid="{E730EB78-F52C-42D3-9785-272F97A287D5}"/>
    <cellStyle name="20% - Accent6 2 3 7 2" xfId="35978" xr:uid="{A7528EC8-D8EF-45E4-AA3F-A1878D9315D9}"/>
    <cellStyle name="20% - Accent6 2 3 7 2 2" xfId="35979" xr:uid="{07F14629-C0A0-4967-8FC7-44BED14F81CC}"/>
    <cellStyle name="20% - Accent6 2 3 7 3" xfId="35980" xr:uid="{EEAC16CC-B7CF-4FAE-85D9-41C40023C483}"/>
    <cellStyle name="20% - Accent6 2 3 7 3 2" xfId="35981" xr:uid="{CAE2978D-F0A2-4D4A-BE4D-E8B6C16E481D}"/>
    <cellStyle name="20% - Accent6 2 3 7 4" xfId="35982" xr:uid="{7E46C43E-CE7B-4DE4-A396-6C1F35BE1088}"/>
    <cellStyle name="20% - Accent6 2 3 8" xfId="2296" xr:uid="{74BCEA42-73B9-4B71-B0CA-AF1B853B8ACD}"/>
    <cellStyle name="20% - Accent6 2 3 8 2" xfId="35983" xr:uid="{7619B494-8D05-4DF0-8B4A-BB1B687E3930}"/>
    <cellStyle name="20% - Accent6 2 3 8 2 2" xfId="35984" xr:uid="{43058CFC-4408-408A-B5A4-E4FCDD7AE390}"/>
    <cellStyle name="20% - Accent6 2 3 8 3" xfId="35985" xr:uid="{9C53ACC0-E0F7-40B5-9CB4-DDC5DC2C86BD}"/>
    <cellStyle name="20% - Accent6 2 3 8 3 2" xfId="35986" xr:uid="{AD9BAB6C-55DB-45C8-9D04-4B25F3FB0137}"/>
    <cellStyle name="20% - Accent6 2 3 8 4" xfId="35987" xr:uid="{E3C11A8C-53ED-417D-BCE3-1AB945D79FCD}"/>
    <cellStyle name="20% - Accent6 2 3 9" xfId="2297" xr:uid="{4C8F4909-1D86-45FF-9BAF-A59CB4420A38}"/>
    <cellStyle name="20% - Accent6 2 3 9 2" xfId="35988" xr:uid="{EF71F922-4DB7-44EE-9273-1CD390C61097}"/>
    <cellStyle name="20% - Accent6 2 4" xfId="2298" xr:uid="{C8E9FD85-F788-4BF9-BD73-CF3C9D4BE93E}"/>
    <cellStyle name="20% - Accent6 2 4 2" xfId="2299" xr:uid="{27C1A244-62CD-4DF7-96F9-D503DE7F1200}"/>
    <cellStyle name="20% - Accent6 2 4 2 2" xfId="2300" xr:uid="{1E9BE453-2589-4792-8A97-5B9A64A48823}"/>
    <cellStyle name="20% - Accent6 2 4 2 2 2" xfId="35989" xr:uid="{542F70B4-2BE9-4929-ABE2-B1D0AF870FCB}"/>
    <cellStyle name="20% - Accent6 2 4 2 2 2 2" xfId="35990" xr:uid="{B7D8124D-B172-444F-85AA-42D186738F7D}"/>
    <cellStyle name="20% - Accent6 2 4 2 2 3" xfId="35991" xr:uid="{E3AE0177-E9A2-4FF7-AAB0-C4AA36B1290A}"/>
    <cellStyle name="20% - Accent6 2 4 2 2 3 2" xfId="35992" xr:uid="{ED4405C8-D00F-488B-8A69-06144FA48C16}"/>
    <cellStyle name="20% - Accent6 2 4 2 2 4" xfId="35993" xr:uid="{7E4907EB-921D-4030-96E6-FEF8E122669B}"/>
    <cellStyle name="20% - Accent6 2 4 2 3" xfId="2301" xr:uid="{A98FDA2E-E65B-44BF-9CF9-972E151E45AF}"/>
    <cellStyle name="20% - Accent6 2 4 2 3 2" xfId="35994" xr:uid="{77106F44-F4CE-4B44-AF13-52F09F9D5884}"/>
    <cellStyle name="20% - Accent6 2 4 2 3 2 2" xfId="35995" xr:uid="{EF71425D-42EF-4414-9942-AD5E57685D39}"/>
    <cellStyle name="20% - Accent6 2 4 2 3 3" xfId="35996" xr:uid="{461CC16E-E674-491D-8DB5-2F1D9667BF74}"/>
    <cellStyle name="20% - Accent6 2 4 2 3 3 2" xfId="35997" xr:uid="{7EBF4A5F-2C18-46B5-BF26-D4718894655C}"/>
    <cellStyle name="20% - Accent6 2 4 2 3 4" xfId="35998" xr:uid="{7753296C-A0CB-4F18-9CA6-B65A4F573358}"/>
    <cellStyle name="20% - Accent6 2 4 2 4" xfId="35999" xr:uid="{36EE90CD-D1B8-4222-9EDC-0643BE31BAD8}"/>
    <cellStyle name="20% - Accent6 2 4 2 4 2" xfId="36000" xr:uid="{5E40C1D1-D218-4252-A28A-080E9028751A}"/>
    <cellStyle name="20% - Accent6 2 4 2 4 2 2" xfId="36001" xr:uid="{36CEBDD0-3441-4552-A4A2-CD5962B6A21D}"/>
    <cellStyle name="20% - Accent6 2 4 2 4 3" xfId="36002" xr:uid="{689F6BE3-0A80-4F37-A7DE-16E00343EE6B}"/>
    <cellStyle name="20% - Accent6 2 4 2 4 3 2" xfId="36003" xr:uid="{3AE01C7B-6437-4BA8-8B82-2AC8D9CB157C}"/>
    <cellStyle name="20% - Accent6 2 4 2 4 4" xfId="36004" xr:uid="{4EC11183-B33B-47D3-9DA7-763F6DA41CF2}"/>
    <cellStyle name="20% - Accent6 2 4 2 5" xfId="36005" xr:uid="{12D8A1BB-A346-4FB5-89F1-E8B38B1E11F1}"/>
    <cellStyle name="20% - Accent6 2 4 2 5 2" xfId="36006" xr:uid="{F704C68B-E711-45A6-8C03-54D83FA34FAC}"/>
    <cellStyle name="20% - Accent6 2 4 2 6" xfId="36007" xr:uid="{650B14A7-E78E-4C9F-B27B-F9E932225FF5}"/>
    <cellStyle name="20% - Accent6 2 4 2 6 2" xfId="36008" xr:uid="{F40E8782-8AF6-402F-B52E-4C97996C0097}"/>
    <cellStyle name="20% - Accent6 2 4 2 7" xfId="36009" xr:uid="{394FEC1B-DB7C-4E15-A43C-C29129A50E30}"/>
    <cellStyle name="20% - Accent6 2 4 3" xfId="2302" xr:uid="{B97C8BD8-7CBA-4BC6-A509-538384066BE4}"/>
    <cellStyle name="20% - Accent6 2 4 3 2" xfId="36010" xr:uid="{87771D8F-B05D-4713-A869-38B285AA5A0D}"/>
    <cellStyle name="20% - Accent6 2 4 3 2 2" xfId="36011" xr:uid="{E9062AD3-B3B1-4E42-9098-462E187AAD5B}"/>
    <cellStyle name="20% - Accent6 2 4 3 2 2 2" xfId="36012" xr:uid="{5AF6DA3F-AA26-4955-A440-8B108EE661AC}"/>
    <cellStyle name="20% - Accent6 2 4 3 2 3" xfId="36013" xr:uid="{7181F8EC-B811-415D-A9D4-FCEBEA0D46F0}"/>
    <cellStyle name="20% - Accent6 2 4 3 2 3 2" xfId="36014" xr:uid="{3CCB2BA8-6EE0-483C-B60B-4937723F8D42}"/>
    <cellStyle name="20% - Accent6 2 4 3 2 4" xfId="36015" xr:uid="{6A7108A9-529E-49F3-A8AD-3F256393FD7A}"/>
    <cellStyle name="20% - Accent6 2 4 3 3" xfId="36016" xr:uid="{4FBDF8DA-AB46-4AFE-945B-E5A636876156}"/>
    <cellStyle name="20% - Accent6 2 4 3 3 2" xfId="36017" xr:uid="{3E2E6917-50A8-4386-8851-3880BD3397DA}"/>
    <cellStyle name="20% - Accent6 2 4 3 3 2 2" xfId="36018" xr:uid="{BA950FD5-DE5E-47A1-AF2E-EF91AAAF4A29}"/>
    <cellStyle name="20% - Accent6 2 4 3 3 3" xfId="36019" xr:uid="{86D7713B-532F-4723-A5ED-CCA9F646D279}"/>
    <cellStyle name="20% - Accent6 2 4 3 3 3 2" xfId="36020" xr:uid="{B743FBB9-2218-496D-8F30-3CE64B54E588}"/>
    <cellStyle name="20% - Accent6 2 4 3 3 4" xfId="36021" xr:uid="{3AF3C168-C591-4485-B85C-666CFC9BDC89}"/>
    <cellStyle name="20% - Accent6 2 4 3 4" xfId="36022" xr:uid="{93662A82-A621-4F26-A1B5-4C140BD4D3D8}"/>
    <cellStyle name="20% - Accent6 2 4 3 4 2" xfId="36023" xr:uid="{57550ADA-1641-4BB7-BFD8-C0A441206E21}"/>
    <cellStyle name="20% - Accent6 2 4 3 4 2 2" xfId="36024" xr:uid="{BF711F98-C523-4919-BEC6-48284C65C845}"/>
    <cellStyle name="20% - Accent6 2 4 3 4 3" xfId="36025" xr:uid="{0A21F9F5-8B23-448A-88B3-EBA2765F4B49}"/>
    <cellStyle name="20% - Accent6 2 4 3 4 3 2" xfId="36026" xr:uid="{0D568319-69F8-46E8-9342-F7F1ED87A008}"/>
    <cellStyle name="20% - Accent6 2 4 3 4 4" xfId="36027" xr:uid="{1A70413C-0949-42EB-A447-1A78119F7064}"/>
    <cellStyle name="20% - Accent6 2 4 3 5" xfId="36028" xr:uid="{9C88260E-CBD2-4D7A-8ECD-B5A013BFEE4F}"/>
    <cellStyle name="20% - Accent6 2 4 3 5 2" xfId="36029" xr:uid="{AB8D8AAB-A440-4F37-8335-8A4F0A789BDB}"/>
    <cellStyle name="20% - Accent6 2 4 3 6" xfId="36030" xr:uid="{5F06730D-508C-44E3-99ED-289EAF9682D5}"/>
    <cellStyle name="20% - Accent6 2 4 3 6 2" xfId="36031" xr:uid="{6639E933-B63F-43DE-9117-F9473302F8B7}"/>
    <cellStyle name="20% - Accent6 2 4 3 7" xfId="36032" xr:uid="{CD5587AC-A073-49A0-909C-6E0A5C4F4D2B}"/>
    <cellStyle name="20% - Accent6 2 4 4" xfId="2303" xr:uid="{DBD1967B-52DB-4F1C-9EE9-C0F4CB244BAB}"/>
    <cellStyle name="20% - Accent6 2 4 4 2" xfId="36033" xr:uid="{B7637BEB-294C-4970-9995-165D29F3D0F4}"/>
    <cellStyle name="20% - Accent6 2 4 4 2 2" xfId="36034" xr:uid="{CB1AF91B-DFF6-4B09-925D-617633B18466}"/>
    <cellStyle name="20% - Accent6 2 4 4 3" xfId="36035" xr:uid="{AED540AE-EB93-4A1D-A9CC-2B68D7AC7CD0}"/>
    <cellStyle name="20% - Accent6 2 4 4 3 2" xfId="36036" xr:uid="{F8EB8D1B-1CDE-4132-9142-052990AFF989}"/>
    <cellStyle name="20% - Accent6 2 4 4 4" xfId="36037" xr:uid="{E42537BF-06A6-4A94-AD33-D8C7BB5F7200}"/>
    <cellStyle name="20% - Accent6 2 4 5" xfId="2304" xr:uid="{CBA4C4CC-40ED-420F-A9C0-FF5F2BB34E97}"/>
    <cellStyle name="20% - Accent6 2 4 5 2" xfId="36038" xr:uid="{82178A1A-BAB8-440E-A1A5-4302208BAB46}"/>
    <cellStyle name="20% - Accent6 2 4 5 2 2" xfId="36039" xr:uid="{47729D19-E2EC-4D2F-BD5A-A39F17709690}"/>
    <cellStyle name="20% - Accent6 2 4 5 3" xfId="36040" xr:uid="{996B6218-DA8B-4041-9D05-28A2C0616934}"/>
    <cellStyle name="20% - Accent6 2 4 5 3 2" xfId="36041" xr:uid="{AA053AD5-1733-4A32-9879-CD7F714A1429}"/>
    <cellStyle name="20% - Accent6 2 4 5 4" xfId="36042" xr:uid="{9274346E-42D4-49DD-954A-3D74E9CF306E}"/>
    <cellStyle name="20% - Accent6 2 4 6" xfId="36043" xr:uid="{907962E2-93E9-441D-B3C5-1477EB045F96}"/>
    <cellStyle name="20% - Accent6 2 4 6 2" xfId="36044" xr:uid="{84435426-38F6-4C9F-8A68-01A954910CC4}"/>
    <cellStyle name="20% - Accent6 2 4 6 2 2" xfId="36045" xr:uid="{0375084E-8972-466C-9A6C-FE845B5DA67D}"/>
    <cellStyle name="20% - Accent6 2 4 6 3" xfId="36046" xr:uid="{7AD62E1C-AD74-45B6-A6DC-51C616A1FD0B}"/>
    <cellStyle name="20% - Accent6 2 4 6 3 2" xfId="36047" xr:uid="{0A57CA5D-1682-4090-9A11-F54DE95FC50B}"/>
    <cellStyle name="20% - Accent6 2 4 6 4" xfId="36048" xr:uid="{002398C8-F6C8-4161-BFDE-F5958FC2F0FE}"/>
    <cellStyle name="20% - Accent6 2 4 7" xfId="36049" xr:uid="{6D673465-57B4-4639-B905-AD02269DC036}"/>
    <cellStyle name="20% - Accent6 2 4 7 2" xfId="36050" xr:uid="{74B9CD99-11C9-4762-9550-4B1E2C3F5747}"/>
    <cellStyle name="20% - Accent6 2 4 8" xfId="36051" xr:uid="{069AE1EC-11C6-4F23-AB30-61428461573F}"/>
    <cellStyle name="20% - Accent6 2 4 8 2" xfId="36052" xr:uid="{591B4DAF-9127-446C-8E75-3C5253801891}"/>
    <cellStyle name="20% - Accent6 2 4 9" xfId="36053" xr:uid="{BDDD78AC-713F-45A8-A1DC-B2367524D3E1}"/>
    <cellStyle name="20% - Accent6 2 5" xfId="36054" xr:uid="{16B72E44-1D52-4FBD-8647-D879A72BE55A}"/>
    <cellStyle name="20% - Accent6 2 5 2" xfId="36055" xr:uid="{FCDC0DC3-022D-437D-A486-BF3C087B4C69}"/>
    <cellStyle name="20% - Accent6 2 5 2 2" xfId="36056" xr:uid="{754F1956-320B-4D75-958D-C8A233EA8286}"/>
    <cellStyle name="20% - Accent6 2 5 2 2 2" xfId="36057" xr:uid="{9C966E49-A314-4EFE-AC6B-10E1AF174994}"/>
    <cellStyle name="20% - Accent6 2 5 2 3" xfId="36058" xr:uid="{044FCC95-B300-4DEB-BB69-AF252B356781}"/>
    <cellStyle name="20% - Accent6 2 5 2 3 2" xfId="36059" xr:uid="{38C432FC-8AFF-4996-AE0F-9475D7E91E98}"/>
    <cellStyle name="20% - Accent6 2 5 2 4" xfId="36060" xr:uid="{F0ECF93F-FF7C-4578-B67E-1A78614DEBF9}"/>
    <cellStyle name="20% - Accent6 2 5 3" xfId="36061" xr:uid="{DCA314C2-240A-48C6-9006-D6147B489560}"/>
    <cellStyle name="20% - Accent6 2 5 3 2" xfId="36062" xr:uid="{4035AE27-E80B-485C-AC5A-39D0C3C76098}"/>
    <cellStyle name="20% - Accent6 2 5 3 2 2" xfId="36063" xr:uid="{747A2512-C849-4973-9B08-BC39CA08041D}"/>
    <cellStyle name="20% - Accent6 2 5 3 3" xfId="36064" xr:uid="{A5B1AFB8-00C7-427D-BCA9-BA669C825DD9}"/>
    <cellStyle name="20% - Accent6 2 5 3 3 2" xfId="36065" xr:uid="{56FE6452-C3B4-40A4-9A80-5E17B7FA16E0}"/>
    <cellStyle name="20% - Accent6 2 5 3 4" xfId="36066" xr:uid="{AA75F345-3F51-49D4-8BE4-6C5F65BA1BE5}"/>
    <cellStyle name="20% - Accent6 2 5 4" xfId="36067" xr:uid="{34A34136-352E-4CE7-A2D0-6B616D5699B8}"/>
    <cellStyle name="20% - Accent6 2 5 4 2" xfId="36068" xr:uid="{0656CCAD-8E46-4CFC-89CF-31DAD6A7E696}"/>
    <cellStyle name="20% - Accent6 2 5 4 2 2" xfId="36069" xr:uid="{C909DF84-8C8B-4567-A471-D98AA152A45F}"/>
    <cellStyle name="20% - Accent6 2 5 4 3" xfId="36070" xr:uid="{43C22B5D-8520-4C48-9628-85EE9F680AC7}"/>
    <cellStyle name="20% - Accent6 2 5 4 3 2" xfId="36071" xr:uid="{B5C56733-1F24-4D34-88E5-621792FC029A}"/>
    <cellStyle name="20% - Accent6 2 5 4 4" xfId="36072" xr:uid="{00FCC552-1CD3-4AF0-A86B-5657C0743F70}"/>
    <cellStyle name="20% - Accent6 2 5 5" xfId="36073" xr:uid="{B02F6F3D-E6F5-4D59-9B90-BA79FB30ECDE}"/>
    <cellStyle name="20% - Accent6 2 5 5 2" xfId="36074" xr:uid="{87F1311F-ADBA-428B-84E6-8F0E02E0FF66}"/>
    <cellStyle name="20% - Accent6 2 5 6" xfId="36075" xr:uid="{BD1F9322-77B5-438C-9ACA-B508F4077D37}"/>
    <cellStyle name="20% - Accent6 2 5 6 2" xfId="36076" xr:uid="{EB9D9DA4-4FBC-4EA5-B4C7-791489EBCA8C}"/>
    <cellStyle name="20% - Accent6 2 5 7" xfId="36077" xr:uid="{EDCA55ED-D1F9-4D03-ABC4-B4FADE431378}"/>
    <cellStyle name="20% - Accent6 2 6" xfId="36078" xr:uid="{E0D465B6-C4D5-4931-AA1C-23AFC28144B3}"/>
    <cellStyle name="20% - Accent6 2 6 2" xfId="36079" xr:uid="{63810AB1-A99E-4C75-A7AC-39F9D8FAAFF0}"/>
    <cellStyle name="20% - Accent6 2 6 2 2" xfId="36080" xr:uid="{9C09A929-A71C-4909-A5FC-674726288B15}"/>
    <cellStyle name="20% - Accent6 2 6 3" xfId="36081" xr:uid="{EEFBE28C-35F8-4C78-94A4-B739413DD0FA}"/>
    <cellStyle name="20% - Accent6 2 6 3 2" xfId="36082" xr:uid="{24DBFE92-633B-4D61-9151-AEEB62617E45}"/>
    <cellStyle name="20% - Accent6 2 6 4" xfId="36083" xr:uid="{79921F5E-8CCC-4D76-8AD1-84C14C9829C4}"/>
    <cellStyle name="20% - Accent6 2 7" xfId="36084" xr:uid="{4C053FCD-38E0-430B-9EC5-6CB3D4C8F449}"/>
    <cellStyle name="20% - Accent6 2 7 2" xfId="36085" xr:uid="{7327D70E-AD2B-44B8-9BFE-E2EFB373858C}"/>
    <cellStyle name="20% - Accent6 2 7 2 2" xfId="36086" xr:uid="{DD33B79E-2FDA-48D9-A8D7-F7BEBE00BAD8}"/>
    <cellStyle name="20% - Accent6 2 7 3" xfId="36087" xr:uid="{A78F7EE5-85D6-47B0-A018-C967E51636F0}"/>
    <cellStyle name="20% - Accent6 2 7 3 2" xfId="36088" xr:uid="{07E456DA-9C68-450C-9394-0CEA2A03312C}"/>
    <cellStyle name="20% - Accent6 2 7 4" xfId="36089" xr:uid="{A6B23B44-0940-45BC-B6FD-E802995B5843}"/>
    <cellStyle name="20% - Accent6 2 8" xfId="36090" xr:uid="{535B7388-B92A-4904-A859-4EE229CAC445}"/>
    <cellStyle name="20% - Accent6 2 9" xfId="36091" xr:uid="{F9433DFE-BD61-4CBD-A8A3-7C2D6FAE1072}"/>
    <cellStyle name="20% - Accent6 2_PwrTax 51040" xfId="2305" xr:uid="{B4AA384A-676E-4E28-B32E-C56AF365A666}"/>
    <cellStyle name="20% - Accent6 20" xfId="2306" xr:uid="{4835F5B6-FF2A-49F7-9436-84F26E1B8B07}"/>
    <cellStyle name="20% - Accent6 21" xfId="2307" xr:uid="{78DC9023-F7B5-4D8E-9265-DE8E851D0FFD}"/>
    <cellStyle name="20% - Accent6 22" xfId="2308" xr:uid="{F298B6C4-F183-4FFD-A573-7C3B31417125}"/>
    <cellStyle name="20% - Accent6 23" xfId="2309" xr:uid="{621416D6-85D0-4D08-A05D-E8096F7C180C}"/>
    <cellStyle name="20% - Accent6 24" xfId="2310" xr:uid="{F2215C36-687F-40CE-B5B8-9EA40655D4E8}"/>
    <cellStyle name="20% - Accent6 25" xfId="2311" xr:uid="{16543021-D17D-4A02-BAF6-D29AC9ACA84C}"/>
    <cellStyle name="20% - Accent6 26" xfId="2312" xr:uid="{4D7320F3-D222-44BE-B2A1-43A2D2BF29EB}"/>
    <cellStyle name="20% - Accent6 27" xfId="2313" xr:uid="{0A1337C8-8358-4CA6-B9E5-1CAFD7BF8EA5}"/>
    <cellStyle name="20% - Accent6 28" xfId="2314" xr:uid="{1D4EABA7-B0DB-4457-931F-C99AC150A4E7}"/>
    <cellStyle name="20% - Accent6 29" xfId="2315" xr:uid="{F329EBD6-D97A-4F6C-86F5-F5A283EFEB71}"/>
    <cellStyle name="20% - Accent6 3" xfId="2316" xr:uid="{0FDD0A58-759D-40B6-BD73-48CC5B64A199}"/>
    <cellStyle name="20% - Accent6 3 10" xfId="36092" xr:uid="{05E53BAF-A5D7-4B06-98E2-A4C022F47DC5}"/>
    <cellStyle name="20% - Accent6 3 11" xfId="43537" xr:uid="{08A408C0-B1CB-4493-99A6-BC604B6DE359}"/>
    <cellStyle name="20% - Accent6 3 2" xfId="2317" xr:uid="{5E1FB14D-326A-4A47-8CE3-5FF999553662}"/>
    <cellStyle name="20% - Accent6 3 2 2" xfId="36093" xr:uid="{1721DC62-F872-4936-B6A5-B415591DE0F6}"/>
    <cellStyle name="20% - Accent6 3 2 2 2" xfId="36094" xr:uid="{A10F9843-66E4-4AC7-BA0F-4C1E307295C7}"/>
    <cellStyle name="20% - Accent6 3 2 3" xfId="36095" xr:uid="{B7BBB1F1-4E54-4CD0-AE36-568FB73F05EF}"/>
    <cellStyle name="20% - Accent6 3 3" xfId="2318" xr:uid="{05B75DBD-E8F8-4911-A95C-B06235042DC7}"/>
    <cellStyle name="20% - Accent6 3 3 10" xfId="36096" xr:uid="{D680554C-83E6-404B-AFF2-A29285AAC7FF}"/>
    <cellStyle name="20% - Accent6 3 3 10 2" xfId="36097" xr:uid="{42DCE60D-7E99-4F69-8941-FDA7D1119E48}"/>
    <cellStyle name="20% - Accent6 3 3 11" xfId="36098" xr:uid="{F923DDB6-53E8-47EE-A95C-177B93267176}"/>
    <cellStyle name="20% - Accent6 3 3 12" xfId="36099" xr:uid="{86347B38-8184-43B4-AD41-7380AA153381}"/>
    <cellStyle name="20% - Accent6 3 3 2" xfId="2319" xr:uid="{5E2C6347-8703-4285-A9C7-7928BF71D2EA}"/>
    <cellStyle name="20% - Accent6 3 3 2 2" xfId="2320" xr:uid="{173829B2-AEE3-452A-BA15-952AD64958BB}"/>
    <cellStyle name="20% - Accent6 3 3 2 2 2" xfId="2321" xr:uid="{FCD12C20-11C6-4650-BB8C-FC5972ECD009}"/>
    <cellStyle name="20% - Accent6 3 3 2 2 2 2" xfId="2322" xr:uid="{D21F317C-1845-492A-98A5-D0CFC4893B4E}"/>
    <cellStyle name="20% - Accent6 3 3 2 2 2 2 2" xfId="36100" xr:uid="{405FCB40-FF6F-4E25-AB8B-810852C3763A}"/>
    <cellStyle name="20% - Accent6 3 3 2 2 2 3" xfId="2323" xr:uid="{B343EDF1-2ECA-4C5B-9B2E-32ADD1658167}"/>
    <cellStyle name="20% - Accent6 3 3 2 2 2 3 2" xfId="36101" xr:uid="{FF8461FE-6939-4519-B5E3-B5E87794FD56}"/>
    <cellStyle name="20% - Accent6 3 3 2 2 2 4" xfId="36102" xr:uid="{1FCCD533-1917-4AAC-8B4E-3835798EB3AE}"/>
    <cellStyle name="20% - Accent6 3 3 2 2 3" xfId="2324" xr:uid="{A40F8D10-A5EF-45B9-ACD5-10B9A0BE3C09}"/>
    <cellStyle name="20% - Accent6 3 3 2 2 3 2" xfId="36103" xr:uid="{254D0AF0-A038-439A-AA09-D10828F9BA58}"/>
    <cellStyle name="20% - Accent6 3 3 2 2 4" xfId="2325" xr:uid="{C41B3FDC-15D5-4ACE-B3D8-48A5E63529B5}"/>
    <cellStyle name="20% - Accent6 3 3 2 2 4 2" xfId="36104" xr:uid="{DE99F269-003C-4DB1-92DD-1860308BCCC3}"/>
    <cellStyle name="20% - Accent6 3 3 2 2 5" xfId="36105" xr:uid="{33001DD1-68FF-48EF-923E-F5000CEAD2B0}"/>
    <cellStyle name="20% - Accent6 3 3 2 3" xfId="2326" xr:uid="{507531D6-F9E4-4977-B319-A6915E06E27A}"/>
    <cellStyle name="20% - Accent6 3 3 2 3 2" xfId="2327" xr:uid="{33299507-8E05-4ED8-9DA6-A5F379E5480D}"/>
    <cellStyle name="20% - Accent6 3 3 2 3 2 2" xfId="36106" xr:uid="{377B58EF-BB0E-49C6-B4DE-EF8264860BC5}"/>
    <cellStyle name="20% - Accent6 3 3 2 3 3" xfId="2328" xr:uid="{6719D214-683F-46C0-B627-5053A519C8EF}"/>
    <cellStyle name="20% - Accent6 3 3 2 3 3 2" xfId="36107" xr:uid="{FF6C70BD-A0AF-4256-AA4B-E673B9E96110}"/>
    <cellStyle name="20% - Accent6 3 3 2 3 4" xfId="36108" xr:uid="{84E07CA4-2D32-4130-8BFC-E975A9C6EA38}"/>
    <cellStyle name="20% - Accent6 3 3 2 4" xfId="2329" xr:uid="{053BC8A5-76AA-4B4A-8860-605FA806F5E4}"/>
    <cellStyle name="20% - Accent6 3 3 2 4 2" xfId="36109" xr:uid="{13E2530D-5CB0-4B86-A998-5E92C7ABDEAC}"/>
    <cellStyle name="20% - Accent6 3 3 2 4 2 2" xfId="36110" xr:uid="{86BBD921-3245-4860-8010-0BB27F30CCAF}"/>
    <cellStyle name="20% - Accent6 3 3 2 4 3" xfId="36111" xr:uid="{4BE07D13-7C47-4A84-8B7E-C2FD0D6AE79C}"/>
    <cellStyle name="20% - Accent6 3 3 2 4 3 2" xfId="36112" xr:uid="{3AD33FDE-E961-43AB-90CF-F3244E687AD9}"/>
    <cellStyle name="20% - Accent6 3 3 2 4 4" xfId="36113" xr:uid="{5CFE059E-70A2-46DF-9DD4-9B5E0361CD92}"/>
    <cellStyle name="20% - Accent6 3 3 2 5" xfId="2330" xr:uid="{33CC7A71-D789-48BE-B9D9-33471AEAD766}"/>
    <cellStyle name="20% - Accent6 3 3 2 5 2" xfId="36114" xr:uid="{38FF9387-011B-4691-94B5-D976EAF982D9}"/>
    <cellStyle name="20% - Accent6 3 3 2 5 2 2" xfId="36115" xr:uid="{F939136A-C6AB-42D3-A41A-559B2F6DF6CC}"/>
    <cellStyle name="20% - Accent6 3 3 2 5 3" xfId="36116" xr:uid="{BAE84437-0AFF-4FBC-9B87-4E277A377833}"/>
    <cellStyle name="20% - Accent6 3 3 2 5 3 2" xfId="36117" xr:uid="{60C79966-E8E2-4336-B5D6-51FCF541C334}"/>
    <cellStyle name="20% - Accent6 3 3 2 5 4" xfId="36118" xr:uid="{9A2E923C-F048-4E64-A597-7DE8EC443DB0}"/>
    <cellStyle name="20% - Accent6 3 3 2 6" xfId="36119" xr:uid="{3C5340DC-0B3B-4CCB-85FB-755DD0E37394}"/>
    <cellStyle name="20% - Accent6 3 3 2 6 2" xfId="36120" xr:uid="{EE0A8C4A-31FE-4B9A-AB2F-44B4FF136BA0}"/>
    <cellStyle name="20% - Accent6 3 3 2 6 2 2" xfId="36121" xr:uid="{EE2CD202-0A44-4E2F-92EA-26C6D24D4084}"/>
    <cellStyle name="20% - Accent6 3 3 2 6 3" xfId="36122" xr:uid="{8E1437E9-91E7-4BC3-881D-8CA69BE18081}"/>
    <cellStyle name="20% - Accent6 3 3 2 6 3 2" xfId="36123" xr:uid="{506DBA8D-A8F6-4CD4-8D98-063815E1D501}"/>
    <cellStyle name="20% - Accent6 3 3 2 6 4" xfId="36124" xr:uid="{2BB91861-D85D-4E29-B66E-2BD76C04189D}"/>
    <cellStyle name="20% - Accent6 3 3 2 7" xfId="36125" xr:uid="{8F51692A-75AF-4023-88B5-D2AEBBEC3A4D}"/>
    <cellStyle name="20% - Accent6 3 3 2 7 2" xfId="36126" xr:uid="{F036D181-F5AC-4D1F-9DF8-CEBD175B845B}"/>
    <cellStyle name="20% - Accent6 3 3 2 8" xfId="36127" xr:uid="{1D7CDD29-B749-465F-ADA3-954E1F7CB116}"/>
    <cellStyle name="20% - Accent6 3 3 2 8 2" xfId="36128" xr:uid="{8FE7072F-74F0-4B00-8150-B4EEDC77C523}"/>
    <cellStyle name="20% - Accent6 3 3 2 9" xfId="36129" xr:uid="{6150CBDC-068F-4152-A197-4074E0B7265E}"/>
    <cellStyle name="20% - Accent6 3 3 3" xfId="2331" xr:uid="{8F7E10FC-8603-4B6D-A250-208A106079D4}"/>
    <cellStyle name="20% - Accent6 3 3 3 2" xfId="2332" xr:uid="{4676673F-346F-42E8-8DC0-7DCAE5A81613}"/>
    <cellStyle name="20% - Accent6 3 3 3 2 2" xfId="2333" xr:uid="{A66C6B97-56F6-4078-BF2E-2A113710116B}"/>
    <cellStyle name="20% - Accent6 3 3 3 2 2 2" xfId="36130" xr:uid="{12338669-8F2D-4DA3-8382-382096D24D56}"/>
    <cellStyle name="20% - Accent6 3 3 3 2 3" xfId="2334" xr:uid="{59ACA0D7-2688-4032-9B3C-F175FE977119}"/>
    <cellStyle name="20% - Accent6 3 3 3 2 3 2" xfId="36131" xr:uid="{33B3C77D-2E25-4EFF-9722-D1D6B8208246}"/>
    <cellStyle name="20% - Accent6 3 3 3 2 4" xfId="36132" xr:uid="{9F208B94-595C-458A-8CDE-24BFDBA99F9A}"/>
    <cellStyle name="20% - Accent6 3 3 3 3" xfId="2335" xr:uid="{D6FB8870-383A-492D-AB75-9E0E9D553474}"/>
    <cellStyle name="20% - Accent6 3 3 3 3 2" xfId="36133" xr:uid="{FE3ABE5A-AB3B-42FC-8146-3D4365F1F528}"/>
    <cellStyle name="20% - Accent6 3 3 3 3 2 2" xfId="36134" xr:uid="{892D9669-F3CE-4544-BDFA-1D85EE4D17F8}"/>
    <cellStyle name="20% - Accent6 3 3 3 3 3" xfId="36135" xr:uid="{69D60753-2DBA-4173-AA52-7A1140F68AFF}"/>
    <cellStyle name="20% - Accent6 3 3 3 3 3 2" xfId="36136" xr:uid="{F906694B-6AC8-44F5-8ED7-A2F791E2F157}"/>
    <cellStyle name="20% - Accent6 3 3 3 3 4" xfId="36137" xr:uid="{8A32B933-F5C9-4447-92F2-6C14D71CB158}"/>
    <cellStyle name="20% - Accent6 3 3 3 4" xfId="2336" xr:uid="{78BF0179-1AD1-461D-B049-1DA5CF710897}"/>
    <cellStyle name="20% - Accent6 3 3 3 4 2" xfId="36138" xr:uid="{D9B62C55-3CAD-4BAB-88EA-FA2ED3D60468}"/>
    <cellStyle name="20% - Accent6 3 3 3 4 2 2" xfId="36139" xr:uid="{7FC0739A-402A-4787-BC97-C6BF2DD0FCD6}"/>
    <cellStyle name="20% - Accent6 3 3 3 4 3" xfId="36140" xr:uid="{6B607F46-6352-474F-B593-3C4286714A17}"/>
    <cellStyle name="20% - Accent6 3 3 3 4 3 2" xfId="36141" xr:uid="{BFF00F28-F77E-4AA0-A6CE-60FD03B6EBDC}"/>
    <cellStyle name="20% - Accent6 3 3 3 4 4" xfId="36142" xr:uid="{5987A376-E10D-421B-A5A4-1F0570DF030D}"/>
    <cellStyle name="20% - Accent6 3 3 3 5" xfId="2337" xr:uid="{B642ED27-E78D-4910-B20F-099A591530C9}"/>
    <cellStyle name="20% - Accent6 3 3 3 5 2" xfId="36143" xr:uid="{8AC0FFBB-034F-43B3-B290-F042DC705294}"/>
    <cellStyle name="20% - Accent6 3 3 3 5 2 2" xfId="36144" xr:uid="{47AA326B-23BD-459C-AF50-ADAD074CBFA9}"/>
    <cellStyle name="20% - Accent6 3 3 3 5 3" xfId="36145" xr:uid="{02F41762-0B6F-4C07-BDEA-F3D48B7CA975}"/>
    <cellStyle name="20% - Accent6 3 3 3 5 3 2" xfId="36146" xr:uid="{9373BD67-025D-4377-BFEE-F169E745BDA6}"/>
    <cellStyle name="20% - Accent6 3 3 3 5 4" xfId="36147" xr:uid="{6BB22EC9-6AA9-4712-A6ED-579B136AB242}"/>
    <cellStyle name="20% - Accent6 3 3 3 6" xfId="36148" xr:uid="{F1DE35B7-ADDD-493E-92C9-72AFBC344CA0}"/>
    <cellStyle name="20% - Accent6 3 3 3 6 2" xfId="36149" xr:uid="{EBFBF628-1610-42E1-9967-86F16C5514AD}"/>
    <cellStyle name="20% - Accent6 3 3 3 7" xfId="36150" xr:uid="{AA19A492-F570-4D4F-B1E5-3EAEF70AE9EA}"/>
    <cellStyle name="20% - Accent6 3 3 3 7 2" xfId="36151" xr:uid="{EB610952-316A-43B6-8B29-8230D07C1F4A}"/>
    <cellStyle name="20% - Accent6 3 3 3 8" xfId="36152" xr:uid="{60693974-D37C-43F8-BECE-12E99BBE3F2A}"/>
    <cellStyle name="20% - Accent6 3 3 4" xfId="2338" xr:uid="{40E9D0BD-F767-4DE1-8011-5265B9CC9A85}"/>
    <cellStyle name="20% - Accent6 3 3 4 2" xfId="2339" xr:uid="{98490141-2DD2-4E99-AA24-36CEB19D6BD7}"/>
    <cellStyle name="20% - Accent6 3 3 4 2 2" xfId="2340" xr:uid="{698FEE95-E1AC-418F-B925-3B3A796327A3}"/>
    <cellStyle name="20% - Accent6 3 3 4 2 2 2" xfId="36153" xr:uid="{5C33E5C8-5874-41C5-BF41-709498319B6E}"/>
    <cellStyle name="20% - Accent6 3 3 4 2 3" xfId="2341" xr:uid="{F1FF9FC8-C1AB-4573-8B9B-7C42307C019B}"/>
    <cellStyle name="20% - Accent6 3 3 4 2 3 2" xfId="36154" xr:uid="{3CC56E40-4DD7-47A5-8A0C-107DBF9123CC}"/>
    <cellStyle name="20% - Accent6 3 3 4 2 4" xfId="36155" xr:uid="{22F0903D-83EF-4102-8C95-5E3E28BFAB4E}"/>
    <cellStyle name="20% - Accent6 3 3 4 3" xfId="2342" xr:uid="{5DCE13DE-ABD1-4FB0-B61E-3FC2945F321F}"/>
    <cellStyle name="20% - Accent6 3 3 4 3 2" xfId="36156" xr:uid="{C44DEFE3-0E4A-41B6-8A10-413590E9C482}"/>
    <cellStyle name="20% - Accent6 3 3 4 3 2 2" xfId="36157" xr:uid="{315C04E9-B8FE-4331-BA94-927E20D7141C}"/>
    <cellStyle name="20% - Accent6 3 3 4 3 3" xfId="36158" xr:uid="{40736062-DDE6-4DF1-B7A2-D63774C1F784}"/>
    <cellStyle name="20% - Accent6 3 3 4 3 3 2" xfId="36159" xr:uid="{FAB28853-2EF4-45C2-8D8B-2BC22751EA45}"/>
    <cellStyle name="20% - Accent6 3 3 4 3 4" xfId="36160" xr:uid="{D056FD63-AAD4-4A13-A2E6-426C4EC82A4E}"/>
    <cellStyle name="20% - Accent6 3 3 4 4" xfId="2343" xr:uid="{22B93FFB-3312-4A9F-B294-59A127311912}"/>
    <cellStyle name="20% - Accent6 3 3 4 4 2" xfId="36161" xr:uid="{AF33B900-0553-49C8-9A5C-256CCFDDE41E}"/>
    <cellStyle name="20% - Accent6 3 3 4 4 2 2" xfId="36162" xr:uid="{862639E1-1C6B-4E77-865D-80BC347355AC}"/>
    <cellStyle name="20% - Accent6 3 3 4 4 3" xfId="36163" xr:uid="{3E02A6AB-FC8B-44C2-84A9-0BDD3CB62328}"/>
    <cellStyle name="20% - Accent6 3 3 4 4 3 2" xfId="36164" xr:uid="{C34DA355-DC77-40F1-96FE-59E7E3397676}"/>
    <cellStyle name="20% - Accent6 3 3 4 4 4" xfId="36165" xr:uid="{93CB8A6E-AD68-4F13-93F4-D13E6087ED98}"/>
    <cellStyle name="20% - Accent6 3 3 4 5" xfId="36166" xr:uid="{75EDBCC1-5504-4E34-BFFB-BBB9A716AB8B}"/>
    <cellStyle name="20% - Accent6 3 3 4 5 2" xfId="36167" xr:uid="{30B3091C-23EA-452C-8EA0-1BB39DB9FC2B}"/>
    <cellStyle name="20% - Accent6 3 3 4 6" xfId="36168" xr:uid="{1D7A24AE-7B86-4ABD-8C39-33BF021F5949}"/>
    <cellStyle name="20% - Accent6 3 3 4 6 2" xfId="36169" xr:uid="{0B9DA402-135C-4E55-A3FA-A797AEF1330C}"/>
    <cellStyle name="20% - Accent6 3 3 4 7" xfId="36170" xr:uid="{B5538CA9-9A6D-4BC2-8931-918BCA332097}"/>
    <cellStyle name="20% - Accent6 3 3 5" xfId="2344" xr:uid="{119AA2DC-9F33-4261-9EFA-74AB63DE1750}"/>
    <cellStyle name="20% - Accent6 3 3 5 2" xfId="2345" xr:uid="{2ED23D4C-90D9-44C9-9587-CC890612A763}"/>
    <cellStyle name="20% - Accent6 3 3 5 2 2" xfId="36171" xr:uid="{DD4184D6-C9AD-4BA3-8F1C-0B56D8B1E1CA}"/>
    <cellStyle name="20% - Accent6 3 3 5 2 2 2" xfId="36172" xr:uid="{8F14E865-2DB8-487A-A87B-F73254A75721}"/>
    <cellStyle name="20% - Accent6 3 3 5 2 3" xfId="36173" xr:uid="{3818F0B6-468C-4110-9D2E-14238D61DC20}"/>
    <cellStyle name="20% - Accent6 3 3 5 2 3 2" xfId="36174" xr:uid="{223B9B1E-115C-428D-AFD1-B64084A4B0DB}"/>
    <cellStyle name="20% - Accent6 3 3 5 2 4" xfId="36175" xr:uid="{D03982B6-F4C7-4946-884C-AF7C015A2D11}"/>
    <cellStyle name="20% - Accent6 3 3 5 3" xfId="2346" xr:uid="{74C7E2B7-85C4-4B4D-9C45-FA1F1E4986D0}"/>
    <cellStyle name="20% - Accent6 3 3 5 3 2" xfId="36176" xr:uid="{7CEF3221-6790-47E3-97B4-1BDE2CF8870A}"/>
    <cellStyle name="20% - Accent6 3 3 5 3 2 2" xfId="36177" xr:uid="{DE90C9B5-1112-409F-9C78-F7039AC19A7F}"/>
    <cellStyle name="20% - Accent6 3 3 5 3 3" xfId="36178" xr:uid="{4DB175D5-1EE5-4BFA-819D-9C2E99C6115B}"/>
    <cellStyle name="20% - Accent6 3 3 5 3 3 2" xfId="36179" xr:uid="{6F561CB1-BCC7-451D-9100-001B661B9C9A}"/>
    <cellStyle name="20% - Accent6 3 3 5 3 4" xfId="36180" xr:uid="{68632BF4-87F0-456F-80F8-6936F9E7DCE6}"/>
    <cellStyle name="20% - Accent6 3 3 5 4" xfId="36181" xr:uid="{4DFC2489-0593-4ACA-93B3-8A4F05B3354D}"/>
    <cellStyle name="20% - Accent6 3 3 5 4 2" xfId="36182" xr:uid="{A5A55C1E-354A-4EF5-97F3-1BA19C35139B}"/>
    <cellStyle name="20% - Accent6 3 3 5 4 2 2" xfId="36183" xr:uid="{32028D75-E240-47BD-BA15-16E818CD2F64}"/>
    <cellStyle name="20% - Accent6 3 3 5 4 3" xfId="36184" xr:uid="{0685F490-78AE-4944-B074-F186965554BF}"/>
    <cellStyle name="20% - Accent6 3 3 5 4 3 2" xfId="36185" xr:uid="{86B422CD-979C-4A69-93E4-A1627DFA34F2}"/>
    <cellStyle name="20% - Accent6 3 3 5 4 4" xfId="36186" xr:uid="{CD85ACFC-4442-4B4B-A563-4F10B622FF90}"/>
    <cellStyle name="20% - Accent6 3 3 5 5" xfId="36187" xr:uid="{0F455E35-CE02-4D96-B332-E4601F5ABC27}"/>
    <cellStyle name="20% - Accent6 3 3 5 5 2" xfId="36188" xr:uid="{7E332B41-BF1B-4363-AF62-FFD64B454CCA}"/>
    <cellStyle name="20% - Accent6 3 3 5 6" xfId="36189" xr:uid="{CFE28029-51D2-4351-BA27-8988A9A29EEC}"/>
    <cellStyle name="20% - Accent6 3 3 5 6 2" xfId="36190" xr:uid="{A7E0BAF6-4687-4B9D-977E-1AEE624BB098}"/>
    <cellStyle name="20% - Accent6 3 3 5 7" xfId="36191" xr:uid="{06ED3DBC-D97F-4D3D-AA03-B4DBC956F6D8}"/>
    <cellStyle name="20% - Accent6 3 3 6" xfId="2347" xr:uid="{32FADB0F-EFD3-463A-84B6-E5C8F6D2A66F}"/>
    <cellStyle name="20% - Accent6 3 3 6 2" xfId="36192" xr:uid="{8FB23627-D19D-4A1B-ACAA-45552C0745B9}"/>
    <cellStyle name="20% - Accent6 3 3 6 2 2" xfId="36193" xr:uid="{7B7F04CF-DA45-4209-982D-AFA11347A070}"/>
    <cellStyle name="20% - Accent6 3 3 6 3" xfId="36194" xr:uid="{30197E93-24F1-4D71-B7AE-857D49C5FC62}"/>
    <cellStyle name="20% - Accent6 3 3 6 3 2" xfId="36195" xr:uid="{7B0B19CB-AAE3-4067-89B2-57096995A3B7}"/>
    <cellStyle name="20% - Accent6 3 3 6 4" xfId="36196" xr:uid="{A167F7BF-0CA2-4385-99DD-EA5057643B02}"/>
    <cellStyle name="20% - Accent6 3 3 7" xfId="2348" xr:uid="{3B9A0492-F831-42D9-9479-75FEAD28AE80}"/>
    <cellStyle name="20% - Accent6 3 3 7 2" xfId="36197" xr:uid="{57E8560E-1FB5-45B1-9591-78591EB09894}"/>
    <cellStyle name="20% - Accent6 3 3 7 2 2" xfId="36198" xr:uid="{FE4F1605-4C9E-4816-AA00-7F6A02769520}"/>
    <cellStyle name="20% - Accent6 3 3 7 3" xfId="36199" xr:uid="{C76AA9BE-7D56-448A-A22B-F1E7E79370F1}"/>
    <cellStyle name="20% - Accent6 3 3 7 3 2" xfId="36200" xr:uid="{D077C421-2EFE-411A-B865-DB6439B716A0}"/>
    <cellStyle name="20% - Accent6 3 3 7 4" xfId="36201" xr:uid="{8975F99F-2FE6-4009-93E8-4A9BAA2361AB}"/>
    <cellStyle name="20% - Accent6 3 3 8" xfId="2349" xr:uid="{9251CBBC-653F-497F-867A-BDBCF70461A5}"/>
    <cellStyle name="20% - Accent6 3 3 8 2" xfId="36202" xr:uid="{D78E5FDB-1568-4944-A2DF-0819202F9FB3}"/>
    <cellStyle name="20% - Accent6 3 3 8 2 2" xfId="36203" xr:uid="{A79D5CDA-499B-49F2-943E-47873A58E32A}"/>
    <cellStyle name="20% - Accent6 3 3 8 3" xfId="36204" xr:uid="{00A24855-D2A9-43E0-92AD-794AD2871233}"/>
    <cellStyle name="20% - Accent6 3 3 8 3 2" xfId="36205" xr:uid="{BA30C1F8-5D3D-43BC-9217-284E50F1C558}"/>
    <cellStyle name="20% - Accent6 3 3 8 4" xfId="36206" xr:uid="{696EC10A-FF0D-421B-8E0E-1E5F0D0530E3}"/>
    <cellStyle name="20% - Accent6 3 3 9" xfId="36207" xr:uid="{84EAA0C1-D987-4D10-8112-D7DD5945BBE6}"/>
    <cellStyle name="20% - Accent6 3 3 9 2" xfId="36208" xr:uid="{70B8F560-AEDF-4EB2-B8A7-557D8C6D9E74}"/>
    <cellStyle name="20% - Accent6 3 4" xfId="2350" xr:uid="{2793A14F-79A1-4BD5-940A-1DF46390699C}"/>
    <cellStyle name="20% - Accent6 3 4 10" xfId="36209" xr:uid="{1A8D2BA3-2E0B-4027-9C37-5F7B397CF07E}"/>
    <cellStyle name="20% - Accent6 3 4 2" xfId="2351" xr:uid="{0401B561-821F-4241-98BC-ACBF43B9BF14}"/>
    <cellStyle name="20% - Accent6 3 4 2 2" xfId="2352" xr:uid="{DEE8C1E0-D863-48CA-8F34-07AA5EA36D68}"/>
    <cellStyle name="20% - Accent6 3 4 2 2 2" xfId="2353" xr:uid="{B266985A-F7EF-455F-A718-F6A35B7DDE81}"/>
    <cellStyle name="20% - Accent6 3 4 2 2 2 2" xfId="36210" xr:uid="{6CE6E7A8-D3C9-47A7-9555-5F452B07BFB2}"/>
    <cellStyle name="20% - Accent6 3 4 2 2 3" xfId="2354" xr:uid="{D5591E23-68FE-4DA3-A598-D0AE6C73C582}"/>
    <cellStyle name="20% - Accent6 3 4 2 2 3 2" xfId="36211" xr:uid="{DC7D7847-0BC1-4B20-8274-956494AE2A77}"/>
    <cellStyle name="20% - Accent6 3 4 2 2 4" xfId="36212" xr:uid="{E409DC3E-879D-45DB-A4A6-ADE699C56267}"/>
    <cellStyle name="20% - Accent6 3 4 2 3" xfId="2355" xr:uid="{D6E54F34-C4E1-424F-A654-B7E89EE16DDD}"/>
    <cellStyle name="20% - Accent6 3 4 2 3 2" xfId="36213" xr:uid="{FDEEAF70-1E84-45F7-8FC6-E9A79DA94B79}"/>
    <cellStyle name="20% - Accent6 3 4 2 3 2 2" xfId="36214" xr:uid="{B7CE84A2-97B3-43FC-81C3-6D8595256D77}"/>
    <cellStyle name="20% - Accent6 3 4 2 3 3" xfId="36215" xr:uid="{57853FF7-E24C-4CC1-88E0-41D03F61E40E}"/>
    <cellStyle name="20% - Accent6 3 4 2 3 3 2" xfId="36216" xr:uid="{89F3F1AE-285B-4214-BD23-C57861045E47}"/>
    <cellStyle name="20% - Accent6 3 4 2 3 4" xfId="36217" xr:uid="{B090A0DA-BAFC-474A-B9C5-28D01E4B0E9D}"/>
    <cellStyle name="20% - Accent6 3 4 2 4" xfId="2356" xr:uid="{67D59154-8334-46F6-A65C-7C02B16B6BDD}"/>
    <cellStyle name="20% - Accent6 3 4 2 4 2" xfId="36218" xr:uid="{92087EAC-7C1D-42D4-9D49-63864F666BC3}"/>
    <cellStyle name="20% - Accent6 3 4 2 4 2 2" xfId="36219" xr:uid="{392FF2ED-384D-470C-A731-D71A0769C638}"/>
    <cellStyle name="20% - Accent6 3 4 2 4 3" xfId="36220" xr:uid="{63E75D8B-37E0-4817-A73D-F8B96825F532}"/>
    <cellStyle name="20% - Accent6 3 4 2 4 3 2" xfId="36221" xr:uid="{1092B34D-E864-4CAA-AAF5-065026F3C77E}"/>
    <cellStyle name="20% - Accent6 3 4 2 4 4" xfId="36222" xr:uid="{24AACE61-A7B2-4E07-84E5-6C629AF02C84}"/>
    <cellStyle name="20% - Accent6 3 4 2 5" xfId="36223" xr:uid="{3D499569-944C-44CD-A255-D49AE8709E2B}"/>
    <cellStyle name="20% - Accent6 3 4 2 5 2" xfId="36224" xr:uid="{76307C4D-6AEB-458A-A3AC-49927288EB39}"/>
    <cellStyle name="20% - Accent6 3 4 2 5 2 2" xfId="36225" xr:uid="{FF676A7A-2015-4A6E-A6CC-4A19A70A3A13}"/>
    <cellStyle name="20% - Accent6 3 4 2 5 3" xfId="36226" xr:uid="{41322E3C-43FC-45A2-8704-D3641A8F1A9E}"/>
    <cellStyle name="20% - Accent6 3 4 2 5 3 2" xfId="36227" xr:uid="{17DA15E9-D133-4932-AA2E-ED46F1120759}"/>
    <cellStyle name="20% - Accent6 3 4 2 5 4" xfId="36228" xr:uid="{23B61B12-1E3C-4CF7-B3FA-B387159DA9B9}"/>
    <cellStyle name="20% - Accent6 3 4 2 6" xfId="36229" xr:uid="{148F6C47-9157-4741-8D6B-3A03A2E8A8E1}"/>
    <cellStyle name="20% - Accent6 3 4 2 6 2" xfId="36230" xr:uid="{28F5E4D8-D9E1-4982-9C86-B86882693E57}"/>
    <cellStyle name="20% - Accent6 3 4 2 7" xfId="36231" xr:uid="{1C6B93D1-F64F-48F6-B079-69D2F3670643}"/>
    <cellStyle name="20% - Accent6 3 4 2 7 2" xfId="36232" xr:uid="{1AD6B4FE-32C8-4DBB-A574-CCE8C187461C}"/>
    <cellStyle name="20% - Accent6 3 4 2 8" xfId="36233" xr:uid="{487B9D89-D1AB-44E4-AFEB-335A81001E11}"/>
    <cellStyle name="20% - Accent6 3 4 3" xfId="2357" xr:uid="{91CEF9B7-8DD3-4A90-B56A-AD8C70701131}"/>
    <cellStyle name="20% - Accent6 3 4 3 2" xfId="2358" xr:uid="{50204EBA-B1A6-40E8-8714-F7DD3182F6FB}"/>
    <cellStyle name="20% - Accent6 3 4 3 2 2" xfId="36234" xr:uid="{EA55A125-8BE4-4F13-B7BB-8091874AD426}"/>
    <cellStyle name="20% - Accent6 3 4 3 2 2 2" xfId="36235" xr:uid="{BF0EF247-3D6B-4BED-B02D-CDC533F1AD75}"/>
    <cellStyle name="20% - Accent6 3 4 3 2 3" xfId="36236" xr:uid="{A4D4CF97-1EA3-4955-97D8-0F7317191467}"/>
    <cellStyle name="20% - Accent6 3 4 3 2 3 2" xfId="36237" xr:uid="{F75780F8-9CF2-4EAB-AB77-C26346EC89A0}"/>
    <cellStyle name="20% - Accent6 3 4 3 2 4" xfId="36238" xr:uid="{EE7AE195-D81A-46F7-B118-E898F820FC06}"/>
    <cellStyle name="20% - Accent6 3 4 3 3" xfId="2359" xr:uid="{8174AA1F-3EDC-4EE2-9645-8665FC7DBAFE}"/>
    <cellStyle name="20% - Accent6 3 4 3 3 2" xfId="36239" xr:uid="{69E12F7A-A2D3-4C89-989B-97ED48AB8616}"/>
    <cellStyle name="20% - Accent6 3 4 3 3 2 2" xfId="36240" xr:uid="{6FCE484F-5B20-4513-B23F-0ED8CC1BA46D}"/>
    <cellStyle name="20% - Accent6 3 4 3 3 3" xfId="36241" xr:uid="{34D5C104-06C6-4EF9-A855-C63185CB55B3}"/>
    <cellStyle name="20% - Accent6 3 4 3 3 3 2" xfId="36242" xr:uid="{2E75319E-DACA-4FAE-B2B1-C638EA08A738}"/>
    <cellStyle name="20% - Accent6 3 4 3 3 4" xfId="36243" xr:uid="{842DCDA3-6097-4985-B96E-9BC5CB2D87F6}"/>
    <cellStyle name="20% - Accent6 3 4 3 4" xfId="36244" xr:uid="{6D563BD8-F9B1-422C-94E0-4360C875C7CE}"/>
    <cellStyle name="20% - Accent6 3 4 3 4 2" xfId="36245" xr:uid="{432EF9D5-91D2-47B4-A062-AE67CAB29337}"/>
    <cellStyle name="20% - Accent6 3 4 3 4 2 2" xfId="36246" xr:uid="{59E5AAF9-7EAA-487F-9977-74A724F0821F}"/>
    <cellStyle name="20% - Accent6 3 4 3 4 3" xfId="36247" xr:uid="{059AB534-CD02-404C-AB7B-4D38E8F0D4EE}"/>
    <cellStyle name="20% - Accent6 3 4 3 4 3 2" xfId="36248" xr:uid="{A85F9F6A-AE75-4683-9C90-93326E48327A}"/>
    <cellStyle name="20% - Accent6 3 4 3 4 4" xfId="36249" xr:uid="{338926E6-5785-48D8-BB7F-CDBEF73BF657}"/>
    <cellStyle name="20% - Accent6 3 4 3 5" xfId="36250" xr:uid="{CEA6468A-96A9-4D7E-98C8-E664A8558E36}"/>
    <cellStyle name="20% - Accent6 3 4 3 5 2" xfId="36251" xr:uid="{EFD5A614-D7C1-4A9D-844D-53441938353E}"/>
    <cellStyle name="20% - Accent6 3 4 3 6" xfId="36252" xr:uid="{1F8DC7C3-4C41-4137-A8B7-4810D1395D24}"/>
    <cellStyle name="20% - Accent6 3 4 3 6 2" xfId="36253" xr:uid="{2F570592-0BBB-42B1-9413-AD7710E56000}"/>
    <cellStyle name="20% - Accent6 3 4 3 7" xfId="36254" xr:uid="{AB7EE339-C079-43C7-A995-4E276B25C8FB}"/>
    <cellStyle name="20% - Accent6 3 4 4" xfId="2360" xr:uid="{3D3CD523-3D1E-42C7-97A4-19EA50D37BD4}"/>
    <cellStyle name="20% - Accent6 3 4 4 2" xfId="36255" xr:uid="{B7894093-82B3-42E4-BD0C-6B651C6B5300}"/>
    <cellStyle name="20% - Accent6 3 4 4 2 2" xfId="36256" xr:uid="{4C7AAD09-33A0-4999-8988-0AA2783E96B2}"/>
    <cellStyle name="20% - Accent6 3 4 4 3" xfId="36257" xr:uid="{C31959EA-0734-413C-8A4F-A968946EB902}"/>
    <cellStyle name="20% - Accent6 3 4 4 3 2" xfId="36258" xr:uid="{F4D323A9-57DE-4520-90E8-4CF843A27115}"/>
    <cellStyle name="20% - Accent6 3 4 4 4" xfId="36259" xr:uid="{A5AB9E2C-6B7F-4B7F-B1BD-D3E56A7B719A}"/>
    <cellStyle name="20% - Accent6 3 4 5" xfId="2361" xr:uid="{66974BE9-BF26-454D-B269-0A75C26BA092}"/>
    <cellStyle name="20% - Accent6 3 4 5 2" xfId="36260" xr:uid="{3063A39B-EF42-4D9E-A50F-C573C180C4D5}"/>
    <cellStyle name="20% - Accent6 3 4 5 2 2" xfId="36261" xr:uid="{F5A76ECB-7A1C-4329-A108-03946B469190}"/>
    <cellStyle name="20% - Accent6 3 4 5 3" xfId="36262" xr:uid="{7C2665B3-19F0-4036-8FE1-EB0D18D377B3}"/>
    <cellStyle name="20% - Accent6 3 4 5 3 2" xfId="36263" xr:uid="{C7785C3C-3EEA-4F2B-A75E-135ED81DDE83}"/>
    <cellStyle name="20% - Accent6 3 4 5 4" xfId="36264" xr:uid="{06F61FC2-28D9-4430-BBDC-A713D4D9DAFA}"/>
    <cellStyle name="20% - Accent6 3 4 6" xfId="2362" xr:uid="{FCA58359-6245-4AFC-AAE3-B50FBA2ED8AA}"/>
    <cellStyle name="20% - Accent6 3 4 6 2" xfId="36265" xr:uid="{FE979A9F-FD05-49EC-849B-929D3D41A853}"/>
    <cellStyle name="20% - Accent6 3 4 6 2 2" xfId="36266" xr:uid="{3F101F94-A3FB-45CE-B1AC-AEA64C3572FC}"/>
    <cellStyle name="20% - Accent6 3 4 6 3" xfId="36267" xr:uid="{3996C232-BF89-4663-A1F5-EEEB144F0F72}"/>
    <cellStyle name="20% - Accent6 3 4 6 3 2" xfId="36268" xr:uid="{A80FEB2E-64EF-4B74-9721-95BE80C1A5B6}"/>
    <cellStyle name="20% - Accent6 3 4 6 4" xfId="36269" xr:uid="{0034B2C7-BBD8-4F72-B715-8A9D1027198D}"/>
    <cellStyle name="20% - Accent6 3 4 7" xfId="36270" xr:uid="{2A489A27-7F52-4F4A-986D-E77E6760F8DC}"/>
    <cellStyle name="20% - Accent6 3 4 7 2" xfId="36271" xr:uid="{410D68D9-D550-42FC-9F5C-BE124E12AC6D}"/>
    <cellStyle name="20% - Accent6 3 4 8" xfId="36272" xr:uid="{582AD00C-90DC-4854-BC47-278AD8F35B59}"/>
    <cellStyle name="20% - Accent6 3 4 8 2" xfId="36273" xr:uid="{DD8891E4-B1D7-4E20-BE65-2D82AD733C98}"/>
    <cellStyle name="20% - Accent6 3 4 9" xfId="36274" xr:uid="{9FC20507-38AC-41ED-AFA6-281E67BEFE20}"/>
    <cellStyle name="20% - Accent6 3 5" xfId="2363" xr:uid="{17F79718-FD11-477F-A466-228F848FE17E}"/>
    <cellStyle name="20% - Accent6 3 5 2" xfId="2364" xr:uid="{BB523651-F879-4E8C-A311-90F23FE03668}"/>
    <cellStyle name="20% - Accent6 3 5 2 2" xfId="2365" xr:uid="{925A09F7-23FC-40E2-9591-4F8D3924761B}"/>
    <cellStyle name="20% - Accent6 3 5 2 2 2" xfId="36275" xr:uid="{81B744B4-40F6-42F0-A1F9-D96CA2542906}"/>
    <cellStyle name="20% - Accent6 3 5 2 3" xfId="2366" xr:uid="{22E58D0E-19A2-4A4F-8BCE-DD70F83E150F}"/>
    <cellStyle name="20% - Accent6 3 5 2 3 2" xfId="36276" xr:uid="{F2267EB1-2CB1-4F12-A8E7-29067305C41B}"/>
    <cellStyle name="20% - Accent6 3 5 2 4" xfId="36277" xr:uid="{7DC1398E-809C-4A9A-96C6-F3ABCF4D5D75}"/>
    <cellStyle name="20% - Accent6 3 5 3" xfId="2367" xr:uid="{5208E21D-00CD-4ACE-B53A-0F61952B79B1}"/>
    <cellStyle name="20% - Accent6 3 5 3 2" xfId="36278" xr:uid="{0FBF14AD-5E9C-4C20-8403-C126D822D16A}"/>
    <cellStyle name="20% - Accent6 3 5 3 2 2" xfId="36279" xr:uid="{C70B7313-A283-48E0-BCD7-FD35FEDE2B41}"/>
    <cellStyle name="20% - Accent6 3 5 3 3" xfId="36280" xr:uid="{F9886150-9B0B-45A7-B8E7-52E0C96E5F38}"/>
    <cellStyle name="20% - Accent6 3 5 3 3 2" xfId="36281" xr:uid="{8169008D-66EB-426E-A93F-260034DCE963}"/>
    <cellStyle name="20% - Accent6 3 5 3 4" xfId="36282" xr:uid="{0A4CF88E-1664-4918-BB74-C045105DE1BC}"/>
    <cellStyle name="20% - Accent6 3 5 4" xfId="2368" xr:uid="{65F97CCB-DE4B-46C2-9613-D4D8522D693C}"/>
    <cellStyle name="20% - Accent6 3 5 4 2" xfId="36283" xr:uid="{89A6985E-B1A8-4292-8DEB-E6FE4F9CFB13}"/>
    <cellStyle name="20% - Accent6 3 5 4 2 2" xfId="36284" xr:uid="{256A6E25-EE0C-4D57-A618-C04B5EC001A5}"/>
    <cellStyle name="20% - Accent6 3 5 4 3" xfId="36285" xr:uid="{963CD37C-F984-4C8A-ABA1-FD0FF699E97F}"/>
    <cellStyle name="20% - Accent6 3 5 4 3 2" xfId="36286" xr:uid="{DAB81812-731A-4E8E-ADFE-30B9821736C3}"/>
    <cellStyle name="20% - Accent6 3 5 4 4" xfId="36287" xr:uid="{F80ED10E-2F83-4FA7-9326-D2B48A53AF0B}"/>
    <cellStyle name="20% - Accent6 3 5 5" xfId="36288" xr:uid="{22C77B23-F779-46C7-A080-AB868A115D6D}"/>
    <cellStyle name="20% - Accent6 3 5 5 2" xfId="36289" xr:uid="{EE5162E1-C3A8-4F3F-A890-5F5D8D7D3033}"/>
    <cellStyle name="20% - Accent6 3 5 5 2 2" xfId="36290" xr:uid="{79FC2001-3614-4C8D-963F-B89C47FCF9FC}"/>
    <cellStyle name="20% - Accent6 3 5 5 3" xfId="36291" xr:uid="{E77F1B2C-BC8A-40D8-AFDC-7E9B4B337F00}"/>
    <cellStyle name="20% - Accent6 3 5 5 3 2" xfId="36292" xr:uid="{AFDAA409-C4E3-4384-AE2A-5B75B5EC39FF}"/>
    <cellStyle name="20% - Accent6 3 5 5 4" xfId="36293" xr:uid="{1B4E47D5-E9CD-482D-A6F8-34E335AE2CB0}"/>
    <cellStyle name="20% - Accent6 3 5 6" xfId="36294" xr:uid="{DE339BB6-23CA-482F-B4A7-FDBE666CB805}"/>
    <cellStyle name="20% - Accent6 3 5 6 2" xfId="36295" xr:uid="{55333A2B-84FE-4EB9-BBC2-F82AC54F9B48}"/>
    <cellStyle name="20% - Accent6 3 5 7" xfId="36296" xr:uid="{5D170604-0CFE-4802-B8CF-D45049AC327A}"/>
    <cellStyle name="20% - Accent6 3 5 7 2" xfId="36297" xr:uid="{A7BCD29D-39C2-475A-AA01-86F8CFB4488E}"/>
    <cellStyle name="20% - Accent6 3 5 8" xfId="36298" xr:uid="{15575734-9BA6-42F2-9D27-7916D312FF3B}"/>
    <cellStyle name="20% - Accent6 3 6" xfId="2369" xr:uid="{532EB85D-19D7-4000-B77B-3C93FF6FED33}"/>
    <cellStyle name="20% - Accent6 3 6 2" xfId="2370" xr:uid="{C82BDE2A-BFFD-447E-96B3-E55D2B5CD633}"/>
    <cellStyle name="20% - Accent6 3 6 2 2" xfId="2371" xr:uid="{43415CA6-1440-4B4E-9108-B70D62EF72D0}"/>
    <cellStyle name="20% - Accent6 3 6 2 3" xfId="2372" xr:uid="{70A5C8AA-E389-4687-A75C-CCAD6E5C391C}"/>
    <cellStyle name="20% - Accent6 3 6 3" xfId="2373" xr:uid="{6397283B-4B00-4C48-8A58-ED062D023344}"/>
    <cellStyle name="20% - Accent6 3 6 3 2" xfId="36299" xr:uid="{02079C8D-7415-4AC5-86BD-D8A430291AFB}"/>
    <cellStyle name="20% - Accent6 3 6 4" xfId="2374" xr:uid="{EE9CB52E-53B2-4682-B0D3-2458F22A3785}"/>
    <cellStyle name="20% - Accent6 3 6 5" xfId="36300" xr:uid="{6F5D45D1-5D3B-4B04-BF78-268B0DD1DB97}"/>
    <cellStyle name="20% - Accent6 3 7" xfId="2375" xr:uid="{73178FEE-8F4E-40F5-AB70-C8D49F38B7C4}"/>
    <cellStyle name="20% - Accent6 3 7 2" xfId="2376" xr:uid="{CC09EBE2-3263-46E9-A8B6-5FD3638B063B}"/>
    <cellStyle name="20% - Accent6 3 7 2 2" xfId="2377" xr:uid="{3508E215-84C4-4186-8B3B-3EC3AE139FB6}"/>
    <cellStyle name="20% - Accent6 3 7 2 3" xfId="2378" xr:uid="{1558A93E-4AED-4FEF-A172-0E387715074D}"/>
    <cellStyle name="20% - Accent6 3 7 3" xfId="2379" xr:uid="{E9EBACDB-C4F6-4E86-B5D0-608652D1FF48}"/>
    <cellStyle name="20% - Accent6 3 7 3 2" xfId="36301" xr:uid="{53B4BDB0-F4DD-4683-9FB6-B6E3666FF9F1}"/>
    <cellStyle name="20% - Accent6 3 7 4" xfId="2380" xr:uid="{B538292E-1806-46A9-A812-55E4F5F26677}"/>
    <cellStyle name="20% - Accent6 3 8" xfId="2381" xr:uid="{BCBF51BC-8BBA-4FD6-991F-78401352AEEA}"/>
    <cellStyle name="20% - Accent6 3 8 2" xfId="36302" xr:uid="{ED140CD0-5081-4E8A-A94E-27232236339F}"/>
    <cellStyle name="20% - Accent6 3 8 2 2" xfId="36303" xr:uid="{F2FA4D29-44CE-492E-BBB7-522FBEAA2631}"/>
    <cellStyle name="20% - Accent6 3 8 3" xfId="36304" xr:uid="{4E6D4BB5-D23D-405E-A04A-EE3CA98F1966}"/>
    <cellStyle name="20% - Accent6 3 8 3 2" xfId="36305" xr:uid="{FA5039A9-C360-47C3-999C-9BD3164010A0}"/>
    <cellStyle name="20% - Accent6 3 8 4" xfId="36306" xr:uid="{18472D23-7FEE-43B4-A493-FACB33E8BE51}"/>
    <cellStyle name="20% - Accent6 3 9" xfId="36307" xr:uid="{AB1C0F39-2A3D-44E6-96CA-60AB8EA9C55C}"/>
    <cellStyle name="20% - Accent6 3_PwrTax 51040" xfId="2382" xr:uid="{C9CA1395-3447-4C13-8909-074365701375}"/>
    <cellStyle name="20% - Accent6 30" xfId="2383" xr:uid="{3B0EAF3C-666F-4813-9549-E47BD19EADF4}"/>
    <cellStyle name="20% - Accent6 31" xfId="2384" xr:uid="{08B1D086-0E92-4EF6-ADA4-F92328B55BE5}"/>
    <cellStyle name="20% - Accent6 32" xfId="2385" xr:uid="{8C10A38F-5E4A-4F88-808B-AE61CA9D9B27}"/>
    <cellStyle name="20% - Accent6 33" xfId="2386" xr:uid="{3BF3B9AD-9609-4ED5-A155-9D2F8EAD07DC}"/>
    <cellStyle name="20% - Accent6 34" xfId="2387" xr:uid="{0D822CB5-C4F9-4A78-BA07-624471B70FBF}"/>
    <cellStyle name="20% - Accent6 35" xfId="2388" xr:uid="{35D15117-6351-4AE0-B9FE-B36769E556C0}"/>
    <cellStyle name="20% - Accent6 36" xfId="2389" xr:uid="{9A38360E-2CCD-4B98-B108-0225CB138FD8}"/>
    <cellStyle name="20% - Accent6 37" xfId="2390" xr:uid="{25840B4F-9A58-4F5F-B55A-E03EDBC503D0}"/>
    <cellStyle name="20% - Accent6 37 2" xfId="2391" xr:uid="{43604891-8D3E-4CBB-B59A-13ABBE6D5FC3}"/>
    <cellStyle name="20% - Accent6 37 2 2" xfId="2392" xr:uid="{5FECA361-7D60-40B5-A99D-876AE99850F1}"/>
    <cellStyle name="20% - Accent6 37 2 3" xfId="36308" xr:uid="{94EE0774-AABB-4D38-B5FF-598919ACAB7D}"/>
    <cellStyle name="20% - Accent6 37 3" xfId="2393" xr:uid="{4690EA12-B5EA-461B-A435-9724189B37C8}"/>
    <cellStyle name="20% - Accent6 37 3 2" xfId="2394" xr:uid="{3785A416-FF91-437B-9DE5-747009D66B92}"/>
    <cellStyle name="20% - Accent6 37 3 3" xfId="36309" xr:uid="{F898A5C4-233B-43DB-96F6-123D1B40526C}"/>
    <cellStyle name="20% - Accent6 37 4" xfId="2395" xr:uid="{F00C0BFE-821D-4FCA-9886-9D4705BE8F28}"/>
    <cellStyle name="20% - Accent6 37 5" xfId="36310" xr:uid="{741DF8AB-8835-4F5A-A8FD-56CD1DE40897}"/>
    <cellStyle name="20% - Accent6 37_PwrTax 51040" xfId="2396" xr:uid="{F83205B3-4E75-4AE5-8831-64BCE6BA1D5E}"/>
    <cellStyle name="20% - Accent6 38" xfId="2397" xr:uid="{31ED84FE-876D-49EC-922E-5B45FEB0E70C}"/>
    <cellStyle name="20% - Accent6 38 2" xfId="36311" xr:uid="{D358CE83-C2E1-49AA-81B9-DFF09B4C321F}"/>
    <cellStyle name="20% - Accent6 38 2 2" xfId="36312" xr:uid="{2E626F5B-2EC7-48F3-9490-E8329A425CB8}"/>
    <cellStyle name="20% - Accent6 38 2 2 2" xfId="36313" xr:uid="{9982F0EC-05B5-4F7A-A859-A6EC6A16D237}"/>
    <cellStyle name="20% - Accent6 38 2 3" xfId="36314" xr:uid="{98BC7826-75C0-4D37-BC4D-D79CEAA1FBCB}"/>
    <cellStyle name="20% - Accent6 38 2 3 2" xfId="36315" xr:uid="{491B042A-6469-4997-A6B7-DD53ADB97941}"/>
    <cellStyle name="20% - Accent6 38 2 4" xfId="36316" xr:uid="{6AA53D73-8B5A-4B96-97E0-FA3CF3A64C18}"/>
    <cellStyle name="20% - Accent6 38 3" xfId="36317" xr:uid="{B306D1AB-12FD-4E70-A5F2-5EA0C74D7B6D}"/>
    <cellStyle name="20% - Accent6 38 3 2" xfId="36318" xr:uid="{729CF0C9-CB89-4D06-B1EB-FB6274940CBA}"/>
    <cellStyle name="20% - Accent6 38 3 2 2" xfId="36319" xr:uid="{4F5FDB25-6ADC-4C78-941B-78C7CAD6E955}"/>
    <cellStyle name="20% - Accent6 38 3 3" xfId="36320" xr:uid="{32393A1C-D6B2-4B65-B499-89280123A49E}"/>
    <cellStyle name="20% - Accent6 38 3 3 2" xfId="36321" xr:uid="{94756916-88C9-48C9-9DC3-A9F4876224A4}"/>
    <cellStyle name="20% - Accent6 38 3 4" xfId="36322" xr:uid="{3208755C-EDB7-411C-974B-0181179A7A0F}"/>
    <cellStyle name="20% - Accent6 38 4" xfId="36323" xr:uid="{74C6A214-DD8C-4154-AB3D-4F6C7E118801}"/>
    <cellStyle name="20% - Accent6 38 4 2" xfId="36324" xr:uid="{4C152BD4-3CC5-45B1-BC78-6C116B8A9C09}"/>
    <cellStyle name="20% - Accent6 38 4 2 2" xfId="36325" xr:uid="{92379B23-0EB7-4222-A880-134BA99E3B8B}"/>
    <cellStyle name="20% - Accent6 38 4 3" xfId="36326" xr:uid="{962EA069-8D27-40E1-A36C-BBF53608CC8C}"/>
    <cellStyle name="20% - Accent6 38 4 3 2" xfId="36327" xr:uid="{585AE7D2-1D7B-43FF-954D-E54C1AD546FC}"/>
    <cellStyle name="20% - Accent6 38 4 4" xfId="36328" xr:uid="{DCF82BF4-092E-442E-8CF0-878D8EB5AE97}"/>
    <cellStyle name="20% - Accent6 38 5" xfId="36329" xr:uid="{EB1AAE93-55D9-4E54-BFBB-A9DF99CF39F5}"/>
    <cellStyle name="20% - Accent6 38 5 2" xfId="36330" xr:uid="{B4B2BF0B-ADBF-4B9E-B661-CB33FD91E20B}"/>
    <cellStyle name="20% - Accent6 38 6" xfId="36331" xr:uid="{45B0519D-5D71-4D4B-8610-EBA9CBDF683D}"/>
    <cellStyle name="20% - Accent6 38 6 2" xfId="36332" xr:uid="{AA765689-95C9-427D-BD9B-E1B4563BA2FD}"/>
    <cellStyle name="20% - Accent6 38 7" xfId="36333" xr:uid="{5FC183A4-DC33-47DF-A2EC-77133C6B7C57}"/>
    <cellStyle name="20% - Accent6 39" xfId="36334" xr:uid="{3EDE10E5-6BF6-41A7-891E-1254613A3E78}"/>
    <cellStyle name="20% - Accent6 39 2" xfId="36335" xr:uid="{92AD67C2-64BF-4556-BF49-138F39911A7E}"/>
    <cellStyle name="20% - Accent6 4" xfId="2398" xr:uid="{ABB0D9E2-CA8A-4969-804C-310A70FE3163}"/>
    <cellStyle name="20% - Accent6 4 2" xfId="2399" xr:uid="{81B47D98-D22E-4EC2-8663-45B57395F272}"/>
    <cellStyle name="20% - Accent6 4 2 2" xfId="2400" xr:uid="{816F5A0E-62C4-4C18-A36F-BAC223F0398E}"/>
    <cellStyle name="20% - Accent6 4 2 2 2" xfId="36336" xr:uid="{90596A68-5C63-4D7F-9E82-1404F387B7AC}"/>
    <cellStyle name="20% - Accent6 4 2 3" xfId="36337" xr:uid="{A6370858-C339-40CA-91F3-5FCECD3A19BF}"/>
    <cellStyle name="20% - Accent6 4 3" xfId="2401" xr:uid="{F0693CFC-21B0-440B-9CB5-F427CD45A7A1}"/>
    <cellStyle name="20% - Accent6 4 3 2" xfId="2402" xr:uid="{B08E6E7B-F73F-41B6-8E48-E3AF7FE018B3}"/>
    <cellStyle name="20% - Accent6 4 3 3" xfId="2403" xr:uid="{2423A892-7EDE-465B-828E-BB0060E04B95}"/>
    <cellStyle name="20% - Accent6 4 3 4" xfId="36338" xr:uid="{60BB9421-63BA-4076-A2B3-A93DDC17FD93}"/>
    <cellStyle name="20% - Accent6 4 4" xfId="2404" xr:uid="{39D120A9-0A80-45E7-90FA-A4ABEF1E344A}"/>
    <cellStyle name="20% - Accent6 4 4 2" xfId="2405" xr:uid="{B417EC73-E4EC-4D3E-BFB4-ACD467360861}"/>
    <cellStyle name="20% - Accent6 4 4 2 2" xfId="2406" xr:uid="{A756C02C-204E-443C-8ED4-113751B69319}"/>
    <cellStyle name="20% - Accent6 4 4 2 3" xfId="2407" xr:uid="{3C3B47DB-86B3-46F8-947F-3811C33F02E9}"/>
    <cellStyle name="20% - Accent6 4 4 3" xfId="2408" xr:uid="{0E51DD9A-B4B6-4257-889D-D0FF245823EA}"/>
    <cellStyle name="20% - Accent6 4 4 4" xfId="2409" xr:uid="{78D47A28-FA28-4274-9730-5CBF3888A075}"/>
    <cellStyle name="20% - Accent6 4 4 5" xfId="2410" xr:uid="{A7C0DE36-746D-46B4-818D-A6706A4DD381}"/>
    <cellStyle name="20% - Accent6 4 4 6" xfId="36339" xr:uid="{5ABFB13F-9D1B-4150-A28B-1E48EF0D807C}"/>
    <cellStyle name="20% - Accent6 4 5" xfId="2411" xr:uid="{3C541FBA-7E65-432A-876E-4AB1DDEF43D8}"/>
    <cellStyle name="20% - Accent6 4 5 2" xfId="2412" xr:uid="{C8A2F6DB-8691-466E-8857-48C99BC9135E}"/>
    <cellStyle name="20% - Accent6 4 5 3" xfId="2413" xr:uid="{932C7B51-F658-44ED-B9EE-D4F9B5DE3E39}"/>
    <cellStyle name="20% - Accent6 4 5 4" xfId="36340" xr:uid="{F331AA27-46E2-4A9E-A15A-BCFEFCC6BBC6}"/>
    <cellStyle name="20% - Accent6 4 6" xfId="2414" xr:uid="{5557587B-8546-4EC1-9C39-C18B0F462916}"/>
    <cellStyle name="20% - Accent6 4 7" xfId="36341" xr:uid="{4395E4F0-12AC-433A-BF44-9D5B9B88130C}"/>
    <cellStyle name="20% - Accent6 4 8" xfId="43551" xr:uid="{4C2FEF6A-2E2A-4013-8579-918814F64DF5}"/>
    <cellStyle name="20% - Accent6 4_PwrTax 51040" xfId="2415" xr:uid="{D3C54106-A78D-430F-A9BC-0ADD26FD4333}"/>
    <cellStyle name="20% - Accent6 40" xfId="36342" xr:uid="{176B91F4-B427-45BD-B808-1FF4412FE31F}"/>
    <cellStyle name="20% - Accent6 41" xfId="36343" xr:uid="{FABE0073-42BF-4BD8-A76A-84E633455C8F}"/>
    <cellStyle name="20% - Accent6 42" xfId="36344" xr:uid="{8D8FD7DC-7B69-4BB5-87C7-0EA6B0303175}"/>
    <cellStyle name="20% - Accent6 43" xfId="36345" xr:uid="{9CA570A3-6C3A-4776-A143-DA96673A9C7B}"/>
    <cellStyle name="20% - Accent6 44" xfId="36346" xr:uid="{97A0CA35-27C4-4C3B-8A18-5D0D24B39B8B}"/>
    <cellStyle name="20% - Accent6 45" xfId="36347" xr:uid="{11984E39-8BEC-4CC8-A2EB-93E5743C3D41}"/>
    <cellStyle name="20% - Accent6 46" xfId="36348" xr:uid="{D74C1E6A-5622-4519-AD79-29AD7088ECA3}"/>
    <cellStyle name="20% - Accent6 47" xfId="36349" xr:uid="{F255AFA7-4DB1-4437-B7A5-FF12A676B664}"/>
    <cellStyle name="20% - Accent6 48" xfId="36350" xr:uid="{0895E644-B386-4B29-AF99-6C2E46F71C5C}"/>
    <cellStyle name="20% - Accent6 49" xfId="36351" xr:uid="{289CFD29-CD25-4824-93C5-8BBDF1F07077}"/>
    <cellStyle name="20% - Accent6 5" xfId="2416" xr:uid="{C88D7CE1-8C35-40DB-B157-54BA8FB024E9}"/>
    <cellStyle name="20% - Accent6 5 2" xfId="2417" xr:uid="{525FD46B-1C10-4B51-B942-CCAF57B3A6DF}"/>
    <cellStyle name="20% - Accent6 5 2 2" xfId="36352" xr:uid="{961FAA8D-4485-4E5E-B01D-345C8E3AB819}"/>
    <cellStyle name="20% - Accent6 5 3" xfId="2418" xr:uid="{3239AC40-F1D9-4A9A-83DE-DD5FCF2891FD}"/>
    <cellStyle name="20% - Accent6 5 4" xfId="36353" xr:uid="{5265AF45-4A78-468F-8CDE-B48BB04A9376}"/>
    <cellStyle name="20% - Accent6 5 5" xfId="43566" xr:uid="{7CA370AA-CB09-4370-AF6B-B4391856AB62}"/>
    <cellStyle name="20% - Accent6 50" xfId="36354" xr:uid="{E203B47F-603D-4205-AAAB-FDCD177F90EA}"/>
    <cellStyle name="20% - Accent6 51" xfId="36355" xr:uid="{76BBCC58-384A-4AE7-98DA-378310C37304}"/>
    <cellStyle name="20% - Accent6 52" xfId="36356" xr:uid="{79933BEE-9C6A-4D43-AB97-3758ADCB4A78}"/>
    <cellStyle name="20% - Accent6 53" xfId="36357" xr:uid="{5598E91E-2C46-4300-8EDF-7DCACC1FE52B}"/>
    <cellStyle name="20% - Accent6 54" xfId="36358" xr:uid="{C7EE0F2B-C87E-4D83-9D1C-FF20E5A7A54D}"/>
    <cellStyle name="20% - Accent6 55" xfId="36359" xr:uid="{A66FA623-19EC-4F3B-933A-89A2740E6D57}"/>
    <cellStyle name="20% - Accent6 56" xfId="36360" xr:uid="{2A512120-8E80-489E-9AE7-662D824E52D0}"/>
    <cellStyle name="20% - Accent6 57" xfId="36361" xr:uid="{55BE52A8-69F8-4606-A8CB-318C7914D91A}"/>
    <cellStyle name="20% - Accent6 58" xfId="36362" xr:uid="{02D8C344-6836-4D94-A208-28F3F7CD555D}"/>
    <cellStyle name="20% - Accent6 59" xfId="36363" xr:uid="{03B83386-BC8E-4478-9822-6351BAFA9A0B}"/>
    <cellStyle name="20% - Accent6 6" xfId="2419" xr:uid="{474044E6-43E8-49E5-B281-FD496EBE537A}"/>
    <cellStyle name="20% - Accent6 6 2" xfId="2420" xr:uid="{A18A32E3-F64C-4C90-A19B-ED41AB61BFB4}"/>
    <cellStyle name="20% - Accent6 6 2 2" xfId="36364" xr:uid="{9104EA74-2476-4D61-8512-0BD2EBDE2D89}"/>
    <cellStyle name="20% - Accent6 6 3" xfId="2421" xr:uid="{920EB369-81F6-4103-B241-BB667B6F066A}"/>
    <cellStyle name="20% - Accent6 6 4" xfId="36365" xr:uid="{575AB9A4-37A6-448E-B114-FA2D1249E3D9}"/>
    <cellStyle name="20% - Accent6 60" xfId="36366" xr:uid="{70E84231-2F53-49B6-8EE8-A4353D724254}"/>
    <cellStyle name="20% - Accent6 61" xfId="36367" xr:uid="{3C49AFF6-A7D2-4417-9752-D02959C693C1}"/>
    <cellStyle name="20% - Accent6 62" xfId="36368" xr:uid="{F256FAEA-8698-4057-BDF5-A84F4B0C56F4}"/>
    <cellStyle name="20% - Accent6 63" xfId="36369" xr:uid="{2298D7A5-25E4-44F5-A83C-B67D6D3EA340}"/>
    <cellStyle name="20% - Accent6 64" xfId="36370" xr:uid="{8868D1E0-8214-46A7-B526-5E6B5FB6CBE4}"/>
    <cellStyle name="20% - Accent6 65" xfId="36371" xr:uid="{B06114D9-2344-4216-B607-0AEF16EB58C6}"/>
    <cellStyle name="20% - Accent6 66" xfId="36372" xr:uid="{24F4A082-9C4D-466A-89B4-90974A5AFD5A}"/>
    <cellStyle name="20% - Accent6 67" xfId="36373" xr:uid="{CDA191B6-98D4-4836-AEAE-59B1651122DF}"/>
    <cellStyle name="20% - Accent6 68" xfId="36374" xr:uid="{AA10120D-AD37-4F33-8BF2-07FA89F6BC8C}"/>
    <cellStyle name="20% - Accent6 69" xfId="36375" xr:uid="{61E73165-6972-4FE1-8F50-49360F696592}"/>
    <cellStyle name="20% - Accent6 7" xfId="2422" xr:uid="{E6B13D7B-86CB-44A9-8773-B31213E290BE}"/>
    <cellStyle name="20% - Accent6 7 2" xfId="2423" xr:uid="{E5F8F3A2-F825-459B-A8FD-1A2DB1B2AE18}"/>
    <cellStyle name="20% - Accent6 7 3" xfId="2424" xr:uid="{0C21E4AD-16B7-477E-A885-4F8CA63EBE1C}"/>
    <cellStyle name="20% - Accent6 7 4" xfId="36376" xr:uid="{7891D2EB-FD13-4FFB-B09F-5CD7433BB10E}"/>
    <cellStyle name="20% - Accent6 70" xfId="36377" xr:uid="{DF2C4580-8A17-4280-AE95-FCE13CB1AF6F}"/>
    <cellStyle name="20% - Accent6 71" xfId="36378" xr:uid="{6E37B009-1159-4FDB-8F02-8697E545A916}"/>
    <cellStyle name="20% - Accent6 72" xfId="36379" xr:uid="{B194C385-ABD9-49B2-9922-3BE865EAC40B}"/>
    <cellStyle name="20% - Accent6 73" xfId="36380" xr:uid="{54AC8A71-5BD8-414C-B180-66742D2FC326}"/>
    <cellStyle name="20% - Accent6 74" xfId="36381" xr:uid="{B1C741CC-ABC5-41E4-8538-70D56DE27377}"/>
    <cellStyle name="20% - Accent6 75" xfId="36382" xr:uid="{D4680842-8DEB-4D73-BE3D-863885A6CE07}"/>
    <cellStyle name="20% - Accent6 76" xfId="36383" xr:uid="{685A145A-BA5C-4DBF-8B91-4C55D8536003}"/>
    <cellStyle name="20% - Accent6 77" xfId="36384" xr:uid="{26BBB682-A4D2-4601-BB81-6E163B042248}"/>
    <cellStyle name="20% - Accent6 78" xfId="36385" xr:uid="{D31AF7A5-98EF-4960-ACBA-ED2EF29A9028}"/>
    <cellStyle name="20% - Accent6 79" xfId="36386" xr:uid="{AF126F68-E644-45F1-B2B5-00F17EB4297E}"/>
    <cellStyle name="20% - Accent6 8" xfId="2425" xr:uid="{6B21C6BB-5505-4711-9325-DE4BCFB82746}"/>
    <cellStyle name="20% - Accent6 8 2" xfId="2426" xr:uid="{F34081C7-9C46-4A4B-80D0-1D09089AE6D4}"/>
    <cellStyle name="20% - Accent6 8 3" xfId="2427" xr:uid="{18C77591-A7F7-4602-87D7-350E3D73DCD6}"/>
    <cellStyle name="20% - Accent6 8 4" xfId="36387" xr:uid="{32E15D99-0053-4B4F-A709-B1A3DE5DB0AC}"/>
    <cellStyle name="20% - Accent6 80" xfId="36388" xr:uid="{8F478023-980E-49E7-97D8-7E61517F3B43}"/>
    <cellStyle name="20% - Accent6 81" xfId="36389" xr:uid="{6AB54A67-8442-4ECC-82CD-737DA8C10EB3}"/>
    <cellStyle name="20% - Accent6 82" xfId="36390" xr:uid="{843211DF-4F65-4C94-B36E-786CA6F5D7FB}"/>
    <cellStyle name="20% - Accent6 83" xfId="36391" xr:uid="{0A3023E3-3014-4CF9-82FA-55CFDAF33CDC}"/>
    <cellStyle name="20% - Accent6 84" xfId="36392" xr:uid="{3865A0B8-0824-47D3-8E45-5E5DFDBD7116}"/>
    <cellStyle name="20% - Accent6 85" xfId="36393" xr:uid="{D23DAC5D-4A19-41FB-A023-20ED4A150DAE}"/>
    <cellStyle name="20% - Accent6 86" xfId="36394" xr:uid="{A118960F-3D07-4108-8702-24487581DF1C}"/>
    <cellStyle name="20% - Accent6 87" xfId="36395" xr:uid="{118D5EE4-6407-4CE4-96B8-BFC20A53611D}"/>
    <cellStyle name="20% - Accent6 88" xfId="36396" xr:uid="{3BD58DA8-8374-4BB0-A87E-D95CAFA4B367}"/>
    <cellStyle name="20% - Accent6 89" xfId="36397" xr:uid="{49E362C0-3692-4F6B-9487-71EAE4AA5D7A}"/>
    <cellStyle name="20% - Accent6 9" xfId="2428" xr:uid="{9D051F38-72DD-4F5F-9F50-E441D7CD334A}"/>
    <cellStyle name="20% - Accent6 9 2" xfId="2429" xr:uid="{4B96D414-4786-4DB4-8A35-22DEF0B6F649}"/>
    <cellStyle name="20% - Accent6 9 3" xfId="2430" xr:uid="{B90B1C4F-C5CA-4E4D-B52E-F56CB0FB462B}"/>
    <cellStyle name="20% - Accent6 9 4" xfId="36398" xr:uid="{7CDC251E-623A-41B0-9E79-CE1E89C7E8C9}"/>
    <cellStyle name="20% - Accent6 90" xfId="36399" xr:uid="{555A9A1E-B855-4FD0-A26B-4513C8048444}"/>
    <cellStyle name="20% - Accent6 91" xfId="36400" xr:uid="{18D3934A-94ED-4AE9-879D-7E63C6438A46}"/>
    <cellStyle name="20% - Accent6 92" xfId="36401" xr:uid="{1165C035-BB86-4E0D-A23F-9397F321B672}"/>
    <cellStyle name="20% - Accent6 93" xfId="36402" xr:uid="{3EA064FC-D385-4530-BB52-4EFEAC5752D3}"/>
    <cellStyle name="20% - Accent6 94" xfId="36403" xr:uid="{7B6C8D48-52EA-4FFE-84E6-0A550B22D2D7}"/>
    <cellStyle name="20% - Accent6 95" xfId="36404" xr:uid="{1460F185-931E-4AD8-BA25-856BCB402D8C}"/>
    <cellStyle name="20% - Accent6 96" xfId="36405" xr:uid="{9370451F-9ED7-4BAE-B2C7-326C0686B00E}"/>
    <cellStyle name="20% - Accent6 97" xfId="36406" xr:uid="{8052B2CF-0393-4E3B-9817-F9A68664567B}"/>
    <cellStyle name="20% - Accent6 98" xfId="36407" xr:uid="{CEEE77C1-DD6F-47D8-928C-EA66A6D074C4}"/>
    <cellStyle name="20% - Accent6 99" xfId="36408" xr:uid="{0A53DAED-5B52-4B24-95A0-CA9EFFBD2D07}"/>
    <cellStyle name="40% - Accent1 10" xfId="2431" xr:uid="{32DAA16E-74BD-4DA8-929D-73126B08FFA6}"/>
    <cellStyle name="40% - Accent1 10 2" xfId="2432" xr:uid="{33007D94-4D49-4F03-9C49-FFE4D0C33681}"/>
    <cellStyle name="40% - Accent1 10 3" xfId="2433" xr:uid="{4A1F216E-7492-46D9-91D7-C9ACA7A556A7}"/>
    <cellStyle name="40% - Accent1 10 4" xfId="36409" xr:uid="{0A4E9309-296F-45D5-B15D-1857B70035C0}"/>
    <cellStyle name="40% - Accent1 100" xfId="36410" xr:uid="{FEAE032A-3418-4905-AB49-841332384EEA}"/>
    <cellStyle name="40% - Accent1 101" xfId="36411" xr:uid="{D4E67EC1-276D-4C66-AB1F-25C421502042}"/>
    <cellStyle name="40% - Accent1 102" xfId="36412" xr:uid="{C236F050-146D-4C1A-B075-2E73093B6820}"/>
    <cellStyle name="40% - Accent1 103" xfId="43467" xr:uid="{A36D8BD0-3494-4266-9DDC-68D897828A20}"/>
    <cellStyle name="40% - Accent1 104" xfId="43587" xr:uid="{747E121B-647D-46AB-9E43-1F23845BE78A}"/>
    <cellStyle name="40% - Accent1 105" xfId="168" xr:uid="{B05122E6-3A6D-4E24-B399-748BC95EAA58}"/>
    <cellStyle name="40% - Accent1 11" xfId="2434" xr:uid="{A9044775-2870-4E70-AEB4-C2547C9A3219}"/>
    <cellStyle name="40% - Accent1 11 2" xfId="2435" xr:uid="{67E02A2E-36FC-4757-A647-58408F0C4F0E}"/>
    <cellStyle name="40% - Accent1 11 3" xfId="2436" xr:uid="{8D01BDC4-A734-4A7E-9727-4DB2705C4584}"/>
    <cellStyle name="40% - Accent1 12" xfId="2437" xr:uid="{C905FF8F-543F-4EB1-86E7-17306DCC31BC}"/>
    <cellStyle name="40% - Accent1 12 2" xfId="2438" xr:uid="{17927B2E-47E5-42B3-B9A7-9A002BAE2135}"/>
    <cellStyle name="40% - Accent1 13" xfId="2439" xr:uid="{62FCC845-6A5F-4140-A597-ABD722E307DA}"/>
    <cellStyle name="40% - Accent1 13 2" xfId="2440" xr:uid="{24FAB065-C220-42A4-AC88-80389D46644C}"/>
    <cellStyle name="40% - Accent1 14" xfId="2441" xr:uid="{20EBAB5B-FB73-4CAE-AEB2-D9EE1606A97A}"/>
    <cellStyle name="40% - Accent1 14 2" xfId="2442" xr:uid="{98E33508-5A87-49A9-9F5C-4F60532F338A}"/>
    <cellStyle name="40% - Accent1 15" xfId="2443" xr:uid="{EC9E0350-96C4-4E00-8BDD-8DAF1755A14E}"/>
    <cellStyle name="40% - Accent1 15 2" xfId="2444" xr:uid="{CE9F6FAE-B7E5-4000-9EEA-6D784912065E}"/>
    <cellStyle name="40% - Accent1 16" xfId="2445" xr:uid="{C715157A-7747-4897-A008-706560A954CD}"/>
    <cellStyle name="40% - Accent1 16 2" xfId="2446" xr:uid="{3633C32A-820B-49F8-835C-307AD123E784}"/>
    <cellStyle name="40% - Accent1 17" xfId="2447" xr:uid="{BCB888CB-8AAC-4F5F-A477-4264A5E66A35}"/>
    <cellStyle name="40% - Accent1 17 2" xfId="2448" xr:uid="{EA671C48-51EC-44AD-A836-996956AB3D26}"/>
    <cellStyle name="40% - Accent1 18" xfId="2449" xr:uid="{BA93515E-2BA1-4BD2-88B1-A860FABCF98A}"/>
    <cellStyle name="40% - Accent1 18 2" xfId="2450" xr:uid="{C9C8A0D1-CBBB-4B58-BAB9-1E109CAC3CEB}"/>
    <cellStyle name="40% - Accent1 19" xfId="2451" xr:uid="{705D8B60-5A03-4A8C-87D9-6FC2BE312D97}"/>
    <cellStyle name="40% - Accent1 19 2" xfId="2452" xr:uid="{D44E898B-392F-47D3-B6C2-0BA042C22E1F}"/>
    <cellStyle name="40% - Accent1 2" xfId="2453" xr:uid="{BA43A8D2-6AFC-483E-A09B-FDA0165A1837}"/>
    <cellStyle name="40% - Accent1 2 10" xfId="43505" xr:uid="{6848CC90-D7C8-4E87-BA7D-567241D47887}"/>
    <cellStyle name="40% - Accent1 2 2" xfId="2454" xr:uid="{8E86B52C-AA52-4CE1-9276-94F37865F662}"/>
    <cellStyle name="40% - Accent1 2 2 2" xfId="2455" xr:uid="{A43D9261-C0BA-4563-AC29-33E5E34E8B1D}"/>
    <cellStyle name="40% - Accent1 2 2 2 2" xfId="2456" xr:uid="{EEBA4EDA-BAE4-4F1D-AA03-03118108B8F3}"/>
    <cellStyle name="40% - Accent1 2 2 2 3" xfId="2457" xr:uid="{C9EEF514-C8EE-4AAB-8172-7891B0214B79}"/>
    <cellStyle name="40% - Accent1 2 2 2 4" xfId="36413" xr:uid="{AF9A5AA8-6731-403B-A436-3182D24F32A7}"/>
    <cellStyle name="40% - Accent1 2 2 3" xfId="2458" xr:uid="{F44BA543-3EAA-4378-A9ED-A27A9352A618}"/>
    <cellStyle name="40% - Accent1 2 2 3 2" xfId="2459" xr:uid="{69B4F4E7-B6C0-4B13-B184-7D4CB476C98F}"/>
    <cellStyle name="40% - Accent1 2 2 3 3" xfId="36414" xr:uid="{5B00AA6E-3541-4753-B38D-BE707746BCA9}"/>
    <cellStyle name="40% - Accent1 2 2 4" xfId="2460" xr:uid="{C07B9C4A-1697-4695-BE48-C5C9700E03B5}"/>
    <cellStyle name="40% - Accent1 2 2 5" xfId="2461" xr:uid="{9D3BE015-0696-4A39-8327-99A8438E1648}"/>
    <cellStyle name="40% - Accent1 2 2 6" xfId="2462" xr:uid="{E7AFA5A3-2621-463B-B49C-9221A74E9631}"/>
    <cellStyle name="40% - Accent1 2 2 7" xfId="36415" xr:uid="{C73294C0-89CD-4AD3-B26B-EC5169FDF1EE}"/>
    <cellStyle name="40% - Accent1 2 2_PwrTax 51040" xfId="2463" xr:uid="{1ACCDA48-F143-402D-AF59-25F6A5CE550D}"/>
    <cellStyle name="40% - Accent1 2 3" xfId="2464" xr:uid="{72CB98F0-496C-49B4-BD94-7C606CC36E71}"/>
    <cellStyle name="40% - Accent1 2 3 10" xfId="2465" xr:uid="{732AC228-D7CF-4FF4-BB0C-E8495AD0A9D5}"/>
    <cellStyle name="40% - Accent1 2 3 10 2" xfId="36416" xr:uid="{A4D0B396-0416-4C67-8D3F-88ACB2D932CE}"/>
    <cellStyle name="40% - Accent1 2 3 11" xfId="36417" xr:uid="{82F305CD-40C8-433A-A722-3E7B706DFD9C}"/>
    <cellStyle name="40% - Accent1 2 3 12" xfId="36418" xr:uid="{89038782-3D48-4200-867D-5AA22D066D3D}"/>
    <cellStyle name="40% - Accent1 2 3 2" xfId="2466" xr:uid="{05700C7D-E981-443D-881A-F78C61C95990}"/>
    <cellStyle name="40% - Accent1 2 3 2 10" xfId="36419" xr:uid="{CBD5C3A4-8ADA-491F-859D-84371574C65A}"/>
    <cellStyle name="40% - Accent1 2 3 2 11" xfId="36420" xr:uid="{19ED51A1-CBA2-4DD7-918D-ED938A510477}"/>
    <cellStyle name="40% - Accent1 2 3 2 2" xfId="2467" xr:uid="{34513E36-3FB2-4F62-9EB0-3E0A9A242DED}"/>
    <cellStyle name="40% - Accent1 2 3 2 2 2" xfId="2468" xr:uid="{1CF2AEE1-722C-47FA-B33B-FCBCBA22C040}"/>
    <cellStyle name="40% - Accent1 2 3 2 2 2 2" xfId="2469" xr:uid="{5652D27C-9503-4605-A43D-271F9E352F92}"/>
    <cellStyle name="40% - Accent1 2 3 2 2 2 2 2" xfId="2470" xr:uid="{0606B453-07B0-48D9-A2B9-440CACF78966}"/>
    <cellStyle name="40% - Accent1 2 3 2 2 2 2 2 2" xfId="36421" xr:uid="{D2765283-D3B8-4F9A-B517-6ADAF8FB764C}"/>
    <cellStyle name="40% - Accent1 2 3 2 2 2 2 3" xfId="2471" xr:uid="{A4DAF0A0-8E37-45B9-A248-A57B8E392DE9}"/>
    <cellStyle name="40% - Accent1 2 3 2 2 2 2 3 2" xfId="36422" xr:uid="{897D0CDE-E6FF-4945-8F52-4C66C5B323D5}"/>
    <cellStyle name="40% - Accent1 2 3 2 2 2 2 4" xfId="36423" xr:uid="{949AB7F0-B9E7-4D5A-B528-9DE7B8C4F983}"/>
    <cellStyle name="40% - Accent1 2 3 2 2 2 3" xfId="2472" xr:uid="{810921A3-4FFD-4BFE-9856-4AC6A3243820}"/>
    <cellStyle name="40% - Accent1 2 3 2 2 2 3 2" xfId="36424" xr:uid="{4B9EF274-05D4-4C29-B740-0D34C0180C23}"/>
    <cellStyle name="40% - Accent1 2 3 2 2 2 4" xfId="2473" xr:uid="{391B59DA-2C7E-4322-8BCF-AC77FF7F02E7}"/>
    <cellStyle name="40% - Accent1 2 3 2 2 2 4 2" xfId="36425" xr:uid="{14A01B05-7D01-469C-88C3-1343CA8A0546}"/>
    <cellStyle name="40% - Accent1 2 3 2 2 2 5" xfId="36426" xr:uid="{4DB95C47-93ED-4FC9-9EDA-31DCDC644A47}"/>
    <cellStyle name="40% - Accent1 2 3 2 2 3" xfId="2474" xr:uid="{C81A1807-539E-4471-8D80-6AABF6605482}"/>
    <cellStyle name="40% - Accent1 2 3 2 2 3 2" xfId="2475" xr:uid="{6054988B-31FE-4A62-B8E9-C4C1B71433A1}"/>
    <cellStyle name="40% - Accent1 2 3 2 2 3 2 2" xfId="36427" xr:uid="{DB0A4C13-1BC7-4742-A930-E2E2BC887289}"/>
    <cellStyle name="40% - Accent1 2 3 2 2 3 3" xfId="2476" xr:uid="{B09CA5C3-A0D6-4F7A-8869-09E15E8DF6AE}"/>
    <cellStyle name="40% - Accent1 2 3 2 2 3 3 2" xfId="36428" xr:uid="{DB885764-7FA3-4796-9912-755EAC4B0FD6}"/>
    <cellStyle name="40% - Accent1 2 3 2 2 3 4" xfId="36429" xr:uid="{60821055-C921-4027-861C-202D2E42F773}"/>
    <cellStyle name="40% - Accent1 2 3 2 2 4" xfId="2477" xr:uid="{C16005E5-0E7A-4350-86AA-2F5ACEAED91D}"/>
    <cellStyle name="40% - Accent1 2 3 2 2 4 2" xfId="36430" xr:uid="{F5F79D5B-18BB-470B-ACA7-27203B48F2E2}"/>
    <cellStyle name="40% - Accent1 2 3 2 2 5" xfId="2478" xr:uid="{DA434981-7F06-4B52-A988-4DFD42F63388}"/>
    <cellStyle name="40% - Accent1 2 3 2 2 5 2" xfId="36431" xr:uid="{3C9E0357-4F38-4B9E-A031-A7F5A51C861A}"/>
    <cellStyle name="40% - Accent1 2 3 2 2 6" xfId="36432" xr:uid="{D6698CDC-18A4-4807-A4B9-CC1B5DDB4EDF}"/>
    <cellStyle name="40% - Accent1 2 3 2 3" xfId="2479" xr:uid="{3A71A7D0-3FA7-48FC-813A-D067B3448257}"/>
    <cellStyle name="40% - Accent1 2 3 2 3 2" xfId="2480" xr:uid="{762109CE-9D1B-4897-B573-716A2A284BBC}"/>
    <cellStyle name="40% - Accent1 2 3 2 3 2 2" xfId="2481" xr:uid="{DADF9BF4-48E8-402D-AB4A-805BC7947D95}"/>
    <cellStyle name="40% - Accent1 2 3 2 3 2 2 2" xfId="36433" xr:uid="{372A25AC-9FA8-4BBF-ADCC-330D94F62BF1}"/>
    <cellStyle name="40% - Accent1 2 3 2 3 2 3" xfId="2482" xr:uid="{B4588932-AE89-447A-96BF-956DBA92031E}"/>
    <cellStyle name="40% - Accent1 2 3 2 3 2 3 2" xfId="36434" xr:uid="{9CD4A247-DB62-4B0C-AC3E-9278E47B5CA6}"/>
    <cellStyle name="40% - Accent1 2 3 2 3 2 4" xfId="36435" xr:uid="{2B723B58-F084-40E7-B842-345D55BC58FA}"/>
    <cellStyle name="40% - Accent1 2 3 2 3 3" xfId="2483" xr:uid="{965452B6-168B-4149-B74B-2B162DA20BDC}"/>
    <cellStyle name="40% - Accent1 2 3 2 3 3 2" xfId="36436" xr:uid="{022244A8-5882-476F-82D1-CDB276CBE619}"/>
    <cellStyle name="40% - Accent1 2 3 2 3 4" xfId="2484" xr:uid="{4342F402-F1A3-4B59-A0E8-7893755F87E0}"/>
    <cellStyle name="40% - Accent1 2 3 2 3 4 2" xfId="36437" xr:uid="{C5907717-B4D7-4F76-A128-B4A43DE4C1B3}"/>
    <cellStyle name="40% - Accent1 2 3 2 3 5" xfId="36438" xr:uid="{6EEB1579-8B8C-40C2-ADC5-3C225728A96B}"/>
    <cellStyle name="40% - Accent1 2 3 2 4" xfId="2485" xr:uid="{4661C140-366F-4BA6-81D5-6F15BDB0EDB1}"/>
    <cellStyle name="40% - Accent1 2 3 2 4 2" xfId="2486" xr:uid="{6A4D28CB-4936-41BF-A16D-32C98613AA0A}"/>
    <cellStyle name="40% - Accent1 2 3 2 4 2 2" xfId="36439" xr:uid="{D273F85D-F777-4DC6-9E7A-561CF7D13F39}"/>
    <cellStyle name="40% - Accent1 2 3 2 4 3" xfId="2487" xr:uid="{605A1ECD-17E8-479B-8854-8A936CA949D0}"/>
    <cellStyle name="40% - Accent1 2 3 2 4 3 2" xfId="36440" xr:uid="{BCB6F2E0-1080-4069-A338-03E1B732D39E}"/>
    <cellStyle name="40% - Accent1 2 3 2 4 4" xfId="36441" xr:uid="{ABF5263C-0101-44F2-9074-F9925D0EEA4B}"/>
    <cellStyle name="40% - Accent1 2 3 2 5" xfId="2488" xr:uid="{71591780-B751-4FBA-9026-2217960EBA16}"/>
    <cellStyle name="40% - Accent1 2 3 2 5 2" xfId="36442" xr:uid="{9A187129-A1D9-40D4-9724-10A5F234D301}"/>
    <cellStyle name="40% - Accent1 2 3 2 5 2 2" xfId="36443" xr:uid="{E7E47AA9-8C7F-4C1F-96F6-A1DB41C6F9CA}"/>
    <cellStyle name="40% - Accent1 2 3 2 5 3" xfId="36444" xr:uid="{77E8D9AA-105F-4E3C-9644-D7CDE3904D52}"/>
    <cellStyle name="40% - Accent1 2 3 2 5 3 2" xfId="36445" xr:uid="{EBC198E8-15E1-4769-909B-3DB160331DFA}"/>
    <cellStyle name="40% - Accent1 2 3 2 5 4" xfId="36446" xr:uid="{B6F91594-CDF1-4000-B88C-EB50ECEF4183}"/>
    <cellStyle name="40% - Accent1 2 3 2 6" xfId="2489" xr:uid="{B7F703A3-02F3-4BEF-BDD1-45E83C26AB1C}"/>
    <cellStyle name="40% - Accent1 2 3 2 6 2" xfId="36447" xr:uid="{1F23C144-184D-4C60-9BE1-B0C0BBB5EB67}"/>
    <cellStyle name="40% - Accent1 2 3 2 6 2 2" xfId="36448" xr:uid="{CECA326E-8130-4DE1-8F97-2CD24C6B5C1F}"/>
    <cellStyle name="40% - Accent1 2 3 2 6 3" xfId="36449" xr:uid="{24B6E282-38E3-471F-A139-FE9F239BCC6C}"/>
    <cellStyle name="40% - Accent1 2 3 2 6 3 2" xfId="36450" xr:uid="{946EB355-30A7-40A0-9FA9-9CDEE8BD743B}"/>
    <cellStyle name="40% - Accent1 2 3 2 6 4" xfId="36451" xr:uid="{B827542B-D8CC-42BB-84F6-635A1528651A}"/>
    <cellStyle name="40% - Accent1 2 3 2 7" xfId="2490" xr:uid="{03AD10F2-A41A-4CDA-9071-83F9E63EBCA8}"/>
    <cellStyle name="40% - Accent1 2 3 2 7 2" xfId="36452" xr:uid="{24A4CE3D-3F8E-4D24-B762-A8C53616AF1D}"/>
    <cellStyle name="40% - Accent1 2 3 2 7 2 2" xfId="36453" xr:uid="{6150F524-4288-456B-97DD-DE1A47B90B01}"/>
    <cellStyle name="40% - Accent1 2 3 2 7 3" xfId="36454" xr:uid="{D9628ECE-650E-4911-99CA-4D949893C58F}"/>
    <cellStyle name="40% - Accent1 2 3 2 7 3 2" xfId="36455" xr:uid="{0C8814B6-BD73-4A11-B533-A0A323C33C55}"/>
    <cellStyle name="40% - Accent1 2 3 2 7 4" xfId="36456" xr:uid="{20F67889-E31E-41A3-95F6-BEC9D90C239C}"/>
    <cellStyle name="40% - Accent1 2 3 2 8" xfId="36457" xr:uid="{10F5A7CE-E185-468C-ACCF-5D993AAB8E1E}"/>
    <cellStyle name="40% - Accent1 2 3 2 8 2" xfId="36458" xr:uid="{F9197EB3-464A-461E-A751-28DF1982BCC3}"/>
    <cellStyle name="40% - Accent1 2 3 2 9" xfId="36459" xr:uid="{7D357D84-47FC-4135-B7E9-E554AC47B8FC}"/>
    <cellStyle name="40% - Accent1 2 3 2 9 2" xfId="36460" xr:uid="{E8D48478-F51B-4FFC-A9B3-754FEE3787B0}"/>
    <cellStyle name="40% - Accent1 2 3 3" xfId="2491" xr:uid="{32AD3E0C-2119-4398-BBE1-3C2895EFB3E6}"/>
    <cellStyle name="40% - Accent1 2 3 3 10" xfId="36461" xr:uid="{18EE17DC-9096-43DC-A6EF-C8F81F669B93}"/>
    <cellStyle name="40% - Accent1 2 3 3 2" xfId="2492" xr:uid="{F298D94D-3DDE-4142-9F29-7965BF37EE70}"/>
    <cellStyle name="40% - Accent1 2 3 3 2 2" xfId="2493" xr:uid="{FD9A037F-2B0B-409A-AD94-816741E3A0DF}"/>
    <cellStyle name="40% - Accent1 2 3 3 2 2 2" xfId="2494" xr:uid="{401BF312-2B1B-4338-A1E6-900BC8940B14}"/>
    <cellStyle name="40% - Accent1 2 3 3 2 2 2 2" xfId="36462" xr:uid="{407593A0-9D83-4D75-AAFF-AC03FE7EBF6E}"/>
    <cellStyle name="40% - Accent1 2 3 3 2 2 3" xfId="2495" xr:uid="{D431293B-27E0-4179-B9CF-7D05C822E016}"/>
    <cellStyle name="40% - Accent1 2 3 3 2 2 3 2" xfId="36463" xr:uid="{FEE4F1BB-B3EC-4C3B-8E94-0D57139DA86A}"/>
    <cellStyle name="40% - Accent1 2 3 3 2 2 4" xfId="36464" xr:uid="{81DC3FCE-F9B3-4193-AD2F-3453DFF9EC79}"/>
    <cellStyle name="40% - Accent1 2 3 3 2 3" xfId="2496" xr:uid="{A2226EEF-CBCA-44FD-881C-525415E4E28C}"/>
    <cellStyle name="40% - Accent1 2 3 3 2 3 2" xfId="36465" xr:uid="{D685772E-6527-41CD-953F-5FA8EE134921}"/>
    <cellStyle name="40% - Accent1 2 3 3 2 4" xfId="2497" xr:uid="{1671AD36-DD21-4B39-AA96-82D7201C5466}"/>
    <cellStyle name="40% - Accent1 2 3 3 2 4 2" xfId="36466" xr:uid="{4389E76A-E333-4DCE-9CBE-4BAF1E4CEE21}"/>
    <cellStyle name="40% - Accent1 2 3 3 2 5" xfId="36467" xr:uid="{00FA6BD7-E543-4E44-884B-DBF9BEE01144}"/>
    <cellStyle name="40% - Accent1 2 3 3 3" xfId="2498" xr:uid="{C4114D1A-33EE-4E76-9D1A-E7347BCCC8D9}"/>
    <cellStyle name="40% - Accent1 2 3 3 3 2" xfId="2499" xr:uid="{6DA31B3D-BAC6-4159-9800-968792B770EA}"/>
    <cellStyle name="40% - Accent1 2 3 3 3 2 2" xfId="36468" xr:uid="{BED97B6D-1D06-4E20-9173-6918A34527A2}"/>
    <cellStyle name="40% - Accent1 2 3 3 3 3" xfId="2500" xr:uid="{A67EFBE5-09AE-4D68-9121-27BD6DCA38F4}"/>
    <cellStyle name="40% - Accent1 2 3 3 3 3 2" xfId="36469" xr:uid="{B7441036-37AB-4954-A306-70D01046FC13}"/>
    <cellStyle name="40% - Accent1 2 3 3 3 4" xfId="36470" xr:uid="{25A0C394-E485-44B6-A5EC-BAC8820DDB6F}"/>
    <cellStyle name="40% - Accent1 2 3 3 4" xfId="2501" xr:uid="{63318E17-0129-4690-A248-70DD77C8F647}"/>
    <cellStyle name="40% - Accent1 2 3 3 4 2" xfId="36471" xr:uid="{6FCA3025-EF06-4BC5-A294-02C94919DA80}"/>
    <cellStyle name="40% - Accent1 2 3 3 4 2 2" xfId="36472" xr:uid="{E15E94C9-4774-469F-80CD-B20802B31B01}"/>
    <cellStyle name="40% - Accent1 2 3 3 4 3" xfId="36473" xr:uid="{AEE6F3FB-7A9F-4292-99DC-D11513921470}"/>
    <cellStyle name="40% - Accent1 2 3 3 4 3 2" xfId="36474" xr:uid="{8DD4C6CB-4AB9-4EAE-98A6-C0487275F131}"/>
    <cellStyle name="40% - Accent1 2 3 3 4 4" xfId="36475" xr:uid="{B40AD1B6-4CA7-4499-B48F-97ED044B7E06}"/>
    <cellStyle name="40% - Accent1 2 3 3 5" xfId="2502" xr:uid="{8600733A-9F79-408B-8E32-7E35D9F0EA08}"/>
    <cellStyle name="40% - Accent1 2 3 3 5 2" xfId="36476" xr:uid="{22C6F3FE-20BD-4442-A336-3A53DB60C45A}"/>
    <cellStyle name="40% - Accent1 2 3 3 5 2 2" xfId="36477" xr:uid="{2C8259ED-9FD9-4427-9FF9-DF853F78AAF7}"/>
    <cellStyle name="40% - Accent1 2 3 3 5 3" xfId="36478" xr:uid="{8E21A68E-EAF8-491A-8E55-AC372481142A}"/>
    <cellStyle name="40% - Accent1 2 3 3 5 3 2" xfId="36479" xr:uid="{1CF619A9-70BA-4105-BFFF-E62B4CE1B183}"/>
    <cellStyle name="40% - Accent1 2 3 3 5 4" xfId="36480" xr:uid="{322E70D2-F394-43B6-811C-3A6ECF718788}"/>
    <cellStyle name="40% - Accent1 2 3 3 6" xfId="2503" xr:uid="{68AD2466-B84E-4D12-BE12-A1AFCB9E8E34}"/>
    <cellStyle name="40% - Accent1 2 3 3 6 2" xfId="36481" xr:uid="{EC96172C-D5BC-494F-830C-17D70CF2DEC6}"/>
    <cellStyle name="40% - Accent1 2 3 3 6 2 2" xfId="36482" xr:uid="{88916605-1F63-4F1C-BD4B-525908045A20}"/>
    <cellStyle name="40% - Accent1 2 3 3 6 3" xfId="36483" xr:uid="{C4EDF671-B373-4778-BF11-8EEC6EA19E4A}"/>
    <cellStyle name="40% - Accent1 2 3 3 6 3 2" xfId="36484" xr:uid="{D7330F60-A2A8-40F3-83F2-9C4AA9606373}"/>
    <cellStyle name="40% - Accent1 2 3 3 6 4" xfId="36485" xr:uid="{47A5DCC1-A48E-468B-B52D-A0E4BE760559}"/>
    <cellStyle name="40% - Accent1 2 3 3 7" xfId="36486" xr:uid="{54AF65BC-7BDD-4C21-9012-008B749E852F}"/>
    <cellStyle name="40% - Accent1 2 3 3 7 2" xfId="36487" xr:uid="{6867CDD9-BCCB-4AFC-BDCD-C3A0C031F1FC}"/>
    <cellStyle name="40% - Accent1 2 3 3 8" xfId="36488" xr:uid="{1ABDDE56-6EE9-41D4-B2E7-C2A6BFE78204}"/>
    <cellStyle name="40% - Accent1 2 3 3 8 2" xfId="36489" xr:uid="{5D4ADCA8-2D86-4090-936A-AED557FB8CED}"/>
    <cellStyle name="40% - Accent1 2 3 3 9" xfId="36490" xr:uid="{0CB8D97A-E948-4A6B-834C-44D547DB6F2F}"/>
    <cellStyle name="40% - Accent1 2 3 4" xfId="2504" xr:uid="{49EA0D78-61B8-4CFF-93AC-C05288846A73}"/>
    <cellStyle name="40% - Accent1 2 3 4 2" xfId="2505" xr:uid="{A5B0E365-BAA4-4E0C-8F17-41868C14FA45}"/>
    <cellStyle name="40% - Accent1 2 3 4 2 2" xfId="2506" xr:uid="{0B85A9D5-D86A-46CA-892D-A0B257E41325}"/>
    <cellStyle name="40% - Accent1 2 3 4 2 2 2" xfId="36491" xr:uid="{E8C2B124-EB44-4F51-9121-33383D8E147E}"/>
    <cellStyle name="40% - Accent1 2 3 4 2 3" xfId="2507" xr:uid="{50030CC1-BF49-4AF8-AA68-CF7D9842534D}"/>
    <cellStyle name="40% - Accent1 2 3 4 2 3 2" xfId="36492" xr:uid="{6B7D6A4B-47C6-4B2D-9FE9-CEB517DBC45D}"/>
    <cellStyle name="40% - Accent1 2 3 4 2 4" xfId="36493" xr:uid="{C1698383-B5E8-4A38-8EFF-F7735205C7E1}"/>
    <cellStyle name="40% - Accent1 2 3 4 3" xfId="2508" xr:uid="{F05E3545-5273-4601-9B5D-ACA02A85A7A1}"/>
    <cellStyle name="40% - Accent1 2 3 4 3 2" xfId="36494" xr:uid="{B01AA228-6BF1-47A3-9D77-DC1AD06C3916}"/>
    <cellStyle name="40% - Accent1 2 3 4 3 2 2" xfId="36495" xr:uid="{7774C7D6-F946-4825-9B33-8CE37CFA18BD}"/>
    <cellStyle name="40% - Accent1 2 3 4 3 3" xfId="36496" xr:uid="{1B901E05-E185-4AA9-B097-C52313720D98}"/>
    <cellStyle name="40% - Accent1 2 3 4 3 3 2" xfId="36497" xr:uid="{9DE61F4D-92E8-4500-8B41-0C6889A1223B}"/>
    <cellStyle name="40% - Accent1 2 3 4 3 4" xfId="36498" xr:uid="{E88B2BDC-518C-455F-B94E-46F50EC34CBD}"/>
    <cellStyle name="40% - Accent1 2 3 4 4" xfId="2509" xr:uid="{64A87056-6E15-401E-9470-6D9734E7C2DF}"/>
    <cellStyle name="40% - Accent1 2 3 4 4 2" xfId="36499" xr:uid="{D2A7BDAC-1000-48BB-8397-63017FA6590B}"/>
    <cellStyle name="40% - Accent1 2 3 4 4 2 2" xfId="36500" xr:uid="{849ADEC6-4110-4598-8A23-3E0E14B92877}"/>
    <cellStyle name="40% - Accent1 2 3 4 4 3" xfId="36501" xr:uid="{91761A05-B9CE-4B0A-8EE4-FD367472DDEF}"/>
    <cellStyle name="40% - Accent1 2 3 4 4 3 2" xfId="36502" xr:uid="{634C7A69-CE25-4259-847A-D7699F94F90E}"/>
    <cellStyle name="40% - Accent1 2 3 4 4 4" xfId="36503" xr:uid="{A7AC9AC1-6D32-4F80-B277-67F03B4DA421}"/>
    <cellStyle name="40% - Accent1 2 3 4 5" xfId="36504" xr:uid="{F91655AC-CD5D-4FD4-8826-F7A09722CB06}"/>
    <cellStyle name="40% - Accent1 2 3 4 5 2" xfId="36505" xr:uid="{D4D57E74-E400-48A9-B3DE-0510EA440C0E}"/>
    <cellStyle name="40% - Accent1 2 3 4 5 2 2" xfId="36506" xr:uid="{9191BF76-1165-4E9A-BA8C-2F373700C273}"/>
    <cellStyle name="40% - Accent1 2 3 4 5 3" xfId="36507" xr:uid="{3555B13A-B35D-48FA-A234-8EBCE3ADDD28}"/>
    <cellStyle name="40% - Accent1 2 3 4 5 3 2" xfId="36508" xr:uid="{38091134-7D05-4F26-8B86-C9A68AE10CA3}"/>
    <cellStyle name="40% - Accent1 2 3 4 5 4" xfId="36509" xr:uid="{970768A9-6792-47C8-8CBE-4CE427C0CCBC}"/>
    <cellStyle name="40% - Accent1 2 3 4 6" xfId="36510" xr:uid="{EC7BB4E6-1A8D-4BED-B6C6-79E293B1FA9A}"/>
    <cellStyle name="40% - Accent1 2 3 4 6 2" xfId="36511" xr:uid="{55C74B49-57C4-4F52-8001-D77E854A3F89}"/>
    <cellStyle name="40% - Accent1 2 3 4 7" xfId="36512" xr:uid="{363FC9D6-2064-480B-ADA4-B54C5095765D}"/>
    <cellStyle name="40% - Accent1 2 3 4 7 2" xfId="36513" xr:uid="{7C889503-A664-4469-A24C-0DBDD87AA771}"/>
    <cellStyle name="40% - Accent1 2 3 4 8" xfId="36514" xr:uid="{9AF5BF05-3A2F-4311-9ED4-59A9D8A89076}"/>
    <cellStyle name="40% - Accent1 2 3 5" xfId="2510" xr:uid="{B953D42F-1C85-4FE4-A478-308A5BB7762B}"/>
    <cellStyle name="40% - Accent1 2 3 5 2" xfId="2511" xr:uid="{31AF0E33-D501-48F7-AF58-65498948C640}"/>
    <cellStyle name="40% - Accent1 2 3 5 2 2" xfId="2512" xr:uid="{E95CB809-AF8E-4506-8E2D-CB4DE9AA574B}"/>
    <cellStyle name="40% - Accent1 2 3 5 2 2 2" xfId="36515" xr:uid="{7B357B2D-0404-4055-9B53-C6A85DBCCF42}"/>
    <cellStyle name="40% - Accent1 2 3 5 2 3" xfId="2513" xr:uid="{E64DD421-60B6-4336-9BBB-7B2B32DC84AB}"/>
    <cellStyle name="40% - Accent1 2 3 5 2 3 2" xfId="36516" xr:uid="{4BB491E5-E4EE-4807-89FA-E0F84646B52F}"/>
    <cellStyle name="40% - Accent1 2 3 5 2 4" xfId="36517" xr:uid="{014DB852-064C-46B0-B730-2A9F0B700CCA}"/>
    <cellStyle name="40% - Accent1 2 3 5 3" xfId="2514" xr:uid="{2CC8DCBC-B1F2-413D-9922-E639C849CFF2}"/>
    <cellStyle name="40% - Accent1 2 3 5 3 2" xfId="36518" xr:uid="{A39D6105-C2AC-4A8A-BDB1-5C870C0288EA}"/>
    <cellStyle name="40% - Accent1 2 3 5 3 2 2" xfId="36519" xr:uid="{85FF810B-EC84-4629-8487-BE0224E3A1DA}"/>
    <cellStyle name="40% - Accent1 2 3 5 3 3" xfId="36520" xr:uid="{262CAEAF-D229-4CD2-A5D0-35FDFECCDFE9}"/>
    <cellStyle name="40% - Accent1 2 3 5 3 3 2" xfId="36521" xr:uid="{5C439D67-C1E0-4F2F-BB0F-8BB50E20D65E}"/>
    <cellStyle name="40% - Accent1 2 3 5 3 4" xfId="36522" xr:uid="{AA2A0225-0076-4D0E-8897-4BD70F00EAE1}"/>
    <cellStyle name="40% - Accent1 2 3 5 4" xfId="2515" xr:uid="{A526E512-3FFA-48FD-A899-E48BD0F27E61}"/>
    <cellStyle name="40% - Accent1 2 3 5 4 2" xfId="36523" xr:uid="{A53013BB-1D1A-4A47-8101-90B5BE267BB9}"/>
    <cellStyle name="40% - Accent1 2 3 5 4 2 2" xfId="36524" xr:uid="{EE08F408-AAF3-4633-A4BD-915897183384}"/>
    <cellStyle name="40% - Accent1 2 3 5 4 3" xfId="36525" xr:uid="{2D420EF4-5AB7-401E-AA19-35452D6BB842}"/>
    <cellStyle name="40% - Accent1 2 3 5 4 3 2" xfId="36526" xr:uid="{4ABC9E82-7FED-47F7-814A-F2495A93A219}"/>
    <cellStyle name="40% - Accent1 2 3 5 4 4" xfId="36527" xr:uid="{60BFD220-E534-4C9C-A4E3-06201629BEB7}"/>
    <cellStyle name="40% - Accent1 2 3 5 5" xfId="36528" xr:uid="{44CD6686-9A75-4372-9E72-786E87AA6EC5}"/>
    <cellStyle name="40% - Accent1 2 3 5 5 2" xfId="36529" xr:uid="{E66493B8-0CDC-49F0-B38A-1F62751055DE}"/>
    <cellStyle name="40% - Accent1 2 3 5 6" xfId="36530" xr:uid="{12A1CAE2-8BE1-4BD8-A7CB-82ABACE47CDA}"/>
    <cellStyle name="40% - Accent1 2 3 5 6 2" xfId="36531" xr:uid="{F8A53829-5235-436A-8C73-1B45321BF1E3}"/>
    <cellStyle name="40% - Accent1 2 3 5 7" xfId="36532" xr:uid="{F8D4E49B-BFD7-47F2-9B88-7EFCBF8F4EEC}"/>
    <cellStyle name="40% - Accent1 2 3 6" xfId="2516" xr:uid="{F1D7DA8D-9AE9-4339-AADB-BF91D4118386}"/>
    <cellStyle name="40% - Accent1 2 3 6 2" xfId="2517" xr:uid="{AFB40E91-A276-451F-A9A7-89BE854755F4}"/>
    <cellStyle name="40% - Accent1 2 3 6 2 2" xfId="36533" xr:uid="{5A850220-0AFC-4E91-B8A1-70AAD0CB2DA9}"/>
    <cellStyle name="40% - Accent1 2 3 6 3" xfId="2518" xr:uid="{6B27CA20-6C41-4380-8EFB-114E7D1A139E}"/>
    <cellStyle name="40% - Accent1 2 3 6 3 2" xfId="36534" xr:uid="{DA81CCDE-EACF-425B-A334-C6C7D15C8FB5}"/>
    <cellStyle name="40% - Accent1 2 3 6 4" xfId="36535" xr:uid="{EB7CAB42-0BE1-45DD-8821-00F785C7ABF9}"/>
    <cellStyle name="40% - Accent1 2 3 7" xfId="2519" xr:uid="{020D504F-2690-483A-A807-469F11C78488}"/>
    <cellStyle name="40% - Accent1 2 3 7 2" xfId="36536" xr:uid="{A9BC60D5-1E90-4CFB-B801-76BB62F1E2E9}"/>
    <cellStyle name="40% - Accent1 2 3 7 2 2" xfId="36537" xr:uid="{DE0096F4-6D95-4CAB-8FD0-6C68ADB9D914}"/>
    <cellStyle name="40% - Accent1 2 3 7 3" xfId="36538" xr:uid="{79B5D29D-4598-418D-B799-183ACB30E027}"/>
    <cellStyle name="40% - Accent1 2 3 7 3 2" xfId="36539" xr:uid="{9DC75AD4-E6B1-4481-841D-EA604979E8D4}"/>
    <cellStyle name="40% - Accent1 2 3 7 4" xfId="36540" xr:uid="{CBAAAF9B-3A75-40B8-8EA9-A41F4444BCD8}"/>
    <cellStyle name="40% - Accent1 2 3 8" xfId="2520" xr:uid="{CBB746BE-CDA0-47ED-90EA-E2024C6D7DEE}"/>
    <cellStyle name="40% - Accent1 2 3 8 2" xfId="36541" xr:uid="{67AA2ED9-4B04-472C-A941-6B2FEF05DF56}"/>
    <cellStyle name="40% - Accent1 2 3 8 2 2" xfId="36542" xr:uid="{289AC3B1-2413-4BBE-8CDE-6374CD888759}"/>
    <cellStyle name="40% - Accent1 2 3 8 3" xfId="36543" xr:uid="{D0BB463B-917F-4775-82E7-821BCF13B42A}"/>
    <cellStyle name="40% - Accent1 2 3 8 3 2" xfId="36544" xr:uid="{EF0D8C5A-7327-4882-A06D-4615DEC81D4F}"/>
    <cellStyle name="40% - Accent1 2 3 8 4" xfId="36545" xr:uid="{81D58AF4-8498-4B94-B5B1-2ACC346D2C94}"/>
    <cellStyle name="40% - Accent1 2 3 9" xfId="2521" xr:uid="{8286E3D8-4D2B-4E58-8F7F-614001ED146C}"/>
    <cellStyle name="40% - Accent1 2 3 9 2" xfId="36546" xr:uid="{820BB331-6E3F-410F-93D1-02CCBC2EED79}"/>
    <cellStyle name="40% - Accent1 2 4" xfId="2522" xr:uid="{0D4884A8-A31C-45B1-A758-40252E47073F}"/>
    <cellStyle name="40% - Accent1 2 4 2" xfId="2523" xr:uid="{FCC476CA-74F9-4F22-A4F1-7FA256CA6119}"/>
    <cellStyle name="40% - Accent1 2 4 2 2" xfId="2524" xr:uid="{1CE3DCAD-2C27-4A0E-B5C3-145084EB3C7C}"/>
    <cellStyle name="40% - Accent1 2 4 2 2 2" xfId="36547" xr:uid="{C6315103-0CBB-4FD3-9444-033D9C5E93E3}"/>
    <cellStyle name="40% - Accent1 2 4 2 2 2 2" xfId="36548" xr:uid="{9EB15BC9-D34F-466B-AB30-8F5E430EFCD1}"/>
    <cellStyle name="40% - Accent1 2 4 2 2 3" xfId="36549" xr:uid="{AB8A3B36-DB42-4B5B-91F5-6937C85D777B}"/>
    <cellStyle name="40% - Accent1 2 4 2 2 3 2" xfId="36550" xr:uid="{D6C3A55A-580B-4B30-BD69-36DB96D84180}"/>
    <cellStyle name="40% - Accent1 2 4 2 2 4" xfId="36551" xr:uid="{497E8FA1-F8AD-452F-94B7-AD17E5062F09}"/>
    <cellStyle name="40% - Accent1 2 4 2 3" xfId="2525" xr:uid="{E9D77D3E-0849-4730-88B2-3FA1F8A7FD8A}"/>
    <cellStyle name="40% - Accent1 2 4 2 3 2" xfId="36552" xr:uid="{651EFB05-0467-43EE-8100-AE78040EDEF5}"/>
    <cellStyle name="40% - Accent1 2 4 2 3 2 2" xfId="36553" xr:uid="{B5854D7D-49C9-4183-8E2C-B8A811E32989}"/>
    <cellStyle name="40% - Accent1 2 4 2 3 3" xfId="36554" xr:uid="{924DF85B-C122-441B-B492-5C301305184A}"/>
    <cellStyle name="40% - Accent1 2 4 2 3 3 2" xfId="36555" xr:uid="{E849B002-6246-4055-ABAD-A89564275F6C}"/>
    <cellStyle name="40% - Accent1 2 4 2 3 4" xfId="36556" xr:uid="{2E7510EE-C963-4A7F-A005-0F1E6D515FDD}"/>
    <cellStyle name="40% - Accent1 2 4 2 4" xfId="36557" xr:uid="{538A490C-F12F-4844-A990-EF92B75BF63F}"/>
    <cellStyle name="40% - Accent1 2 4 2 4 2" xfId="36558" xr:uid="{E2845E33-CABA-48EE-B471-94CC7947B97C}"/>
    <cellStyle name="40% - Accent1 2 4 2 4 2 2" xfId="36559" xr:uid="{6B74957B-B3F4-4B9B-98A8-AB0F1444BDEC}"/>
    <cellStyle name="40% - Accent1 2 4 2 4 3" xfId="36560" xr:uid="{1E8676AF-BFA5-45EA-BA23-BF8817E81DDE}"/>
    <cellStyle name="40% - Accent1 2 4 2 4 3 2" xfId="36561" xr:uid="{84D67CE2-CB9E-4407-AA3A-A4CEC47E1E40}"/>
    <cellStyle name="40% - Accent1 2 4 2 4 4" xfId="36562" xr:uid="{4239347C-7176-48C9-863B-F1801578A5AC}"/>
    <cellStyle name="40% - Accent1 2 4 2 5" xfId="36563" xr:uid="{B248B200-68F0-4128-9C2A-CC74534C2914}"/>
    <cellStyle name="40% - Accent1 2 4 2 5 2" xfId="36564" xr:uid="{00CFCC0B-80B4-4153-9386-77782B7D8666}"/>
    <cellStyle name="40% - Accent1 2 4 2 6" xfId="36565" xr:uid="{C05231F3-E7DF-408F-838A-BBBB5BF1655A}"/>
    <cellStyle name="40% - Accent1 2 4 2 6 2" xfId="36566" xr:uid="{8D4669DF-AB6E-4230-B185-ED7D7254471D}"/>
    <cellStyle name="40% - Accent1 2 4 2 7" xfId="36567" xr:uid="{52782D9C-64E6-43E8-93BF-8A9EFAC025E9}"/>
    <cellStyle name="40% - Accent1 2 4 3" xfId="2526" xr:uid="{2D964320-BF8A-4FF2-A3E2-973AAE314E8D}"/>
    <cellStyle name="40% - Accent1 2 4 3 2" xfId="36568" xr:uid="{094B33DE-6AA7-4B95-92C0-1581CFDBDA3B}"/>
    <cellStyle name="40% - Accent1 2 4 3 2 2" xfId="36569" xr:uid="{B19FC90E-3BE2-4722-ACA6-DFC1593BEDFA}"/>
    <cellStyle name="40% - Accent1 2 4 3 2 2 2" xfId="36570" xr:uid="{8764749B-D461-428B-8219-0BF36CE43E91}"/>
    <cellStyle name="40% - Accent1 2 4 3 2 3" xfId="36571" xr:uid="{3D8D5848-33F0-44F2-905D-C646AA1C5C50}"/>
    <cellStyle name="40% - Accent1 2 4 3 2 3 2" xfId="36572" xr:uid="{AA80EF0A-59F5-442A-A922-C016733B18A2}"/>
    <cellStyle name="40% - Accent1 2 4 3 2 4" xfId="36573" xr:uid="{0445FD42-EA6A-4C6E-B186-D8991762AE63}"/>
    <cellStyle name="40% - Accent1 2 4 3 3" xfId="36574" xr:uid="{06D57402-980A-4186-A0F7-67EF9AC0947E}"/>
    <cellStyle name="40% - Accent1 2 4 3 3 2" xfId="36575" xr:uid="{EF1AF2A1-4A3C-4588-A557-0CA74B57BBBB}"/>
    <cellStyle name="40% - Accent1 2 4 3 3 2 2" xfId="36576" xr:uid="{5E235695-1D88-4632-8021-940FCFFA60C8}"/>
    <cellStyle name="40% - Accent1 2 4 3 3 3" xfId="36577" xr:uid="{90463230-88AA-4B3D-B736-A74552B74205}"/>
    <cellStyle name="40% - Accent1 2 4 3 3 3 2" xfId="36578" xr:uid="{2448569B-9FCE-41DD-A0EF-771C0F94BB44}"/>
    <cellStyle name="40% - Accent1 2 4 3 3 4" xfId="36579" xr:uid="{71BD7862-353E-4993-873E-2B423B057E9D}"/>
    <cellStyle name="40% - Accent1 2 4 3 4" xfId="36580" xr:uid="{6E0E66E4-9763-47FC-9E10-FEDB61822E10}"/>
    <cellStyle name="40% - Accent1 2 4 3 4 2" xfId="36581" xr:uid="{E20FA5E0-2E4F-4EDC-A745-D9F60733D2A4}"/>
    <cellStyle name="40% - Accent1 2 4 3 4 2 2" xfId="36582" xr:uid="{7003A236-16D5-4252-972D-3713A99A7E01}"/>
    <cellStyle name="40% - Accent1 2 4 3 4 3" xfId="36583" xr:uid="{E2BF98D5-6881-46D2-8396-6110A6AB5A72}"/>
    <cellStyle name="40% - Accent1 2 4 3 4 3 2" xfId="36584" xr:uid="{2E55C371-C2DE-481D-B58D-B466B2AECA12}"/>
    <cellStyle name="40% - Accent1 2 4 3 4 4" xfId="36585" xr:uid="{F2C94736-C391-4EFD-ACEE-97E0D312FA6F}"/>
    <cellStyle name="40% - Accent1 2 4 3 5" xfId="36586" xr:uid="{69C5CCF3-AD0E-467F-A064-B138E6EF3B13}"/>
    <cellStyle name="40% - Accent1 2 4 3 5 2" xfId="36587" xr:uid="{D272A1B7-D9B1-46F4-9FB9-995A7D6CAEF5}"/>
    <cellStyle name="40% - Accent1 2 4 3 6" xfId="36588" xr:uid="{792043A0-BC83-49A8-AF60-B68C303423DE}"/>
    <cellStyle name="40% - Accent1 2 4 3 6 2" xfId="36589" xr:uid="{F45304AF-752D-418B-8085-DB963E2E6872}"/>
    <cellStyle name="40% - Accent1 2 4 3 7" xfId="36590" xr:uid="{CFE97E9B-7073-4C27-9E6D-81E5A0B27C60}"/>
    <cellStyle name="40% - Accent1 2 4 4" xfId="2527" xr:uid="{C5442BD1-0CB5-4B49-A3B6-E7D19AEB39E3}"/>
    <cellStyle name="40% - Accent1 2 4 4 2" xfId="36591" xr:uid="{09B44F2F-CE38-4836-8534-34547F9AB9CD}"/>
    <cellStyle name="40% - Accent1 2 4 4 2 2" xfId="36592" xr:uid="{B4F8C366-E91E-4C85-8D9C-A75CF540992F}"/>
    <cellStyle name="40% - Accent1 2 4 4 3" xfId="36593" xr:uid="{ECD00929-B87D-4927-9FA4-4940F729B052}"/>
    <cellStyle name="40% - Accent1 2 4 4 3 2" xfId="36594" xr:uid="{98384613-3A45-410D-94DB-3BAB9F159E8C}"/>
    <cellStyle name="40% - Accent1 2 4 4 4" xfId="36595" xr:uid="{BBD2734F-5969-42BB-A8DD-13D9EE10CBDE}"/>
    <cellStyle name="40% - Accent1 2 4 5" xfId="2528" xr:uid="{42F0143C-D09C-4869-A353-2003DAD6842E}"/>
    <cellStyle name="40% - Accent1 2 4 5 2" xfId="36596" xr:uid="{256169B1-7B3D-4FB8-BD07-1FA9AC16DD01}"/>
    <cellStyle name="40% - Accent1 2 4 5 2 2" xfId="36597" xr:uid="{36526051-2D3F-4401-98E8-2ECC10A4B869}"/>
    <cellStyle name="40% - Accent1 2 4 5 3" xfId="36598" xr:uid="{33291A0C-8B34-440D-AB93-AAE59983C577}"/>
    <cellStyle name="40% - Accent1 2 4 5 3 2" xfId="36599" xr:uid="{E1032CAC-6F54-47D5-821C-DF1038E6D4E4}"/>
    <cellStyle name="40% - Accent1 2 4 5 4" xfId="36600" xr:uid="{43C0B88F-5969-4098-9F05-839D71DDB8F9}"/>
    <cellStyle name="40% - Accent1 2 4 6" xfId="36601" xr:uid="{22E30EF5-9E0B-482E-8B47-74082DB63405}"/>
    <cellStyle name="40% - Accent1 2 4 6 2" xfId="36602" xr:uid="{BD21A100-15CB-489A-9763-F389C3CFF1D4}"/>
    <cellStyle name="40% - Accent1 2 4 6 2 2" xfId="36603" xr:uid="{3A7DDE29-CFF6-42D9-B6D3-4B5C48EFC046}"/>
    <cellStyle name="40% - Accent1 2 4 6 3" xfId="36604" xr:uid="{073D5D50-E446-44EB-A071-16C2DA0FD752}"/>
    <cellStyle name="40% - Accent1 2 4 6 3 2" xfId="36605" xr:uid="{6D18A1D9-8262-4505-A5A7-503DB2F900A0}"/>
    <cellStyle name="40% - Accent1 2 4 6 4" xfId="36606" xr:uid="{3278BC3F-0B79-42A6-B442-945DBE634DA0}"/>
    <cellStyle name="40% - Accent1 2 4 7" xfId="36607" xr:uid="{3D67FA2D-1A5D-4F5D-B5CB-811AC3EA3A96}"/>
    <cellStyle name="40% - Accent1 2 4 7 2" xfId="36608" xr:uid="{5545ED96-5FF4-4072-A29F-67B22C9F8995}"/>
    <cellStyle name="40% - Accent1 2 4 8" xfId="36609" xr:uid="{315F38B7-57D6-4383-9247-4F371DEE0625}"/>
    <cellStyle name="40% - Accent1 2 4 8 2" xfId="36610" xr:uid="{4617C0E8-64E8-4D61-AE5A-91D344B373C5}"/>
    <cellStyle name="40% - Accent1 2 4 9" xfId="36611" xr:uid="{1FEEA18E-3EB3-460F-AB48-25E445E7100C}"/>
    <cellStyle name="40% - Accent1 2 5" xfId="36612" xr:uid="{ED174EFD-E8C3-4A3D-B0A7-7C94BE5CCD43}"/>
    <cellStyle name="40% - Accent1 2 5 2" xfId="36613" xr:uid="{A17D247B-3CFF-446F-98A7-CF56F034CB65}"/>
    <cellStyle name="40% - Accent1 2 5 2 2" xfId="36614" xr:uid="{1310B758-4913-440F-B511-A306DC21738B}"/>
    <cellStyle name="40% - Accent1 2 5 2 2 2" xfId="36615" xr:uid="{B5BA8DCB-7D06-4E07-A18F-D18419EE4D7D}"/>
    <cellStyle name="40% - Accent1 2 5 2 3" xfId="36616" xr:uid="{3BC2EEB1-57B2-42F1-96CB-DF852325C9ED}"/>
    <cellStyle name="40% - Accent1 2 5 2 3 2" xfId="36617" xr:uid="{55588BBA-8DFB-425F-B48C-DC0D3BD72B84}"/>
    <cellStyle name="40% - Accent1 2 5 2 4" xfId="36618" xr:uid="{CBA17A34-5DFB-4910-B99C-371D9907D0B7}"/>
    <cellStyle name="40% - Accent1 2 5 3" xfId="36619" xr:uid="{0B7A5EEE-7B28-4E91-BEE3-0D2C28B86B62}"/>
    <cellStyle name="40% - Accent1 2 5 3 2" xfId="36620" xr:uid="{AE959DD4-0A1A-4D9C-B09C-3E20ABAA78ED}"/>
    <cellStyle name="40% - Accent1 2 5 3 2 2" xfId="36621" xr:uid="{93C62CE8-D610-4811-8654-0E9AE1FB73A8}"/>
    <cellStyle name="40% - Accent1 2 5 3 3" xfId="36622" xr:uid="{CC3B03D6-40DC-4224-A7C5-32C164A58372}"/>
    <cellStyle name="40% - Accent1 2 5 3 3 2" xfId="36623" xr:uid="{918D9FFF-92DC-4A23-A86E-CEB95376DBAF}"/>
    <cellStyle name="40% - Accent1 2 5 3 4" xfId="36624" xr:uid="{FA437A10-A85F-449C-8B13-0DD6FFF9B80D}"/>
    <cellStyle name="40% - Accent1 2 5 4" xfId="36625" xr:uid="{E452A005-DE8D-45DC-8AA5-6EBF7BDDB665}"/>
    <cellStyle name="40% - Accent1 2 5 4 2" xfId="36626" xr:uid="{8BC1B135-A581-4E85-A8C6-F1E324139368}"/>
    <cellStyle name="40% - Accent1 2 5 4 2 2" xfId="36627" xr:uid="{5A0D40D6-CB32-4E57-90BE-8E6044F8C2E7}"/>
    <cellStyle name="40% - Accent1 2 5 4 3" xfId="36628" xr:uid="{7802FA51-B432-4B5D-9B22-8D6EC98F7179}"/>
    <cellStyle name="40% - Accent1 2 5 4 3 2" xfId="36629" xr:uid="{64F6A2D3-7BF3-447C-9BF8-ECA12D5EA6B1}"/>
    <cellStyle name="40% - Accent1 2 5 4 4" xfId="36630" xr:uid="{DF31E629-FC8C-4F92-A621-6790DE725E60}"/>
    <cellStyle name="40% - Accent1 2 5 5" xfId="36631" xr:uid="{7B4096C3-6A08-43FB-B6E3-CFC21F1F74D1}"/>
    <cellStyle name="40% - Accent1 2 5 5 2" xfId="36632" xr:uid="{F799479C-222E-4AE2-8C4E-C86C32A0060C}"/>
    <cellStyle name="40% - Accent1 2 5 6" xfId="36633" xr:uid="{CA29D538-4E6C-45C1-879A-BE904B95F57B}"/>
    <cellStyle name="40% - Accent1 2 5 6 2" xfId="36634" xr:uid="{5E44F18C-ABD6-424C-9201-93FECD902433}"/>
    <cellStyle name="40% - Accent1 2 5 7" xfId="36635" xr:uid="{6753D11E-71C0-4B00-A763-1560DE6657E3}"/>
    <cellStyle name="40% - Accent1 2 6" xfId="36636" xr:uid="{43F785C5-8835-4257-A8E7-C8AF6AD92BCF}"/>
    <cellStyle name="40% - Accent1 2 6 2" xfId="36637" xr:uid="{837B1541-1D7B-4416-880C-EC5C74FE230C}"/>
    <cellStyle name="40% - Accent1 2 6 2 2" xfId="36638" xr:uid="{59E33C96-BE61-4E68-88B4-1CA93BBF25D1}"/>
    <cellStyle name="40% - Accent1 2 6 3" xfId="36639" xr:uid="{0785F287-C892-41B9-80A9-FB5A9CF90236}"/>
    <cellStyle name="40% - Accent1 2 6 3 2" xfId="36640" xr:uid="{4C86BD09-0733-414C-8D68-9347F06F3D13}"/>
    <cellStyle name="40% - Accent1 2 6 4" xfId="36641" xr:uid="{1221A8D4-0DBD-4249-8478-FB6CBCCB7A89}"/>
    <cellStyle name="40% - Accent1 2 7" xfId="36642" xr:uid="{3EEA0A61-8AFB-4B32-BC5A-B94E80958A0E}"/>
    <cellStyle name="40% - Accent1 2 7 2" xfId="36643" xr:uid="{BD66E540-EDAE-4A51-8029-62A5B3116C81}"/>
    <cellStyle name="40% - Accent1 2 7 2 2" xfId="36644" xr:uid="{925B20C4-3181-4AD8-8439-662EE34A8F0D}"/>
    <cellStyle name="40% - Accent1 2 7 3" xfId="36645" xr:uid="{E3934773-B353-4DF5-9F1F-8677BFAB1027}"/>
    <cellStyle name="40% - Accent1 2 7 3 2" xfId="36646" xr:uid="{4BCBA9AA-35B6-4888-AA4F-D3A5AAE2F4F8}"/>
    <cellStyle name="40% - Accent1 2 7 4" xfId="36647" xr:uid="{BD053C8C-0B8F-4763-BA0C-069C3021E56A}"/>
    <cellStyle name="40% - Accent1 2 8" xfId="36648" xr:uid="{B2E0B9FC-00DD-455C-A94D-B6B2DD071571}"/>
    <cellStyle name="40% - Accent1 2 9" xfId="36649" xr:uid="{9BC8075D-31BE-4827-AC5A-20FEC926CD92}"/>
    <cellStyle name="40% - Accent1 2_PwrTax 51040" xfId="2529" xr:uid="{1B97C95F-A676-4AB1-9EAC-EFD42117A568}"/>
    <cellStyle name="40% - Accent1 20" xfId="2530" xr:uid="{D134FD82-7508-486D-99B8-B754892280F8}"/>
    <cellStyle name="40% - Accent1 21" xfId="2531" xr:uid="{917697B9-2ABF-4F75-B866-476871D0305A}"/>
    <cellStyle name="40% - Accent1 22" xfId="2532" xr:uid="{FC90CB55-4B3A-4626-BB34-C1803DE06093}"/>
    <cellStyle name="40% - Accent1 23" xfId="2533" xr:uid="{20811626-2F5A-4552-AAB4-82B4BF3099BE}"/>
    <cellStyle name="40% - Accent1 24" xfId="2534" xr:uid="{8D009735-F2D1-4F6E-87A4-DA61E83EA66E}"/>
    <cellStyle name="40% - Accent1 25" xfId="2535" xr:uid="{20CA321B-7582-41E5-B888-B1AD3CB54607}"/>
    <cellStyle name="40% - Accent1 26" xfId="2536" xr:uid="{EBA9D8B5-D6EC-407C-82F2-4CB8395D7C5E}"/>
    <cellStyle name="40% - Accent1 27" xfId="2537" xr:uid="{9E336505-A22B-4DAF-9DD5-FC8A2C8380B4}"/>
    <cellStyle name="40% - Accent1 28" xfId="2538" xr:uid="{E9C2C069-3702-4061-BB1E-7E479902E3DC}"/>
    <cellStyle name="40% - Accent1 29" xfId="2539" xr:uid="{1B37681B-730C-4562-96C2-1607D5E33510}"/>
    <cellStyle name="40% - Accent1 3" xfId="2540" xr:uid="{EA52753D-CD2B-44C4-A9FB-83FD2EF6A3F7}"/>
    <cellStyle name="40% - Accent1 3 10" xfId="36650" xr:uid="{6393A8D6-EAA7-4F7E-902B-5C1A018D8D11}"/>
    <cellStyle name="40% - Accent1 3 11" xfId="43528" xr:uid="{6A9F721A-EB29-4E8E-A949-AFD29F85A880}"/>
    <cellStyle name="40% - Accent1 3 2" xfId="2541" xr:uid="{52FF464B-1886-4316-8D61-F1C909420D0B}"/>
    <cellStyle name="40% - Accent1 3 2 2" xfId="36651" xr:uid="{4C34F5E3-8036-4B9C-AEF5-677BDCEA3369}"/>
    <cellStyle name="40% - Accent1 3 2 2 2" xfId="36652" xr:uid="{9CA1EA7E-172D-4250-BDE3-0FE5BB5A4E3B}"/>
    <cellStyle name="40% - Accent1 3 2 3" xfId="36653" xr:uid="{161E84C3-CD23-46CD-B5E2-17EB6C71A14D}"/>
    <cellStyle name="40% - Accent1 3 3" xfId="2542" xr:uid="{6DEF3C60-8030-41D0-9D1E-B5750A1F6655}"/>
    <cellStyle name="40% - Accent1 3 3 10" xfId="36654" xr:uid="{E9B2DE64-B705-4ABE-899A-320022C6770D}"/>
    <cellStyle name="40% - Accent1 3 3 10 2" xfId="36655" xr:uid="{F036E87D-8CD1-4C20-9C9E-8310DA80858B}"/>
    <cellStyle name="40% - Accent1 3 3 11" xfId="36656" xr:uid="{13BB80B8-74FB-400A-8289-D67BA1F7AB4C}"/>
    <cellStyle name="40% - Accent1 3 3 12" xfId="36657" xr:uid="{FB3EF193-A186-4A0F-8135-3F9D336AB322}"/>
    <cellStyle name="40% - Accent1 3 3 2" xfId="2543" xr:uid="{E21F478E-5B79-4415-91CF-A0897EE6B8CF}"/>
    <cellStyle name="40% - Accent1 3 3 2 2" xfId="2544" xr:uid="{4E766500-B617-4131-ADCB-BEFACC4001CA}"/>
    <cellStyle name="40% - Accent1 3 3 2 2 2" xfId="2545" xr:uid="{B94699FE-DE57-455D-8C1A-D0566881102A}"/>
    <cellStyle name="40% - Accent1 3 3 2 2 2 2" xfId="2546" xr:uid="{6A88E9DC-892A-4186-9DE2-666D82DFE3DF}"/>
    <cellStyle name="40% - Accent1 3 3 2 2 2 2 2" xfId="36658" xr:uid="{F3AE4117-D96D-4CA8-925F-0DC6D61E452B}"/>
    <cellStyle name="40% - Accent1 3 3 2 2 2 3" xfId="2547" xr:uid="{206E99B2-600A-4403-9DFB-DCFAE4ED35A2}"/>
    <cellStyle name="40% - Accent1 3 3 2 2 2 3 2" xfId="36659" xr:uid="{BCDDEBBB-6CD8-45F1-90BC-593F2132BAEE}"/>
    <cellStyle name="40% - Accent1 3 3 2 2 2 4" xfId="36660" xr:uid="{5ACFC9D1-9777-43DC-913D-FAE17C31454F}"/>
    <cellStyle name="40% - Accent1 3 3 2 2 3" xfId="2548" xr:uid="{CE109E7D-5D58-4C8A-B311-008574CB8E39}"/>
    <cellStyle name="40% - Accent1 3 3 2 2 3 2" xfId="36661" xr:uid="{957B3E81-911E-45FA-BE84-7E0A8346AD45}"/>
    <cellStyle name="40% - Accent1 3 3 2 2 4" xfId="2549" xr:uid="{B6998CFC-7707-4B51-8FB6-B640F4172134}"/>
    <cellStyle name="40% - Accent1 3 3 2 2 4 2" xfId="36662" xr:uid="{D6E31B49-4DE3-4E09-B5DB-9BE9DA524A95}"/>
    <cellStyle name="40% - Accent1 3 3 2 2 5" xfId="36663" xr:uid="{772E0877-CE06-42B1-B700-8E4ADF9E68FF}"/>
    <cellStyle name="40% - Accent1 3 3 2 3" xfId="2550" xr:uid="{E0984AD7-40FA-48E9-8764-8F8AE8E5ADF3}"/>
    <cellStyle name="40% - Accent1 3 3 2 3 2" xfId="2551" xr:uid="{BE9E12FD-5DBF-42F4-A632-11AF97DE577E}"/>
    <cellStyle name="40% - Accent1 3 3 2 3 2 2" xfId="36664" xr:uid="{610C1A9B-9930-4E02-AFEE-041A2C37D6F3}"/>
    <cellStyle name="40% - Accent1 3 3 2 3 3" xfId="2552" xr:uid="{00B7FA8D-5146-48F5-AC83-9022AE94C2C8}"/>
    <cellStyle name="40% - Accent1 3 3 2 3 3 2" xfId="36665" xr:uid="{7038C32D-6F54-43D6-9FF6-D1E7A78E69DB}"/>
    <cellStyle name="40% - Accent1 3 3 2 3 4" xfId="36666" xr:uid="{50E6819F-A060-47DA-BE19-E344BAA4776E}"/>
    <cellStyle name="40% - Accent1 3 3 2 4" xfId="2553" xr:uid="{68998ABA-B9CA-4DFF-A31E-33A494046557}"/>
    <cellStyle name="40% - Accent1 3 3 2 4 2" xfId="36667" xr:uid="{00677678-0587-43E5-932E-B147DA22792F}"/>
    <cellStyle name="40% - Accent1 3 3 2 4 2 2" xfId="36668" xr:uid="{917CC299-A4DC-4545-A3FD-1C3C2C6C6061}"/>
    <cellStyle name="40% - Accent1 3 3 2 4 3" xfId="36669" xr:uid="{D8DCFD92-D0F6-4FBD-942C-B2BDDB35480F}"/>
    <cellStyle name="40% - Accent1 3 3 2 4 3 2" xfId="36670" xr:uid="{7D547AE7-06CC-42AC-9605-0AB62CFF9958}"/>
    <cellStyle name="40% - Accent1 3 3 2 4 4" xfId="36671" xr:uid="{171EB023-4FBC-44CF-AF52-2E88AF006B56}"/>
    <cellStyle name="40% - Accent1 3 3 2 5" xfId="2554" xr:uid="{D47A98AB-49BB-4C4F-9CF5-1C5069C33849}"/>
    <cellStyle name="40% - Accent1 3 3 2 5 2" xfId="36672" xr:uid="{F5694F65-FB17-464D-85EB-8E4401CB030B}"/>
    <cellStyle name="40% - Accent1 3 3 2 5 2 2" xfId="36673" xr:uid="{39C18644-2B42-47EE-BA97-AB8AF503F687}"/>
    <cellStyle name="40% - Accent1 3 3 2 5 3" xfId="36674" xr:uid="{1AA07830-F6D8-47FE-A60A-3B3943E7D990}"/>
    <cellStyle name="40% - Accent1 3 3 2 5 3 2" xfId="36675" xr:uid="{4AA347AD-4FAA-4FD7-B3E3-09517D199C1B}"/>
    <cellStyle name="40% - Accent1 3 3 2 5 4" xfId="36676" xr:uid="{9BE6414B-194C-4924-972F-9BBC983C8AC5}"/>
    <cellStyle name="40% - Accent1 3 3 2 6" xfId="36677" xr:uid="{410CC1D3-267E-43F6-B8A7-33F6323DBD0D}"/>
    <cellStyle name="40% - Accent1 3 3 2 6 2" xfId="36678" xr:uid="{F4F94F8B-B30E-46D1-A4CB-4E4E4B8688DE}"/>
    <cellStyle name="40% - Accent1 3 3 2 6 2 2" xfId="36679" xr:uid="{F4E2FF77-3B3A-4C9D-A7F0-97F7DF620134}"/>
    <cellStyle name="40% - Accent1 3 3 2 6 3" xfId="36680" xr:uid="{D42CD621-25B9-4B57-A189-13873335D4DB}"/>
    <cellStyle name="40% - Accent1 3 3 2 6 3 2" xfId="36681" xr:uid="{11F82256-FA81-4634-8768-E74C75AA230A}"/>
    <cellStyle name="40% - Accent1 3 3 2 6 4" xfId="36682" xr:uid="{91C1DA0B-E956-4C2A-8D78-D77A9F319BA1}"/>
    <cellStyle name="40% - Accent1 3 3 2 7" xfId="36683" xr:uid="{9C20A333-1E48-4E89-AB0E-3E48B95FF43B}"/>
    <cellStyle name="40% - Accent1 3 3 2 7 2" xfId="36684" xr:uid="{963B8CFA-8150-4BDB-9F0F-C9FD24B101C3}"/>
    <cellStyle name="40% - Accent1 3 3 2 8" xfId="36685" xr:uid="{7C3B900D-6438-44D5-8C56-44076B4E23DF}"/>
    <cellStyle name="40% - Accent1 3 3 2 8 2" xfId="36686" xr:uid="{D2C16D7F-8DEC-4E2A-8B42-31F1CA9F88C4}"/>
    <cellStyle name="40% - Accent1 3 3 2 9" xfId="36687" xr:uid="{1D1171B7-34A4-4155-893F-8A1A7E056ACD}"/>
    <cellStyle name="40% - Accent1 3 3 3" xfId="2555" xr:uid="{3E624427-EB29-4E49-8604-A6F9F3773962}"/>
    <cellStyle name="40% - Accent1 3 3 3 2" xfId="2556" xr:uid="{8662EEF4-DA88-4BFB-A802-338A8D619D7B}"/>
    <cellStyle name="40% - Accent1 3 3 3 2 2" xfId="2557" xr:uid="{0069995C-6EBB-4ED7-A6E2-39823CE6F2EB}"/>
    <cellStyle name="40% - Accent1 3 3 3 2 2 2" xfId="36688" xr:uid="{B5A75298-30E9-4255-BE59-800466F3E89D}"/>
    <cellStyle name="40% - Accent1 3 3 3 2 3" xfId="2558" xr:uid="{EFD97D03-1C4B-43BC-9497-7807819BCAEA}"/>
    <cellStyle name="40% - Accent1 3 3 3 2 3 2" xfId="36689" xr:uid="{73C241CF-9C8E-4C71-8C13-963A20E02D00}"/>
    <cellStyle name="40% - Accent1 3 3 3 2 4" xfId="36690" xr:uid="{A6F7C99A-6821-40DD-AEE1-7B753F2924D1}"/>
    <cellStyle name="40% - Accent1 3 3 3 3" xfId="2559" xr:uid="{E9DF3DBE-C901-4F45-BEEF-99B256D96D44}"/>
    <cellStyle name="40% - Accent1 3 3 3 3 2" xfId="36691" xr:uid="{2C540506-510F-43E0-9BAD-435995BCEE32}"/>
    <cellStyle name="40% - Accent1 3 3 3 3 2 2" xfId="36692" xr:uid="{05898C31-3716-455B-9DEB-5D0B9C1D2C91}"/>
    <cellStyle name="40% - Accent1 3 3 3 3 3" xfId="36693" xr:uid="{00151776-CDA4-44E9-BEA3-638E0B55C09B}"/>
    <cellStyle name="40% - Accent1 3 3 3 3 3 2" xfId="36694" xr:uid="{F44257DD-0F1C-421A-A11D-783376FDBDCB}"/>
    <cellStyle name="40% - Accent1 3 3 3 3 4" xfId="36695" xr:uid="{0B43DC80-4023-4776-96C5-D4AFA4B4FB99}"/>
    <cellStyle name="40% - Accent1 3 3 3 4" xfId="2560" xr:uid="{AAA32431-8A66-45D9-8661-3795AAAD885E}"/>
    <cellStyle name="40% - Accent1 3 3 3 4 2" xfId="36696" xr:uid="{5AC34564-32FD-426E-B409-D3D94552BC5F}"/>
    <cellStyle name="40% - Accent1 3 3 3 4 2 2" xfId="36697" xr:uid="{FBDA0BE8-C355-47BC-81D6-D260599B7C90}"/>
    <cellStyle name="40% - Accent1 3 3 3 4 3" xfId="36698" xr:uid="{B30BC291-335E-4278-A889-661D645FD097}"/>
    <cellStyle name="40% - Accent1 3 3 3 4 3 2" xfId="36699" xr:uid="{6F75AA45-DA5E-48D9-981F-3CA6BA2EE394}"/>
    <cellStyle name="40% - Accent1 3 3 3 4 4" xfId="36700" xr:uid="{FB3D9527-D788-45F1-BB6A-ABEF364FD2FC}"/>
    <cellStyle name="40% - Accent1 3 3 3 5" xfId="2561" xr:uid="{5D0BE406-4DAA-4673-9A42-C4182D4675CB}"/>
    <cellStyle name="40% - Accent1 3 3 3 5 2" xfId="36701" xr:uid="{84CDFF9B-CA39-478A-9153-02BF1AECB315}"/>
    <cellStyle name="40% - Accent1 3 3 3 5 2 2" xfId="36702" xr:uid="{758F1607-9F7D-4D82-8B07-0DCF95903D8C}"/>
    <cellStyle name="40% - Accent1 3 3 3 5 3" xfId="36703" xr:uid="{B743E229-98BF-4395-9A54-71CB4A61618A}"/>
    <cellStyle name="40% - Accent1 3 3 3 5 3 2" xfId="36704" xr:uid="{48F907FB-A9FA-4F26-9BF3-C83BF84177A6}"/>
    <cellStyle name="40% - Accent1 3 3 3 5 4" xfId="36705" xr:uid="{8A08A597-01E8-437F-A330-35D07F752049}"/>
    <cellStyle name="40% - Accent1 3 3 3 6" xfId="36706" xr:uid="{A3BAB843-C643-4125-A1F7-BB44F9203182}"/>
    <cellStyle name="40% - Accent1 3 3 3 6 2" xfId="36707" xr:uid="{6C9422BC-E3AC-473E-9A93-6EE6FB070B85}"/>
    <cellStyle name="40% - Accent1 3 3 3 7" xfId="36708" xr:uid="{918F27D5-95E0-40AF-A02F-913E7B6F16A3}"/>
    <cellStyle name="40% - Accent1 3 3 3 7 2" xfId="36709" xr:uid="{D7D454B8-6030-4FA8-BFDC-B43D0658D69C}"/>
    <cellStyle name="40% - Accent1 3 3 3 8" xfId="36710" xr:uid="{41054F20-A683-4D4E-8C1F-6292A7B5972C}"/>
    <cellStyle name="40% - Accent1 3 3 4" xfId="2562" xr:uid="{7D20E030-2580-4ACE-98D9-38912BD80086}"/>
    <cellStyle name="40% - Accent1 3 3 4 2" xfId="2563" xr:uid="{DC2D9411-EDFA-437E-A9CE-20902840D78A}"/>
    <cellStyle name="40% - Accent1 3 3 4 2 2" xfId="2564" xr:uid="{ABAAF7D4-A27E-4693-9DB5-6DAE6235CD01}"/>
    <cellStyle name="40% - Accent1 3 3 4 2 2 2" xfId="36711" xr:uid="{47953429-3000-4B35-A900-F4E032E2024B}"/>
    <cellStyle name="40% - Accent1 3 3 4 2 3" xfId="2565" xr:uid="{6C648957-6906-49A7-8A1B-2CD9FCBFF384}"/>
    <cellStyle name="40% - Accent1 3 3 4 2 3 2" xfId="36712" xr:uid="{168C1D39-7B4C-4FC9-AF11-8CB8EE06F8F0}"/>
    <cellStyle name="40% - Accent1 3 3 4 2 4" xfId="36713" xr:uid="{B29B1F22-ADD2-464E-886D-591B6D0F38F3}"/>
    <cellStyle name="40% - Accent1 3 3 4 3" xfId="2566" xr:uid="{07CB468E-EBC3-4038-B78C-B86EE0334398}"/>
    <cellStyle name="40% - Accent1 3 3 4 3 2" xfId="36714" xr:uid="{870CCC8E-7D61-4A0F-ACD0-F3A6B76A1FC8}"/>
    <cellStyle name="40% - Accent1 3 3 4 3 2 2" xfId="36715" xr:uid="{654CBD95-303B-4B42-B132-80E752D2289C}"/>
    <cellStyle name="40% - Accent1 3 3 4 3 3" xfId="36716" xr:uid="{8FE9FACA-9129-45D2-A6B2-FEB0B54AAF66}"/>
    <cellStyle name="40% - Accent1 3 3 4 3 3 2" xfId="36717" xr:uid="{92F083A9-F360-4AA3-A05B-1C0B07292F9D}"/>
    <cellStyle name="40% - Accent1 3 3 4 3 4" xfId="36718" xr:uid="{DD513550-6E44-46C7-8A0A-9B17F9B3541C}"/>
    <cellStyle name="40% - Accent1 3 3 4 4" xfId="2567" xr:uid="{AF5CA5E2-E289-43B5-A92B-D6858BCCE9F4}"/>
    <cellStyle name="40% - Accent1 3 3 4 4 2" xfId="36719" xr:uid="{82E3B9EF-C47F-4FD8-BEFF-46D7180AF642}"/>
    <cellStyle name="40% - Accent1 3 3 4 4 2 2" xfId="36720" xr:uid="{8AA31928-5D8B-4C0F-80B4-77BDD1C71483}"/>
    <cellStyle name="40% - Accent1 3 3 4 4 3" xfId="36721" xr:uid="{0EC1670C-7BAA-4B0B-ABE1-E8ECB06BF4D5}"/>
    <cellStyle name="40% - Accent1 3 3 4 4 3 2" xfId="36722" xr:uid="{787A6C3F-5FB9-440D-AC28-C90B40581B0C}"/>
    <cellStyle name="40% - Accent1 3 3 4 4 4" xfId="36723" xr:uid="{A0771B11-D046-476E-9429-181841915670}"/>
    <cellStyle name="40% - Accent1 3 3 4 5" xfId="36724" xr:uid="{1FE92485-323B-455B-BD2C-78C0849DF686}"/>
    <cellStyle name="40% - Accent1 3 3 4 5 2" xfId="36725" xr:uid="{75978DF7-3C49-4E15-A2CB-A9A4AE66E1D7}"/>
    <cellStyle name="40% - Accent1 3 3 4 6" xfId="36726" xr:uid="{E0D70D77-A177-46F5-B9DE-76AB20D19D19}"/>
    <cellStyle name="40% - Accent1 3 3 4 6 2" xfId="36727" xr:uid="{043081F0-F0D1-482D-B6AB-4875C3D9DA2B}"/>
    <cellStyle name="40% - Accent1 3 3 4 7" xfId="36728" xr:uid="{D145F5EA-A52D-4833-901F-06A20C35CAC7}"/>
    <cellStyle name="40% - Accent1 3 3 5" xfId="2568" xr:uid="{9566E726-1437-4656-8729-6C5026504C3B}"/>
    <cellStyle name="40% - Accent1 3 3 5 2" xfId="2569" xr:uid="{C6FD4C92-763B-427A-8C46-BBC9B04FA5B5}"/>
    <cellStyle name="40% - Accent1 3 3 5 2 2" xfId="36729" xr:uid="{A2C74AF9-B932-40E6-AD41-435A722EEC4B}"/>
    <cellStyle name="40% - Accent1 3 3 5 2 2 2" xfId="36730" xr:uid="{26CE121B-D620-4B53-821A-3C6FD12406AB}"/>
    <cellStyle name="40% - Accent1 3 3 5 2 3" xfId="36731" xr:uid="{5BB5A921-B6C9-4C55-8AED-44B85BE68CF1}"/>
    <cellStyle name="40% - Accent1 3 3 5 2 3 2" xfId="36732" xr:uid="{255066E1-89B6-49BE-835D-3D90D0F16B63}"/>
    <cellStyle name="40% - Accent1 3 3 5 2 4" xfId="36733" xr:uid="{C2B0C358-8CA8-4881-9D9C-F2DB6AA849E2}"/>
    <cellStyle name="40% - Accent1 3 3 5 3" xfId="2570" xr:uid="{BA4A3969-F023-42E3-9CEA-15DE9539CF0A}"/>
    <cellStyle name="40% - Accent1 3 3 5 3 2" xfId="36734" xr:uid="{2DAB6248-86B3-4019-B4D1-7C1E8C51626B}"/>
    <cellStyle name="40% - Accent1 3 3 5 3 2 2" xfId="36735" xr:uid="{BAD994F9-38C7-47D1-B076-EAD80092DF06}"/>
    <cellStyle name="40% - Accent1 3 3 5 3 3" xfId="36736" xr:uid="{D899DB44-6FEA-434F-A381-39F1161A0FE5}"/>
    <cellStyle name="40% - Accent1 3 3 5 3 3 2" xfId="36737" xr:uid="{BEF82560-2C9F-4C7E-82BA-1F2F2427288B}"/>
    <cellStyle name="40% - Accent1 3 3 5 3 4" xfId="36738" xr:uid="{156CA7F8-5CB8-493F-90B8-A721C31D6F9D}"/>
    <cellStyle name="40% - Accent1 3 3 5 4" xfId="36739" xr:uid="{82CE677F-3C71-46E3-B715-08F9AF4E964F}"/>
    <cellStyle name="40% - Accent1 3 3 5 4 2" xfId="36740" xr:uid="{FFF38553-275D-4C27-B342-BC47F3606B66}"/>
    <cellStyle name="40% - Accent1 3 3 5 4 2 2" xfId="36741" xr:uid="{75369ACB-F205-44F4-B3A5-0254C9DED251}"/>
    <cellStyle name="40% - Accent1 3 3 5 4 3" xfId="36742" xr:uid="{E9793BAD-97E2-471E-8DDE-EE3ECFF4A98E}"/>
    <cellStyle name="40% - Accent1 3 3 5 4 3 2" xfId="36743" xr:uid="{C9100E7C-C306-4B68-99D9-A98A10AB3F61}"/>
    <cellStyle name="40% - Accent1 3 3 5 4 4" xfId="36744" xr:uid="{AA03ECAB-75F9-4AF9-AC1D-66BAE5807D53}"/>
    <cellStyle name="40% - Accent1 3 3 5 5" xfId="36745" xr:uid="{5618EF45-6A50-4E75-B7F5-4E7AFE03605A}"/>
    <cellStyle name="40% - Accent1 3 3 5 5 2" xfId="36746" xr:uid="{449B59A6-0274-4A26-A68E-2992C9402D07}"/>
    <cellStyle name="40% - Accent1 3 3 5 6" xfId="36747" xr:uid="{B8FD5A43-E386-44B1-96C7-4345CA12C3C1}"/>
    <cellStyle name="40% - Accent1 3 3 5 6 2" xfId="36748" xr:uid="{96A897F6-7378-4DFA-9261-9C402979714B}"/>
    <cellStyle name="40% - Accent1 3 3 5 7" xfId="36749" xr:uid="{C5AD5B63-8067-4EA6-AA8F-065C3573587D}"/>
    <cellStyle name="40% - Accent1 3 3 6" xfId="2571" xr:uid="{82E95E8C-A7BC-41C4-8813-E89B61CE4BA0}"/>
    <cellStyle name="40% - Accent1 3 3 6 2" xfId="36750" xr:uid="{958DEDF5-B62C-4CA8-A998-E0DF84FAE8CC}"/>
    <cellStyle name="40% - Accent1 3 3 6 2 2" xfId="36751" xr:uid="{FA87A6AB-F41D-4D5B-AEA6-AA8418206351}"/>
    <cellStyle name="40% - Accent1 3 3 6 3" xfId="36752" xr:uid="{31345BB9-4F06-4480-B7AB-377787EA07E8}"/>
    <cellStyle name="40% - Accent1 3 3 6 3 2" xfId="36753" xr:uid="{51152475-1728-415C-BAE1-7AF5A9D3594B}"/>
    <cellStyle name="40% - Accent1 3 3 6 4" xfId="36754" xr:uid="{456473AF-F294-4BE2-A49A-8B80A0D3CF2F}"/>
    <cellStyle name="40% - Accent1 3 3 7" xfId="2572" xr:uid="{3F4DA696-587C-4A51-857B-B4D3B33EEE46}"/>
    <cellStyle name="40% - Accent1 3 3 7 2" xfId="36755" xr:uid="{29895F2F-325A-4519-8378-48F07FBA3B6B}"/>
    <cellStyle name="40% - Accent1 3 3 7 2 2" xfId="36756" xr:uid="{7FD08A4D-D2BD-4E6C-899E-768DC3A01471}"/>
    <cellStyle name="40% - Accent1 3 3 7 3" xfId="36757" xr:uid="{2CB81001-2009-4B2C-A7D3-6B57C7C4B108}"/>
    <cellStyle name="40% - Accent1 3 3 7 3 2" xfId="36758" xr:uid="{B780352A-8EFC-40F0-842E-92B60F4D9D1A}"/>
    <cellStyle name="40% - Accent1 3 3 7 4" xfId="36759" xr:uid="{A01AD860-F02C-42A9-B06D-A34CFA4658D8}"/>
    <cellStyle name="40% - Accent1 3 3 8" xfId="2573" xr:uid="{7C9755E8-DE1E-4FA6-96A5-A17BAB2BB1DC}"/>
    <cellStyle name="40% - Accent1 3 3 8 2" xfId="36760" xr:uid="{0548FD68-F9EA-48B8-9DCF-FF7D1F9186FC}"/>
    <cellStyle name="40% - Accent1 3 3 8 2 2" xfId="36761" xr:uid="{39332639-8543-45A1-BD64-AE269C7F74C8}"/>
    <cellStyle name="40% - Accent1 3 3 8 3" xfId="36762" xr:uid="{38D36BA3-2A21-4A2D-8CF1-7D90167B1EDB}"/>
    <cellStyle name="40% - Accent1 3 3 8 3 2" xfId="36763" xr:uid="{994FB8BD-3395-4D98-97F2-F4A2AADAAA3C}"/>
    <cellStyle name="40% - Accent1 3 3 8 4" xfId="36764" xr:uid="{A23E7344-CE57-4394-B7E7-7C5F9195D971}"/>
    <cellStyle name="40% - Accent1 3 3 9" xfId="36765" xr:uid="{97C6CC8B-D3AB-41E8-9207-C2FDAC87AC7D}"/>
    <cellStyle name="40% - Accent1 3 3 9 2" xfId="36766" xr:uid="{A85BD493-BAF0-43D5-8CE5-8569A1BFE3FD}"/>
    <cellStyle name="40% - Accent1 3 4" xfId="2574" xr:uid="{AB1FC34D-2465-48CA-A53C-82390CAE0E0F}"/>
    <cellStyle name="40% - Accent1 3 4 10" xfId="36767" xr:uid="{DD705726-B106-4D60-900A-80112725F0E9}"/>
    <cellStyle name="40% - Accent1 3 4 2" xfId="2575" xr:uid="{7980F247-C7F2-4BFF-9344-2EF47FDCF882}"/>
    <cellStyle name="40% - Accent1 3 4 2 2" xfId="2576" xr:uid="{5A357F49-0E57-4438-BB69-5B61692176C4}"/>
    <cellStyle name="40% - Accent1 3 4 2 2 2" xfId="2577" xr:uid="{136D8193-6B07-4991-881D-5CD44466A396}"/>
    <cellStyle name="40% - Accent1 3 4 2 2 2 2" xfId="36768" xr:uid="{119135E7-1017-4423-9640-F5E0C065992D}"/>
    <cellStyle name="40% - Accent1 3 4 2 2 3" xfId="2578" xr:uid="{36F38F99-5F96-4769-BEF8-26DDF128B6DE}"/>
    <cellStyle name="40% - Accent1 3 4 2 2 3 2" xfId="36769" xr:uid="{8EC32379-734A-4814-97AE-1B2A91C45E95}"/>
    <cellStyle name="40% - Accent1 3 4 2 2 4" xfId="36770" xr:uid="{395A0E89-0F1E-4CB0-9514-4A7C4095EF6E}"/>
    <cellStyle name="40% - Accent1 3 4 2 3" xfId="2579" xr:uid="{A64490A1-618C-4C28-99F9-33131371B2BA}"/>
    <cellStyle name="40% - Accent1 3 4 2 3 2" xfId="36771" xr:uid="{6DD7D514-D881-4F97-8FBD-74DA0EEE72BA}"/>
    <cellStyle name="40% - Accent1 3 4 2 3 2 2" xfId="36772" xr:uid="{ED9BAF25-D056-44DD-9A3C-D3D31D5FB4CD}"/>
    <cellStyle name="40% - Accent1 3 4 2 3 3" xfId="36773" xr:uid="{1826E568-D3F7-4BBD-A5E3-BD0B36CDF98C}"/>
    <cellStyle name="40% - Accent1 3 4 2 3 3 2" xfId="36774" xr:uid="{943DA8B9-37A3-4164-9229-B012089F765B}"/>
    <cellStyle name="40% - Accent1 3 4 2 3 4" xfId="36775" xr:uid="{FA9239C3-55D2-44F2-8C72-DFC8BA9E8C6A}"/>
    <cellStyle name="40% - Accent1 3 4 2 4" xfId="2580" xr:uid="{937ED0F5-AD8F-4782-80AE-D705F1DE6E09}"/>
    <cellStyle name="40% - Accent1 3 4 2 4 2" xfId="36776" xr:uid="{7A4835EF-0C59-4866-8166-099D8747B59E}"/>
    <cellStyle name="40% - Accent1 3 4 2 4 2 2" xfId="36777" xr:uid="{A4B046C7-6952-4EB4-A64D-958F61361897}"/>
    <cellStyle name="40% - Accent1 3 4 2 4 3" xfId="36778" xr:uid="{5FD68B29-9D18-4634-80FD-0FBA9A6DB9F6}"/>
    <cellStyle name="40% - Accent1 3 4 2 4 3 2" xfId="36779" xr:uid="{79FCA7E6-E977-4EA8-BE06-01ABC6114BEB}"/>
    <cellStyle name="40% - Accent1 3 4 2 4 4" xfId="36780" xr:uid="{41549184-8940-42D8-BDD1-9DD104BF6B62}"/>
    <cellStyle name="40% - Accent1 3 4 2 5" xfId="36781" xr:uid="{BD9ABBDF-1572-4B37-B104-9FCDB9911336}"/>
    <cellStyle name="40% - Accent1 3 4 2 5 2" xfId="36782" xr:uid="{8A4B8182-BCF1-4281-A20D-DCDCDA63C4DF}"/>
    <cellStyle name="40% - Accent1 3 4 2 5 2 2" xfId="36783" xr:uid="{AB795793-87E5-4E92-80A1-BDBC2583EB16}"/>
    <cellStyle name="40% - Accent1 3 4 2 5 3" xfId="36784" xr:uid="{0F51B945-51C4-4238-A00F-20648C2DED41}"/>
    <cellStyle name="40% - Accent1 3 4 2 5 3 2" xfId="36785" xr:uid="{C11739EE-D53C-4872-8DAC-72543CDDCDF8}"/>
    <cellStyle name="40% - Accent1 3 4 2 5 4" xfId="36786" xr:uid="{2D6AE5A8-E8F5-41B8-8972-1A92349E0199}"/>
    <cellStyle name="40% - Accent1 3 4 2 6" xfId="36787" xr:uid="{95472583-3E64-488A-A945-D3EE978D9FBD}"/>
    <cellStyle name="40% - Accent1 3 4 2 6 2" xfId="36788" xr:uid="{A72E2184-A81B-431A-9240-D7CB1B86466A}"/>
    <cellStyle name="40% - Accent1 3 4 2 7" xfId="36789" xr:uid="{F6AB1FB3-F1E0-4F84-A096-88FB8BB981D6}"/>
    <cellStyle name="40% - Accent1 3 4 2 7 2" xfId="36790" xr:uid="{CB3607A1-7595-41F0-A113-22B0EA72DF5C}"/>
    <cellStyle name="40% - Accent1 3 4 2 8" xfId="36791" xr:uid="{9423625F-F0F2-403C-A984-62BFBB8953AA}"/>
    <cellStyle name="40% - Accent1 3 4 3" xfId="2581" xr:uid="{0ED47BAA-3914-455C-A49A-2E7D498536A7}"/>
    <cellStyle name="40% - Accent1 3 4 3 2" xfId="2582" xr:uid="{5C97BC14-C8C9-4DD2-AF20-E427214BF77D}"/>
    <cellStyle name="40% - Accent1 3 4 3 2 2" xfId="36792" xr:uid="{A46EF72A-E7A3-4BAA-B0BD-9912125C12A3}"/>
    <cellStyle name="40% - Accent1 3 4 3 2 2 2" xfId="36793" xr:uid="{1D5F13ED-AAE7-4DC6-9979-CCD5FEE85256}"/>
    <cellStyle name="40% - Accent1 3 4 3 2 3" xfId="36794" xr:uid="{178D82DD-4FA4-437E-88DC-CD97A0AC6B57}"/>
    <cellStyle name="40% - Accent1 3 4 3 2 3 2" xfId="36795" xr:uid="{5053503B-7EC8-41E6-9521-C49A0635C983}"/>
    <cellStyle name="40% - Accent1 3 4 3 2 4" xfId="36796" xr:uid="{6F0234BD-2EB0-4C86-A9D2-4F8F9A95627B}"/>
    <cellStyle name="40% - Accent1 3 4 3 3" xfId="2583" xr:uid="{C942EC38-467E-4C7E-B452-423F17505E3D}"/>
    <cellStyle name="40% - Accent1 3 4 3 3 2" xfId="36797" xr:uid="{62F975FA-90EB-439F-84B1-D0910696F9F8}"/>
    <cellStyle name="40% - Accent1 3 4 3 3 2 2" xfId="36798" xr:uid="{F5D82766-26B1-447E-9A34-ACC0133217BE}"/>
    <cellStyle name="40% - Accent1 3 4 3 3 3" xfId="36799" xr:uid="{6680CC76-1830-4284-A823-8C974414BF1F}"/>
    <cellStyle name="40% - Accent1 3 4 3 3 3 2" xfId="36800" xr:uid="{E805F5EE-8EA4-4BE1-928C-774DDAE9BB1A}"/>
    <cellStyle name="40% - Accent1 3 4 3 3 4" xfId="36801" xr:uid="{929DBCC6-DF6B-4279-B99B-2DADC420DB3E}"/>
    <cellStyle name="40% - Accent1 3 4 3 4" xfId="36802" xr:uid="{DD96A42C-C693-4916-8633-1F20B0BEB29F}"/>
    <cellStyle name="40% - Accent1 3 4 3 4 2" xfId="36803" xr:uid="{44AB567D-0664-4F5E-AF65-7BF522CBA12A}"/>
    <cellStyle name="40% - Accent1 3 4 3 4 2 2" xfId="36804" xr:uid="{DC2E646D-F3E9-4699-96A4-912D164C8D6F}"/>
    <cellStyle name="40% - Accent1 3 4 3 4 3" xfId="36805" xr:uid="{2BDEB333-B2E1-41FA-876F-DB4C568E54AB}"/>
    <cellStyle name="40% - Accent1 3 4 3 4 3 2" xfId="36806" xr:uid="{FEEEE467-FEEB-433A-8228-F57743663326}"/>
    <cellStyle name="40% - Accent1 3 4 3 4 4" xfId="36807" xr:uid="{0B0218C4-18BE-43FC-AF26-BD3E3352FF2F}"/>
    <cellStyle name="40% - Accent1 3 4 3 5" xfId="36808" xr:uid="{2FCDECB8-C2C2-41CF-AA02-C991AE3349AB}"/>
    <cellStyle name="40% - Accent1 3 4 3 5 2" xfId="36809" xr:uid="{E98453CB-1463-4F11-8C8D-EE0F3738B803}"/>
    <cellStyle name="40% - Accent1 3 4 3 6" xfId="36810" xr:uid="{7F4D0A8C-BEED-4AE5-BDDC-76F9A1CF8DBD}"/>
    <cellStyle name="40% - Accent1 3 4 3 6 2" xfId="36811" xr:uid="{DBB062B1-9A4C-461C-9188-B5597EB986AF}"/>
    <cellStyle name="40% - Accent1 3 4 3 7" xfId="36812" xr:uid="{D6829C99-C35B-4ECD-ABA6-DDC8D244B376}"/>
    <cellStyle name="40% - Accent1 3 4 4" xfId="2584" xr:uid="{298CD11A-6BFC-4B3C-BBF2-1FF1911A90F0}"/>
    <cellStyle name="40% - Accent1 3 4 4 2" xfId="36813" xr:uid="{260C8254-EE93-4940-8B59-4EA9AE0A764C}"/>
    <cellStyle name="40% - Accent1 3 4 4 2 2" xfId="36814" xr:uid="{EB2D84B1-E83F-472E-8D72-D81ACA7E2E63}"/>
    <cellStyle name="40% - Accent1 3 4 4 3" xfId="36815" xr:uid="{F29995A8-58F3-4DE7-9911-5CB56C82C89F}"/>
    <cellStyle name="40% - Accent1 3 4 4 3 2" xfId="36816" xr:uid="{E6B542B1-D98A-4D0C-90A9-55F67792925F}"/>
    <cellStyle name="40% - Accent1 3 4 4 4" xfId="36817" xr:uid="{6DAE1B59-FD87-4A7A-BB56-21425488AEE5}"/>
    <cellStyle name="40% - Accent1 3 4 5" xfId="2585" xr:uid="{01139CFF-73FF-4718-8B49-8A1F4FBD8E9E}"/>
    <cellStyle name="40% - Accent1 3 4 5 2" xfId="36818" xr:uid="{C18E1E18-D220-48C8-8157-B43EE7F75AE7}"/>
    <cellStyle name="40% - Accent1 3 4 5 2 2" xfId="36819" xr:uid="{569D3CA5-25B4-40B2-B585-67897075B3E4}"/>
    <cellStyle name="40% - Accent1 3 4 5 3" xfId="36820" xr:uid="{E4E53119-C6AE-4063-B351-52F40F50B784}"/>
    <cellStyle name="40% - Accent1 3 4 5 3 2" xfId="36821" xr:uid="{55A39C29-0B0C-4977-A16A-F5015F662BA7}"/>
    <cellStyle name="40% - Accent1 3 4 5 4" xfId="36822" xr:uid="{5EB7CB83-9025-4D51-85DA-8973432EFCD3}"/>
    <cellStyle name="40% - Accent1 3 4 6" xfId="2586" xr:uid="{8BB55EAC-D33F-4695-B141-5DFB3FFD3D44}"/>
    <cellStyle name="40% - Accent1 3 4 6 2" xfId="36823" xr:uid="{8B453169-062A-446D-8AE6-72D100F7022E}"/>
    <cellStyle name="40% - Accent1 3 4 6 2 2" xfId="36824" xr:uid="{CA3DB761-33E2-4D95-A983-1A373742B7DC}"/>
    <cellStyle name="40% - Accent1 3 4 6 3" xfId="36825" xr:uid="{B5D9D953-19DE-4D74-800D-CB76E76CF314}"/>
    <cellStyle name="40% - Accent1 3 4 6 3 2" xfId="36826" xr:uid="{E88CB50E-B2F8-4974-8737-D53EE767BF97}"/>
    <cellStyle name="40% - Accent1 3 4 6 4" xfId="36827" xr:uid="{1F425B7E-86D6-4D8B-B6E4-A0AD8CB2E44C}"/>
    <cellStyle name="40% - Accent1 3 4 7" xfId="36828" xr:uid="{291A6106-E837-4534-9CD9-94CF292F2389}"/>
    <cellStyle name="40% - Accent1 3 4 7 2" xfId="36829" xr:uid="{EA89C57A-F8C6-42EF-BC83-85AC930ED48A}"/>
    <cellStyle name="40% - Accent1 3 4 8" xfId="36830" xr:uid="{5F6CD495-F934-4061-ADF6-0162BE50293F}"/>
    <cellStyle name="40% - Accent1 3 4 8 2" xfId="36831" xr:uid="{C95EC7C9-210D-4FDE-8BA7-ED452BAFF756}"/>
    <cellStyle name="40% - Accent1 3 4 9" xfId="36832" xr:uid="{16CA8DF5-04E2-4A80-AB26-7C4EB0004951}"/>
    <cellStyle name="40% - Accent1 3 5" xfId="2587" xr:uid="{92A14BAD-42C0-4344-826F-9594185E4669}"/>
    <cellStyle name="40% - Accent1 3 5 2" xfId="2588" xr:uid="{B8096683-1901-4F0D-967E-B6D64C14DBFE}"/>
    <cellStyle name="40% - Accent1 3 5 2 2" xfId="2589" xr:uid="{BE819370-331C-49BA-BE8D-C901DA55A1BD}"/>
    <cellStyle name="40% - Accent1 3 5 2 2 2" xfId="36833" xr:uid="{4FD21A2F-10C7-4777-A24F-76A9859FA7ED}"/>
    <cellStyle name="40% - Accent1 3 5 2 3" xfId="2590" xr:uid="{A14F22A2-B8B6-4FF6-9FE2-D99E8D4BA1FF}"/>
    <cellStyle name="40% - Accent1 3 5 2 3 2" xfId="36834" xr:uid="{23686FD1-D5CC-4E06-BE57-6AD28490E0BB}"/>
    <cellStyle name="40% - Accent1 3 5 2 4" xfId="36835" xr:uid="{709FDD45-A59E-45A5-9D3B-A56A87409710}"/>
    <cellStyle name="40% - Accent1 3 5 3" xfId="2591" xr:uid="{630C3B51-919E-4407-AA91-ADC2D4A76594}"/>
    <cellStyle name="40% - Accent1 3 5 3 2" xfId="36836" xr:uid="{EC113D7E-10AA-4CB8-96BA-F6F0A105F432}"/>
    <cellStyle name="40% - Accent1 3 5 3 2 2" xfId="36837" xr:uid="{D5D6D78A-B11C-41C3-B6EC-C00C910DC0E0}"/>
    <cellStyle name="40% - Accent1 3 5 3 3" xfId="36838" xr:uid="{AF0FA693-CA0A-44C6-8EFC-FBE90088F1DA}"/>
    <cellStyle name="40% - Accent1 3 5 3 3 2" xfId="36839" xr:uid="{7B1A317F-EDEA-403B-BCB9-A6094AAF4F25}"/>
    <cellStyle name="40% - Accent1 3 5 3 4" xfId="36840" xr:uid="{EE6560AD-23C5-461A-AE61-8E0E92B5B087}"/>
    <cellStyle name="40% - Accent1 3 5 4" xfId="2592" xr:uid="{25795CD7-9A3F-4480-84D9-5773E2CF0179}"/>
    <cellStyle name="40% - Accent1 3 5 4 2" xfId="36841" xr:uid="{C82847DC-CB48-48E6-B316-8DB27105A97A}"/>
    <cellStyle name="40% - Accent1 3 5 4 2 2" xfId="36842" xr:uid="{35524578-7BF2-4476-B5C8-86BD91E0D083}"/>
    <cellStyle name="40% - Accent1 3 5 4 3" xfId="36843" xr:uid="{052047F9-51B7-4FD6-BC13-680821377EA1}"/>
    <cellStyle name="40% - Accent1 3 5 4 3 2" xfId="36844" xr:uid="{267B27EC-3F14-40C7-9319-45C9CAAB99DE}"/>
    <cellStyle name="40% - Accent1 3 5 4 4" xfId="36845" xr:uid="{BA064F35-86B9-48C4-B95D-BBFAC22B006B}"/>
    <cellStyle name="40% - Accent1 3 5 5" xfId="36846" xr:uid="{FBC200CA-A5CF-451C-8873-7533E285AB00}"/>
    <cellStyle name="40% - Accent1 3 5 5 2" xfId="36847" xr:uid="{A8BD2ED9-8494-459F-9968-FEC50C9B8D3C}"/>
    <cellStyle name="40% - Accent1 3 5 5 2 2" xfId="36848" xr:uid="{BAC07F82-042B-40C2-BC70-64F94FE6627C}"/>
    <cellStyle name="40% - Accent1 3 5 5 3" xfId="36849" xr:uid="{53B63D73-6A27-4592-902F-90BC97B3BCE9}"/>
    <cellStyle name="40% - Accent1 3 5 5 3 2" xfId="36850" xr:uid="{A6F30E55-8404-413D-B453-204436A88A4C}"/>
    <cellStyle name="40% - Accent1 3 5 5 4" xfId="36851" xr:uid="{65D3F68D-2D98-461F-9762-8EC2CB363DAB}"/>
    <cellStyle name="40% - Accent1 3 5 6" xfId="36852" xr:uid="{DC2125D6-55DA-4759-ACAF-4BD825167059}"/>
    <cellStyle name="40% - Accent1 3 5 6 2" xfId="36853" xr:uid="{FB8A0940-012C-4CBE-BDE0-2BD1D27E31E7}"/>
    <cellStyle name="40% - Accent1 3 5 7" xfId="36854" xr:uid="{3EA72730-F24C-4381-827E-2CE9704AC05A}"/>
    <cellStyle name="40% - Accent1 3 5 7 2" xfId="36855" xr:uid="{FD291265-AEC8-4DFA-9968-4C95B0FA5466}"/>
    <cellStyle name="40% - Accent1 3 5 8" xfId="36856" xr:uid="{4BED7A1C-589C-4F9D-AC87-093B87D6D8C3}"/>
    <cellStyle name="40% - Accent1 3 6" xfId="2593" xr:uid="{77BBC2D8-84CE-4DE6-93DA-008A822755AE}"/>
    <cellStyle name="40% - Accent1 3 6 2" xfId="2594" xr:uid="{6E21F734-38C0-4CF5-9AAE-BDC78694F448}"/>
    <cellStyle name="40% - Accent1 3 6 2 2" xfId="2595" xr:uid="{4D7527B8-8737-4B6F-B84B-E51C8DD014B8}"/>
    <cellStyle name="40% - Accent1 3 6 2 3" xfId="2596" xr:uid="{FF7EF8AB-FA33-4A4A-BAFC-86D0820F66FA}"/>
    <cellStyle name="40% - Accent1 3 6 3" xfId="2597" xr:uid="{59659871-85A1-4549-B9A7-4A589309EA4A}"/>
    <cellStyle name="40% - Accent1 3 6 3 2" xfId="36857" xr:uid="{9D534AB6-C573-48D0-8848-5F740E44209D}"/>
    <cellStyle name="40% - Accent1 3 6 4" xfId="2598" xr:uid="{8855DB65-2F39-4439-B8EA-63A08BA39D35}"/>
    <cellStyle name="40% - Accent1 3 6 5" xfId="36858" xr:uid="{5C01228B-BA16-4D82-A104-88DDEAC36466}"/>
    <cellStyle name="40% - Accent1 3 7" xfId="2599" xr:uid="{67FC5236-663B-4D4B-9709-D5A506F7A524}"/>
    <cellStyle name="40% - Accent1 3 7 2" xfId="2600" xr:uid="{920FD26C-4518-4DF7-AFD8-727837FF7DAF}"/>
    <cellStyle name="40% - Accent1 3 7 2 2" xfId="2601" xr:uid="{D72694C9-ACFC-42A6-8FD2-014C84603E9B}"/>
    <cellStyle name="40% - Accent1 3 7 2 3" xfId="2602" xr:uid="{587A7C81-ADA3-405F-95F7-D400E087EDDB}"/>
    <cellStyle name="40% - Accent1 3 7 3" xfId="2603" xr:uid="{9BBC4742-1E66-4EDC-9512-0857D79B2204}"/>
    <cellStyle name="40% - Accent1 3 7 3 2" xfId="36859" xr:uid="{B7977366-7E1E-420B-839B-2C805C398ABA}"/>
    <cellStyle name="40% - Accent1 3 7 4" xfId="2604" xr:uid="{D7035E07-C45D-4605-9836-9FE7FE69C9D5}"/>
    <cellStyle name="40% - Accent1 3 8" xfId="2605" xr:uid="{807449FA-76D3-4AE6-BDEE-1671174CE1AF}"/>
    <cellStyle name="40% - Accent1 3 8 2" xfId="36860" xr:uid="{C8196C67-DD00-43C9-86EA-336B35270E3C}"/>
    <cellStyle name="40% - Accent1 3 8 2 2" xfId="36861" xr:uid="{2434A69D-8552-435C-883A-60F30F170955}"/>
    <cellStyle name="40% - Accent1 3 8 3" xfId="36862" xr:uid="{B57D10CF-013A-4DD5-9E52-2B9E3BE9EF1F}"/>
    <cellStyle name="40% - Accent1 3 8 3 2" xfId="36863" xr:uid="{BC05FB7D-2F2A-45C5-81FC-012E256B7081}"/>
    <cellStyle name="40% - Accent1 3 8 4" xfId="36864" xr:uid="{F3DC6FA3-7981-4D75-B7BE-D4B3CDE4DE81}"/>
    <cellStyle name="40% - Accent1 3 9" xfId="36865" xr:uid="{E7B5BA36-193D-411E-8585-18A90E4D565C}"/>
    <cellStyle name="40% - Accent1 3_PwrTax 51040" xfId="2606" xr:uid="{CDFC6497-7781-4EAB-BC78-B80A3619C68B}"/>
    <cellStyle name="40% - Accent1 30" xfId="2607" xr:uid="{83D01C5B-B7F7-4C85-A1DB-F04903E75664}"/>
    <cellStyle name="40% - Accent1 31" xfId="2608" xr:uid="{09638165-1659-4E99-BDB2-F6DFC45896C8}"/>
    <cellStyle name="40% - Accent1 32" xfId="2609" xr:uid="{AC8DEA87-CA0C-4275-B8B0-3D9DCED16EFB}"/>
    <cellStyle name="40% - Accent1 33" xfId="2610" xr:uid="{37F8C1AF-C4DA-4B3B-9C88-FAA205064719}"/>
    <cellStyle name="40% - Accent1 34" xfId="2611" xr:uid="{5F2017C5-4405-498F-9D02-F91E09B9EF4C}"/>
    <cellStyle name="40% - Accent1 35" xfId="2612" xr:uid="{82A90C39-5319-4121-A7C0-1A16F25C5A27}"/>
    <cellStyle name="40% - Accent1 36" xfId="2613" xr:uid="{AA59847C-97CC-4B98-98F2-112796221203}"/>
    <cellStyle name="40% - Accent1 37" xfId="2614" xr:uid="{837E966D-7D1C-4A1F-92BA-27B072E791D8}"/>
    <cellStyle name="40% - Accent1 37 2" xfId="2615" xr:uid="{E7EC4AED-0286-49E2-95DB-DC68ABB43696}"/>
    <cellStyle name="40% - Accent1 37 2 2" xfId="2616" xr:uid="{B0EC3867-00B7-46BF-B73D-44CD4E1FF4D3}"/>
    <cellStyle name="40% - Accent1 37 2 3" xfId="36866" xr:uid="{9742A04D-E83B-43D0-B682-7883462A3B9C}"/>
    <cellStyle name="40% - Accent1 37 3" xfId="2617" xr:uid="{5564302A-5529-4CA6-8330-D6037AAC1033}"/>
    <cellStyle name="40% - Accent1 37 3 2" xfId="2618" xr:uid="{8FC882F5-E1B6-4297-B4D9-B055B3D81E1C}"/>
    <cellStyle name="40% - Accent1 37 3 3" xfId="36867" xr:uid="{FE0C6017-A271-4117-B2A7-5C5B165C6485}"/>
    <cellStyle name="40% - Accent1 37 4" xfId="2619" xr:uid="{6745958A-DCF8-4479-A491-31FE28760092}"/>
    <cellStyle name="40% - Accent1 37 5" xfId="36868" xr:uid="{54FA9FCE-D01B-44D8-8EB7-24232E96B2A3}"/>
    <cellStyle name="40% - Accent1 37_PwrTax 51040" xfId="2620" xr:uid="{36C0675C-E17E-42CA-B6B6-8B3EDA5BEA39}"/>
    <cellStyle name="40% - Accent1 38" xfId="2621" xr:uid="{CC32C31F-EBA5-4936-8FD8-30B08700328F}"/>
    <cellStyle name="40% - Accent1 38 2" xfId="36869" xr:uid="{3F05A083-452B-4A5E-992E-B77F3B774058}"/>
    <cellStyle name="40% - Accent1 38 2 2" xfId="36870" xr:uid="{F30BD6FC-4ADB-45AD-9098-FEFAD476E654}"/>
    <cellStyle name="40% - Accent1 38 2 2 2" xfId="36871" xr:uid="{29D6E41D-6A23-445D-B472-66139BCAE5C5}"/>
    <cellStyle name="40% - Accent1 38 2 3" xfId="36872" xr:uid="{8B92DF66-7660-4FBB-9C65-8D8169EFC44E}"/>
    <cellStyle name="40% - Accent1 38 2 3 2" xfId="36873" xr:uid="{146330C0-1A54-4259-BD3C-FBD5622CFBD5}"/>
    <cellStyle name="40% - Accent1 38 2 4" xfId="36874" xr:uid="{2681303C-AC84-4228-9EDD-354394CD6F94}"/>
    <cellStyle name="40% - Accent1 38 3" xfId="36875" xr:uid="{0EC3CECA-81F0-4944-9B37-AF74E8579018}"/>
    <cellStyle name="40% - Accent1 38 3 2" xfId="36876" xr:uid="{B15351A3-2658-44E6-B137-DDD17A060E34}"/>
    <cellStyle name="40% - Accent1 38 3 2 2" xfId="36877" xr:uid="{FB6B2CBD-2055-4BBD-AADE-C45A9D19E804}"/>
    <cellStyle name="40% - Accent1 38 3 3" xfId="36878" xr:uid="{460BE04D-2FF8-4309-8BB5-C3B326EFD079}"/>
    <cellStyle name="40% - Accent1 38 3 3 2" xfId="36879" xr:uid="{778D7E36-93E6-4C18-90FE-9316ED30B214}"/>
    <cellStyle name="40% - Accent1 38 3 4" xfId="36880" xr:uid="{D2608E3F-B7CE-46C8-BF31-AEDEBC0760F3}"/>
    <cellStyle name="40% - Accent1 38 4" xfId="36881" xr:uid="{B535C861-5A4B-4DF0-AC47-921FA7AAC35C}"/>
    <cellStyle name="40% - Accent1 38 4 2" xfId="36882" xr:uid="{D9686EB5-DE30-4483-BB02-15FE6F076817}"/>
    <cellStyle name="40% - Accent1 38 4 2 2" xfId="36883" xr:uid="{E9B88BE1-4CDE-465A-BD85-4CA345DD5B09}"/>
    <cellStyle name="40% - Accent1 38 4 3" xfId="36884" xr:uid="{BAB858D4-B7BB-429C-A2F9-1A7505BB687B}"/>
    <cellStyle name="40% - Accent1 38 4 3 2" xfId="36885" xr:uid="{99527544-F7DE-421F-9D5B-6440304D107C}"/>
    <cellStyle name="40% - Accent1 38 4 4" xfId="36886" xr:uid="{251EFD81-5FED-4580-82A2-41F8ADED48A9}"/>
    <cellStyle name="40% - Accent1 38 5" xfId="36887" xr:uid="{8A95836A-C74C-4D9D-AA40-E18EFF87AED2}"/>
    <cellStyle name="40% - Accent1 38 5 2" xfId="36888" xr:uid="{173D8C23-BF32-4568-8812-7D019A00D580}"/>
    <cellStyle name="40% - Accent1 38 6" xfId="36889" xr:uid="{E3EB78C0-3E25-448B-B2B7-2FA13A4D1613}"/>
    <cellStyle name="40% - Accent1 38 6 2" xfId="36890" xr:uid="{07E1FB80-D0AB-49D1-ABD4-6F9DB7E79C27}"/>
    <cellStyle name="40% - Accent1 38 7" xfId="36891" xr:uid="{FAB328B4-FA6F-4903-B23F-AF4234BAC460}"/>
    <cellStyle name="40% - Accent1 39" xfId="36892" xr:uid="{CBDAEB07-A21A-418A-AD32-D5FEA10D2543}"/>
    <cellStyle name="40% - Accent1 39 2" xfId="36893" xr:uid="{93A09DD5-4462-48BA-B2F2-4E991DE38C4C}"/>
    <cellStyle name="40% - Accent1 4" xfId="2622" xr:uid="{B1B24065-55C8-4450-B15B-D119F5A27604}"/>
    <cellStyle name="40% - Accent1 4 2" xfId="2623" xr:uid="{7D29DCB6-FE65-48ED-9137-2CEE69282543}"/>
    <cellStyle name="40% - Accent1 4 2 2" xfId="2624" xr:uid="{343B7C75-A04D-4501-A4FB-F0149D3107A4}"/>
    <cellStyle name="40% - Accent1 4 2 2 2" xfId="36894" xr:uid="{FE7CD3ED-C3D9-4DB5-8464-05B2CC027D6C}"/>
    <cellStyle name="40% - Accent1 4 2 3" xfId="36895" xr:uid="{E7A10248-D512-4E07-8A78-EB88244C3211}"/>
    <cellStyle name="40% - Accent1 4 3" xfId="2625" xr:uid="{EF03D8A4-A1F9-44DC-9627-7DE24E1BA0AA}"/>
    <cellStyle name="40% - Accent1 4 3 2" xfId="2626" xr:uid="{B04D15DD-DD34-46CF-BD09-A0661E0CEF8C}"/>
    <cellStyle name="40% - Accent1 4 3 3" xfId="2627" xr:uid="{130A9C81-D89C-425D-8089-C18252367B8C}"/>
    <cellStyle name="40% - Accent1 4 3 4" xfId="36896" xr:uid="{970B4D40-36CD-49CC-AFE0-349D38860D78}"/>
    <cellStyle name="40% - Accent1 4 4" xfId="2628" xr:uid="{C38B3A6D-43F2-4957-A98F-AAEBCEF3C7E2}"/>
    <cellStyle name="40% - Accent1 4 4 2" xfId="2629" xr:uid="{0689CDBC-E62E-4F9E-B8AE-25EF0ABB2D96}"/>
    <cellStyle name="40% - Accent1 4 4 2 2" xfId="2630" xr:uid="{783A30F9-CDA6-4DBD-B7D5-747F74175E08}"/>
    <cellStyle name="40% - Accent1 4 4 2 3" xfId="2631" xr:uid="{980CA480-E8B8-47A1-82D1-00EEA87DAA60}"/>
    <cellStyle name="40% - Accent1 4 4 3" xfId="2632" xr:uid="{BD1F7C9C-8889-4CF8-98D1-567112C10D38}"/>
    <cellStyle name="40% - Accent1 4 4 4" xfId="2633" xr:uid="{D4B8520F-4E09-4013-8456-A0E131C16A6B}"/>
    <cellStyle name="40% - Accent1 4 4 5" xfId="2634" xr:uid="{51450C4A-3817-45E1-9B49-2FD5FE94B2F7}"/>
    <cellStyle name="40% - Accent1 4 4 6" xfId="36897" xr:uid="{8E431F5F-0E24-4234-B440-E07AF7A18CFA}"/>
    <cellStyle name="40% - Accent1 4 5" xfId="2635" xr:uid="{DAC39269-3107-4144-9F13-E1CF1D43564C}"/>
    <cellStyle name="40% - Accent1 4 5 2" xfId="2636" xr:uid="{F47DFCCB-BE18-4C09-9F04-EF1F6D2BF1FE}"/>
    <cellStyle name="40% - Accent1 4 5 3" xfId="2637" xr:uid="{04DAAA51-F177-467A-B89E-20FA91A0F7CC}"/>
    <cellStyle name="40% - Accent1 4 5 4" xfId="36898" xr:uid="{617428E3-6761-4F56-9306-8A1AF15E31CC}"/>
    <cellStyle name="40% - Accent1 4 6" xfId="2638" xr:uid="{6890B811-77E5-4E6B-8DA2-0B97AD18F863}"/>
    <cellStyle name="40% - Accent1 4 7" xfId="36899" xr:uid="{3CAAB741-C68C-4A24-B4EB-C2C8EAE52437}"/>
    <cellStyle name="40% - Accent1 4 8" xfId="43542" xr:uid="{5B6180FD-E904-40E9-BAD9-FE862907F639}"/>
    <cellStyle name="40% - Accent1 4_PwrTax 51040" xfId="2639" xr:uid="{3EEBFE1A-26CA-433A-8911-775CBEAAFD5E}"/>
    <cellStyle name="40% - Accent1 40" xfId="36900" xr:uid="{AF7A41C1-8E70-4BA9-A617-1930D9362F9F}"/>
    <cellStyle name="40% - Accent1 41" xfId="36901" xr:uid="{9A3385D6-423B-4BD7-857D-184905969C62}"/>
    <cellStyle name="40% - Accent1 42" xfId="36902" xr:uid="{8082366A-9C03-4464-B370-542689DE8932}"/>
    <cellStyle name="40% - Accent1 43" xfId="36903" xr:uid="{4A5CEA70-BAB4-4328-B92D-E669DBD4E149}"/>
    <cellStyle name="40% - Accent1 44" xfId="36904" xr:uid="{523CDB6D-B0E5-4EF4-A277-0DC5BCFF72DA}"/>
    <cellStyle name="40% - Accent1 45" xfId="36905" xr:uid="{F13ADF51-871F-4B0E-A48A-AF0BBAF1BACD}"/>
    <cellStyle name="40% - Accent1 46" xfId="36906" xr:uid="{E917B697-F464-41F9-9CAA-5FAF9EF757E1}"/>
    <cellStyle name="40% - Accent1 47" xfId="36907" xr:uid="{338221B2-3051-416F-9E88-837FE938B757}"/>
    <cellStyle name="40% - Accent1 48" xfId="36908" xr:uid="{8DC70EEA-5BA3-4A4A-A487-53FC11ECC171}"/>
    <cellStyle name="40% - Accent1 49" xfId="36909" xr:uid="{C5467BA4-96EF-48BC-B862-511A28EC36C2}"/>
    <cellStyle name="40% - Accent1 5" xfId="2640" xr:uid="{3D75743D-D23A-4C73-8A3A-1263ECFEE101}"/>
    <cellStyle name="40% - Accent1 5 2" xfId="2641" xr:uid="{028D0DA9-4E66-4510-AED1-6B93C92AC8E1}"/>
    <cellStyle name="40% - Accent1 5 2 2" xfId="36910" xr:uid="{2708CB01-3325-4CC8-8DBB-4F0486CBAC27}"/>
    <cellStyle name="40% - Accent1 5 3" xfId="2642" xr:uid="{7B7C0B2A-048D-4BFA-9CB2-917F85FB2082}"/>
    <cellStyle name="40% - Accent1 5 4" xfId="36911" xr:uid="{6B2AAB4E-676C-4B08-8676-A627290D2CAF}"/>
    <cellStyle name="40% - Accent1 5 5" xfId="43557" xr:uid="{40FE4A11-37D3-43FE-AA14-A17B7E8F88E8}"/>
    <cellStyle name="40% - Accent1 50" xfId="36912" xr:uid="{F1359881-4C89-4835-B92E-FD151DCC3BD8}"/>
    <cellStyle name="40% - Accent1 51" xfId="36913" xr:uid="{3BDA7BA2-C26E-413A-A20A-02F0BECFBD71}"/>
    <cellStyle name="40% - Accent1 52" xfId="36914" xr:uid="{5EF8423B-00FD-4A75-B249-E74AAFE8841D}"/>
    <cellStyle name="40% - Accent1 53" xfId="36915" xr:uid="{4DB2C7EC-1A7A-430D-B626-861B990DB0DD}"/>
    <cellStyle name="40% - Accent1 54" xfId="36916" xr:uid="{05D50CBA-78BF-48FC-A347-BDF567A522FC}"/>
    <cellStyle name="40% - Accent1 55" xfId="36917" xr:uid="{6FC78DE7-95D2-4EC9-A0EF-F66E80248C2B}"/>
    <cellStyle name="40% - Accent1 56" xfId="36918" xr:uid="{C1B198D8-5F0D-481A-B926-D450E1970BDB}"/>
    <cellStyle name="40% - Accent1 57" xfId="36919" xr:uid="{79AB6705-2549-4179-A73F-14165C0CE124}"/>
    <cellStyle name="40% - Accent1 58" xfId="36920" xr:uid="{6960FAED-A80B-43F5-9639-1C21CCAECE83}"/>
    <cellStyle name="40% - Accent1 59" xfId="36921" xr:uid="{D4EEC0F7-0631-4A61-8C38-155B9E214F61}"/>
    <cellStyle name="40% - Accent1 6" xfId="2643" xr:uid="{C5790BDE-2BCC-48E8-B389-E97F77303E37}"/>
    <cellStyle name="40% - Accent1 6 2" xfId="2644" xr:uid="{05A85BDC-F38C-4570-BF9F-FA3D41665660}"/>
    <cellStyle name="40% - Accent1 6 2 2" xfId="36922" xr:uid="{61FA222A-053F-4C38-807B-9E4DBBF74291}"/>
    <cellStyle name="40% - Accent1 6 3" xfId="2645" xr:uid="{2547FE1C-7F2B-4E69-8472-641122DFB0CE}"/>
    <cellStyle name="40% - Accent1 6 4" xfId="36923" xr:uid="{96E517E2-2E52-4248-85FD-A73E570FF326}"/>
    <cellStyle name="40% - Accent1 60" xfId="36924" xr:uid="{BF6FBF23-FB09-458D-988D-090E0D340B6B}"/>
    <cellStyle name="40% - Accent1 61" xfId="36925" xr:uid="{9BF4F6DE-23DF-4B3C-86D6-22E78C5B4909}"/>
    <cellStyle name="40% - Accent1 62" xfId="36926" xr:uid="{E88F7B81-0F0B-45D1-B6C2-BE8BC9D9DB74}"/>
    <cellStyle name="40% - Accent1 63" xfId="36927" xr:uid="{DCC1CF4D-43EB-4EDB-9093-F79295737C25}"/>
    <cellStyle name="40% - Accent1 64" xfId="36928" xr:uid="{CEFDA8E8-5AD6-4035-A32B-EE85D4BD6BD5}"/>
    <cellStyle name="40% - Accent1 65" xfId="36929" xr:uid="{3EDB1289-4836-47E8-8FC5-B69760E1729A}"/>
    <cellStyle name="40% - Accent1 66" xfId="36930" xr:uid="{DA506166-9AFC-475C-9E64-22DB91E3ECF4}"/>
    <cellStyle name="40% - Accent1 67" xfId="36931" xr:uid="{4C0CAC12-B09F-4E1C-B521-A98598FD76E1}"/>
    <cellStyle name="40% - Accent1 68" xfId="36932" xr:uid="{C2C76B1F-362A-4C60-92A1-B51D1872DE43}"/>
    <cellStyle name="40% - Accent1 69" xfId="36933" xr:uid="{7E8DA4B2-6224-47D0-9455-CA278A9C59D9}"/>
    <cellStyle name="40% - Accent1 7" xfId="2646" xr:uid="{0C722699-BF3D-44C6-8C32-EC5EDFC859E2}"/>
    <cellStyle name="40% - Accent1 7 2" xfId="2647" xr:uid="{A8DEB128-1561-49A2-9018-F00AD2A9E3B6}"/>
    <cellStyle name="40% - Accent1 7 3" xfId="2648" xr:uid="{5EF89626-0307-47E5-9012-F2A648CF971D}"/>
    <cellStyle name="40% - Accent1 7 4" xfId="36934" xr:uid="{840A86D8-93F3-49A7-8775-EB33B1F4E064}"/>
    <cellStyle name="40% - Accent1 70" xfId="36935" xr:uid="{A5363812-3C87-4077-B9C5-548F3084CD3B}"/>
    <cellStyle name="40% - Accent1 71" xfId="36936" xr:uid="{EE1FD9BA-7F41-4B67-BFA2-D6C542275955}"/>
    <cellStyle name="40% - Accent1 72" xfId="36937" xr:uid="{50A086DF-F068-4811-8029-E7CBF174BD46}"/>
    <cellStyle name="40% - Accent1 73" xfId="36938" xr:uid="{A9FBAD4C-2329-4B1D-B49A-AC5C7A791115}"/>
    <cellStyle name="40% - Accent1 74" xfId="36939" xr:uid="{4AEE658D-BA06-43A0-983A-199E3936A40B}"/>
    <cellStyle name="40% - Accent1 75" xfId="36940" xr:uid="{32EB32C7-C3A3-4999-9481-52B6FEA4FCF1}"/>
    <cellStyle name="40% - Accent1 76" xfId="36941" xr:uid="{44A31CD8-82D3-4103-953D-C41E7DF65E07}"/>
    <cellStyle name="40% - Accent1 77" xfId="36942" xr:uid="{1B51776A-5741-46A3-ABDB-736789D69317}"/>
    <cellStyle name="40% - Accent1 78" xfId="36943" xr:uid="{125D80FB-5E51-4F4C-9E73-0467711BBCD8}"/>
    <cellStyle name="40% - Accent1 79" xfId="36944" xr:uid="{9F8FAF7B-D405-4857-9A46-0D421CEA35E7}"/>
    <cellStyle name="40% - Accent1 8" xfId="2649" xr:uid="{022A0470-3AE5-4AFB-8DC4-29EE5A130F78}"/>
    <cellStyle name="40% - Accent1 8 2" xfId="2650" xr:uid="{353FF76C-DF0F-4D20-AE9E-A5CC72ABE79D}"/>
    <cellStyle name="40% - Accent1 8 3" xfId="2651" xr:uid="{29BFC6A7-45A0-4D6B-8D3D-99D77C58F705}"/>
    <cellStyle name="40% - Accent1 8 4" xfId="36945" xr:uid="{9A946B2D-8DF9-4F48-B202-A516C7DD3FCB}"/>
    <cellStyle name="40% - Accent1 80" xfId="36946" xr:uid="{5BEB1CEA-376C-4410-A9C8-C17100B9302B}"/>
    <cellStyle name="40% - Accent1 81" xfId="36947" xr:uid="{14D0FA9B-F86F-4AA7-AC06-3C71985DCB36}"/>
    <cellStyle name="40% - Accent1 82" xfId="36948" xr:uid="{44A60023-09DA-4FB1-A1C5-60AC57C68EFD}"/>
    <cellStyle name="40% - Accent1 83" xfId="36949" xr:uid="{A637C2C9-D00D-4E81-84D5-481FE71B6C57}"/>
    <cellStyle name="40% - Accent1 84" xfId="36950" xr:uid="{F05ACD54-BE1B-4E93-B979-08ABF32C36B4}"/>
    <cellStyle name="40% - Accent1 85" xfId="36951" xr:uid="{1A361AB3-32C2-4FAB-AF46-2A587A3EDB6B}"/>
    <cellStyle name="40% - Accent1 86" xfId="36952" xr:uid="{36C8891E-4698-4A67-BBA1-5CC81EE2917A}"/>
    <cellStyle name="40% - Accent1 87" xfId="36953" xr:uid="{19025448-33F0-4CF6-A527-3A6AAD187E8C}"/>
    <cellStyle name="40% - Accent1 88" xfId="36954" xr:uid="{4DA917C6-5E8B-44A8-ABBB-A002B7C42FF0}"/>
    <cellStyle name="40% - Accent1 89" xfId="36955" xr:uid="{85BB54B5-0E93-473D-A502-B224B8DDE840}"/>
    <cellStyle name="40% - Accent1 9" xfId="2652" xr:uid="{FE1EC939-3908-45EE-91B4-DD84C8DAAD91}"/>
    <cellStyle name="40% - Accent1 9 2" xfId="2653" xr:uid="{DEF43090-DA3C-43B6-A665-21848555A2D3}"/>
    <cellStyle name="40% - Accent1 9 3" xfId="2654" xr:uid="{F01FA607-BCF5-49EA-B680-1DD95EA837A0}"/>
    <cellStyle name="40% - Accent1 9 4" xfId="36956" xr:uid="{91460ED2-413A-4A70-B8E3-6ACB98DE5B11}"/>
    <cellStyle name="40% - Accent1 90" xfId="36957" xr:uid="{BE0095DC-8B02-4628-B588-EF8045C1C95C}"/>
    <cellStyle name="40% - Accent1 91" xfId="36958" xr:uid="{3CD7D679-2C1C-4E09-8E78-08706A2923BB}"/>
    <cellStyle name="40% - Accent1 92" xfId="36959" xr:uid="{6A407D68-7C25-4784-AB67-19B4CF8459C8}"/>
    <cellStyle name="40% - Accent1 93" xfId="36960" xr:uid="{7B4000B3-AF67-44CC-8228-989235BCD6AC}"/>
    <cellStyle name="40% - Accent1 94" xfId="36961" xr:uid="{91ADB7E7-6268-4975-BA82-D391C7D52B86}"/>
    <cellStyle name="40% - Accent1 95" xfId="36962" xr:uid="{6994E2A9-84F3-4979-AFFB-3C53B9FB2173}"/>
    <cellStyle name="40% - Accent1 96" xfId="36963" xr:uid="{3BB99E5F-020D-4BD7-8F1D-9537BE159300}"/>
    <cellStyle name="40% - Accent1 97" xfId="36964" xr:uid="{C9AF4016-B1A4-4603-98D7-242F376DB21E}"/>
    <cellStyle name="40% - Accent1 98" xfId="36965" xr:uid="{9A7D903B-61C9-47B4-81A8-6D96067B70FC}"/>
    <cellStyle name="40% - Accent1 99" xfId="36966" xr:uid="{635343B3-AEA8-4A29-BC33-8F7000C54B4A}"/>
    <cellStyle name="40% - Accent2 10" xfId="2655" xr:uid="{9C6C023C-BB92-4608-BF20-EB853D2CDFD8}"/>
    <cellStyle name="40% - Accent2 10 2" xfId="2656" xr:uid="{14D8BDB6-CAFB-4B2B-8751-8E89207DBFAF}"/>
    <cellStyle name="40% - Accent2 10 3" xfId="2657" xr:uid="{0BB4E656-62E8-4798-A3F2-1CF56B7ABE11}"/>
    <cellStyle name="40% - Accent2 10 4" xfId="36967" xr:uid="{3722A8DF-9056-4FBA-B28D-718E1AFAF598}"/>
    <cellStyle name="40% - Accent2 100" xfId="36968" xr:uid="{4F316ADE-BE45-4982-82DB-65F4A5E248F2}"/>
    <cellStyle name="40% - Accent2 101" xfId="36969" xr:uid="{B30922EC-7EE0-4D3F-9F3A-AE81EB24342E}"/>
    <cellStyle name="40% - Accent2 102" xfId="36970" xr:uid="{D3E72ACB-0416-4221-AE3A-0EC09925D844}"/>
    <cellStyle name="40% - Accent2 103" xfId="43470" xr:uid="{F7100EC6-49BC-4FA0-B844-98AF543C7B19}"/>
    <cellStyle name="40% - Accent2 104" xfId="43590" xr:uid="{864C33FA-B1EF-48A5-A642-DEEF15D4724F}"/>
    <cellStyle name="40% - Accent2 105" xfId="169" xr:uid="{F3EB728C-9C28-45B5-BE2D-CEE49F47ED29}"/>
    <cellStyle name="40% - Accent2 11" xfId="2658" xr:uid="{A37D12CC-F9A0-477F-B905-DB766B9DBF12}"/>
    <cellStyle name="40% - Accent2 11 2" xfId="2659" xr:uid="{93BD386D-7EED-4B9A-9D54-03A71CE8DE6E}"/>
    <cellStyle name="40% - Accent2 11 3" xfId="2660" xr:uid="{9D858429-94CD-46E8-9108-4771484579AD}"/>
    <cellStyle name="40% - Accent2 12" xfId="2661" xr:uid="{88197172-767D-4D99-A5A4-10D89CF00E3F}"/>
    <cellStyle name="40% - Accent2 12 2" xfId="2662" xr:uid="{FF0D6E1E-A3B1-4BEE-BFE0-A40F92B8EB07}"/>
    <cellStyle name="40% - Accent2 13" xfId="2663" xr:uid="{F34DDBD8-C134-4717-B32E-FB0B2B53B256}"/>
    <cellStyle name="40% - Accent2 13 2" xfId="2664" xr:uid="{6977E320-346C-442B-B984-687F5A5850A9}"/>
    <cellStyle name="40% - Accent2 14" xfId="2665" xr:uid="{DDFA4545-9E38-4DA2-84CE-77955D7FC6DD}"/>
    <cellStyle name="40% - Accent2 14 2" xfId="2666" xr:uid="{B5C2BF4A-FF72-4F6D-9FD1-8CA8BEEB285D}"/>
    <cellStyle name="40% - Accent2 15" xfId="2667" xr:uid="{B29E5111-0821-43BB-B5A9-1B9A3AAFD41A}"/>
    <cellStyle name="40% - Accent2 15 2" xfId="2668" xr:uid="{67FA1E03-9D19-46E7-9E96-33A06DAC51D8}"/>
    <cellStyle name="40% - Accent2 16" xfId="2669" xr:uid="{0C775160-11BA-4CB5-B3DA-5C07F912FF7E}"/>
    <cellStyle name="40% - Accent2 16 2" xfId="2670" xr:uid="{1E289D5E-1C81-4E54-B5AD-021AEB3DFA8F}"/>
    <cellStyle name="40% - Accent2 17" xfId="2671" xr:uid="{B40A8B1D-83B4-492B-854D-E60DCB0853E2}"/>
    <cellStyle name="40% - Accent2 17 2" xfId="2672" xr:uid="{D0660919-2D2E-4878-A5E4-E9D446031ED9}"/>
    <cellStyle name="40% - Accent2 18" xfId="2673" xr:uid="{C6075370-8DB1-4DB7-8129-B543B5AC3FB7}"/>
    <cellStyle name="40% - Accent2 18 2" xfId="2674" xr:uid="{F1C0ACAB-15C9-438D-9EEB-10F713A54AC9}"/>
    <cellStyle name="40% - Accent2 19" xfId="2675" xr:uid="{238695BE-6D38-4122-BE53-276706FA9F00}"/>
    <cellStyle name="40% - Accent2 19 2" xfId="2676" xr:uid="{4540DFBC-CC34-4C79-8A2F-A37119A9F64C}"/>
    <cellStyle name="40% - Accent2 2" xfId="2677" xr:uid="{8F5A1D17-A4EC-4565-BD93-D19B233985AE}"/>
    <cellStyle name="40% - Accent2 2 10" xfId="43503" xr:uid="{7121D9FE-F81C-46B0-BE81-BD4BCDC4DCC3}"/>
    <cellStyle name="40% - Accent2 2 2" xfId="2678" xr:uid="{A9FBAAEC-B3F4-464C-8EAE-DF66CECB926E}"/>
    <cellStyle name="40% - Accent2 2 2 2" xfId="2679" xr:uid="{8985D034-FCD9-4AAA-8B4B-6F42E9D81972}"/>
    <cellStyle name="40% - Accent2 2 2 2 2" xfId="2680" xr:uid="{6C92DC83-C07F-44EA-8415-9B459DF3B967}"/>
    <cellStyle name="40% - Accent2 2 2 2 3" xfId="2681" xr:uid="{91DE4958-D91A-4FAA-B137-4588A3850BF0}"/>
    <cellStyle name="40% - Accent2 2 2 2 4" xfId="36971" xr:uid="{FD6856FB-FA0C-46A7-B08E-DD4950EE67A4}"/>
    <cellStyle name="40% - Accent2 2 2 3" xfId="2682" xr:uid="{1E6EB31A-7CF0-4CB2-9384-B62111C4A0CA}"/>
    <cellStyle name="40% - Accent2 2 2 3 2" xfId="2683" xr:uid="{E46F4B52-7531-4AEC-A741-15224757C2B7}"/>
    <cellStyle name="40% - Accent2 2 2 3 3" xfId="36972" xr:uid="{6E7E37F2-E7FC-4801-BE4B-7868EB6AF715}"/>
    <cellStyle name="40% - Accent2 2 2 4" xfId="2684" xr:uid="{4DB60A38-DEF3-48C3-8D33-9CEDF0341392}"/>
    <cellStyle name="40% - Accent2 2 2 5" xfId="2685" xr:uid="{AB984DFD-9385-4753-8032-E1C73A8AD400}"/>
    <cellStyle name="40% - Accent2 2 2 6" xfId="2686" xr:uid="{5E1F9476-B78A-4EB7-9804-A386650CCEE2}"/>
    <cellStyle name="40% - Accent2 2 2 7" xfId="36973" xr:uid="{8D297C63-8E96-4E76-B682-EBD51F02F45D}"/>
    <cellStyle name="40% - Accent2 2 2_PwrTax 51040" xfId="2687" xr:uid="{1B983EFB-7F72-4565-84B2-0AAC335409CE}"/>
    <cellStyle name="40% - Accent2 2 3" xfId="2688" xr:uid="{8E37961B-294C-4B7E-B76B-7F2DF4E0A4E1}"/>
    <cellStyle name="40% - Accent2 2 3 10" xfId="2689" xr:uid="{21930637-3A1D-4CDC-ACC9-FD94F6F809BC}"/>
    <cellStyle name="40% - Accent2 2 3 10 2" xfId="36974" xr:uid="{0FA411C1-DB92-48B7-A9F6-081374D4A3BC}"/>
    <cellStyle name="40% - Accent2 2 3 11" xfId="36975" xr:uid="{6CD1552E-ED38-4A3B-A070-07AF377484FE}"/>
    <cellStyle name="40% - Accent2 2 3 12" xfId="36976" xr:uid="{82B9CAED-B3EF-4648-BE89-752389F4AABF}"/>
    <cellStyle name="40% - Accent2 2 3 2" xfId="2690" xr:uid="{60FFAAD2-3373-4873-A134-D2DA0CCBA18A}"/>
    <cellStyle name="40% - Accent2 2 3 2 10" xfId="36977" xr:uid="{18073F04-E1CC-41CD-A131-AF835F0B8051}"/>
    <cellStyle name="40% - Accent2 2 3 2 11" xfId="36978" xr:uid="{431A3E95-6167-4466-A2A5-9AB61E385621}"/>
    <cellStyle name="40% - Accent2 2 3 2 2" xfId="2691" xr:uid="{72C8DA78-94BD-4C44-B246-F51040C9D0F2}"/>
    <cellStyle name="40% - Accent2 2 3 2 2 2" xfId="2692" xr:uid="{B136B737-0782-4E6D-96D2-736A19B09527}"/>
    <cellStyle name="40% - Accent2 2 3 2 2 2 2" xfId="2693" xr:uid="{C4ED3181-A218-410D-8EB7-DE3E26039A8A}"/>
    <cellStyle name="40% - Accent2 2 3 2 2 2 2 2" xfId="2694" xr:uid="{6AF05DD3-98A6-4C0E-A489-8757097AD0F5}"/>
    <cellStyle name="40% - Accent2 2 3 2 2 2 2 2 2" xfId="36979" xr:uid="{CAB8F5A7-6B3E-4318-B6CB-48EFAB46F2AA}"/>
    <cellStyle name="40% - Accent2 2 3 2 2 2 2 3" xfId="2695" xr:uid="{1C0A4CC3-2F74-4377-81A3-F39C37314E0D}"/>
    <cellStyle name="40% - Accent2 2 3 2 2 2 2 3 2" xfId="36980" xr:uid="{3D2009F2-7032-4AAB-BC56-7832A62A8523}"/>
    <cellStyle name="40% - Accent2 2 3 2 2 2 2 4" xfId="36981" xr:uid="{4BA63A6C-0E94-4B7B-B199-C10750A1DE3F}"/>
    <cellStyle name="40% - Accent2 2 3 2 2 2 3" xfId="2696" xr:uid="{8A74FE6F-B0CE-4891-B7D5-CF40DC13ACED}"/>
    <cellStyle name="40% - Accent2 2 3 2 2 2 3 2" xfId="36982" xr:uid="{C4D2E9CE-7734-4ECF-965F-4674994E2EF4}"/>
    <cellStyle name="40% - Accent2 2 3 2 2 2 4" xfId="2697" xr:uid="{752862CA-4C3E-4F2E-BD3D-B88B202B16F1}"/>
    <cellStyle name="40% - Accent2 2 3 2 2 2 4 2" xfId="36983" xr:uid="{3E676A05-A8DD-4921-9450-3B4666749E08}"/>
    <cellStyle name="40% - Accent2 2 3 2 2 2 5" xfId="36984" xr:uid="{809107C0-602A-4808-9095-60274F4DE666}"/>
    <cellStyle name="40% - Accent2 2 3 2 2 3" xfId="2698" xr:uid="{C1EF4FC0-BB09-4020-9FE6-464D24788D7E}"/>
    <cellStyle name="40% - Accent2 2 3 2 2 3 2" xfId="2699" xr:uid="{12ABC477-7023-4155-BC65-3246266AEFC7}"/>
    <cellStyle name="40% - Accent2 2 3 2 2 3 2 2" xfId="36985" xr:uid="{3E995160-062D-4534-8B02-F722102C62D2}"/>
    <cellStyle name="40% - Accent2 2 3 2 2 3 3" xfId="2700" xr:uid="{1C803AF9-0EFC-45F0-9B25-076931C847FA}"/>
    <cellStyle name="40% - Accent2 2 3 2 2 3 3 2" xfId="36986" xr:uid="{E5F25341-8556-48CD-85B7-B3C8FC6A83F0}"/>
    <cellStyle name="40% - Accent2 2 3 2 2 3 4" xfId="36987" xr:uid="{C166D845-EC8D-4529-8622-D9A44190C901}"/>
    <cellStyle name="40% - Accent2 2 3 2 2 4" xfId="2701" xr:uid="{44D1E46F-A4F5-4563-B327-43F3F7DFF32E}"/>
    <cellStyle name="40% - Accent2 2 3 2 2 4 2" xfId="36988" xr:uid="{D8627AF4-ED90-404A-BC9F-B2E7B72A07E8}"/>
    <cellStyle name="40% - Accent2 2 3 2 2 5" xfId="2702" xr:uid="{61D3DDF8-5AE5-4AE3-A91C-C029D81D0E1D}"/>
    <cellStyle name="40% - Accent2 2 3 2 2 5 2" xfId="36989" xr:uid="{2C5DB1B1-CF77-4A6E-8AF2-65E6C4A31E90}"/>
    <cellStyle name="40% - Accent2 2 3 2 2 6" xfId="36990" xr:uid="{D12C7F3F-6DC5-406E-A35E-055CC3F0C8D1}"/>
    <cellStyle name="40% - Accent2 2 3 2 3" xfId="2703" xr:uid="{D27354BA-FBCD-4B4C-BFBA-DF69B40F06DC}"/>
    <cellStyle name="40% - Accent2 2 3 2 3 2" xfId="2704" xr:uid="{1EF8F1C3-B418-42C7-9716-F01D5C0B4EB1}"/>
    <cellStyle name="40% - Accent2 2 3 2 3 2 2" xfId="2705" xr:uid="{B849ACBD-AD69-4C70-8BF6-D3141C062143}"/>
    <cellStyle name="40% - Accent2 2 3 2 3 2 2 2" xfId="36991" xr:uid="{F3D4A335-F2A3-4601-8859-AC95C661D1E8}"/>
    <cellStyle name="40% - Accent2 2 3 2 3 2 3" xfId="2706" xr:uid="{06A1F911-7674-497C-A818-5C19FAADFAFA}"/>
    <cellStyle name="40% - Accent2 2 3 2 3 2 3 2" xfId="36992" xr:uid="{2044D022-36CD-44B0-B89A-AE78A4E555E4}"/>
    <cellStyle name="40% - Accent2 2 3 2 3 2 4" xfId="36993" xr:uid="{3C17536F-2042-4D48-A2D3-CFC1ACD0EBCC}"/>
    <cellStyle name="40% - Accent2 2 3 2 3 3" xfId="2707" xr:uid="{7647A2C0-CBE8-440C-8B11-E29231ECAB1D}"/>
    <cellStyle name="40% - Accent2 2 3 2 3 3 2" xfId="36994" xr:uid="{A84EB9FC-58E0-4586-991B-D659C8710817}"/>
    <cellStyle name="40% - Accent2 2 3 2 3 4" xfId="2708" xr:uid="{BC1E02DA-8E0A-456C-A5BC-D9C2A1DAFD33}"/>
    <cellStyle name="40% - Accent2 2 3 2 3 4 2" xfId="36995" xr:uid="{49A78C51-4BB3-4BE1-9687-D8413F9B07C3}"/>
    <cellStyle name="40% - Accent2 2 3 2 3 5" xfId="36996" xr:uid="{9D6F4590-48E9-4D0D-93CD-265716D4C836}"/>
    <cellStyle name="40% - Accent2 2 3 2 4" xfId="2709" xr:uid="{E0F8957E-5C70-4FED-AC7E-99A175E5C069}"/>
    <cellStyle name="40% - Accent2 2 3 2 4 2" xfId="2710" xr:uid="{2DEBFBD3-E055-485D-9053-BED180A6315D}"/>
    <cellStyle name="40% - Accent2 2 3 2 4 2 2" xfId="36997" xr:uid="{FF81EC67-B40B-442B-850F-55AC2872F6FF}"/>
    <cellStyle name="40% - Accent2 2 3 2 4 3" xfId="2711" xr:uid="{3E69E5CA-52EE-46CE-897D-9C7C0F996C0E}"/>
    <cellStyle name="40% - Accent2 2 3 2 4 3 2" xfId="36998" xr:uid="{09341308-9251-4556-9001-D79F93BD01F9}"/>
    <cellStyle name="40% - Accent2 2 3 2 4 4" xfId="36999" xr:uid="{3CDE5952-F140-4016-824C-13EB0D03A870}"/>
    <cellStyle name="40% - Accent2 2 3 2 5" xfId="2712" xr:uid="{8274751A-D27C-4D3A-88F2-43A4CD2B0350}"/>
    <cellStyle name="40% - Accent2 2 3 2 5 2" xfId="37000" xr:uid="{9C0738C1-6D79-40FA-8CA8-AA706343B654}"/>
    <cellStyle name="40% - Accent2 2 3 2 5 2 2" xfId="37001" xr:uid="{A8B1A8E9-AEDE-496B-91C8-2CA04538232B}"/>
    <cellStyle name="40% - Accent2 2 3 2 5 3" xfId="37002" xr:uid="{CE8890C6-EFEC-4DD2-AEE8-248FBA36B36B}"/>
    <cellStyle name="40% - Accent2 2 3 2 5 3 2" xfId="37003" xr:uid="{281FEF55-1F6F-4520-8D19-935C2B055EDD}"/>
    <cellStyle name="40% - Accent2 2 3 2 5 4" xfId="37004" xr:uid="{DAD6480C-BDD9-46DD-AD5E-BE9F6A271DBD}"/>
    <cellStyle name="40% - Accent2 2 3 2 6" xfId="2713" xr:uid="{86EF1F6A-442B-4A1C-99EF-7DCB7CCB6C73}"/>
    <cellStyle name="40% - Accent2 2 3 2 6 2" xfId="37005" xr:uid="{4D6196F6-37D3-488C-B278-FA932980C8F0}"/>
    <cellStyle name="40% - Accent2 2 3 2 6 2 2" xfId="37006" xr:uid="{AB78FCC7-4018-44DC-A523-8B01B578CC7E}"/>
    <cellStyle name="40% - Accent2 2 3 2 6 3" xfId="37007" xr:uid="{12E4AF7C-14A7-447A-98A7-101A6974E3B1}"/>
    <cellStyle name="40% - Accent2 2 3 2 6 3 2" xfId="37008" xr:uid="{4C05DD6D-32F8-4D77-B6CD-82E3DB103881}"/>
    <cellStyle name="40% - Accent2 2 3 2 6 4" xfId="37009" xr:uid="{89FFDA7F-A85E-4386-9D53-6E7FFA6F66C0}"/>
    <cellStyle name="40% - Accent2 2 3 2 7" xfId="2714" xr:uid="{47756911-0E65-4E68-8653-852FC0969CF3}"/>
    <cellStyle name="40% - Accent2 2 3 2 7 2" xfId="37010" xr:uid="{B0ACC729-BC29-4010-9900-381D2D1F3F58}"/>
    <cellStyle name="40% - Accent2 2 3 2 7 2 2" xfId="37011" xr:uid="{11758DF4-56A1-4ADA-BF0F-960192A802B3}"/>
    <cellStyle name="40% - Accent2 2 3 2 7 3" xfId="37012" xr:uid="{9F6FD88F-DB25-4F91-B02F-0F130BBAF513}"/>
    <cellStyle name="40% - Accent2 2 3 2 7 3 2" xfId="37013" xr:uid="{8824D71B-DCA5-4F1F-B301-FB36C267BE9C}"/>
    <cellStyle name="40% - Accent2 2 3 2 7 4" xfId="37014" xr:uid="{5E460472-FF3F-4807-AEB4-A1F0D16A8574}"/>
    <cellStyle name="40% - Accent2 2 3 2 8" xfId="37015" xr:uid="{14D13DC5-A7FB-41E0-A42F-055D88952169}"/>
    <cellStyle name="40% - Accent2 2 3 2 8 2" xfId="37016" xr:uid="{28843557-882D-4647-9E71-ADDCADFE9D34}"/>
    <cellStyle name="40% - Accent2 2 3 2 9" xfId="37017" xr:uid="{99D47B2F-A9C0-4B78-9CC7-2F52C23FC4A9}"/>
    <cellStyle name="40% - Accent2 2 3 2 9 2" xfId="37018" xr:uid="{BF7FE9B6-CBE5-4FCF-AF81-6391B23FA670}"/>
    <cellStyle name="40% - Accent2 2 3 3" xfId="2715" xr:uid="{EB626612-DDA7-433B-9449-885D67A18311}"/>
    <cellStyle name="40% - Accent2 2 3 3 10" xfId="37019" xr:uid="{DFE0E95C-B605-43DC-878B-DDB9DDF40A27}"/>
    <cellStyle name="40% - Accent2 2 3 3 2" xfId="2716" xr:uid="{6208CB0E-496F-4C8E-A346-D15012F3E010}"/>
    <cellStyle name="40% - Accent2 2 3 3 2 2" xfId="2717" xr:uid="{2A8B318C-48DD-4DFD-AA08-539CB7A99143}"/>
    <cellStyle name="40% - Accent2 2 3 3 2 2 2" xfId="2718" xr:uid="{9C37E904-0C88-4E9D-B2F3-4ACAFD78BCC3}"/>
    <cellStyle name="40% - Accent2 2 3 3 2 2 2 2" xfId="37020" xr:uid="{5AF0EE9D-440E-46D9-BF3A-F2428E91240C}"/>
    <cellStyle name="40% - Accent2 2 3 3 2 2 3" xfId="2719" xr:uid="{6089AD08-048E-4EAC-AC87-142B69CC42DF}"/>
    <cellStyle name="40% - Accent2 2 3 3 2 2 3 2" xfId="37021" xr:uid="{B1569F60-5A59-4CD2-BF75-EACB2A2736C2}"/>
    <cellStyle name="40% - Accent2 2 3 3 2 2 4" xfId="37022" xr:uid="{90F003AF-6EB6-4641-B6AA-0BF50F732C26}"/>
    <cellStyle name="40% - Accent2 2 3 3 2 3" xfId="2720" xr:uid="{0126C8A7-A5B9-4BD7-8672-62C5ED0267DF}"/>
    <cellStyle name="40% - Accent2 2 3 3 2 3 2" xfId="37023" xr:uid="{8C27BC55-F677-470C-B6A1-858FB1C64198}"/>
    <cellStyle name="40% - Accent2 2 3 3 2 4" xfId="2721" xr:uid="{853A7537-C5D2-4371-B1C9-22A0BDFD2C63}"/>
    <cellStyle name="40% - Accent2 2 3 3 2 4 2" xfId="37024" xr:uid="{35C6300D-6456-40DC-B3AC-36FEF7927C7A}"/>
    <cellStyle name="40% - Accent2 2 3 3 2 5" xfId="37025" xr:uid="{0B9AE56E-9DC2-4864-9415-4CD97996CFD0}"/>
    <cellStyle name="40% - Accent2 2 3 3 3" xfId="2722" xr:uid="{0C74DD8C-5DF1-4F6F-AA0A-DECC99E2F8AF}"/>
    <cellStyle name="40% - Accent2 2 3 3 3 2" xfId="2723" xr:uid="{4F0A83D8-6821-49BF-BCAD-941C109C29D0}"/>
    <cellStyle name="40% - Accent2 2 3 3 3 2 2" xfId="37026" xr:uid="{4D07E350-2E52-4D00-A98A-E41433BD642D}"/>
    <cellStyle name="40% - Accent2 2 3 3 3 3" xfId="2724" xr:uid="{64B2248D-D343-4159-86BF-11918320EC5C}"/>
    <cellStyle name="40% - Accent2 2 3 3 3 3 2" xfId="37027" xr:uid="{D5230974-0E88-427E-907B-9F33BF5785B1}"/>
    <cellStyle name="40% - Accent2 2 3 3 3 4" xfId="37028" xr:uid="{D22B1B7C-F0CF-4445-B7CD-806921D9BE90}"/>
    <cellStyle name="40% - Accent2 2 3 3 4" xfId="2725" xr:uid="{5AAB56D1-E410-4E65-A030-7831F09E4587}"/>
    <cellStyle name="40% - Accent2 2 3 3 4 2" xfId="37029" xr:uid="{BD9F0A58-7D2C-4E41-BF5A-E9C0658D6ED6}"/>
    <cellStyle name="40% - Accent2 2 3 3 4 2 2" xfId="37030" xr:uid="{BD0153DA-FC0F-4AA6-A23F-6AE0F1887703}"/>
    <cellStyle name="40% - Accent2 2 3 3 4 3" xfId="37031" xr:uid="{E817515F-5A72-4640-BED5-37DBF6D41D3A}"/>
    <cellStyle name="40% - Accent2 2 3 3 4 3 2" xfId="37032" xr:uid="{FFAF530B-7DA4-4FA7-96B7-C305D13414A5}"/>
    <cellStyle name="40% - Accent2 2 3 3 4 4" xfId="37033" xr:uid="{1FB45BCD-D855-431B-9409-628B8ACE92D5}"/>
    <cellStyle name="40% - Accent2 2 3 3 5" xfId="2726" xr:uid="{C15CF5B5-D9EE-40CD-A562-ABF9723696A1}"/>
    <cellStyle name="40% - Accent2 2 3 3 5 2" xfId="37034" xr:uid="{84B55F9B-E297-4166-99E4-840C1C306953}"/>
    <cellStyle name="40% - Accent2 2 3 3 5 2 2" xfId="37035" xr:uid="{386BA0B2-544B-468A-8B58-E5B0A439C5C4}"/>
    <cellStyle name="40% - Accent2 2 3 3 5 3" xfId="37036" xr:uid="{163CE89A-C5EC-496C-A2C8-4A617BE967D0}"/>
    <cellStyle name="40% - Accent2 2 3 3 5 3 2" xfId="37037" xr:uid="{5E039D24-2375-46AA-A00D-DD103EB55939}"/>
    <cellStyle name="40% - Accent2 2 3 3 5 4" xfId="37038" xr:uid="{1DE951E2-0311-45A0-9D98-4A364F2D896B}"/>
    <cellStyle name="40% - Accent2 2 3 3 6" xfId="2727" xr:uid="{EE32B86F-823D-44A3-A906-560D13C412D6}"/>
    <cellStyle name="40% - Accent2 2 3 3 6 2" xfId="37039" xr:uid="{95F02FD4-D5F4-4B23-B4F6-024ADC58EF83}"/>
    <cellStyle name="40% - Accent2 2 3 3 6 2 2" xfId="37040" xr:uid="{5049044D-2CB2-4027-A5EE-5F1B604B30DC}"/>
    <cellStyle name="40% - Accent2 2 3 3 6 3" xfId="37041" xr:uid="{EB859234-2B93-4D0F-A94E-102368EC4D98}"/>
    <cellStyle name="40% - Accent2 2 3 3 6 3 2" xfId="37042" xr:uid="{CDC94350-AF5A-45D1-8DED-BC712121DBCA}"/>
    <cellStyle name="40% - Accent2 2 3 3 6 4" xfId="37043" xr:uid="{6E9CEDFF-A810-4209-B9B1-2DF0B0A86A8F}"/>
    <cellStyle name="40% - Accent2 2 3 3 7" xfId="37044" xr:uid="{65EBDB1E-0C5D-41F1-97CF-AE2C96067945}"/>
    <cellStyle name="40% - Accent2 2 3 3 7 2" xfId="37045" xr:uid="{5EE27A9C-3337-460E-8E6B-C2A82D87884D}"/>
    <cellStyle name="40% - Accent2 2 3 3 8" xfId="37046" xr:uid="{74D8FB42-221B-4118-B928-8AF4570ABE48}"/>
    <cellStyle name="40% - Accent2 2 3 3 8 2" xfId="37047" xr:uid="{1A0490EC-2FEF-4709-9EDC-2448CE085975}"/>
    <cellStyle name="40% - Accent2 2 3 3 9" xfId="37048" xr:uid="{302A1799-6168-438E-BE83-E09D326C5FF1}"/>
    <cellStyle name="40% - Accent2 2 3 4" xfId="2728" xr:uid="{D3837137-7A3F-4658-A2D9-A0E1AF0538D9}"/>
    <cellStyle name="40% - Accent2 2 3 4 2" xfId="2729" xr:uid="{6856A956-6AE9-4927-9433-6342DB7E538A}"/>
    <cellStyle name="40% - Accent2 2 3 4 2 2" xfId="2730" xr:uid="{7B3920F5-C083-469C-AC2D-F0D99F4826DF}"/>
    <cellStyle name="40% - Accent2 2 3 4 2 2 2" xfId="37049" xr:uid="{CC8588C8-FFFD-478B-AEF6-13AD744655CA}"/>
    <cellStyle name="40% - Accent2 2 3 4 2 3" xfId="2731" xr:uid="{F795A5DF-C854-468F-9041-6745A70A38DF}"/>
    <cellStyle name="40% - Accent2 2 3 4 2 3 2" xfId="37050" xr:uid="{97D6E5A5-C8D4-454C-86BC-0BA3F4CD231D}"/>
    <cellStyle name="40% - Accent2 2 3 4 2 4" xfId="37051" xr:uid="{3359EA85-4033-4237-9BB3-6E3B290E88D0}"/>
    <cellStyle name="40% - Accent2 2 3 4 3" xfId="2732" xr:uid="{011F9538-C256-4700-B293-30829C4E953D}"/>
    <cellStyle name="40% - Accent2 2 3 4 3 2" xfId="37052" xr:uid="{6B20D494-1F79-4F6F-BCDE-8C69D11FA3BF}"/>
    <cellStyle name="40% - Accent2 2 3 4 3 2 2" xfId="37053" xr:uid="{59D99781-CFA0-4A9B-876F-0F89F929D0CE}"/>
    <cellStyle name="40% - Accent2 2 3 4 3 3" xfId="37054" xr:uid="{9BF47959-9EF9-40CA-B6B2-539F4FC60645}"/>
    <cellStyle name="40% - Accent2 2 3 4 3 3 2" xfId="37055" xr:uid="{2C75B906-A676-41C2-831A-CECD9C2FFB0E}"/>
    <cellStyle name="40% - Accent2 2 3 4 3 4" xfId="37056" xr:uid="{03B74D5C-3985-4E1B-9643-296411CB5E53}"/>
    <cellStyle name="40% - Accent2 2 3 4 4" xfId="2733" xr:uid="{2FC9A4A1-0392-4B3A-A674-41DD77989587}"/>
    <cellStyle name="40% - Accent2 2 3 4 4 2" xfId="37057" xr:uid="{26EAC2C6-A073-4244-B779-BF8B55B57C9F}"/>
    <cellStyle name="40% - Accent2 2 3 4 4 2 2" xfId="37058" xr:uid="{A7AAAA88-ABAC-443F-A22F-1AD9B91B9B1C}"/>
    <cellStyle name="40% - Accent2 2 3 4 4 3" xfId="37059" xr:uid="{67A43210-558D-4A11-92BB-B567F331D692}"/>
    <cellStyle name="40% - Accent2 2 3 4 4 3 2" xfId="37060" xr:uid="{2357F927-6F4E-4335-A78E-E1807B6CC45E}"/>
    <cellStyle name="40% - Accent2 2 3 4 4 4" xfId="37061" xr:uid="{D29EBC20-0F34-41FD-841E-4446992132F3}"/>
    <cellStyle name="40% - Accent2 2 3 4 5" xfId="37062" xr:uid="{E050DAF9-E40E-4292-B3D8-7363A5262453}"/>
    <cellStyle name="40% - Accent2 2 3 4 5 2" xfId="37063" xr:uid="{F14F9E63-F2F7-49F8-8C5B-BFD569F71A8F}"/>
    <cellStyle name="40% - Accent2 2 3 4 5 2 2" xfId="37064" xr:uid="{2265E239-82E0-4389-AA25-2AD0D60A8575}"/>
    <cellStyle name="40% - Accent2 2 3 4 5 3" xfId="37065" xr:uid="{EE81DEFA-F570-4FCC-AFEA-C27A50164C19}"/>
    <cellStyle name="40% - Accent2 2 3 4 5 3 2" xfId="37066" xr:uid="{F4D6CDA1-C631-4025-BBD4-B78EF6BA5B69}"/>
    <cellStyle name="40% - Accent2 2 3 4 5 4" xfId="37067" xr:uid="{DF91AB23-7561-4E65-B853-192535F1B720}"/>
    <cellStyle name="40% - Accent2 2 3 4 6" xfId="37068" xr:uid="{E57DE9BD-464C-4D89-904F-006544E2477D}"/>
    <cellStyle name="40% - Accent2 2 3 4 6 2" xfId="37069" xr:uid="{04FAA5EB-F747-464E-88B1-829536148273}"/>
    <cellStyle name="40% - Accent2 2 3 4 7" xfId="37070" xr:uid="{1F81DBCD-B612-43D9-B6C4-D442F403022D}"/>
    <cellStyle name="40% - Accent2 2 3 4 7 2" xfId="37071" xr:uid="{80DDC706-CE91-41A6-8FB6-52B607758B35}"/>
    <cellStyle name="40% - Accent2 2 3 4 8" xfId="37072" xr:uid="{7077DE0C-6B85-4BF6-8D9B-445AD56DD62D}"/>
    <cellStyle name="40% - Accent2 2 3 5" xfId="2734" xr:uid="{62955EBB-8297-42AC-918B-66AE289252E8}"/>
    <cellStyle name="40% - Accent2 2 3 5 2" xfId="2735" xr:uid="{CC25B965-3BB6-4D61-ADF4-36A6E31DB137}"/>
    <cellStyle name="40% - Accent2 2 3 5 2 2" xfId="2736" xr:uid="{36798F65-F968-4537-9863-E4092BFFF131}"/>
    <cellStyle name="40% - Accent2 2 3 5 2 2 2" xfId="37073" xr:uid="{EFFA1AF1-1C15-4918-B1B1-6E4818880A10}"/>
    <cellStyle name="40% - Accent2 2 3 5 2 3" xfId="2737" xr:uid="{4C2F1763-B24E-460C-80F5-40DA35E89818}"/>
    <cellStyle name="40% - Accent2 2 3 5 2 3 2" xfId="37074" xr:uid="{359FF354-9C18-4C88-AD7D-C0B8D50A9B9C}"/>
    <cellStyle name="40% - Accent2 2 3 5 2 4" xfId="37075" xr:uid="{FEC7B35E-4D0C-45D7-AD1C-316D2C392C71}"/>
    <cellStyle name="40% - Accent2 2 3 5 3" xfId="2738" xr:uid="{78E5AE8E-B42B-4CFD-BEA0-D2DDE34D7715}"/>
    <cellStyle name="40% - Accent2 2 3 5 3 2" xfId="37076" xr:uid="{850F2418-52F5-4EEB-996B-6D024341599D}"/>
    <cellStyle name="40% - Accent2 2 3 5 3 2 2" xfId="37077" xr:uid="{D209ECCF-6C9B-45F7-926D-326A001F4374}"/>
    <cellStyle name="40% - Accent2 2 3 5 3 3" xfId="37078" xr:uid="{EF1CAF77-F1DA-46AB-BB5A-D2AE13C85441}"/>
    <cellStyle name="40% - Accent2 2 3 5 3 3 2" xfId="37079" xr:uid="{85EE4CD0-2221-473B-B8F2-7AA96FA6AA6D}"/>
    <cellStyle name="40% - Accent2 2 3 5 3 4" xfId="37080" xr:uid="{229C6A66-B561-4A93-8B0B-A65AD510D502}"/>
    <cellStyle name="40% - Accent2 2 3 5 4" xfId="2739" xr:uid="{1CEEBFB0-84B4-43B7-A851-D57A573C86D8}"/>
    <cellStyle name="40% - Accent2 2 3 5 4 2" xfId="37081" xr:uid="{DD1D9B12-AC90-49E7-B7F8-0D2A3058E9C0}"/>
    <cellStyle name="40% - Accent2 2 3 5 4 2 2" xfId="37082" xr:uid="{86EDA342-FBB1-415F-8073-0B0BC0989434}"/>
    <cellStyle name="40% - Accent2 2 3 5 4 3" xfId="37083" xr:uid="{1076E91D-F5F6-45E9-9206-F674FD3CB6C5}"/>
    <cellStyle name="40% - Accent2 2 3 5 4 3 2" xfId="37084" xr:uid="{9800F7E6-6C2D-422E-9875-273B53F93ACD}"/>
    <cellStyle name="40% - Accent2 2 3 5 4 4" xfId="37085" xr:uid="{33BF32DD-9C41-4F32-A32A-E6D6DAF254BE}"/>
    <cellStyle name="40% - Accent2 2 3 5 5" xfId="37086" xr:uid="{E503572E-5067-4CEC-BDD2-ECD9590A67A4}"/>
    <cellStyle name="40% - Accent2 2 3 5 5 2" xfId="37087" xr:uid="{1E277BAF-BE9C-4FF8-AE93-5432EEE001F1}"/>
    <cellStyle name="40% - Accent2 2 3 5 6" xfId="37088" xr:uid="{C64CD79F-B5DA-49F0-9E9F-BA620BA7454A}"/>
    <cellStyle name="40% - Accent2 2 3 5 6 2" xfId="37089" xr:uid="{19CE7806-E542-46AD-87FD-17C64A13839B}"/>
    <cellStyle name="40% - Accent2 2 3 5 7" xfId="37090" xr:uid="{D13314B9-C22A-4505-83DC-2C97E30576E1}"/>
    <cellStyle name="40% - Accent2 2 3 6" xfId="2740" xr:uid="{ED46F1FE-1444-4813-974A-E079ACA88F78}"/>
    <cellStyle name="40% - Accent2 2 3 6 2" xfId="2741" xr:uid="{8045108F-81C4-4A9A-8FB2-9D872A5EA485}"/>
    <cellStyle name="40% - Accent2 2 3 6 2 2" xfId="37091" xr:uid="{C0900D07-068D-40BF-8EB2-E6A1F8F32FC9}"/>
    <cellStyle name="40% - Accent2 2 3 6 3" xfId="2742" xr:uid="{AC7D28C8-EE28-4AF2-9A1F-BD52AC180989}"/>
    <cellStyle name="40% - Accent2 2 3 6 3 2" xfId="37092" xr:uid="{4CF6171A-81BB-47B5-AD61-688E6965F8AA}"/>
    <cellStyle name="40% - Accent2 2 3 6 4" xfId="37093" xr:uid="{8587B8E5-DB29-4B4B-9603-9C5649432A98}"/>
    <cellStyle name="40% - Accent2 2 3 7" xfId="2743" xr:uid="{8EBD5F97-C43B-4DB6-8D52-0DEEC14C3082}"/>
    <cellStyle name="40% - Accent2 2 3 7 2" xfId="37094" xr:uid="{9C2663DB-A7BB-4D24-AFAD-B5AC830B4FB3}"/>
    <cellStyle name="40% - Accent2 2 3 7 2 2" xfId="37095" xr:uid="{6BB083CA-B550-48B6-9CB3-E99E64582775}"/>
    <cellStyle name="40% - Accent2 2 3 7 3" xfId="37096" xr:uid="{B032020C-88BC-4B2E-9E23-825957AA9417}"/>
    <cellStyle name="40% - Accent2 2 3 7 3 2" xfId="37097" xr:uid="{1E03B226-6329-4189-ADF1-D698BB70859D}"/>
    <cellStyle name="40% - Accent2 2 3 7 4" xfId="37098" xr:uid="{380D70BF-1D9B-444E-B1D4-5666429E00A4}"/>
    <cellStyle name="40% - Accent2 2 3 8" xfId="2744" xr:uid="{0D95A2CF-6331-4519-8863-2FF984A31BB6}"/>
    <cellStyle name="40% - Accent2 2 3 8 2" xfId="37099" xr:uid="{AC5F3472-ECA6-4058-B826-A613CD113C04}"/>
    <cellStyle name="40% - Accent2 2 3 8 2 2" xfId="37100" xr:uid="{0198F6C9-DDD9-41A6-B1E1-5D99A5B46523}"/>
    <cellStyle name="40% - Accent2 2 3 8 3" xfId="37101" xr:uid="{80A0AE43-8C47-489C-896E-B871466785FA}"/>
    <cellStyle name="40% - Accent2 2 3 8 3 2" xfId="37102" xr:uid="{068BB120-AE11-40A6-B8CF-317548621A1C}"/>
    <cellStyle name="40% - Accent2 2 3 8 4" xfId="37103" xr:uid="{4BF25474-2DA3-4B96-9E5B-EDF653BDC6B5}"/>
    <cellStyle name="40% - Accent2 2 3 9" xfId="2745" xr:uid="{E857E330-2BC7-4A24-9FAB-9567DCAF6361}"/>
    <cellStyle name="40% - Accent2 2 3 9 2" xfId="37104" xr:uid="{F0FC352E-75FC-4728-8DB5-FD0887A4AA2D}"/>
    <cellStyle name="40% - Accent2 2 4" xfId="2746" xr:uid="{B6536DDD-4BDD-4657-9E76-F090D1F59064}"/>
    <cellStyle name="40% - Accent2 2 4 2" xfId="2747" xr:uid="{180B2935-0D5F-45B5-BBF7-6DAFC74C0385}"/>
    <cellStyle name="40% - Accent2 2 4 2 2" xfId="2748" xr:uid="{6FA20ADE-3168-429D-B8B6-1646B866BDC4}"/>
    <cellStyle name="40% - Accent2 2 4 2 2 2" xfId="37105" xr:uid="{53481F28-4BF0-4114-A015-9456885C3124}"/>
    <cellStyle name="40% - Accent2 2 4 2 2 2 2" xfId="37106" xr:uid="{A9F117E8-8E97-4609-AC38-87E0BD0F9833}"/>
    <cellStyle name="40% - Accent2 2 4 2 2 3" xfId="37107" xr:uid="{D12859F1-03C8-408A-A4CE-121E190FEE6C}"/>
    <cellStyle name="40% - Accent2 2 4 2 2 3 2" xfId="37108" xr:uid="{B198B9D8-AE39-4C5E-9AA2-5A68DFDC34B7}"/>
    <cellStyle name="40% - Accent2 2 4 2 2 4" xfId="37109" xr:uid="{50FD29E0-47E2-4EBD-A4CF-856FAF1222E9}"/>
    <cellStyle name="40% - Accent2 2 4 2 3" xfId="2749" xr:uid="{4DB052FE-73E3-43C5-8E8C-1A9FA763F2F4}"/>
    <cellStyle name="40% - Accent2 2 4 2 3 2" xfId="37110" xr:uid="{9831864C-3E36-4FEB-BDC5-5F09A59B553F}"/>
    <cellStyle name="40% - Accent2 2 4 2 3 2 2" xfId="37111" xr:uid="{BA56A07C-16CD-4F3C-A16E-391F3459823C}"/>
    <cellStyle name="40% - Accent2 2 4 2 3 3" xfId="37112" xr:uid="{77FAF406-FBA3-46E3-A797-8539702E1616}"/>
    <cellStyle name="40% - Accent2 2 4 2 3 3 2" xfId="37113" xr:uid="{E2DC90A7-5BC8-4E13-A31D-B0AD1CB6BBB0}"/>
    <cellStyle name="40% - Accent2 2 4 2 3 4" xfId="37114" xr:uid="{78C976C7-218C-4DDC-8986-C762396E81A4}"/>
    <cellStyle name="40% - Accent2 2 4 2 4" xfId="37115" xr:uid="{11BEEDE7-ABFF-4371-96E4-62ABB4812A1B}"/>
    <cellStyle name="40% - Accent2 2 4 2 4 2" xfId="37116" xr:uid="{6A4FE180-F5AF-4437-86E5-985A77836A7F}"/>
    <cellStyle name="40% - Accent2 2 4 2 4 2 2" xfId="37117" xr:uid="{0E9D72E3-CCA2-49D1-89E4-808FAA30B174}"/>
    <cellStyle name="40% - Accent2 2 4 2 4 3" xfId="37118" xr:uid="{76CFCF56-50D6-4638-9B65-9BC6ED104D67}"/>
    <cellStyle name="40% - Accent2 2 4 2 4 3 2" xfId="37119" xr:uid="{0A34A69F-3764-4E1A-99ED-B35680601B9E}"/>
    <cellStyle name="40% - Accent2 2 4 2 4 4" xfId="37120" xr:uid="{66318B1D-B2D8-4AEF-93B7-69AEB636DD2E}"/>
    <cellStyle name="40% - Accent2 2 4 2 5" xfId="37121" xr:uid="{D9553CB1-A434-4F16-BA52-77CC36978766}"/>
    <cellStyle name="40% - Accent2 2 4 2 5 2" xfId="37122" xr:uid="{DEF64B1D-79B6-4C3A-BFD7-FD22C1AFC647}"/>
    <cellStyle name="40% - Accent2 2 4 2 6" xfId="37123" xr:uid="{3D2ACC58-A108-432B-AADE-F5161873F893}"/>
    <cellStyle name="40% - Accent2 2 4 2 6 2" xfId="37124" xr:uid="{2BEB1A31-2186-4BEE-9E94-C11E8A784248}"/>
    <cellStyle name="40% - Accent2 2 4 2 7" xfId="37125" xr:uid="{7291F491-DF35-4279-92AC-F915D0E01BCF}"/>
    <cellStyle name="40% - Accent2 2 4 3" xfId="2750" xr:uid="{C8357099-FE60-424F-B81C-7B218057CC3D}"/>
    <cellStyle name="40% - Accent2 2 4 3 2" xfId="37126" xr:uid="{1BDCE7DA-0179-48A5-8399-520FE29E18C6}"/>
    <cellStyle name="40% - Accent2 2 4 3 2 2" xfId="37127" xr:uid="{3333E2F3-689D-47B8-B93F-0EAEB4DE1BE5}"/>
    <cellStyle name="40% - Accent2 2 4 3 2 2 2" xfId="37128" xr:uid="{7B77D1D5-8040-4C4B-94BB-759242048370}"/>
    <cellStyle name="40% - Accent2 2 4 3 2 3" xfId="37129" xr:uid="{94C16A98-FBC9-4D02-B1CE-9849B2BC9F5B}"/>
    <cellStyle name="40% - Accent2 2 4 3 2 3 2" xfId="37130" xr:uid="{1A53F270-7E21-4767-A79F-87980A897F4A}"/>
    <cellStyle name="40% - Accent2 2 4 3 2 4" xfId="37131" xr:uid="{0E7C1230-5E35-4F71-B876-BB68A227B55A}"/>
    <cellStyle name="40% - Accent2 2 4 3 3" xfId="37132" xr:uid="{2F7A6023-7FEE-45E2-87AC-11C924809091}"/>
    <cellStyle name="40% - Accent2 2 4 3 3 2" xfId="37133" xr:uid="{438C1C76-412B-45D9-A721-CE9DEF68B82C}"/>
    <cellStyle name="40% - Accent2 2 4 3 3 2 2" xfId="37134" xr:uid="{3FB55FD6-CFAB-410B-AF44-BE8D4E3A9C4C}"/>
    <cellStyle name="40% - Accent2 2 4 3 3 3" xfId="37135" xr:uid="{CC23A45D-0480-483D-86D3-664C33358F88}"/>
    <cellStyle name="40% - Accent2 2 4 3 3 3 2" xfId="37136" xr:uid="{6AA2C611-1D25-4EDE-B0AF-D827995D3C30}"/>
    <cellStyle name="40% - Accent2 2 4 3 3 4" xfId="37137" xr:uid="{2A1EC426-D001-42D0-8D66-6C6D15FF3CE0}"/>
    <cellStyle name="40% - Accent2 2 4 3 4" xfId="37138" xr:uid="{5AE1A86A-C75D-4EF8-B3C8-3CA258FCA454}"/>
    <cellStyle name="40% - Accent2 2 4 3 4 2" xfId="37139" xr:uid="{93DFD2B3-9F4E-4373-999D-54E29C1986E9}"/>
    <cellStyle name="40% - Accent2 2 4 3 4 2 2" xfId="37140" xr:uid="{7BE3B5F7-014E-47BC-AB65-3DAA3836749D}"/>
    <cellStyle name="40% - Accent2 2 4 3 4 3" xfId="37141" xr:uid="{A281EB4D-9767-4172-BCC6-F5FB9A214D82}"/>
    <cellStyle name="40% - Accent2 2 4 3 4 3 2" xfId="37142" xr:uid="{ADC7BD8F-14A2-4FA6-814A-45039721B70C}"/>
    <cellStyle name="40% - Accent2 2 4 3 4 4" xfId="37143" xr:uid="{CCE9185A-2C29-4F64-B729-F385284FFBDC}"/>
    <cellStyle name="40% - Accent2 2 4 3 5" xfId="37144" xr:uid="{2118F704-B610-450B-AAC2-E4F83726B0E6}"/>
    <cellStyle name="40% - Accent2 2 4 3 5 2" xfId="37145" xr:uid="{5D7205F9-AF47-4961-AAD8-64A84BDCA7DB}"/>
    <cellStyle name="40% - Accent2 2 4 3 6" xfId="37146" xr:uid="{38BC1B18-5C2A-480B-8D5C-42C0857267C2}"/>
    <cellStyle name="40% - Accent2 2 4 3 6 2" xfId="37147" xr:uid="{474714C2-C32E-48E8-BB59-01E5551B78DD}"/>
    <cellStyle name="40% - Accent2 2 4 3 7" xfId="37148" xr:uid="{E3D41C50-C91F-4B15-9CAB-FF6CCF472359}"/>
    <cellStyle name="40% - Accent2 2 4 4" xfId="2751" xr:uid="{C4549224-3330-4B4E-95F6-B3D4889EBDA8}"/>
    <cellStyle name="40% - Accent2 2 4 4 2" xfId="37149" xr:uid="{5065579B-481D-47A6-8806-A216FC776907}"/>
    <cellStyle name="40% - Accent2 2 4 4 2 2" xfId="37150" xr:uid="{0D014791-3529-4657-8950-C782E0066D3A}"/>
    <cellStyle name="40% - Accent2 2 4 4 3" xfId="37151" xr:uid="{D99F7B3C-A747-4F30-847A-2A931BA02C7F}"/>
    <cellStyle name="40% - Accent2 2 4 4 3 2" xfId="37152" xr:uid="{10A021DD-AFFC-4FDD-9C4C-8A226DD242C2}"/>
    <cellStyle name="40% - Accent2 2 4 4 4" xfId="37153" xr:uid="{1981C4BC-A59C-46B7-8BC7-F25B83D9FF04}"/>
    <cellStyle name="40% - Accent2 2 4 5" xfId="2752" xr:uid="{8CB5F190-E1E8-4643-8F07-3C2D8DDBD8B2}"/>
    <cellStyle name="40% - Accent2 2 4 5 2" xfId="37154" xr:uid="{F0B0632C-3ADF-4692-8B7D-04E6208988C9}"/>
    <cellStyle name="40% - Accent2 2 4 5 2 2" xfId="37155" xr:uid="{6328990B-9EBB-4217-AFEE-2BBEC2F2B53D}"/>
    <cellStyle name="40% - Accent2 2 4 5 3" xfId="37156" xr:uid="{90382C41-17AF-4909-A1EF-F6955D551B59}"/>
    <cellStyle name="40% - Accent2 2 4 5 3 2" xfId="37157" xr:uid="{F8E34812-5880-40F3-81E3-E66B1A1A13DA}"/>
    <cellStyle name="40% - Accent2 2 4 5 4" xfId="37158" xr:uid="{9C9F1746-A360-425E-9442-64405A829A83}"/>
    <cellStyle name="40% - Accent2 2 4 6" xfId="37159" xr:uid="{D4A9637B-565A-41D5-9A82-73EA004A0AE1}"/>
    <cellStyle name="40% - Accent2 2 4 6 2" xfId="37160" xr:uid="{29F00B54-684A-4FA8-87AF-B2013FFFFD36}"/>
    <cellStyle name="40% - Accent2 2 4 6 2 2" xfId="37161" xr:uid="{C856AD93-04FD-4EEF-AB4A-66FAF208E84A}"/>
    <cellStyle name="40% - Accent2 2 4 6 3" xfId="37162" xr:uid="{3752A732-5401-4E13-82C4-ACE17D17BE3F}"/>
    <cellStyle name="40% - Accent2 2 4 6 3 2" xfId="37163" xr:uid="{890B47A2-2605-47A6-A252-FC54270C9326}"/>
    <cellStyle name="40% - Accent2 2 4 6 4" xfId="37164" xr:uid="{A4966B53-E017-45FE-8B81-E99B5E449617}"/>
    <cellStyle name="40% - Accent2 2 4 7" xfId="37165" xr:uid="{DA06C788-DB91-4465-99ED-0548D974CC72}"/>
    <cellStyle name="40% - Accent2 2 4 7 2" xfId="37166" xr:uid="{1F9A11D1-3C87-4D2E-AD1B-5078CA6DB17F}"/>
    <cellStyle name="40% - Accent2 2 4 8" xfId="37167" xr:uid="{DB81B03B-D669-4C1E-83B4-41754E1EAE41}"/>
    <cellStyle name="40% - Accent2 2 4 8 2" xfId="37168" xr:uid="{27D78426-532E-4348-9E8B-EB8BD6C66B49}"/>
    <cellStyle name="40% - Accent2 2 4 9" xfId="37169" xr:uid="{7013172E-9211-4697-8AEA-FF904F737803}"/>
    <cellStyle name="40% - Accent2 2 5" xfId="37170" xr:uid="{266F1C45-AE3C-464D-A6FF-406798988724}"/>
    <cellStyle name="40% - Accent2 2 5 2" xfId="37171" xr:uid="{CC53A6F6-0001-477D-A7C1-BAC67143434A}"/>
    <cellStyle name="40% - Accent2 2 5 2 2" xfId="37172" xr:uid="{9D0C40F6-4D26-41F8-BA53-3FA2AECFA57A}"/>
    <cellStyle name="40% - Accent2 2 5 2 2 2" xfId="37173" xr:uid="{E4021D2F-4A2E-490B-91F4-D81498C194C7}"/>
    <cellStyle name="40% - Accent2 2 5 2 3" xfId="37174" xr:uid="{D0CE26F6-27DC-45AF-87E1-EF4CDC611AAD}"/>
    <cellStyle name="40% - Accent2 2 5 2 3 2" xfId="37175" xr:uid="{D055A4A6-E3F6-419E-AB9C-39D0B4B3D05B}"/>
    <cellStyle name="40% - Accent2 2 5 2 4" xfId="37176" xr:uid="{1EE3E438-D6A9-4B08-9291-D0164913EADF}"/>
    <cellStyle name="40% - Accent2 2 5 3" xfId="37177" xr:uid="{C1D44C5C-AC2D-4B04-AA56-6C03E312B7F3}"/>
    <cellStyle name="40% - Accent2 2 5 3 2" xfId="37178" xr:uid="{BAB19914-998A-4A34-9A1B-4E09573A59E2}"/>
    <cellStyle name="40% - Accent2 2 5 3 2 2" xfId="37179" xr:uid="{1CAF1EB6-B511-4E71-A4B2-DB1B96171342}"/>
    <cellStyle name="40% - Accent2 2 5 3 3" xfId="37180" xr:uid="{E8294A07-653E-4700-86CE-883A4AE30928}"/>
    <cellStyle name="40% - Accent2 2 5 3 3 2" xfId="37181" xr:uid="{32875000-33AE-4BCD-A643-A7B3DA6F2792}"/>
    <cellStyle name="40% - Accent2 2 5 3 4" xfId="37182" xr:uid="{9C8F0611-BD8F-46F1-AC42-F119E26639C6}"/>
    <cellStyle name="40% - Accent2 2 5 4" xfId="37183" xr:uid="{332C79BF-76A9-4FD4-BBB9-37AC2717D190}"/>
    <cellStyle name="40% - Accent2 2 5 4 2" xfId="37184" xr:uid="{84695E39-BC8A-4435-9431-B536661C7824}"/>
    <cellStyle name="40% - Accent2 2 5 4 2 2" xfId="37185" xr:uid="{924178CD-8255-4EDC-BF03-D2DD1C0C9B6A}"/>
    <cellStyle name="40% - Accent2 2 5 4 3" xfId="37186" xr:uid="{09D67FE9-24BC-40CA-A20D-3C91E0B9548C}"/>
    <cellStyle name="40% - Accent2 2 5 4 3 2" xfId="37187" xr:uid="{BF781A8A-0B58-4114-ACCE-1885D3D2FD7E}"/>
    <cellStyle name="40% - Accent2 2 5 4 4" xfId="37188" xr:uid="{5252FE70-EA21-4C38-9251-22B770263564}"/>
    <cellStyle name="40% - Accent2 2 5 5" xfId="37189" xr:uid="{882AEF3E-EFA0-4CEC-A5AA-2CF08C6CEDC0}"/>
    <cellStyle name="40% - Accent2 2 5 5 2" xfId="37190" xr:uid="{E748790D-0AC9-4A13-8747-145CCAC2ECC2}"/>
    <cellStyle name="40% - Accent2 2 5 6" xfId="37191" xr:uid="{86CA9AF8-728C-4037-B595-10F872ABB683}"/>
    <cellStyle name="40% - Accent2 2 5 6 2" xfId="37192" xr:uid="{36DF893E-0D72-457F-930F-82ABBB2CC1C2}"/>
    <cellStyle name="40% - Accent2 2 5 7" xfId="37193" xr:uid="{6A1E21D8-6713-4C58-B1B5-3C72D1E0782D}"/>
    <cellStyle name="40% - Accent2 2 6" xfId="37194" xr:uid="{E3A35EED-F22E-4FAA-95B9-874EF0B84B9F}"/>
    <cellStyle name="40% - Accent2 2 6 2" xfId="37195" xr:uid="{D1728889-CB4C-4A19-B0EE-734EBB56797A}"/>
    <cellStyle name="40% - Accent2 2 6 2 2" xfId="37196" xr:uid="{732EDA78-8DA3-475E-9FD6-8C75727EBF0B}"/>
    <cellStyle name="40% - Accent2 2 6 3" xfId="37197" xr:uid="{81FABEB1-06AF-4F47-8254-F27A6B341882}"/>
    <cellStyle name="40% - Accent2 2 6 3 2" xfId="37198" xr:uid="{B678A30E-AC17-424F-A20C-A13BD21BB331}"/>
    <cellStyle name="40% - Accent2 2 6 4" xfId="37199" xr:uid="{B73A2F5E-C6EC-4C69-BB7A-E6EF8F05A84A}"/>
    <cellStyle name="40% - Accent2 2 7" xfId="37200" xr:uid="{18082E49-620C-4BF9-AE20-F3A6F4342B92}"/>
    <cellStyle name="40% - Accent2 2 7 2" xfId="37201" xr:uid="{739C5C1E-5517-47D4-85FF-4C8A08ECB6C6}"/>
    <cellStyle name="40% - Accent2 2 7 2 2" xfId="37202" xr:uid="{12BFB3BE-95C8-454A-A0E5-66DC0DE173E8}"/>
    <cellStyle name="40% - Accent2 2 7 3" xfId="37203" xr:uid="{79054C80-C33F-4F93-BEB2-AAC5F095E32C}"/>
    <cellStyle name="40% - Accent2 2 7 3 2" xfId="37204" xr:uid="{A6FC8EE0-B965-4725-8402-6679CDB3E069}"/>
    <cellStyle name="40% - Accent2 2 7 4" xfId="37205" xr:uid="{ECF0D458-CE43-4679-9B02-E8ED7FA43173}"/>
    <cellStyle name="40% - Accent2 2 8" xfId="37206" xr:uid="{61AC8BC3-22D2-48F0-8B56-4E78ABFA57E8}"/>
    <cellStyle name="40% - Accent2 2 9" xfId="37207" xr:uid="{1279C1AA-2696-4A44-B7BC-91BB62CEED42}"/>
    <cellStyle name="40% - Accent2 2_PwrTax 51040" xfId="2753" xr:uid="{4D6B83D4-7D4B-42E2-A405-9E57454FB9C2}"/>
    <cellStyle name="40% - Accent2 20" xfId="2754" xr:uid="{5DFAC8FB-D274-487D-A9D1-AECF23C2E133}"/>
    <cellStyle name="40% - Accent2 21" xfId="2755" xr:uid="{16EC4E92-0FB8-4041-9FA3-FD134D933609}"/>
    <cellStyle name="40% - Accent2 22" xfId="2756" xr:uid="{1B97C07E-F306-4C16-A327-9015C8C00196}"/>
    <cellStyle name="40% - Accent2 23" xfId="2757" xr:uid="{E15B0740-D94E-42AF-BC33-4D8210F57B32}"/>
    <cellStyle name="40% - Accent2 24" xfId="2758" xr:uid="{D3E6E039-4279-4BF7-ACEA-6C4FA05AF25D}"/>
    <cellStyle name="40% - Accent2 25" xfId="2759" xr:uid="{D68D1782-EA06-4C7D-A30F-6ECEE0B30AAC}"/>
    <cellStyle name="40% - Accent2 26" xfId="2760" xr:uid="{1CEB1D3F-9B17-4167-8E1F-6215CB445037}"/>
    <cellStyle name="40% - Accent2 27" xfId="2761" xr:uid="{4041839F-40F0-4B07-A480-8B45AF81972F}"/>
    <cellStyle name="40% - Accent2 28" xfId="2762" xr:uid="{63079547-BA24-4689-B61B-1BF7092F3F6F}"/>
    <cellStyle name="40% - Accent2 29" xfId="2763" xr:uid="{F7D89D57-737F-4C3B-B501-AC187CA63CCF}"/>
    <cellStyle name="40% - Accent2 3" xfId="2764" xr:uid="{77079BC4-BDB8-4F89-9AC7-64B28373E3B6}"/>
    <cellStyle name="40% - Accent2 3 10" xfId="37208" xr:uid="{A55ECDAA-D54E-48F3-808E-F7D3237B1893}"/>
    <cellStyle name="40% - Accent2 3 11" xfId="43530" xr:uid="{F599DDB4-4B31-4D86-9572-B4BFA79AA680}"/>
    <cellStyle name="40% - Accent2 3 2" xfId="2765" xr:uid="{5EF26488-D2D1-4DAA-827B-5AD670D62EAD}"/>
    <cellStyle name="40% - Accent2 3 2 2" xfId="37209" xr:uid="{7733D229-2673-461D-A8E3-06072C140087}"/>
    <cellStyle name="40% - Accent2 3 2 2 2" xfId="37210" xr:uid="{2EB9C27F-292F-4580-9D20-B956E83B4953}"/>
    <cellStyle name="40% - Accent2 3 2 3" xfId="37211" xr:uid="{A2F5ADEE-2CD6-4FDB-BB6F-12DF9DEFB761}"/>
    <cellStyle name="40% - Accent2 3 3" xfId="2766" xr:uid="{95DAC8D6-936F-4598-AC90-B90F56C6A863}"/>
    <cellStyle name="40% - Accent2 3 3 10" xfId="37212" xr:uid="{CA34A5C3-83AB-4714-AE2C-C362BD19E969}"/>
    <cellStyle name="40% - Accent2 3 3 10 2" xfId="37213" xr:uid="{4EE68AED-A38B-4B59-9D1B-31E70386A445}"/>
    <cellStyle name="40% - Accent2 3 3 11" xfId="37214" xr:uid="{9C248D5F-D676-443D-8DF8-E95BD6D1BBC0}"/>
    <cellStyle name="40% - Accent2 3 3 12" xfId="37215" xr:uid="{FAC048D8-B46A-41E1-B092-C6AC93088332}"/>
    <cellStyle name="40% - Accent2 3 3 2" xfId="2767" xr:uid="{37E86352-BD23-49A5-B3E1-FCE8CDA9BCD2}"/>
    <cellStyle name="40% - Accent2 3 3 2 2" xfId="2768" xr:uid="{863C501B-5601-4BA6-B9CF-C8AF8F094B4D}"/>
    <cellStyle name="40% - Accent2 3 3 2 2 2" xfId="2769" xr:uid="{33A43CF6-55DF-43CA-838D-8F88334C8FCC}"/>
    <cellStyle name="40% - Accent2 3 3 2 2 2 2" xfId="2770" xr:uid="{1ABB8BF4-A8A8-44C6-9F34-C169436AF9BA}"/>
    <cellStyle name="40% - Accent2 3 3 2 2 2 2 2" xfId="37216" xr:uid="{93FE85A2-4F14-4B0B-89D6-C899D12EAE94}"/>
    <cellStyle name="40% - Accent2 3 3 2 2 2 3" xfId="2771" xr:uid="{E02E8D2C-9246-40E5-855A-A22ACF089F98}"/>
    <cellStyle name="40% - Accent2 3 3 2 2 2 3 2" xfId="37217" xr:uid="{D847BDD2-B622-43AE-B4A6-7D5C84DF9E12}"/>
    <cellStyle name="40% - Accent2 3 3 2 2 2 4" xfId="37218" xr:uid="{0C005917-4C99-49D2-87B5-A16F83A5ECDD}"/>
    <cellStyle name="40% - Accent2 3 3 2 2 3" xfId="2772" xr:uid="{0321CBD3-AD54-4FE9-BF6F-E2BBDECF4D1C}"/>
    <cellStyle name="40% - Accent2 3 3 2 2 3 2" xfId="37219" xr:uid="{21D68823-DB8E-41CB-8C5F-D25309A3181B}"/>
    <cellStyle name="40% - Accent2 3 3 2 2 4" xfId="2773" xr:uid="{9F66567A-2896-44B4-8BF8-F13A9FD9A31A}"/>
    <cellStyle name="40% - Accent2 3 3 2 2 4 2" xfId="37220" xr:uid="{E118021F-4586-43E8-BC4F-D443EEE05587}"/>
    <cellStyle name="40% - Accent2 3 3 2 2 5" xfId="37221" xr:uid="{4CC2EFA4-35B0-4E1A-A3CE-775B8DEA8714}"/>
    <cellStyle name="40% - Accent2 3 3 2 3" xfId="2774" xr:uid="{DC1DCAE0-2DFA-45B2-8283-038ECF1C1D9E}"/>
    <cellStyle name="40% - Accent2 3 3 2 3 2" xfId="2775" xr:uid="{AE9F8A0E-B6D7-4164-8C2F-E97DAA6935D6}"/>
    <cellStyle name="40% - Accent2 3 3 2 3 2 2" xfId="37222" xr:uid="{636E2B36-36F9-4A9B-A4FE-1E3934D7283B}"/>
    <cellStyle name="40% - Accent2 3 3 2 3 3" xfId="2776" xr:uid="{949D8F44-4E47-44EC-85A6-A087BE49C1FE}"/>
    <cellStyle name="40% - Accent2 3 3 2 3 3 2" xfId="37223" xr:uid="{770A41CB-E293-4128-B99F-BBAB2F07A3DF}"/>
    <cellStyle name="40% - Accent2 3 3 2 3 4" xfId="37224" xr:uid="{EFE6146D-801B-4DB0-9EE6-A26D7F4931D6}"/>
    <cellStyle name="40% - Accent2 3 3 2 4" xfId="2777" xr:uid="{9F234D54-8046-4675-B6A0-9B2AD910F2E4}"/>
    <cellStyle name="40% - Accent2 3 3 2 4 2" xfId="37225" xr:uid="{955F7644-6AD5-4323-B812-2CD4EDF52F3E}"/>
    <cellStyle name="40% - Accent2 3 3 2 4 2 2" xfId="37226" xr:uid="{492C0C2B-E68A-4245-98EB-236B5929C220}"/>
    <cellStyle name="40% - Accent2 3 3 2 4 3" xfId="37227" xr:uid="{604849CB-2299-4E31-BB66-06F0730DB352}"/>
    <cellStyle name="40% - Accent2 3 3 2 4 3 2" xfId="37228" xr:uid="{7B9EB9ED-D346-4C6A-B826-55662FD0B3DF}"/>
    <cellStyle name="40% - Accent2 3 3 2 4 4" xfId="37229" xr:uid="{EA38E636-3E45-438A-9169-86F2D07C28A0}"/>
    <cellStyle name="40% - Accent2 3 3 2 5" xfId="2778" xr:uid="{C15DCB34-781D-4201-AF9A-09F78C917F8B}"/>
    <cellStyle name="40% - Accent2 3 3 2 5 2" xfId="37230" xr:uid="{E9E9C790-9590-40E4-B89D-E27331636F5C}"/>
    <cellStyle name="40% - Accent2 3 3 2 5 2 2" xfId="37231" xr:uid="{E2FDD77D-B097-4CD6-B646-5DAE12B73EAF}"/>
    <cellStyle name="40% - Accent2 3 3 2 5 3" xfId="37232" xr:uid="{3566C30B-415E-4C33-A07A-EA823D2EC28C}"/>
    <cellStyle name="40% - Accent2 3 3 2 5 3 2" xfId="37233" xr:uid="{F1EC0491-B36F-4A13-84A6-999F7D062EC2}"/>
    <cellStyle name="40% - Accent2 3 3 2 5 4" xfId="37234" xr:uid="{D13859F3-74A9-4F6B-A380-2239DC8305B4}"/>
    <cellStyle name="40% - Accent2 3 3 2 6" xfId="37235" xr:uid="{6B45B27D-8497-4109-85F4-B32C7F9F9CC1}"/>
    <cellStyle name="40% - Accent2 3 3 2 6 2" xfId="37236" xr:uid="{ED7E96DD-C482-4946-AD3E-B3ED91C27040}"/>
    <cellStyle name="40% - Accent2 3 3 2 6 2 2" xfId="37237" xr:uid="{FD3E7D86-C36B-4C5C-969F-806B86EFD85E}"/>
    <cellStyle name="40% - Accent2 3 3 2 6 3" xfId="37238" xr:uid="{C7F46538-4860-458B-91E1-553BE869DEFE}"/>
    <cellStyle name="40% - Accent2 3 3 2 6 3 2" xfId="37239" xr:uid="{7B5AA632-5246-438E-8A09-9EB340B84278}"/>
    <cellStyle name="40% - Accent2 3 3 2 6 4" xfId="37240" xr:uid="{FBED7939-05FB-48BD-9C8C-A105AD8B69E2}"/>
    <cellStyle name="40% - Accent2 3 3 2 7" xfId="37241" xr:uid="{725C1632-96BC-480C-848F-B88438AF3D17}"/>
    <cellStyle name="40% - Accent2 3 3 2 7 2" xfId="37242" xr:uid="{20F25EF7-BCAA-434E-9BD5-DDD287F300D5}"/>
    <cellStyle name="40% - Accent2 3 3 2 8" xfId="37243" xr:uid="{5920C7EB-52F8-4303-839F-3A86B0A8ED57}"/>
    <cellStyle name="40% - Accent2 3 3 2 8 2" xfId="37244" xr:uid="{930FC2C5-880C-476B-90ED-85950B7965A0}"/>
    <cellStyle name="40% - Accent2 3 3 2 9" xfId="37245" xr:uid="{293D5817-2D83-4F7A-ADC4-77F17B57006C}"/>
    <cellStyle name="40% - Accent2 3 3 3" xfId="2779" xr:uid="{1ADB9F51-0B70-482F-B37A-06470318156B}"/>
    <cellStyle name="40% - Accent2 3 3 3 2" xfId="2780" xr:uid="{56B5860A-10DC-4E0C-A52A-606EBB475EE2}"/>
    <cellStyle name="40% - Accent2 3 3 3 2 2" xfId="2781" xr:uid="{FDD64ED9-DA31-4A8B-897E-92576C2BA0E8}"/>
    <cellStyle name="40% - Accent2 3 3 3 2 2 2" xfId="37246" xr:uid="{D9D27408-83CF-40BE-93F4-D30E6C779032}"/>
    <cellStyle name="40% - Accent2 3 3 3 2 3" xfId="2782" xr:uid="{EC139B7A-FE48-4B33-BE7F-67E2EB46D3C3}"/>
    <cellStyle name="40% - Accent2 3 3 3 2 3 2" xfId="37247" xr:uid="{6677F4CD-DF15-4972-A5BE-B7FDB8762B5C}"/>
    <cellStyle name="40% - Accent2 3 3 3 2 4" xfId="37248" xr:uid="{A277D19F-2832-4A97-BA87-63993F899C42}"/>
    <cellStyle name="40% - Accent2 3 3 3 3" xfId="2783" xr:uid="{07FB2585-49A3-4169-B6D6-C898655866D0}"/>
    <cellStyle name="40% - Accent2 3 3 3 3 2" xfId="37249" xr:uid="{7D82E1AD-5C88-4924-BC95-54FDA650A06B}"/>
    <cellStyle name="40% - Accent2 3 3 3 3 2 2" xfId="37250" xr:uid="{B0C1BB23-D5E8-459C-9093-A1434C4EA844}"/>
    <cellStyle name="40% - Accent2 3 3 3 3 3" xfId="37251" xr:uid="{3BA6A5A5-F958-4A8D-8A08-704CFFE7623B}"/>
    <cellStyle name="40% - Accent2 3 3 3 3 3 2" xfId="37252" xr:uid="{D23C8AA5-FBAD-45FB-B7DA-E6CA4D04FE6E}"/>
    <cellStyle name="40% - Accent2 3 3 3 3 4" xfId="37253" xr:uid="{92C0F787-07F7-4A66-AC29-D90ADB6CF995}"/>
    <cellStyle name="40% - Accent2 3 3 3 4" xfId="2784" xr:uid="{DA203D2A-C5D5-4FFE-A1D3-97E222666A99}"/>
    <cellStyle name="40% - Accent2 3 3 3 4 2" xfId="37254" xr:uid="{21968DC7-B9C2-4815-BC7A-532197E8851D}"/>
    <cellStyle name="40% - Accent2 3 3 3 4 2 2" xfId="37255" xr:uid="{FBB1D83B-F92E-4121-A2DD-7E71276428AF}"/>
    <cellStyle name="40% - Accent2 3 3 3 4 3" xfId="37256" xr:uid="{CC8D8940-478C-475E-B718-615BE676DF11}"/>
    <cellStyle name="40% - Accent2 3 3 3 4 3 2" xfId="37257" xr:uid="{37CCFA0A-8E0A-479C-ABF3-CAE147B7455D}"/>
    <cellStyle name="40% - Accent2 3 3 3 4 4" xfId="37258" xr:uid="{4E6E9BE8-68A0-4928-8FE2-E489584A7929}"/>
    <cellStyle name="40% - Accent2 3 3 3 5" xfId="2785" xr:uid="{B5E99B83-7B87-428D-A8C2-22DC8411FEB5}"/>
    <cellStyle name="40% - Accent2 3 3 3 5 2" xfId="37259" xr:uid="{C341E39D-5575-40FF-A9BC-DC084CFC5204}"/>
    <cellStyle name="40% - Accent2 3 3 3 5 2 2" xfId="37260" xr:uid="{48155870-907F-4D4B-B607-47FC4AD16725}"/>
    <cellStyle name="40% - Accent2 3 3 3 5 3" xfId="37261" xr:uid="{382AB7C6-7384-4579-8B88-6E7377AB3551}"/>
    <cellStyle name="40% - Accent2 3 3 3 5 3 2" xfId="37262" xr:uid="{FB215A8D-7B91-4719-A8EE-2DCBF6C549F7}"/>
    <cellStyle name="40% - Accent2 3 3 3 5 4" xfId="37263" xr:uid="{2DBFB4F4-B3C7-4E6C-8B0A-48FC3ECE2521}"/>
    <cellStyle name="40% - Accent2 3 3 3 6" xfId="37264" xr:uid="{07FDDD9C-8E09-4AD1-B604-B2A30D807DC2}"/>
    <cellStyle name="40% - Accent2 3 3 3 6 2" xfId="37265" xr:uid="{2DB92C5A-A980-4025-AC75-B07DA022A1DA}"/>
    <cellStyle name="40% - Accent2 3 3 3 7" xfId="37266" xr:uid="{24A6639E-9598-431A-A732-9DC0140E1A79}"/>
    <cellStyle name="40% - Accent2 3 3 3 7 2" xfId="37267" xr:uid="{A791A707-04C5-4DB0-8690-069D25197EA9}"/>
    <cellStyle name="40% - Accent2 3 3 3 8" xfId="37268" xr:uid="{3C5CBD9A-9B4A-4993-A5DC-BABE07B0FFA3}"/>
    <cellStyle name="40% - Accent2 3 3 4" xfId="2786" xr:uid="{334B8C1E-5E1D-4B62-8316-E396ABB7E0A0}"/>
    <cellStyle name="40% - Accent2 3 3 4 2" xfId="2787" xr:uid="{6844F764-7BAC-461D-B711-6A20966FC7BF}"/>
    <cellStyle name="40% - Accent2 3 3 4 2 2" xfId="2788" xr:uid="{4109288D-B028-4FC2-8EF4-076C585FEF17}"/>
    <cellStyle name="40% - Accent2 3 3 4 2 2 2" xfId="37269" xr:uid="{7BC82095-A435-44A2-A948-35712D5C7D33}"/>
    <cellStyle name="40% - Accent2 3 3 4 2 3" xfId="2789" xr:uid="{442D1455-7FDF-4A80-844E-3B182830B84C}"/>
    <cellStyle name="40% - Accent2 3 3 4 2 3 2" xfId="37270" xr:uid="{A7485E19-BCEF-46FB-882B-1E445344462B}"/>
    <cellStyle name="40% - Accent2 3 3 4 2 4" xfId="37271" xr:uid="{CF8F5AC7-9898-4608-B276-2D105BC91E8C}"/>
    <cellStyle name="40% - Accent2 3 3 4 3" xfId="2790" xr:uid="{DD812AE0-0380-4C2A-9DE6-B24CF9D027A4}"/>
    <cellStyle name="40% - Accent2 3 3 4 3 2" xfId="37272" xr:uid="{8FBEB026-53C9-444C-8E7F-9399263D6431}"/>
    <cellStyle name="40% - Accent2 3 3 4 3 2 2" xfId="37273" xr:uid="{FD025775-E552-47F6-AD50-1F170B46772F}"/>
    <cellStyle name="40% - Accent2 3 3 4 3 3" xfId="37274" xr:uid="{32EF6662-F9F4-494F-9209-08A1FAD02D0D}"/>
    <cellStyle name="40% - Accent2 3 3 4 3 3 2" xfId="37275" xr:uid="{825CFC75-DED5-4521-9FF6-57DF332FD6C8}"/>
    <cellStyle name="40% - Accent2 3 3 4 3 4" xfId="37276" xr:uid="{E75F5C72-268F-478C-8D1B-2DDA6656F872}"/>
    <cellStyle name="40% - Accent2 3 3 4 4" xfId="2791" xr:uid="{55AA8731-52A2-40A5-A002-6208817C3D7C}"/>
    <cellStyle name="40% - Accent2 3 3 4 4 2" xfId="37277" xr:uid="{267212BC-118F-4E90-81AD-62AEFF23949A}"/>
    <cellStyle name="40% - Accent2 3 3 4 4 2 2" xfId="37278" xr:uid="{666CC6AB-3939-4444-A73D-BA854FA2240D}"/>
    <cellStyle name="40% - Accent2 3 3 4 4 3" xfId="37279" xr:uid="{31960EC0-21FF-42D8-8CD6-7D90B9478301}"/>
    <cellStyle name="40% - Accent2 3 3 4 4 3 2" xfId="37280" xr:uid="{10BEFCC8-DD04-4EA1-A617-60B05271E23B}"/>
    <cellStyle name="40% - Accent2 3 3 4 4 4" xfId="37281" xr:uid="{D650D867-0C9B-4C39-80F0-C9D22950BD3E}"/>
    <cellStyle name="40% - Accent2 3 3 4 5" xfId="37282" xr:uid="{2A4EB575-066C-4377-B041-37D404BB3347}"/>
    <cellStyle name="40% - Accent2 3 3 4 5 2" xfId="37283" xr:uid="{92ED6868-655A-4A93-AF4E-7C1FC2A6AFE1}"/>
    <cellStyle name="40% - Accent2 3 3 4 6" xfId="37284" xr:uid="{435A69BF-2045-4B6C-B3CB-7C31C0A07957}"/>
    <cellStyle name="40% - Accent2 3 3 4 6 2" xfId="37285" xr:uid="{91C64546-E3A3-432A-ABA4-454FAA0464E0}"/>
    <cellStyle name="40% - Accent2 3 3 4 7" xfId="37286" xr:uid="{67B1BD9F-55B2-44B8-A32C-3C8FD3BB83B8}"/>
    <cellStyle name="40% - Accent2 3 3 5" xfId="2792" xr:uid="{A6F00E8D-573E-4B6D-9CC9-3D62457E94DE}"/>
    <cellStyle name="40% - Accent2 3 3 5 2" xfId="2793" xr:uid="{17FC9544-56C1-41F0-927D-DF60CEBF80BF}"/>
    <cellStyle name="40% - Accent2 3 3 5 2 2" xfId="37287" xr:uid="{5C3CF775-C932-439F-9AA5-D855C33D02FF}"/>
    <cellStyle name="40% - Accent2 3 3 5 2 2 2" xfId="37288" xr:uid="{161FD96B-303A-4C40-96F7-3B9FC7024D5F}"/>
    <cellStyle name="40% - Accent2 3 3 5 2 3" xfId="37289" xr:uid="{6938E810-F5F5-40D2-8B05-BF4E2CD96A77}"/>
    <cellStyle name="40% - Accent2 3 3 5 2 3 2" xfId="37290" xr:uid="{9D71C952-4F3A-480A-9BCA-C6616C4CB69D}"/>
    <cellStyle name="40% - Accent2 3 3 5 2 4" xfId="37291" xr:uid="{6D3965FC-A413-4ACD-A4C3-36FDF901B6E0}"/>
    <cellStyle name="40% - Accent2 3 3 5 3" xfId="2794" xr:uid="{4D8822B3-9C4F-44ED-B93A-B110F51E7A45}"/>
    <cellStyle name="40% - Accent2 3 3 5 3 2" xfId="37292" xr:uid="{DF40F4C4-7759-4036-B035-C03D115E4C34}"/>
    <cellStyle name="40% - Accent2 3 3 5 3 2 2" xfId="37293" xr:uid="{CF5CA94E-F14F-49B1-9435-19B49367485C}"/>
    <cellStyle name="40% - Accent2 3 3 5 3 3" xfId="37294" xr:uid="{EDCAFFD1-1A3B-4990-B68C-19D3F8F1B7D3}"/>
    <cellStyle name="40% - Accent2 3 3 5 3 3 2" xfId="37295" xr:uid="{8F1FEEBF-7425-4489-8D4C-6E465228F854}"/>
    <cellStyle name="40% - Accent2 3 3 5 3 4" xfId="37296" xr:uid="{15EEA587-7FC6-4848-A8B7-DC6703BA6283}"/>
    <cellStyle name="40% - Accent2 3 3 5 4" xfId="37297" xr:uid="{54940BEC-155B-40EF-91F7-1BFB7ABE7920}"/>
    <cellStyle name="40% - Accent2 3 3 5 4 2" xfId="37298" xr:uid="{18CE8A3C-6BE1-441D-9779-39EFC36FFBF1}"/>
    <cellStyle name="40% - Accent2 3 3 5 4 2 2" xfId="37299" xr:uid="{923BF9ED-ECDA-446F-8B47-BC921FD33245}"/>
    <cellStyle name="40% - Accent2 3 3 5 4 3" xfId="37300" xr:uid="{0FAEB12A-9B6C-49E6-B3DE-F00677DB53B3}"/>
    <cellStyle name="40% - Accent2 3 3 5 4 3 2" xfId="37301" xr:uid="{56C28BC7-7FF7-4DEA-A070-4873E0547AD7}"/>
    <cellStyle name="40% - Accent2 3 3 5 4 4" xfId="37302" xr:uid="{DE4BA3D8-69FB-4344-A21F-FCDE5E3FA414}"/>
    <cellStyle name="40% - Accent2 3 3 5 5" xfId="37303" xr:uid="{CA5375ED-AF71-4519-A751-5E8116FE7759}"/>
    <cellStyle name="40% - Accent2 3 3 5 5 2" xfId="37304" xr:uid="{0454F764-3E25-4E17-AF75-6C265157A20F}"/>
    <cellStyle name="40% - Accent2 3 3 5 6" xfId="37305" xr:uid="{4FADEB87-CA1F-4F73-877E-BB474597AB7A}"/>
    <cellStyle name="40% - Accent2 3 3 5 6 2" xfId="37306" xr:uid="{3A211D6D-377B-4F7B-B44F-0F6350CEBDBF}"/>
    <cellStyle name="40% - Accent2 3 3 5 7" xfId="37307" xr:uid="{730B1F77-B5B5-4C39-B132-FECB66967D7A}"/>
    <cellStyle name="40% - Accent2 3 3 6" xfId="2795" xr:uid="{D99F1EF6-0128-41BC-87DC-B9331AB9EA1B}"/>
    <cellStyle name="40% - Accent2 3 3 6 2" xfId="37308" xr:uid="{E4D530C9-0BC5-4512-AB76-FFA983F12270}"/>
    <cellStyle name="40% - Accent2 3 3 6 2 2" xfId="37309" xr:uid="{76C59055-6D53-4EFF-B394-9C6C8BAD3008}"/>
    <cellStyle name="40% - Accent2 3 3 6 3" xfId="37310" xr:uid="{9FA0D71E-4EC6-4A2E-8537-EF2CC1722A21}"/>
    <cellStyle name="40% - Accent2 3 3 6 3 2" xfId="37311" xr:uid="{62A8416E-925E-483F-BB6E-08FDE0C9ACD8}"/>
    <cellStyle name="40% - Accent2 3 3 6 4" xfId="37312" xr:uid="{B810AD50-962C-4793-BFD1-7DA491965EA3}"/>
    <cellStyle name="40% - Accent2 3 3 7" xfId="2796" xr:uid="{BCE00439-B3A1-488C-8618-C40D847C9597}"/>
    <cellStyle name="40% - Accent2 3 3 7 2" xfId="37313" xr:uid="{DD8C68F8-0185-45BC-8B2C-27FAAFA65E6D}"/>
    <cellStyle name="40% - Accent2 3 3 7 2 2" xfId="37314" xr:uid="{4FB527FD-F649-4005-A137-5601115B0473}"/>
    <cellStyle name="40% - Accent2 3 3 7 3" xfId="37315" xr:uid="{36597BB0-6A3B-42B7-BDC3-7076DC585563}"/>
    <cellStyle name="40% - Accent2 3 3 7 3 2" xfId="37316" xr:uid="{4D319211-49C0-4F8C-82C5-B6976D03743F}"/>
    <cellStyle name="40% - Accent2 3 3 7 4" xfId="37317" xr:uid="{B89F2D3C-4020-465C-9108-851E423B21E3}"/>
    <cellStyle name="40% - Accent2 3 3 8" xfId="2797" xr:uid="{7BE52B82-7CA2-4A80-BE24-62FA16B08336}"/>
    <cellStyle name="40% - Accent2 3 3 8 2" xfId="37318" xr:uid="{40E3D23A-C45A-448F-8B00-1160451FB4EF}"/>
    <cellStyle name="40% - Accent2 3 3 8 2 2" xfId="37319" xr:uid="{B85B653D-A9E7-4583-846A-C9992134FDD4}"/>
    <cellStyle name="40% - Accent2 3 3 8 3" xfId="37320" xr:uid="{E7050379-A97E-4927-816C-63862A89A6B7}"/>
    <cellStyle name="40% - Accent2 3 3 8 3 2" xfId="37321" xr:uid="{9F965AB5-E49F-4AFD-9798-0B91232EEC94}"/>
    <cellStyle name="40% - Accent2 3 3 8 4" xfId="37322" xr:uid="{8080F605-A611-46AB-851A-9E54A048F7C1}"/>
    <cellStyle name="40% - Accent2 3 3 9" xfId="37323" xr:uid="{43E1E78C-7482-45A3-A557-4A39A06152B7}"/>
    <cellStyle name="40% - Accent2 3 3 9 2" xfId="37324" xr:uid="{0B8EC270-B99B-4A42-B009-B9333A651F81}"/>
    <cellStyle name="40% - Accent2 3 4" xfId="2798" xr:uid="{E8D8845E-19D0-4FF2-8615-94FD3077AD7B}"/>
    <cellStyle name="40% - Accent2 3 4 10" xfId="37325" xr:uid="{443506A5-3E8D-457D-9B11-77999177142A}"/>
    <cellStyle name="40% - Accent2 3 4 2" xfId="2799" xr:uid="{1C4C066A-FD6D-4A08-88C7-3E1D56AAA946}"/>
    <cellStyle name="40% - Accent2 3 4 2 2" xfId="2800" xr:uid="{1D60D5A5-3B15-4D38-8E4D-7C8EBCE378A2}"/>
    <cellStyle name="40% - Accent2 3 4 2 2 2" xfId="2801" xr:uid="{4A4E0A77-C234-466C-9906-82D6483DE80B}"/>
    <cellStyle name="40% - Accent2 3 4 2 2 2 2" xfId="37326" xr:uid="{BE896077-7BB2-4E7E-BC18-31D5F81D0F10}"/>
    <cellStyle name="40% - Accent2 3 4 2 2 3" xfId="2802" xr:uid="{5F8ECF61-EAE6-4BD7-8A7D-BDC62BCCCF16}"/>
    <cellStyle name="40% - Accent2 3 4 2 2 3 2" xfId="37327" xr:uid="{3350299F-6654-44F1-A0C0-FA65AD34F0DB}"/>
    <cellStyle name="40% - Accent2 3 4 2 2 4" xfId="37328" xr:uid="{FCF67404-6787-4290-8761-CF840876BA26}"/>
    <cellStyle name="40% - Accent2 3 4 2 3" xfId="2803" xr:uid="{58BB1EAE-CF67-44C5-9E5B-1A4847A5B4BE}"/>
    <cellStyle name="40% - Accent2 3 4 2 3 2" xfId="37329" xr:uid="{FFC90667-F846-4ABD-90C3-732FF1EBFB67}"/>
    <cellStyle name="40% - Accent2 3 4 2 3 2 2" xfId="37330" xr:uid="{511ACC80-3034-4FA6-9700-CDB220A35908}"/>
    <cellStyle name="40% - Accent2 3 4 2 3 3" xfId="37331" xr:uid="{8460546E-9CE5-4C27-AF99-EA1A28E45590}"/>
    <cellStyle name="40% - Accent2 3 4 2 3 3 2" xfId="37332" xr:uid="{284159E4-1689-4C11-99DC-6081B2610D58}"/>
    <cellStyle name="40% - Accent2 3 4 2 3 4" xfId="37333" xr:uid="{46F1601E-4A5F-4E66-BC72-705EFAA5E08D}"/>
    <cellStyle name="40% - Accent2 3 4 2 4" xfId="2804" xr:uid="{A3CF5C34-4C2C-48D1-A864-27B6A83AA1E6}"/>
    <cellStyle name="40% - Accent2 3 4 2 4 2" xfId="37334" xr:uid="{2CF1D628-B8A2-45D9-B463-75EAF56112BE}"/>
    <cellStyle name="40% - Accent2 3 4 2 4 2 2" xfId="37335" xr:uid="{3E3BD26A-6513-4E3E-8026-EF96D748B49E}"/>
    <cellStyle name="40% - Accent2 3 4 2 4 3" xfId="37336" xr:uid="{F0D903B2-A902-4DF6-B14F-91740DD6EFB7}"/>
    <cellStyle name="40% - Accent2 3 4 2 4 3 2" xfId="37337" xr:uid="{6F16887A-2AD8-428B-8C94-A4CA096248D2}"/>
    <cellStyle name="40% - Accent2 3 4 2 4 4" xfId="37338" xr:uid="{932BEE1A-3A05-439C-9DA5-12D6F2E2EAE9}"/>
    <cellStyle name="40% - Accent2 3 4 2 5" xfId="37339" xr:uid="{EC782AFE-EC4A-41D9-AFFC-898F4CE4BF10}"/>
    <cellStyle name="40% - Accent2 3 4 2 5 2" xfId="37340" xr:uid="{4447FAAD-7971-4500-9A83-49DB46B866F2}"/>
    <cellStyle name="40% - Accent2 3 4 2 5 2 2" xfId="37341" xr:uid="{61A28557-11FB-4F73-8981-BDE7A33D7484}"/>
    <cellStyle name="40% - Accent2 3 4 2 5 3" xfId="37342" xr:uid="{BD022B81-3852-4546-BBA6-3827F06956CF}"/>
    <cellStyle name="40% - Accent2 3 4 2 5 3 2" xfId="37343" xr:uid="{0DF9DEB5-C22A-4D0B-B5B3-5807215EDC21}"/>
    <cellStyle name="40% - Accent2 3 4 2 5 4" xfId="37344" xr:uid="{4ED94621-97B2-467C-9B79-75E32C624093}"/>
    <cellStyle name="40% - Accent2 3 4 2 6" xfId="37345" xr:uid="{71B145FC-CB3B-49F8-9A77-01593C550A30}"/>
    <cellStyle name="40% - Accent2 3 4 2 6 2" xfId="37346" xr:uid="{DDB0A361-F031-405E-95DC-38874B9C3628}"/>
    <cellStyle name="40% - Accent2 3 4 2 7" xfId="37347" xr:uid="{F5F80AF9-7D6C-432B-89E8-551A25745025}"/>
    <cellStyle name="40% - Accent2 3 4 2 7 2" xfId="37348" xr:uid="{C71B13D3-3E2F-4847-AAF7-A03402F17E1D}"/>
    <cellStyle name="40% - Accent2 3 4 2 8" xfId="37349" xr:uid="{8ED26102-2E1D-46E3-BF55-14A875E50EC3}"/>
    <cellStyle name="40% - Accent2 3 4 3" xfId="2805" xr:uid="{16BF32EA-C835-45F3-BA3D-325616ED1FE7}"/>
    <cellStyle name="40% - Accent2 3 4 3 2" xfId="2806" xr:uid="{1BD3CC5C-015D-4395-A418-DDE8F340A097}"/>
    <cellStyle name="40% - Accent2 3 4 3 2 2" xfId="37350" xr:uid="{AF8B4AED-3F7F-4F56-9EC8-606A665C6F3A}"/>
    <cellStyle name="40% - Accent2 3 4 3 2 2 2" xfId="37351" xr:uid="{D98080F7-F1A9-402C-A45C-B655646F396B}"/>
    <cellStyle name="40% - Accent2 3 4 3 2 3" xfId="37352" xr:uid="{727FDDCE-CD6D-47F8-8F29-5265D4A8BBBF}"/>
    <cellStyle name="40% - Accent2 3 4 3 2 3 2" xfId="37353" xr:uid="{A0AFF626-6120-4EBF-A73E-9E26D1A0EF37}"/>
    <cellStyle name="40% - Accent2 3 4 3 2 4" xfId="37354" xr:uid="{1836885A-8A59-4B25-9F70-E73C816C316C}"/>
    <cellStyle name="40% - Accent2 3 4 3 3" xfId="2807" xr:uid="{F14A79F3-9349-4ABB-BC83-2748BB4F709C}"/>
    <cellStyle name="40% - Accent2 3 4 3 3 2" xfId="37355" xr:uid="{B09F93DB-3AD6-4AC4-BC27-14D82DEA7296}"/>
    <cellStyle name="40% - Accent2 3 4 3 3 2 2" xfId="37356" xr:uid="{894FF48F-15A0-4420-8885-3574ADEC3D46}"/>
    <cellStyle name="40% - Accent2 3 4 3 3 3" xfId="37357" xr:uid="{A0E085C3-5276-4260-B0B7-FA9C67139630}"/>
    <cellStyle name="40% - Accent2 3 4 3 3 3 2" xfId="37358" xr:uid="{2623A293-1D0F-44B1-8598-B138D15D0341}"/>
    <cellStyle name="40% - Accent2 3 4 3 3 4" xfId="37359" xr:uid="{20285E79-0C4F-498A-88ED-B0BCB95C98AA}"/>
    <cellStyle name="40% - Accent2 3 4 3 4" xfId="37360" xr:uid="{E15F201E-FA12-4FA0-9798-45DC400597DE}"/>
    <cellStyle name="40% - Accent2 3 4 3 4 2" xfId="37361" xr:uid="{50022C88-15C9-43D6-A87D-B5FDF0EA3895}"/>
    <cellStyle name="40% - Accent2 3 4 3 4 2 2" xfId="37362" xr:uid="{6F2F2D7F-71B8-4DD5-89C2-58D7D7F65A5C}"/>
    <cellStyle name="40% - Accent2 3 4 3 4 3" xfId="37363" xr:uid="{810E30A3-0872-4C21-BA2E-BABCE299B9C7}"/>
    <cellStyle name="40% - Accent2 3 4 3 4 3 2" xfId="37364" xr:uid="{B572F412-9B19-4935-AE01-94C74CE2478F}"/>
    <cellStyle name="40% - Accent2 3 4 3 4 4" xfId="37365" xr:uid="{54F2129D-9A05-4F9A-A1D6-61EAE74E0B76}"/>
    <cellStyle name="40% - Accent2 3 4 3 5" xfId="37366" xr:uid="{5A250EDD-F761-4FE5-A0F9-40AA5B09A163}"/>
    <cellStyle name="40% - Accent2 3 4 3 5 2" xfId="37367" xr:uid="{9A39779F-8942-4E36-8C11-722A0BF78206}"/>
    <cellStyle name="40% - Accent2 3 4 3 6" xfId="37368" xr:uid="{796B0F31-962B-44DB-8581-2E045C90FF5C}"/>
    <cellStyle name="40% - Accent2 3 4 3 6 2" xfId="37369" xr:uid="{0A0CF736-54A3-4486-BEED-4DCD6AE15803}"/>
    <cellStyle name="40% - Accent2 3 4 3 7" xfId="37370" xr:uid="{B873D610-D505-47D4-A9CE-A8BFA42C24D8}"/>
    <cellStyle name="40% - Accent2 3 4 4" xfId="2808" xr:uid="{FA0360DE-4A0E-41F5-B03C-061C2321110E}"/>
    <cellStyle name="40% - Accent2 3 4 4 2" xfId="37371" xr:uid="{F80E03D4-E170-4C72-88A6-510C3F85AF4B}"/>
    <cellStyle name="40% - Accent2 3 4 4 2 2" xfId="37372" xr:uid="{B7747064-4EBE-4A34-AF8E-0357FD868CA8}"/>
    <cellStyle name="40% - Accent2 3 4 4 3" xfId="37373" xr:uid="{445BBB31-7CAD-40B6-965D-28F33B514A96}"/>
    <cellStyle name="40% - Accent2 3 4 4 3 2" xfId="37374" xr:uid="{79965878-46AC-404B-B498-2E71A5B6AE51}"/>
    <cellStyle name="40% - Accent2 3 4 4 4" xfId="37375" xr:uid="{66AA755C-DECB-4B49-BCE1-6510E114494B}"/>
    <cellStyle name="40% - Accent2 3 4 5" xfId="2809" xr:uid="{0EA47192-8EE1-49E6-B7A5-93A01C5A6E62}"/>
    <cellStyle name="40% - Accent2 3 4 5 2" xfId="37376" xr:uid="{FC47ED03-0F38-437E-87C5-FEDC418FE7ED}"/>
    <cellStyle name="40% - Accent2 3 4 5 2 2" xfId="37377" xr:uid="{9EBC6DFA-C993-4B88-B747-38345F2186E3}"/>
    <cellStyle name="40% - Accent2 3 4 5 3" xfId="37378" xr:uid="{EB27395F-581C-4DDD-9163-CFB59D0CD2A7}"/>
    <cellStyle name="40% - Accent2 3 4 5 3 2" xfId="37379" xr:uid="{8893251D-5886-4DD4-BFD4-2C5C91AF6BD8}"/>
    <cellStyle name="40% - Accent2 3 4 5 4" xfId="37380" xr:uid="{904C7F4F-B95A-4732-AF8A-BA81A0F10EEE}"/>
    <cellStyle name="40% - Accent2 3 4 6" xfId="2810" xr:uid="{2DC713E6-15EF-42F6-A8CD-9D4B3244B242}"/>
    <cellStyle name="40% - Accent2 3 4 6 2" xfId="37381" xr:uid="{811E2A05-A47C-4B9D-B3EA-B9FD1054BD20}"/>
    <cellStyle name="40% - Accent2 3 4 6 2 2" xfId="37382" xr:uid="{C4D16B84-9AE0-409F-AC03-103370FB2C41}"/>
    <cellStyle name="40% - Accent2 3 4 6 3" xfId="37383" xr:uid="{EE6F801D-8FF9-43F7-9BB1-2F6C4E21B811}"/>
    <cellStyle name="40% - Accent2 3 4 6 3 2" xfId="37384" xr:uid="{EAE2AA7C-6937-4027-A5E3-9807AF4CEAE7}"/>
    <cellStyle name="40% - Accent2 3 4 6 4" xfId="37385" xr:uid="{8A3BABBB-6701-4094-B772-118FA305E440}"/>
    <cellStyle name="40% - Accent2 3 4 7" xfId="37386" xr:uid="{66FA736E-E91A-49D5-AEBC-D7B3419DF701}"/>
    <cellStyle name="40% - Accent2 3 4 7 2" xfId="37387" xr:uid="{BC07343C-D4BE-4A4E-94FD-D569868BB8CB}"/>
    <cellStyle name="40% - Accent2 3 4 8" xfId="37388" xr:uid="{911ECBD8-583F-429F-AA73-BB00B49EB0DC}"/>
    <cellStyle name="40% - Accent2 3 4 8 2" xfId="37389" xr:uid="{C4EDDC56-D471-4791-9E64-61D5BF865DA5}"/>
    <cellStyle name="40% - Accent2 3 4 9" xfId="37390" xr:uid="{B72B24BF-8A65-4BDA-997D-52A3EC4654CA}"/>
    <cellStyle name="40% - Accent2 3 5" xfId="2811" xr:uid="{6EAE7384-B0FF-4D12-B03D-ED0E4F666EA0}"/>
    <cellStyle name="40% - Accent2 3 5 2" xfId="2812" xr:uid="{C670DED5-924D-4963-94AB-18CE43946749}"/>
    <cellStyle name="40% - Accent2 3 5 2 2" xfId="2813" xr:uid="{3EB29740-7B04-4ABF-A476-8965FE721E24}"/>
    <cellStyle name="40% - Accent2 3 5 2 2 2" xfId="37391" xr:uid="{2A231943-D45E-436E-B2B6-3FF47A894177}"/>
    <cellStyle name="40% - Accent2 3 5 2 3" xfId="2814" xr:uid="{C5AA92B6-5B4D-4B12-B40E-5EF45097AA77}"/>
    <cellStyle name="40% - Accent2 3 5 2 3 2" xfId="37392" xr:uid="{8B9656F2-7DF0-4B29-83FE-BDBC2698DE9D}"/>
    <cellStyle name="40% - Accent2 3 5 2 4" xfId="37393" xr:uid="{AC850F24-3449-443A-90BC-FBCBA96C9522}"/>
    <cellStyle name="40% - Accent2 3 5 3" xfId="2815" xr:uid="{61AE900E-C05A-4F9C-ACAE-A3A4AF206910}"/>
    <cellStyle name="40% - Accent2 3 5 3 2" xfId="37394" xr:uid="{AB3AD265-440A-4F0B-AA40-EA2A285816E3}"/>
    <cellStyle name="40% - Accent2 3 5 3 2 2" xfId="37395" xr:uid="{6771D8FF-AFA6-40E7-8C26-FBC076995797}"/>
    <cellStyle name="40% - Accent2 3 5 3 3" xfId="37396" xr:uid="{1BB304CD-D5EE-423F-8CF0-F91C78CAD222}"/>
    <cellStyle name="40% - Accent2 3 5 3 3 2" xfId="37397" xr:uid="{C13EEA2D-25F0-4783-BDD5-2B2CD97296E1}"/>
    <cellStyle name="40% - Accent2 3 5 3 4" xfId="37398" xr:uid="{0E0E3729-EE08-4B10-A2CF-D19245FFBD77}"/>
    <cellStyle name="40% - Accent2 3 5 4" xfId="2816" xr:uid="{9723A539-5F40-4EE0-84D1-3581F4774BD1}"/>
    <cellStyle name="40% - Accent2 3 5 4 2" xfId="37399" xr:uid="{4DC621A6-9565-4955-B645-30F940FB540F}"/>
    <cellStyle name="40% - Accent2 3 5 4 2 2" xfId="37400" xr:uid="{A1261585-260B-4073-828E-51072CC1438B}"/>
    <cellStyle name="40% - Accent2 3 5 4 3" xfId="37401" xr:uid="{A75267FC-01D2-4A1F-B852-AF15A79ACD26}"/>
    <cellStyle name="40% - Accent2 3 5 4 3 2" xfId="37402" xr:uid="{A6B8C7E7-93B0-40CC-A99B-AF418F6A4FF2}"/>
    <cellStyle name="40% - Accent2 3 5 4 4" xfId="37403" xr:uid="{C5CFB7DA-75D7-4D94-A966-8A4D5FA8E3E1}"/>
    <cellStyle name="40% - Accent2 3 5 5" xfId="37404" xr:uid="{B0440F09-695B-4A3F-BC4F-FFFF493C8D19}"/>
    <cellStyle name="40% - Accent2 3 5 5 2" xfId="37405" xr:uid="{76910DB0-A1CD-4D32-A4FC-0AC22AE6FC52}"/>
    <cellStyle name="40% - Accent2 3 5 5 2 2" xfId="37406" xr:uid="{FB04E290-4433-4C61-BC6A-2AE9E2930E99}"/>
    <cellStyle name="40% - Accent2 3 5 5 3" xfId="37407" xr:uid="{C2DA2CF8-9E35-4498-80CC-327A6B454AB8}"/>
    <cellStyle name="40% - Accent2 3 5 5 3 2" xfId="37408" xr:uid="{DE9FEA02-546C-455F-8A1C-DE921737E749}"/>
    <cellStyle name="40% - Accent2 3 5 5 4" xfId="37409" xr:uid="{E5340BA6-CC6E-4032-8CDA-B013F33C2EFE}"/>
    <cellStyle name="40% - Accent2 3 5 6" xfId="37410" xr:uid="{19583488-766E-431B-8910-D3B4A881D342}"/>
    <cellStyle name="40% - Accent2 3 5 6 2" xfId="37411" xr:uid="{4AA0B236-D703-4815-86B4-EFD0842B7823}"/>
    <cellStyle name="40% - Accent2 3 5 7" xfId="37412" xr:uid="{2BA79BCC-FC09-4DE0-A376-064275B92BE0}"/>
    <cellStyle name="40% - Accent2 3 5 7 2" xfId="37413" xr:uid="{5967ABD2-1C4E-47A6-9665-9ADB60709021}"/>
    <cellStyle name="40% - Accent2 3 5 8" xfId="37414" xr:uid="{38148F83-CD63-4890-976E-A3D13A106EE5}"/>
    <cellStyle name="40% - Accent2 3 6" xfId="2817" xr:uid="{43EC3724-12D8-4C27-A12D-2F3456AA1C03}"/>
    <cellStyle name="40% - Accent2 3 6 2" xfId="2818" xr:uid="{E7849EE7-C6FB-4086-B218-153767748EEA}"/>
    <cellStyle name="40% - Accent2 3 6 2 2" xfId="2819" xr:uid="{EEF4B893-D255-4EBE-8835-4672B05877CB}"/>
    <cellStyle name="40% - Accent2 3 6 2 3" xfId="2820" xr:uid="{D8251ACC-586E-4A22-BEB6-E8F05347C2F1}"/>
    <cellStyle name="40% - Accent2 3 6 3" xfId="2821" xr:uid="{88322EE5-2E73-48EB-A5B6-BFC8851653F8}"/>
    <cellStyle name="40% - Accent2 3 6 3 2" xfId="37415" xr:uid="{C0865001-BBF3-4129-9BBE-B1E508ABBC5D}"/>
    <cellStyle name="40% - Accent2 3 6 4" xfId="2822" xr:uid="{BDA40AB8-A8CE-4B92-9887-B3E9FD3B5811}"/>
    <cellStyle name="40% - Accent2 3 6 5" xfId="37416" xr:uid="{DC008404-7DF9-4B03-BB71-B03BFD21D144}"/>
    <cellStyle name="40% - Accent2 3 7" xfId="2823" xr:uid="{B700C54F-F7B4-482D-9682-181E99782046}"/>
    <cellStyle name="40% - Accent2 3 7 2" xfId="2824" xr:uid="{DFF7F325-ACC2-4239-910B-D565F20D09FE}"/>
    <cellStyle name="40% - Accent2 3 7 2 2" xfId="2825" xr:uid="{39684656-0FCA-4668-AB22-B81118C0516C}"/>
    <cellStyle name="40% - Accent2 3 7 2 3" xfId="2826" xr:uid="{A34D0E00-F620-4054-8C2D-8536CF4985F6}"/>
    <cellStyle name="40% - Accent2 3 7 3" xfId="2827" xr:uid="{182F6592-76E1-46AD-B955-A49913C128E3}"/>
    <cellStyle name="40% - Accent2 3 7 3 2" xfId="37417" xr:uid="{7339136E-C88F-427E-8194-BE3466E01341}"/>
    <cellStyle name="40% - Accent2 3 7 4" xfId="2828" xr:uid="{0B7BC763-1D37-4256-8A11-D8AED99BD095}"/>
    <cellStyle name="40% - Accent2 3 8" xfId="2829" xr:uid="{FE6BC4EC-C633-4679-82B9-CE810112FDC8}"/>
    <cellStyle name="40% - Accent2 3 8 2" xfId="37418" xr:uid="{7DA515E4-82F0-45A1-B001-4EBC9C236619}"/>
    <cellStyle name="40% - Accent2 3 8 2 2" xfId="37419" xr:uid="{1DB1F834-64B0-4C08-B98B-4114C30E6E05}"/>
    <cellStyle name="40% - Accent2 3 8 3" xfId="37420" xr:uid="{6DC5CC0B-8705-4AEA-9192-DDEDC4CA2841}"/>
    <cellStyle name="40% - Accent2 3 8 3 2" xfId="37421" xr:uid="{B3AE52FA-BEA1-43A5-A6E7-4660B58DD11F}"/>
    <cellStyle name="40% - Accent2 3 8 4" xfId="37422" xr:uid="{6F92BFDC-B9C4-4911-8E0B-2ACA5F65217B}"/>
    <cellStyle name="40% - Accent2 3 9" xfId="37423" xr:uid="{F3967471-17BB-432D-8045-E8EBD8BBF197}"/>
    <cellStyle name="40% - Accent2 3_PwrTax 51040" xfId="2830" xr:uid="{311EC79B-A4AB-4684-BB16-9BE58D5C0E0E}"/>
    <cellStyle name="40% - Accent2 30" xfId="2831" xr:uid="{FADB4017-8E7D-416D-84D9-B93C3E4D0417}"/>
    <cellStyle name="40% - Accent2 31" xfId="2832" xr:uid="{71C202D2-FAE8-4A85-87B0-3056ADEAE42A}"/>
    <cellStyle name="40% - Accent2 32" xfId="2833" xr:uid="{9FE976D7-7ECA-4BAE-AEBE-5F3A3828C1B6}"/>
    <cellStyle name="40% - Accent2 33" xfId="2834" xr:uid="{AE301E2D-AC76-4F52-BC60-44B72F5E389C}"/>
    <cellStyle name="40% - Accent2 34" xfId="2835" xr:uid="{E9542E70-6F54-4807-8FF9-BC6207E29117}"/>
    <cellStyle name="40% - Accent2 35" xfId="2836" xr:uid="{28C69107-40BA-42CC-944F-CB7110B7E68F}"/>
    <cellStyle name="40% - Accent2 36" xfId="2837" xr:uid="{24FBF5E9-83B0-44E8-B6D0-EC1E2B96E223}"/>
    <cellStyle name="40% - Accent2 37" xfId="2838" xr:uid="{DEF935C6-FED7-48B2-ABB4-EBD55C0CC68D}"/>
    <cellStyle name="40% - Accent2 37 2" xfId="2839" xr:uid="{89A3F3F5-BBF9-4C08-8023-FB4E41A18D9E}"/>
    <cellStyle name="40% - Accent2 37 2 2" xfId="2840" xr:uid="{FFDC3C1F-2AE0-472A-87A7-F0E752E7450D}"/>
    <cellStyle name="40% - Accent2 37 2 3" xfId="37424" xr:uid="{1C75EEF3-652B-48EF-856C-9BDCC02B4978}"/>
    <cellStyle name="40% - Accent2 37 3" xfId="2841" xr:uid="{4502D915-C6C1-41AD-8E22-E403A546B0AC}"/>
    <cellStyle name="40% - Accent2 37 3 2" xfId="2842" xr:uid="{93BDE6FE-EA8E-49C7-BFDD-1F0BAB757AD3}"/>
    <cellStyle name="40% - Accent2 37 3 3" xfId="37425" xr:uid="{2BB4BACF-922B-48D0-9CCD-5C6BBA93B716}"/>
    <cellStyle name="40% - Accent2 37 4" xfId="2843" xr:uid="{AF1263A8-EB14-4463-8822-682497AEAB7F}"/>
    <cellStyle name="40% - Accent2 37 5" xfId="37426" xr:uid="{744B7A65-E294-4F6D-A0BD-CFE90656E626}"/>
    <cellStyle name="40% - Accent2 37_PwrTax 51040" xfId="2844" xr:uid="{17E3CDC5-9B71-450D-875C-D540F03CB9D7}"/>
    <cellStyle name="40% - Accent2 38" xfId="2845" xr:uid="{2278F5DF-8B2D-4646-95C7-E2AB8C7FF348}"/>
    <cellStyle name="40% - Accent2 38 2" xfId="37427" xr:uid="{98255C34-D6DB-40E5-A092-215EC3E10CC5}"/>
    <cellStyle name="40% - Accent2 38 2 2" xfId="37428" xr:uid="{C71E0B08-4EBF-4AAA-9C25-D420B67601C8}"/>
    <cellStyle name="40% - Accent2 38 2 2 2" xfId="37429" xr:uid="{2984A1A3-2408-4BAB-BF5F-648299BCEC58}"/>
    <cellStyle name="40% - Accent2 38 2 3" xfId="37430" xr:uid="{1198AF50-A2EC-413E-A7E5-97059626071D}"/>
    <cellStyle name="40% - Accent2 38 2 3 2" xfId="37431" xr:uid="{53E2DC7A-F33B-4C8C-A561-9E22098E3511}"/>
    <cellStyle name="40% - Accent2 38 2 4" xfId="37432" xr:uid="{E25FA612-30A4-4787-A341-39D4016240CF}"/>
    <cellStyle name="40% - Accent2 38 3" xfId="37433" xr:uid="{62ABD71A-8CD6-4729-A634-9127DC43C859}"/>
    <cellStyle name="40% - Accent2 38 3 2" xfId="37434" xr:uid="{7FD38D9B-D801-4DC1-A98C-BFB1590ED1C7}"/>
    <cellStyle name="40% - Accent2 38 3 2 2" xfId="37435" xr:uid="{832542EC-9214-4BAA-948F-29B4684DA596}"/>
    <cellStyle name="40% - Accent2 38 3 3" xfId="37436" xr:uid="{C7F1B76B-4D39-4786-9B00-E84CCC87C77C}"/>
    <cellStyle name="40% - Accent2 38 3 3 2" xfId="37437" xr:uid="{E609672F-8B2F-4AC0-BF37-5811A9884077}"/>
    <cellStyle name="40% - Accent2 38 3 4" xfId="37438" xr:uid="{6AF41D6C-9211-4133-B5A7-320DDC76D85B}"/>
    <cellStyle name="40% - Accent2 38 4" xfId="37439" xr:uid="{9F12DB28-3C3A-40B1-AA4C-A15101C1944E}"/>
    <cellStyle name="40% - Accent2 38 4 2" xfId="37440" xr:uid="{50F19C9F-5337-4F5F-B129-819536D69BB6}"/>
    <cellStyle name="40% - Accent2 38 4 2 2" xfId="37441" xr:uid="{1C5BE091-DA78-49DD-A263-BE759860174A}"/>
    <cellStyle name="40% - Accent2 38 4 3" xfId="37442" xr:uid="{23CFD696-893A-4AA0-901E-683CFD920E2A}"/>
    <cellStyle name="40% - Accent2 38 4 3 2" xfId="37443" xr:uid="{91E160BF-D179-43F5-8824-A6D3BBFED3B5}"/>
    <cellStyle name="40% - Accent2 38 4 4" xfId="37444" xr:uid="{A19A3917-5869-4BDE-9F0D-6270A8950EA7}"/>
    <cellStyle name="40% - Accent2 38 5" xfId="37445" xr:uid="{D27B55A7-C1D8-4842-AF63-0D050714741F}"/>
    <cellStyle name="40% - Accent2 38 5 2" xfId="37446" xr:uid="{22A9F562-EE67-49A5-9AB7-3C0EA51BCD00}"/>
    <cellStyle name="40% - Accent2 38 6" xfId="37447" xr:uid="{EC223D0A-63EA-4821-8E80-12BC8C5A6CC0}"/>
    <cellStyle name="40% - Accent2 38 6 2" xfId="37448" xr:uid="{B7D81CA9-B588-4471-9061-01BBCC42ED2A}"/>
    <cellStyle name="40% - Accent2 38 7" xfId="37449" xr:uid="{3C4E270C-28A7-440F-98F9-25696C50C095}"/>
    <cellStyle name="40% - Accent2 39" xfId="37450" xr:uid="{2D8B9990-5A4D-4ACA-B434-55E3BA1AEC90}"/>
    <cellStyle name="40% - Accent2 39 2" xfId="37451" xr:uid="{473D87EA-4C1C-4885-B41A-75125593A18B}"/>
    <cellStyle name="40% - Accent2 4" xfId="2846" xr:uid="{040DEB89-4F3A-4311-8693-0A5568F4694B}"/>
    <cellStyle name="40% - Accent2 4 2" xfId="2847" xr:uid="{1886B4D2-C0D7-45CC-9BDA-5F9634806A1E}"/>
    <cellStyle name="40% - Accent2 4 2 2" xfId="2848" xr:uid="{D852FA77-9300-4D38-8B1A-1C30B17A0D8F}"/>
    <cellStyle name="40% - Accent2 4 2 2 2" xfId="37452" xr:uid="{3EA3E729-26BF-4D22-B4A3-0D8F40C1D829}"/>
    <cellStyle name="40% - Accent2 4 2 3" xfId="37453" xr:uid="{19E8EEC2-48C7-4AE5-BBC0-91005F7CFCAA}"/>
    <cellStyle name="40% - Accent2 4 3" xfId="2849" xr:uid="{4181218D-48C9-4D00-A639-BD0DE85DB23E}"/>
    <cellStyle name="40% - Accent2 4 3 2" xfId="2850" xr:uid="{451EE3DE-19E9-4438-86C6-0DD926FBB824}"/>
    <cellStyle name="40% - Accent2 4 3 3" xfId="2851" xr:uid="{005DEB23-62DE-455E-8B76-32379C12710A}"/>
    <cellStyle name="40% - Accent2 4 3 4" xfId="37454" xr:uid="{1ABC32C6-3EB9-4F73-8071-BBAA7EEA9357}"/>
    <cellStyle name="40% - Accent2 4 4" xfId="2852" xr:uid="{8B5B5B66-7275-404D-9C36-84BC138E300D}"/>
    <cellStyle name="40% - Accent2 4 4 2" xfId="2853" xr:uid="{282827AA-B2B0-4E07-8BEC-171769AD3445}"/>
    <cellStyle name="40% - Accent2 4 4 2 2" xfId="2854" xr:uid="{26B9D1AA-4492-4B6C-B678-F59D291AE9BB}"/>
    <cellStyle name="40% - Accent2 4 4 2 3" xfId="2855" xr:uid="{0AE0E483-6DC8-4FF9-B5E9-E6B5E708F025}"/>
    <cellStyle name="40% - Accent2 4 4 3" xfId="2856" xr:uid="{0D153D48-9011-4053-9456-032FEE463E99}"/>
    <cellStyle name="40% - Accent2 4 4 4" xfId="2857" xr:uid="{374E499D-EF9F-41C0-8CC4-09C9B39F1D2D}"/>
    <cellStyle name="40% - Accent2 4 4 5" xfId="2858" xr:uid="{480EF033-7D9C-435F-808D-2CD0BCB73494}"/>
    <cellStyle name="40% - Accent2 4 4 6" xfId="37455" xr:uid="{D121B89E-40C9-477E-BA2B-A0ABC30EFC95}"/>
    <cellStyle name="40% - Accent2 4 5" xfId="2859" xr:uid="{6CDB5B0A-EB9A-467D-BA94-9B6C39F82525}"/>
    <cellStyle name="40% - Accent2 4 5 2" xfId="2860" xr:uid="{DD7504E9-45C8-40E4-B47A-591B1EB67214}"/>
    <cellStyle name="40% - Accent2 4 5 3" xfId="2861" xr:uid="{9E29B121-52DF-4B92-8A8A-E04FC69FB786}"/>
    <cellStyle name="40% - Accent2 4 5 4" xfId="37456" xr:uid="{9DF58ACF-AB19-4FB4-A204-8E53E7B195EA}"/>
    <cellStyle name="40% - Accent2 4 6" xfId="2862" xr:uid="{7C6B358A-77C0-402C-91CA-E492468DA76F}"/>
    <cellStyle name="40% - Accent2 4 7" xfId="37457" xr:uid="{A2EF3122-88F4-4B1A-AAE0-C8014FB15613}"/>
    <cellStyle name="40% - Accent2 4 8" xfId="43544" xr:uid="{10FB6FCF-6F9B-4A6D-A66B-F13324826A54}"/>
    <cellStyle name="40% - Accent2 4_PwrTax 51040" xfId="2863" xr:uid="{D1CC3C09-1D8F-4BB9-9C5A-DCD3783D4CA0}"/>
    <cellStyle name="40% - Accent2 40" xfId="37458" xr:uid="{C228CF65-9E08-4D90-B2CE-110E7C1D56B4}"/>
    <cellStyle name="40% - Accent2 41" xfId="37459" xr:uid="{F4C393DE-5A6C-4B0A-A483-D6C35DA46F1E}"/>
    <cellStyle name="40% - Accent2 42" xfId="37460" xr:uid="{30E99150-29F2-42F7-AB53-5B0CAACB1183}"/>
    <cellStyle name="40% - Accent2 43" xfId="37461" xr:uid="{85A58AB1-025B-42D0-B823-FFB5FD4966B2}"/>
    <cellStyle name="40% - Accent2 44" xfId="37462" xr:uid="{A200FD11-2A2A-4B82-9527-AA8963BEDF46}"/>
    <cellStyle name="40% - Accent2 45" xfId="37463" xr:uid="{E42BC1A7-2730-4DF2-818B-E9E337E1B5F5}"/>
    <cellStyle name="40% - Accent2 46" xfId="37464" xr:uid="{4547B5DB-469B-4F88-8C33-9281ADA3E57C}"/>
    <cellStyle name="40% - Accent2 47" xfId="37465" xr:uid="{77C8C427-F190-4BAF-B38B-740160372FCE}"/>
    <cellStyle name="40% - Accent2 48" xfId="37466" xr:uid="{41DF927B-10F0-478F-ABC6-6BF301752F86}"/>
    <cellStyle name="40% - Accent2 49" xfId="37467" xr:uid="{1DA4691B-DF0A-4749-8C8F-1AD22FFB6E0B}"/>
    <cellStyle name="40% - Accent2 5" xfId="2864" xr:uid="{5F0086E4-C597-4658-95CC-B578E5BEEE26}"/>
    <cellStyle name="40% - Accent2 5 2" xfId="2865" xr:uid="{FF774F56-FACE-478F-A62F-B375D0693378}"/>
    <cellStyle name="40% - Accent2 5 2 2" xfId="37468" xr:uid="{BC0C538A-1397-423B-8897-519A8EA5497A}"/>
    <cellStyle name="40% - Accent2 5 3" xfId="2866" xr:uid="{A0242F1A-CE62-4C8B-9F54-F8110CAC7644}"/>
    <cellStyle name="40% - Accent2 5 4" xfId="37469" xr:uid="{71C1881E-B57D-4F53-87F4-F5D48CE7FC05}"/>
    <cellStyle name="40% - Accent2 5 5" xfId="43559" xr:uid="{B6226EB6-7DAD-4BEA-9F86-05DD61AD89AB}"/>
    <cellStyle name="40% - Accent2 50" xfId="37470" xr:uid="{971CC4B7-8D2F-4CAD-A907-387EE88F5B71}"/>
    <cellStyle name="40% - Accent2 51" xfId="37471" xr:uid="{E0D34E47-8180-46F6-96F0-9BBAC4E6416E}"/>
    <cellStyle name="40% - Accent2 52" xfId="37472" xr:uid="{365E41EB-AEB9-47C8-A48B-A6F388055F17}"/>
    <cellStyle name="40% - Accent2 53" xfId="37473" xr:uid="{E020A42F-E453-470E-B9BB-AF694142862C}"/>
    <cellStyle name="40% - Accent2 54" xfId="37474" xr:uid="{C6FD8B01-86CE-4F71-99C2-91609A5A1E7E}"/>
    <cellStyle name="40% - Accent2 55" xfId="37475" xr:uid="{21D54E55-EFDA-45C2-9BE0-1EE95C9984F4}"/>
    <cellStyle name="40% - Accent2 56" xfId="37476" xr:uid="{D9449551-13D5-4C83-8456-D5CE45341DD3}"/>
    <cellStyle name="40% - Accent2 57" xfId="37477" xr:uid="{FBCCB4C6-BF2D-4717-8D92-1BC7070EE547}"/>
    <cellStyle name="40% - Accent2 58" xfId="37478" xr:uid="{6AF83261-C5D2-4BD1-B6B8-F3711A18F450}"/>
    <cellStyle name="40% - Accent2 59" xfId="37479" xr:uid="{8EB771EE-4D1D-4864-B53B-8D582EFA3CFC}"/>
    <cellStyle name="40% - Accent2 6" xfId="2867" xr:uid="{8FF0E3F7-0681-4AE5-9FFF-19D3B4B54880}"/>
    <cellStyle name="40% - Accent2 6 2" xfId="2868" xr:uid="{205DEDEC-28D3-4342-8E0B-BA21F9199586}"/>
    <cellStyle name="40% - Accent2 6 2 2" xfId="37480" xr:uid="{44FEE98F-5220-4C9F-83DF-7E7F690D7179}"/>
    <cellStyle name="40% - Accent2 6 3" xfId="2869" xr:uid="{0A49FDFC-0533-4219-B124-3BB151A5F95B}"/>
    <cellStyle name="40% - Accent2 6 4" xfId="37481" xr:uid="{6624B10E-9F67-414E-B18B-8BA09A06E0D7}"/>
    <cellStyle name="40% - Accent2 60" xfId="37482" xr:uid="{A6E398E5-3CB1-422D-8FE2-D59E594DDC99}"/>
    <cellStyle name="40% - Accent2 61" xfId="37483" xr:uid="{38E9A27C-0344-43F3-B30C-1C0DF7851696}"/>
    <cellStyle name="40% - Accent2 62" xfId="37484" xr:uid="{C5EEDEE4-564C-43FD-B2EF-A45211E5E52A}"/>
    <cellStyle name="40% - Accent2 63" xfId="37485" xr:uid="{5FC7CD1E-B936-42C0-905C-4DA313155AF8}"/>
    <cellStyle name="40% - Accent2 64" xfId="37486" xr:uid="{F8E26590-9967-4E70-80EC-6BFCA1FDB391}"/>
    <cellStyle name="40% - Accent2 65" xfId="37487" xr:uid="{D0FA0126-7D00-447E-A638-EFAAE224340D}"/>
    <cellStyle name="40% - Accent2 66" xfId="37488" xr:uid="{17F0BF90-83FF-419C-9CAA-2B7DD1A834E5}"/>
    <cellStyle name="40% - Accent2 67" xfId="37489" xr:uid="{1FE6E266-7F61-41F2-B067-52B533F02ED4}"/>
    <cellStyle name="40% - Accent2 68" xfId="37490" xr:uid="{21C650C1-D4E3-4EA7-9DF3-FA39656A83B6}"/>
    <cellStyle name="40% - Accent2 69" xfId="37491" xr:uid="{CA67E9BC-0976-4006-B5EA-322BDE955F95}"/>
    <cellStyle name="40% - Accent2 7" xfId="2870" xr:uid="{56B479A7-5798-490E-BC26-23A3604EBA76}"/>
    <cellStyle name="40% - Accent2 7 2" xfId="2871" xr:uid="{03DD98E2-ABDF-4326-9053-F509534B6EC7}"/>
    <cellStyle name="40% - Accent2 7 3" xfId="2872" xr:uid="{483CE2C2-991B-483D-B08C-8991B40B5F94}"/>
    <cellStyle name="40% - Accent2 7 4" xfId="37492" xr:uid="{B47F2E8D-9F0D-42A5-931A-BC008140A33E}"/>
    <cellStyle name="40% - Accent2 70" xfId="37493" xr:uid="{0EDB69A9-7E2F-4220-9778-540125A50B6E}"/>
    <cellStyle name="40% - Accent2 71" xfId="37494" xr:uid="{3F1C20AA-4334-46A0-8029-3FD19DF92D01}"/>
    <cellStyle name="40% - Accent2 72" xfId="37495" xr:uid="{DC1A6BE6-1672-4382-8FF2-718FF44BD940}"/>
    <cellStyle name="40% - Accent2 73" xfId="37496" xr:uid="{E7AE7216-74BF-4D26-BF6D-85566C1AD57F}"/>
    <cellStyle name="40% - Accent2 74" xfId="37497" xr:uid="{F219DFAC-1EF3-4A1B-9A8F-2F0EFE89E54E}"/>
    <cellStyle name="40% - Accent2 75" xfId="37498" xr:uid="{FB4950A5-F492-44BC-8974-1466D4440289}"/>
    <cellStyle name="40% - Accent2 76" xfId="37499" xr:uid="{EF0AA66F-7458-4262-9A8B-0C6D0C50C8DF}"/>
    <cellStyle name="40% - Accent2 77" xfId="37500" xr:uid="{6D02A671-1E30-4E3E-885C-E20F089880F2}"/>
    <cellStyle name="40% - Accent2 78" xfId="37501" xr:uid="{E2C21974-F7A8-4D7E-B68A-B34E25CA7505}"/>
    <cellStyle name="40% - Accent2 79" xfId="37502" xr:uid="{B39A19C9-4A09-49AF-AA85-829D3DE230AA}"/>
    <cellStyle name="40% - Accent2 8" xfId="2873" xr:uid="{C93A774F-C996-4A6D-8722-02F84601DA4D}"/>
    <cellStyle name="40% - Accent2 8 2" xfId="2874" xr:uid="{CFD0622F-4988-499A-A86A-0FEC2ACB8BE3}"/>
    <cellStyle name="40% - Accent2 8 3" xfId="2875" xr:uid="{38EF871A-4AEA-49DA-95AF-3C90BA5184A9}"/>
    <cellStyle name="40% - Accent2 8 4" xfId="37503" xr:uid="{32F3B666-EE17-4B45-A95D-23569D0444A9}"/>
    <cellStyle name="40% - Accent2 80" xfId="37504" xr:uid="{4FA107CA-C07A-49D7-903F-F78562915FA2}"/>
    <cellStyle name="40% - Accent2 81" xfId="37505" xr:uid="{A5CB7A73-B567-4184-B98F-8499D860C1AA}"/>
    <cellStyle name="40% - Accent2 82" xfId="37506" xr:uid="{2FF13BBC-87D2-487D-9E6D-5F571EFC85A4}"/>
    <cellStyle name="40% - Accent2 83" xfId="37507" xr:uid="{3F55FEA7-83E8-4B7F-AEBD-3C4909E4783A}"/>
    <cellStyle name="40% - Accent2 84" xfId="37508" xr:uid="{CC149692-432A-4395-B155-EF099E5F3529}"/>
    <cellStyle name="40% - Accent2 85" xfId="37509" xr:uid="{095E00F3-E8EC-458C-BEFB-A837B3984161}"/>
    <cellStyle name="40% - Accent2 86" xfId="37510" xr:uid="{323C8358-55A2-4FDA-8375-D7BAF8949498}"/>
    <cellStyle name="40% - Accent2 87" xfId="37511" xr:uid="{BF60B297-AB4C-4A99-B866-3FB3CB107D34}"/>
    <cellStyle name="40% - Accent2 88" xfId="37512" xr:uid="{E8ED0112-9A38-4EDC-8920-F844FC34A955}"/>
    <cellStyle name="40% - Accent2 89" xfId="37513" xr:uid="{E869378F-742B-427D-80A6-3ABB65F28D21}"/>
    <cellStyle name="40% - Accent2 9" xfId="2876" xr:uid="{D8E93182-F969-4172-931F-6BA4B226D502}"/>
    <cellStyle name="40% - Accent2 9 2" xfId="2877" xr:uid="{65F9EEC2-1163-458B-A12A-DC4A695AD105}"/>
    <cellStyle name="40% - Accent2 9 3" xfId="2878" xr:uid="{E29DDB44-F7A1-4803-822F-128433ACAC8A}"/>
    <cellStyle name="40% - Accent2 9 4" xfId="37514" xr:uid="{13BC760D-5676-4D2A-9382-435C7E38CB63}"/>
    <cellStyle name="40% - Accent2 90" xfId="37515" xr:uid="{4F0D50C9-9AF2-42C1-BBEB-1DAE0C007395}"/>
    <cellStyle name="40% - Accent2 91" xfId="37516" xr:uid="{3A5DF38A-0A07-4539-8BD3-1426C022895D}"/>
    <cellStyle name="40% - Accent2 92" xfId="37517" xr:uid="{E1CF949B-4C5D-4123-B115-C6C070D9FA2C}"/>
    <cellStyle name="40% - Accent2 93" xfId="37518" xr:uid="{E783D66F-F6AC-4C39-BE14-599D4C846A2D}"/>
    <cellStyle name="40% - Accent2 94" xfId="37519" xr:uid="{0B9EDBFC-B053-454C-90C6-A06634BB9BEF}"/>
    <cellStyle name="40% - Accent2 95" xfId="37520" xr:uid="{2EDDBFE2-4C4B-482B-A68D-F4E77E48A1B5}"/>
    <cellStyle name="40% - Accent2 96" xfId="37521" xr:uid="{9C0F8D34-2979-43C6-8A69-0ABF7F881E54}"/>
    <cellStyle name="40% - Accent2 97" xfId="37522" xr:uid="{1C29F0AB-EA20-4BEC-93F2-ED90445BB22A}"/>
    <cellStyle name="40% - Accent2 98" xfId="37523" xr:uid="{FEC85260-80AF-4AF4-9A5C-D0EF7F398C68}"/>
    <cellStyle name="40% - Accent2 99" xfId="37524" xr:uid="{F6950171-D0DF-4CDB-852F-613DEC6C25A8}"/>
    <cellStyle name="40% - Accent3 10" xfId="2879" xr:uid="{9B6228CB-FC58-456E-9D26-182F5344BDE5}"/>
    <cellStyle name="40% - Accent3 10 2" xfId="2880" xr:uid="{FB21BFC5-A721-47C7-ABCF-FA1665D2F32F}"/>
    <cellStyle name="40% - Accent3 10 3" xfId="2881" xr:uid="{4CBFC2EB-93DA-4701-9672-E9D0448467CD}"/>
    <cellStyle name="40% - Accent3 10 4" xfId="37525" xr:uid="{AAB9E5A1-018E-4B64-BD08-61D1B8308079}"/>
    <cellStyle name="40% - Accent3 100" xfId="37526" xr:uid="{1EDB2451-CFDE-44C4-AE77-10174F777EC4}"/>
    <cellStyle name="40% - Accent3 101" xfId="37527" xr:uid="{9BD6A07B-4C39-4CA8-9E63-AFFC6A87DE74}"/>
    <cellStyle name="40% - Accent3 102" xfId="37528" xr:uid="{88CDE55F-8BD7-49E3-B04B-71A04ADF23A1}"/>
    <cellStyle name="40% - Accent3 103" xfId="43473" xr:uid="{A2FF38E8-CB6C-45AA-9D65-87BCB05D591B}"/>
    <cellStyle name="40% - Accent3 104" xfId="43593" xr:uid="{AC0F28A4-60DD-4732-B6D2-2CFC3866EB1C}"/>
    <cellStyle name="40% - Accent3 105" xfId="170" xr:uid="{FD396A74-E99E-4DCE-AEA9-223D4906B69A}"/>
    <cellStyle name="40% - Accent3 11" xfId="2882" xr:uid="{FAA87B92-B5CD-4DEC-BE97-32149A3712E2}"/>
    <cellStyle name="40% - Accent3 11 2" xfId="2883" xr:uid="{17CB5314-50EB-411D-929E-7578B8E8E17E}"/>
    <cellStyle name="40% - Accent3 11 3" xfId="2884" xr:uid="{B7DB49B2-CB18-4C1C-8FD0-BB4A82CFD299}"/>
    <cellStyle name="40% - Accent3 12" xfId="2885" xr:uid="{5AA7ACFC-272A-4BE3-9E2D-6539B0305B83}"/>
    <cellStyle name="40% - Accent3 12 2" xfId="2886" xr:uid="{035464AF-F79D-4D88-A59E-FE8A121625EC}"/>
    <cellStyle name="40% - Accent3 13" xfId="2887" xr:uid="{9BD21A5C-24AC-4D75-BAE1-B5EE6C804C9E}"/>
    <cellStyle name="40% - Accent3 13 2" xfId="2888" xr:uid="{295818DD-FBEF-4173-9214-CA2346E95A92}"/>
    <cellStyle name="40% - Accent3 14" xfId="2889" xr:uid="{036571DE-B9EE-4A25-AA2F-0A37A635663F}"/>
    <cellStyle name="40% - Accent3 14 2" xfId="2890" xr:uid="{99B754C9-CAD2-42F0-B833-037F4F9E6940}"/>
    <cellStyle name="40% - Accent3 15" xfId="2891" xr:uid="{61CC221E-AA85-40D4-A45E-13A09EB21B94}"/>
    <cellStyle name="40% - Accent3 15 2" xfId="2892" xr:uid="{C5A356AA-3878-4B7E-AE66-656F519AE2C7}"/>
    <cellStyle name="40% - Accent3 16" xfId="2893" xr:uid="{3CF46206-92AB-437B-82E4-8404F6AB6618}"/>
    <cellStyle name="40% - Accent3 16 2" xfId="2894" xr:uid="{A651C5E4-8312-45B6-B2B8-83494E8FE591}"/>
    <cellStyle name="40% - Accent3 17" xfId="2895" xr:uid="{88D420CD-D056-476B-809E-781A5128F99C}"/>
    <cellStyle name="40% - Accent3 17 2" xfId="2896" xr:uid="{16BF6105-A714-44B8-8D7B-747100BC2717}"/>
    <cellStyle name="40% - Accent3 18" xfId="2897" xr:uid="{D82841D1-A3CB-4ED7-B1F6-A158FFF9FA56}"/>
    <cellStyle name="40% - Accent3 18 2" xfId="2898" xr:uid="{5666B210-F27C-41F8-8E2B-4B361CADD632}"/>
    <cellStyle name="40% - Accent3 19" xfId="2899" xr:uid="{D6EC1FBB-6D3C-484E-BAB2-A5D5E6CF8ED2}"/>
    <cellStyle name="40% - Accent3 19 2" xfId="2900" xr:uid="{93092F6D-E8AC-4671-AE46-54367A212E37}"/>
    <cellStyle name="40% - Accent3 2" xfId="2901" xr:uid="{40D40462-5709-425D-9CF2-A9F6C9E8AC6A}"/>
    <cellStyle name="40% - Accent3 2 10" xfId="43507" xr:uid="{1FE66AC5-4E71-4591-8C23-465632383E06}"/>
    <cellStyle name="40% - Accent3 2 2" xfId="2902" xr:uid="{A504DDF4-2EF4-4F08-A53A-79A841FB01E9}"/>
    <cellStyle name="40% - Accent3 2 2 2" xfId="2903" xr:uid="{B5242090-E798-4C67-B9EB-DFF2841730DF}"/>
    <cellStyle name="40% - Accent3 2 2 2 2" xfId="2904" xr:uid="{04A2E809-EC87-4FBF-A8E0-707DA4673E26}"/>
    <cellStyle name="40% - Accent3 2 2 2 3" xfId="2905" xr:uid="{03880D7C-B2A2-475B-8DD9-C8F0525B465C}"/>
    <cellStyle name="40% - Accent3 2 2 2 4" xfId="37529" xr:uid="{EAB425BA-D9FC-405C-A8FB-0B2B8381D493}"/>
    <cellStyle name="40% - Accent3 2 2 3" xfId="2906" xr:uid="{666C08B2-02C8-4648-AEE5-25D15D699207}"/>
    <cellStyle name="40% - Accent3 2 2 3 2" xfId="2907" xr:uid="{994EF336-22DF-4DC9-BA7C-48C76650E2D1}"/>
    <cellStyle name="40% - Accent3 2 2 3 3" xfId="37530" xr:uid="{372714E6-0617-4894-A007-12DA4436C4C8}"/>
    <cellStyle name="40% - Accent3 2 2 4" xfId="2908" xr:uid="{156C7601-FB4E-4749-8814-7992209BD66E}"/>
    <cellStyle name="40% - Accent3 2 2 5" xfId="2909" xr:uid="{AC0FE32C-EDCD-4CEC-93EB-9714B674368D}"/>
    <cellStyle name="40% - Accent3 2 2 6" xfId="2910" xr:uid="{57707760-E6F7-4CAF-B557-41D079FE958B}"/>
    <cellStyle name="40% - Accent3 2 2 7" xfId="37531" xr:uid="{F6B6BF8E-324E-4976-B928-E9009A70C79E}"/>
    <cellStyle name="40% - Accent3 2 2_PwrTax 51040" xfId="2911" xr:uid="{5B2EE6AB-6FF0-429A-B253-13939A21FBAC}"/>
    <cellStyle name="40% - Accent3 2 3" xfId="2912" xr:uid="{094C544C-85F0-4BCB-B23F-C66597651BBB}"/>
    <cellStyle name="40% - Accent3 2 3 10" xfId="2913" xr:uid="{69460A76-92B1-4D7F-848B-7F5415484EE1}"/>
    <cellStyle name="40% - Accent3 2 3 10 2" xfId="37532" xr:uid="{46498054-A347-4F75-9AD9-54B8FAAE1F61}"/>
    <cellStyle name="40% - Accent3 2 3 11" xfId="37533" xr:uid="{256AC6C8-2864-417C-9CAA-FC8FCE110692}"/>
    <cellStyle name="40% - Accent3 2 3 12" xfId="37534" xr:uid="{05B0298E-40B3-4F35-94A6-E9E69A748D6D}"/>
    <cellStyle name="40% - Accent3 2 3 2" xfId="2914" xr:uid="{19EFE2C6-F4A9-4277-8EAB-B515D47CD26B}"/>
    <cellStyle name="40% - Accent3 2 3 2 10" xfId="37535" xr:uid="{7697B135-F6FF-4F63-9C07-6C97A0D0F8DC}"/>
    <cellStyle name="40% - Accent3 2 3 2 11" xfId="37536" xr:uid="{A577B9DE-BE1B-4452-8FCB-3642282E13AD}"/>
    <cellStyle name="40% - Accent3 2 3 2 2" xfId="2915" xr:uid="{BB261AA8-BE79-4629-8CD2-B870C96F6210}"/>
    <cellStyle name="40% - Accent3 2 3 2 2 2" xfId="2916" xr:uid="{D2389A35-4F02-4516-8B51-1B8945FA9BCA}"/>
    <cellStyle name="40% - Accent3 2 3 2 2 2 2" xfId="2917" xr:uid="{D3112531-0486-434F-8FD7-E65BD9E7C2EF}"/>
    <cellStyle name="40% - Accent3 2 3 2 2 2 2 2" xfId="2918" xr:uid="{E78A10F1-82DC-4173-A821-A4146F04C779}"/>
    <cellStyle name="40% - Accent3 2 3 2 2 2 2 2 2" xfId="37537" xr:uid="{E9262779-7EAF-4E53-9BEB-BC9588B4460B}"/>
    <cellStyle name="40% - Accent3 2 3 2 2 2 2 3" xfId="2919" xr:uid="{D3B98733-F6AA-48AA-A49C-3D0D590EB8CA}"/>
    <cellStyle name="40% - Accent3 2 3 2 2 2 2 3 2" xfId="37538" xr:uid="{A40C5F48-C27B-4FDC-AAD6-3F46C33BA10A}"/>
    <cellStyle name="40% - Accent3 2 3 2 2 2 2 4" xfId="37539" xr:uid="{49879BCD-4800-47E0-B79E-570FFFCB6851}"/>
    <cellStyle name="40% - Accent3 2 3 2 2 2 3" xfId="2920" xr:uid="{B578A074-6EB1-4EE1-BC33-3DF70A1C8C0D}"/>
    <cellStyle name="40% - Accent3 2 3 2 2 2 3 2" xfId="37540" xr:uid="{C583B89B-B02A-4E47-807A-B1A9873D18D2}"/>
    <cellStyle name="40% - Accent3 2 3 2 2 2 4" xfId="2921" xr:uid="{569D1631-58AB-42F8-B069-2730C31B583B}"/>
    <cellStyle name="40% - Accent3 2 3 2 2 2 4 2" xfId="37541" xr:uid="{CA2337E5-5272-4765-A53D-8205D3A240AC}"/>
    <cellStyle name="40% - Accent3 2 3 2 2 2 5" xfId="37542" xr:uid="{950105D8-6F4A-47ED-8713-3FAE4B9E3E0C}"/>
    <cellStyle name="40% - Accent3 2 3 2 2 3" xfId="2922" xr:uid="{1499B262-2B5C-4C17-92FD-D8D1433D7AFD}"/>
    <cellStyle name="40% - Accent3 2 3 2 2 3 2" xfId="2923" xr:uid="{3991DDAC-2DEF-4987-AF3C-916BFCADDE7B}"/>
    <cellStyle name="40% - Accent3 2 3 2 2 3 2 2" xfId="37543" xr:uid="{C0D1902C-B8DE-47CB-AC5D-1377A86EC7B2}"/>
    <cellStyle name="40% - Accent3 2 3 2 2 3 3" xfId="2924" xr:uid="{E868031F-5C5C-4F80-A49F-CB3A5E817D08}"/>
    <cellStyle name="40% - Accent3 2 3 2 2 3 3 2" xfId="37544" xr:uid="{2775096A-9CDD-4B35-A04C-93F789C5210E}"/>
    <cellStyle name="40% - Accent3 2 3 2 2 3 4" xfId="37545" xr:uid="{62596DA8-0DFC-42B8-83D3-1E9E321324AF}"/>
    <cellStyle name="40% - Accent3 2 3 2 2 4" xfId="2925" xr:uid="{0E10E442-60E1-43EF-9A32-F752C24D533F}"/>
    <cellStyle name="40% - Accent3 2 3 2 2 4 2" xfId="37546" xr:uid="{A934C94E-E4C7-4CCD-8EE1-739D1EFF4FBE}"/>
    <cellStyle name="40% - Accent3 2 3 2 2 5" xfId="2926" xr:uid="{9AE6F1CB-9919-4EFF-8AF5-557BC74CCED2}"/>
    <cellStyle name="40% - Accent3 2 3 2 2 5 2" xfId="37547" xr:uid="{11989573-FFA3-4B3C-AA82-20AA54194777}"/>
    <cellStyle name="40% - Accent3 2 3 2 2 6" xfId="37548" xr:uid="{4093EC86-30BB-4B25-AAA6-D180B4225202}"/>
    <cellStyle name="40% - Accent3 2 3 2 3" xfId="2927" xr:uid="{40C985BF-FDAA-4D07-A24B-14A5881A87AC}"/>
    <cellStyle name="40% - Accent3 2 3 2 3 2" xfId="2928" xr:uid="{D3FA64E5-DB7B-4A1D-BF87-08BD342A78F7}"/>
    <cellStyle name="40% - Accent3 2 3 2 3 2 2" xfId="2929" xr:uid="{A9DD45E9-E1ED-43EB-9F76-C9C5BB6A6D86}"/>
    <cellStyle name="40% - Accent3 2 3 2 3 2 2 2" xfId="37549" xr:uid="{89C9B6A3-AAA1-4163-999E-5E1F01971229}"/>
    <cellStyle name="40% - Accent3 2 3 2 3 2 3" xfId="2930" xr:uid="{76545233-6413-446B-95CC-242B4F5A8E6B}"/>
    <cellStyle name="40% - Accent3 2 3 2 3 2 3 2" xfId="37550" xr:uid="{D609B484-4A70-4973-AD09-0FC65DD80FF7}"/>
    <cellStyle name="40% - Accent3 2 3 2 3 2 4" xfId="37551" xr:uid="{D072EFE5-9EAC-4B83-86B4-469EFD1E5C78}"/>
    <cellStyle name="40% - Accent3 2 3 2 3 3" xfId="2931" xr:uid="{4E5C7699-F70E-47F3-9411-380A1F3B2937}"/>
    <cellStyle name="40% - Accent3 2 3 2 3 3 2" xfId="37552" xr:uid="{F24C1090-66FD-4C0E-9719-6467345D647A}"/>
    <cellStyle name="40% - Accent3 2 3 2 3 4" xfId="2932" xr:uid="{1DFC43DE-9875-41A5-B404-1733E3A09317}"/>
    <cellStyle name="40% - Accent3 2 3 2 3 4 2" xfId="37553" xr:uid="{0F10B2BB-F7C8-4E8B-9CE0-956B8DDF53B9}"/>
    <cellStyle name="40% - Accent3 2 3 2 3 5" xfId="37554" xr:uid="{F44CD999-833E-4BB5-ABD5-B9049ABEB423}"/>
    <cellStyle name="40% - Accent3 2 3 2 4" xfId="2933" xr:uid="{E7327843-4530-453E-BA96-CAAE2C04BE0D}"/>
    <cellStyle name="40% - Accent3 2 3 2 4 2" xfId="2934" xr:uid="{31921A08-5A09-472E-80DC-11F7EFA2E26C}"/>
    <cellStyle name="40% - Accent3 2 3 2 4 2 2" xfId="37555" xr:uid="{97CF2902-CD4C-4CF0-ABEF-06CCF2C5A7CD}"/>
    <cellStyle name="40% - Accent3 2 3 2 4 3" xfId="2935" xr:uid="{41E949AD-2C3A-40FB-B435-58DC780DEFBD}"/>
    <cellStyle name="40% - Accent3 2 3 2 4 3 2" xfId="37556" xr:uid="{FBE01048-EA9F-4A07-8056-DA74F3B10186}"/>
    <cellStyle name="40% - Accent3 2 3 2 4 4" xfId="37557" xr:uid="{AAB5F0B7-FEE7-4CD6-9D95-961C70DB8632}"/>
    <cellStyle name="40% - Accent3 2 3 2 5" xfId="2936" xr:uid="{EF4DBF49-7945-4493-AE1F-D536B5D61947}"/>
    <cellStyle name="40% - Accent3 2 3 2 5 2" xfId="37558" xr:uid="{6CDEB6C1-EF49-4AB0-94D8-2371098EF5C1}"/>
    <cellStyle name="40% - Accent3 2 3 2 5 2 2" xfId="37559" xr:uid="{1DBE217D-5858-494A-84DD-FDF714FA021C}"/>
    <cellStyle name="40% - Accent3 2 3 2 5 3" xfId="37560" xr:uid="{95EB1FC3-4F87-48E1-A9E8-EB0E85ADCB57}"/>
    <cellStyle name="40% - Accent3 2 3 2 5 3 2" xfId="37561" xr:uid="{37B2F620-CCA6-4B92-A6AF-022C6EADF21C}"/>
    <cellStyle name="40% - Accent3 2 3 2 5 4" xfId="37562" xr:uid="{82B912D2-1CF3-4D18-83F1-A6FD3AE487B2}"/>
    <cellStyle name="40% - Accent3 2 3 2 6" xfId="2937" xr:uid="{BE600177-87A4-4EB7-BEE5-4F6CABC71F32}"/>
    <cellStyle name="40% - Accent3 2 3 2 6 2" xfId="37563" xr:uid="{5CC22982-3A5F-4CE4-A759-2DF1B1B42E2F}"/>
    <cellStyle name="40% - Accent3 2 3 2 6 2 2" xfId="37564" xr:uid="{E58480E8-6330-418C-AD95-0B8D1224E1D2}"/>
    <cellStyle name="40% - Accent3 2 3 2 6 3" xfId="37565" xr:uid="{C941C0BC-7255-436C-B6A1-7E2255FE7056}"/>
    <cellStyle name="40% - Accent3 2 3 2 6 3 2" xfId="37566" xr:uid="{D57BFE89-98A6-4DBA-86A1-923FD8BBC7B6}"/>
    <cellStyle name="40% - Accent3 2 3 2 6 4" xfId="37567" xr:uid="{250A85A7-22B6-47AD-B4A6-18032B317BD2}"/>
    <cellStyle name="40% - Accent3 2 3 2 7" xfId="2938" xr:uid="{DEC90712-41B2-4454-9CAD-C3670C495168}"/>
    <cellStyle name="40% - Accent3 2 3 2 7 2" xfId="37568" xr:uid="{40B7C6BB-09B5-4A3B-9151-2FF0903FAFFE}"/>
    <cellStyle name="40% - Accent3 2 3 2 7 2 2" xfId="37569" xr:uid="{4AD09FDD-0F68-48C5-8603-81B824C43326}"/>
    <cellStyle name="40% - Accent3 2 3 2 7 3" xfId="37570" xr:uid="{4A768CCD-D6D8-46CA-896F-75E4F0E42A6B}"/>
    <cellStyle name="40% - Accent3 2 3 2 7 3 2" xfId="37571" xr:uid="{18772BE8-5E0E-4297-B3DC-CDEDEF237238}"/>
    <cellStyle name="40% - Accent3 2 3 2 7 4" xfId="37572" xr:uid="{D167C0D8-0CF8-4C6E-B22C-5BC2F437F5EB}"/>
    <cellStyle name="40% - Accent3 2 3 2 8" xfId="37573" xr:uid="{2CF314A2-0932-46CE-A6B6-33596992897D}"/>
    <cellStyle name="40% - Accent3 2 3 2 8 2" xfId="37574" xr:uid="{F341779B-1133-414B-AF02-132565851212}"/>
    <cellStyle name="40% - Accent3 2 3 2 9" xfId="37575" xr:uid="{9403B00F-2F01-4108-BF7C-340369127488}"/>
    <cellStyle name="40% - Accent3 2 3 2 9 2" xfId="37576" xr:uid="{13A680EE-FD32-40CB-B272-4E836F09E2F8}"/>
    <cellStyle name="40% - Accent3 2 3 3" xfId="2939" xr:uid="{E1382297-7898-4489-9EF8-FF68087A45CC}"/>
    <cellStyle name="40% - Accent3 2 3 3 10" xfId="37577" xr:uid="{81A012AE-7140-4BFE-826E-07CF01A7DDC0}"/>
    <cellStyle name="40% - Accent3 2 3 3 2" xfId="2940" xr:uid="{A1313198-49B7-41C2-BA90-9FA892687F33}"/>
    <cellStyle name="40% - Accent3 2 3 3 2 2" xfId="2941" xr:uid="{7C54DA5E-77A1-4D47-9BED-37D13571BAD6}"/>
    <cellStyle name="40% - Accent3 2 3 3 2 2 2" xfId="2942" xr:uid="{B0E0473E-B795-4F05-9056-085B0C0B063E}"/>
    <cellStyle name="40% - Accent3 2 3 3 2 2 2 2" xfId="37578" xr:uid="{8A388172-068A-4FB4-A9C0-B4D4616AAF63}"/>
    <cellStyle name="40% - Accent3 2 3 3 2 2 3" xfId="2943" xr:uid="{22F5B9FB-49B4-4A76-BDA9-0D3A6FA72E31}"/>
    <cellStyle name="40% - Accent3 2 3 3 2 2 3 2" xfId="37579" xr:uid="{1C87A74C-0CFA-41E9-A640-0EB806DCAAC5}"/>
    <cellStyle name="40% - Accent3 2 3 3 2 2 4" xfId="37580" xr:uid="{A349044C-78D2-4C82-9F61-DBC04A074E69}"/>
    <cellStyle name="40% - Accent3 2 3 3 2 3" xfId="2944" xr:uid="{7D298C35-960C-4CAF-979D-094052687A74}"/>
    <cellStyle name="40% - Accent3 2 3 3 2 3 2" xfId="37581" xr:uid="{671F5AA1-AE90-450E-9202-0981BBC2CA3B}"/>
    <cellStyle name="40% - Accent3 2 3 3 2 4" xfId="2945" xr:uid="{F0AAB671-7398-413F-AB61-88B761AB9437}"/>
    <cellStyle name="40% - Accent3 2 3 3 2 4 2" xfId="37582" xr:uid="{A78E9005-B23E-4ED7-A294-3ED7942C733C}"/>
    <cellStyle name="40% - Accent3 2 3 3 2 5" xfId="37583" xr:uid="{619ED262-4548-4770-A05A-D82B28E70669}"/>
    <cellStyle name="40% - Accent3 2 3 3 3" xfId="2946" xr:uid="{5906B6A3-79F8-413F-82DD-38E71721AAFC}"/>
    <cellStyle name="40% - Accent3 2 3 3 3 2" xfId="2947" xr:uid="{4C0D360F-85AD-432E-9FE2-9BC6F7DB4EE0}"/>
    <cellStyle name="40% - Accent3 2 3 3 3 2 2" xfId="37584" xr:uid="{9C7CBC40-7139-4168-9FBC-80DF23FB456D}"/>
    <cellStyle name="40% - Accent3 2 3 3 3 3" xfId="2948" xr:uid="{FC4788EF-C00E-4143-BA53-3B144C4D76B8}"/>
    <cellStyle name="40% - Accent3 2 3 3 3 3 2" xfId="37585" xr:uid="{66A5B982-CDA0-4686-9641-646C813E5E61}"/>
    <cellStyle name="40% - Accent3 2 3 3 3 4" xfId="37586" xr:uid="{BD09F340-EEBA-4347-AE68-F4B2B0D3004C}"/>
    <cellStyle name="40% - Accent3 2 3 3 4" xfId="2949" xr:uid="{FCB06B89-0751-464B-BF1F-CD5D5A466BD1}"/>
    <cellStyle name="40% - Accent3 2 3 3 4 2" xfId="37587" xr:uid="{96BAC1D0-37EE-482C-B5D8-31CD7D94AA3D}"/>
    <cellStyle name="40% - Accent3 2 3 3 4 2 2" xfId="37588" xr:uid="{47735648-07A2-4736-824B-FBBC2614D3F5}"/>
    <cellStyle name="40% - Accent3 2 3 3 4 3" xfId="37589" xr:uid="{EA6C8990-ECA3-4C45-AC81-F88B08A97545}"/>
    <cellStyle name="40% - Accent3 2 3 3 4 3 2" xfId="37590" xr:uid="{9A00EF05-68B3-454B-93FC-10B85DC30A73}"/>
    <cellStyle name="40% - Accent3 2 3 3 4 4" xfId="37591" xr:uid="{565FE001-B57F-4E3E-9759-77E4F5C558DF}"/>
    <cellStyle name="40% - Accent3 2 3 3 5" xfId="2950" xr:uid="{E56B39E3-F04E-425C-A313-D0E581816048}"/>
    <cellStyle name="40% - Accent3 2 3 3 5 2" xfId="37592" xr:uid="{5DE33665-BA5B-45D5-879A-CA365CEF6AFC}"/>
    <cellStyle name="40% - Accent3 2 3 3 5 2 2" xfId="37593" xr:uid="{71226176-7CEE-4AFA-A81C-DC9653CAF53C}"/>
    <cellStyle name="40% - Accent3 2 3 3 5 3" xfId="37594" xr:uid="{D6EE0B69-FE6E-4C4C-8D2A-3B46CAEBD07E}"/>
    <cellStyle name="40% - Accent3 2 3 3 5 3 2" xfId="37595" xr:uid="{E9E31D7B-49D2-432E-9642-F8A91ED72644}"/>
    <cellStyle name="40% - Accent3 2 3 3 5 4" xfId="37596" xr:uid="{C86933A0-3BD5-4392-A41D-35B1B0963A90}"/>
    <cellStyle name="40% - Accent3 2 3 3 6" xfId="2951" xr:uid="{E7B27685-2380-495A-B166-94FFDD90CD8B}"/>
    <cellStyle name="40% - Accent3 2 3 3 6 2" xfId="37597" xr:uid="{F3FF32F8-9A06-4328-A317-98DA12FE6963}"/>
    <cellStyle name="40% - Accent3 2 3 3 6 2 2" xfId="37598" xr:uid="{E7C400A4-BC73-4F36-A2D8-43CA9A55E043}"/>
    <cellStyle name="40% - Accent3 2 3 3 6 3" xfId="37599" xr:uid="{04288FF3-2C53-4A4B-AEDB-DFDD7D62D43A}"/>
    <cellStyle name="40% - Accent3 2 3 3 6 3 2" xfId="37600" xr:uid="{AFFC7935-A3BC-4743-81B1-12B8BED7C138}"/>
    <cellStyle name="40% - Accent3 2 3 3 6 4" xfId="37601" xr:uid="{9CD675CF-8EF7-436C-BFC6-8D1117B15F3D}"/>
    <cellStyle name="40% - Accent3 2 3 3 7" xfId="37602" xr:uid="{FF54D7CB-0F17-4F5B-9760-E2727C5FA1E3}"/>
    <cellStyle name="40% - Accent3 2 3 3 7 2" xfId="37603" xr:uid="{96B1D932-9836-4A9C-91CE-474820B334E3}"/>
    <cellStyle name="40% - Accent3 2 3 3 8" xfId="37604" xr:uid="{E99D7531-B3CF-43AB-A513-658DDCDF36AB}"/>
    <cellStyle name="40% - Accent3 2 3 3 8 2" xfId="37605" xr:uid="{14806E63-76AB-417E-BC57-68B4E6BE2310}"/>
    <cellStyle name="40% - Accent3 2 3 3 9" xfId="37606" xr:uid="{8F462C8C-0FBF-4FF3-81C3-0CBF0546CB4C}"/>
    <cellStyle name="40% - Accent3 2 3 4" xfId="2952" xr:uid="{577F4DF6-40A0-45CE-94DF-B4C6834EF8CF}"/>
    <cellStyle name="40% - Accent3 2 3 4 2" xfId="2953" xr:uid="{B8D893BA-81DB-466C-8548-B4FC7E7A08F4}"/>
    <cellStyle name="40% - Accent3 2 3 4 2 2" xfId="2954" xr:uid="{5E93C2E8-0DFD-4E5B-890F-C6AA18FD48B6}"/>
    <cellStyle name="40% - Accent3 2 3 4 2 2 2" xfId="37607" xr:uid="{28DCAF5D-24A5-410A-9B79-7CE0C90195B9}"/>
    <cellStyle name="40% - Accent3 2 3 4 2 3" xfId="2955" xr:uid="{E88A202A-BD89-4BB1-94F9-902FDF9C2086}"/>
    <cellStyle name="40% - Accent3 2 3 4 2 3 2" xfId="37608" xr:uid="{72D1AF2D-6383-407F-836E-2A1F22F451AB}"/>
    <cellStyle name="40% - Accent3 2 3 4 2 4" xfId="37609" xr:uid="{5CF63C22-A233-4AFE-8B1A-FF4F282F59A4}"/>
    <cellStyle name="40% - Accent3 2 3 4 3" xfId="2956" xr:uid="{C7698889-6611-47D0-9AD9-076B41CA9555}"/>
    <cellStyle name="40% - Accent3 2 3 4 3 2" xfId="37610" xr:uid="{01CD5592-CF96-48CC-B402-8324C3642416}"/>
    <cellStyle name="40% - Accent3 2 3 4 3 2 2" xfId="37611" xr:uid="{8FF5CBCD-C20B-42A4-B585-D46A5F46E9DE}"/>
    <cellStyle name="40% - Accent3 2 3 4 3 3" xfId="37612" xr:uid="{C0B48E62-DCEE-4032-8E20-B1CE8B1662AD}"/>
    <cellStyle name="40% - Accent3 2 3 4 3 3 2" xfId="37613" xr:uid="{D3152F06-F319-4199-8D75-948FC191AB74}"/>
    <cellStyle name="40% - Accent3 2 3 4 3 4" xfId="37614" xr:uid="{A70B7DD3-0010-40AD-ACBD-77643A0D80AF}"/>
    <cellStyle name="40% - Accent3 2 3 4 4" xfId="2957" xr:uid="{375110D2-7E66-46EA-9D7C-FB6AC971BEEC}"/>
    <cellStyle name="40% - Accent3 2 3 4 4 2" xfId="37615" xr:uid="{510B97C6-06BF-4914-86EE-3A011550A18A}"/>
    <cellStyle name="40% - Accent3 2 3 4 4 2 2" xfId="37616" xr:uid="{0D2323B5-5FC3-4EAB-8BF1-011CC902C903}"/>
    <cellStyle name="40% - Accent3 2 3 4 4 3" xfId="37617" xr:uid="{114295E9-5973-456D-8609-FD359DCB0A4F}"/>
    <cellStyle name="40% - Accent3 2 3 4 4 3 2" xfId="37618" xr:uid="{E172DC5C-D75E-4227-9D7F-3D1E1F53ACE7}"/>
    <cellStyle name="40% - Accent3 2 3 4 4 4" xfId="37619" xr:uid="{4B082F71-77B8-40B4-AC7A-C53E68550AF1}"/>
    <cellStyle name="40% - Accent3 2 3 4 5" xfId="37620" xr:uid="{8A1402F7-7B10-4FFE-877A-3F5DAE96A09D}"/>
    <cellStyle name="40% - Accent3 2 3 4 5 2" xfId="37621" xr:uid="{4AF74551-7EA6-42A5-AEF0-0219AB489DF9}"/>
    <cellStyle name="40% - Accent3 2 3 4 5 2 2" xfId="37622" xr:uid="{0D304F12-6865-4C99-B786-DF8B657F3480}"/>
    <cellStyle name="40% - Accent3 2 3 4 5 3" xfId="37623" xr:uid="{25B6711C-97B1-4F9B-A441-B2D718F66DD4}"/>
    <cellStyle name="40% - Accent3 2 3 4 5 3 2" xfId="37624" xr:uid="{145915C3-D697-4CB9-951B-6788801DC945}"/>
    <cellStyle name="40% - Accent3 2 3 4 5 4" xfId="37625" xr:uid="{6EBECCC9-E9DD-4FE7-8FFC-E50990B04315}"/>
    <cellStyle name="40% - Accent3 2 3 4 6" xfId="37626" xr:uid="{3373B4B8-25D4-47EF-ABC5-FACE46CA96B8}"/>
    <cellStyle name="40% - Accent3 2 3 4 6 2" xfId="37627" xr:uid="{B9BEC791-042B-4812-9E91-E1CF31E2434D}"/>
    <cellStyle name="40% - Accent3 2 3 4 7" xfId="37628" xr:uid="{6328425E-177E-4425-9976-CB15F38695A4}"/>
    <cellStyle name="40% - Accent3 2 3 4 7 2" xfId="37629" xr:uid="{9475E4F9-3971-4ECB-AEDA-F0B9B15EE721}"/>
    <cellStyle name="40% - Accent3 2 3 4 8" xfId="37630" xr:uid="{4A4135BD-DC6B-4205-BAE1-DAA0077E85BD}"/>
    <cellStyle name="40% - Accent3 2 3 5" xfId="2958" xr:uid="{A2C1919B-C78A-48CE-AFF6-B7EB2063EE84}"/>
    <cellStyle name="40% - Accent3 2 3 5 2" xfId="2959" xr:uid="{8E09DB97-1B9A-4DEA-A4D5-71F98AA32E7D}"/>
    <cellStyle name="40% - Accent3 2 3 5 2 2" xfId="2960" xr:uid="{273304C7-3BCE-493F-8325-4E0C2F705968}"/>
    <cellStyle name="40% - Accent3 2 3 5 2 2 2" xfId="37631" xr:uid="{E3A84E8D-6E47-40FA-8048-76BAD0639BC4}"/>
    <cellStyle name="40% - Accent3 2 3 5 2 3" xfId="2961" xr:uid="{04391086-6E2E-4480-9239-E88054695D25}"/>
    <cellStyle name="40% - Accent3 2 3 5 2 3 2" xfId="37632" xr:uid="{9BE2CDB2-9A9D-41BD-B8BD-0DDA1F44C54F}"/>
    <cellStyle name="40% - Accent3 2 3 5 2 4" xfId="37633" xr:uid="{6E5C5EE8-C00A-4179-9083-F6BB64052E8A}"/>
    <cellStyle name="40% - Accent3 2 3 5 3" xfId="2962" xr:uid="{7395E618-D8D0-4DF0-9551-E0DAF6F1FC31}"/>
    <cellStyle name="40% - Accent3 2 3 5 3 2" xfId="37634" xr:uid="{7419194E-BC40-48FC-81F4-CB390AFB716B}"/>
    <cellStyle name="40% - Accent3 2 3 5 3 2 2" xfId="37635" xr:uid="{CA5DEED8-7D3C-4A44-9D83-051939F09A7A}"/>
    <cellStyle name="40% - Accent3 2 3 5 3 3" xfId="37636" xr:uid="{40A62B9B-651F-49B7-8732-81668610E374}"/>
    <cellStyle name="40% - Accent3 2 3 5 3 3 2" xfId="37637" xr:uid="{50F26366-321C-4C52-96F4-C4921F33D142}"/>
    <cellStyle name="40% - Accent3 2 3 5 3 4" xfId="37638" xr:uid="{1857CE32-4675-4176-845D-8F614CD7BD0C}"/>
    <cellStyle name="40% - Accent3 2 3 5 4" xfId="2963" xr:uid="{97EC1B9A-EB31-4D0F-AE62-47A022118D49}"/>
    <cellStyle name="40% - Accent3 2 3 5 4 2" xfId="37639" xr:uid="{C084D1D8-A6FD-43C6-B323-35C1410119DA}"/>
    <cellStyle name="40% - Accent3 2 3 5 4 2 2" xfId="37640" xr:uid="{37913C59-8C35-4B1C-ABF7-014ADF47E9A8}"/>
    <cellStyle name="40% - Accent3 2 3 5 4 3" xfId="37641" xr:uid="{B6DED7B8-C110-4E02-8560-88629E382C4B}"/>
    <cellStyle name="40% - Accent3 2 3 5 4 3 2" xfId="37642" xr:uid="{FE2E16BE-CF04-4E43-A464-16099AB1A9F4}"/>
    <cellStyle name="40% - Accent3 2 3 5 4 4" xfId="37643" xr:uid="{9DB9FBD5-A4FF-4E9C-AA87-7E3E01D7BA28}"/>
    <cellStyle name="40% - Accent3 2 3 5 5" xfId="37644" xr:uid="{917C73FA-89B4-4420-B60C-389C2885EF86}"/>
    <cellStyle name="40% - Accent3 2 3 5 5 2" xfId="37645" xr:uid="{E6046321-CF75-49EE-B92A-E0082FAF25E6}"/>
    <cellStyle name="40% - Accent3 2 3 5 6" xfId="37646" xr:uid="{C2C59A85-77A8-48EB-8AD9-9CE17A10056E}"/>
    <cellStyle name="40% - Accent3 2 3 5 6 2" xfId="37647" xr:uid="{1EEDE248-9BC6-417E-92FD-9CDC44E6A343}"/>
    <cellStyle name="40% - Accent3 2 3 5 7" xfId="37648" xr:uid="{E9E3501F-E462-4059-BBBE-6C2C3224808E}"/>
    <cellStyle name="40% - Accent3 2 3 6" xfId="2964" xr:uid="{EE6EB3D2-4F75-407F-B386-D73F2095A2E3}"/>
    <cellStyle name="40% - Accent3 2 3 6 2" xfId="2965" xr:uid="{C7ABC746-5736-493D-A808-2539624B5F47}"/>
    <cellStyle name="40% - Accent3 2 3 6 2 2" xfId="37649" xr:uid="{4A6E37AE-1D28-475A-A371-F852DF479275}"/>
    <cellStyle name="40% - Accent3 2 3 6 3" xfId="2966" xr:uid="{0606043F-AB6A-44E0-B4C5-D421CDEBB623}"/>
    <cellStyle name="40% - Accent3 2 3 6 3 2" xfId="37650" xr:uid="{17BEE734-E624-4F35-932A-A6B8A69E63CF}"/>
    <cellStyle name="40% - Accent3 2 3 6 4" xfId="37651" xr:uid="{1BEE7DD4-4BD2-41F5-A5E4-D8DCB7039DDE}"/>
    <cellStyle name="40% - Accent3 2 3 7" xfId="2967" xr:uid="{CDA222AF-EA62-44E7-A50F-ED6094C39CD5}"/>
    <cellStyle name="40% - Accent3 2 3 7 2" xfId="37652" xr:uid="{4D1C6975-2382-47A3-ABAF-02310278AD39}"/>
    <cellStyle name="40% - Accent3 2 3 7 2 2" xfId="37653" xr:uid="{96BDC7EE-EC74-455F-815A-4B0C7069EF14}"/>
    <cellStyle name="40% - Accent3 2 3 7 3" xfId="37654" xr:uid="{1FF3C92D-1FB9-438C-9945-6894AFC6145A}"/>
    <cellStyle name="40% - Accent3 2 3 7 3 2" xfId="37655" xr:uid="{457D5987-DA44-468C-A201-1A954C93521C}"/>
    <cellStyle name="40% - Accent3 2 3 7 4" xfId="37656" xr:uid="{3B00F123-360A-40EE-9E1E-E110DAFCD83B}"/>
    <cellStyle name="40% - Accent3 2 3 8" xfId="2968" xr:uid="{419B6C55-615E-42A5-8184-CFF4DF4BADA5}"/>
    <cellStyle name="40% - Accent3 2 3 8 2" xfId="37657" xr:uid="{0E86EDC1-C8AE-4B6F-ACB9-E2E09D8E9000}"/>
    <cellStyle name="40% - Accent3 2 3 8 2 2" xfId="37658" xr:uid="{42152A6A-D47A-42C1-ACCA-47C2FD0AF685}"/>
    <cellStyle name="40% - Accent3 2 3 8 3" xfId="37659" xr:uid="{ED902314-CE83-4D5D-AAF5-DE5DEE6FD5A9}"/>
    <cellStyle name="40% - Accent3 2 3 8 3 2" xfId="37660" xr:uid="{4C15D5B9-1533-4EB9-A402-0174EF2FA438}"/>
    <cellStyle name="40% - Accent3 2 3 8 4" xfId="37661" xr:uid="{E0C9BD9A-EB5E-4191-A9E9-63FA8AAFE4B2}"/>
    <cellStyle name="40% - Accent3 2 3 9" xfId="2969" xr:uid="{004D5DD3-9F8E-465C-88D3-8E69D7168863}"/>
    <cellStyle name="40% - Accent3 2 3 9 2" xfId="37662" xr:uid="{53D4F443-47A5-4FE4-B93A-52FABACFC7F1}"/>
    <cellStyle name="40% - Accent3 2 4" xfId="2970" xr:uid="{A6D1FF32-FAC5-4DC6-A856-E58AF3BF800E}"/>
    <cellStyle name="40% - Accent3 2 4 2" xfId="2971" xr:uid="{F49342A7-EAF7-49F3-9F00-C16FE3E2FCB9}"/>
    <cellStyle name="40% - Accent3 2 4 2 2" xfId="2972" xr:uid="{14591658-78D5-4E66-A99F-0F722FC840E6}"/>
    <cellStyle name="40% - Accent3 2 4 2 2 2" xfId="37663" xr:uid="{E3983142-E8E1-4135-B46F-0FB3B92CC9CC}"/>
    <cellStyle name="40% - Accent3 2 4 2 2 2 2" xfId="37664" xr:uid="{8ABC336B-74A2-47F6-81E6-FE58A8194E31}"/>
    <cellStyle name="40% - Accent3 2 4 2 2 3" xfId="37665" xr:uid="{2BAFDEE1-E2BC-40C0-B305-10427F86BDEA}"/>
    <cellStyle name="40% - Accent3 2 4 2 2 3 2" xfId="37666" xr:uid="{2FB01140-D99A-4C44-BD2F-831463816666}"/>
    <cellStyle name="40% - Accent3 2 4 2 2 4" xfId="37667" xr:uid="{129D2486-9D26-4AC5-B8E7-197EFD231C64}"/>
    <cellStyle name="40% - Accent3 2 4 2 3" xfId="2973" xr:uid="{E39026C5-0D99-4E91-89DC-D7E0998D28E9}"/>
    <cellStyle name="40% - Accent3 2 4 2 3 2" xfId="37668" xr:uid="{E16DC2E0-DA75-45CC-A76D-7C0E05767514}"/>
    <cellStyle name="40% - Accent3 2 4 2 3 2 2" xfId="37669" xr:uid="{8C6B49A4-1641-4A9A-98EC-B51B62E3EE93}"/>
    <cellStyle name="40% - Accent3 2 4 2 3 3" xfId="37670" xr:uid="{DF99F288-1E99-4FBF-97B2-BC75482847D9}"/>
    <cellStyle name="40% - Accent3 2 4 2 3 3 2" xfId="37671" xr:uid="{11ED581D-E3E9-4A7D-ABD1-E6C71514D181}"/>
    <cellStyle name="40% - Accent3 2 4 2 3 4" xfId="37672" xr:uid="{6D93F099-4F54-4116-B732-F5E280B99257}"/>
    <cellStyle name="40% - Accent3 2 4 2 4" xfId="37673" xr:uid="{C03CEF31-1C83-4901-9C05-81880E6207AB}"/>
    <cellStyle name="40% - Accent3 2 4 2 4 2" xfId="37674" xr:uid="{3532498E-8BA3-4C7F-A530-BE3D3034A5FC}"/>
    <cellStyle name="40% - Accent3 2 4 2 4 2 2" xfId="37675" xr:uid="{D7A6ECAA-9E2F-4EA0-AAE0-3A1D4B9163AF}"/>
    <cellStyle name="40% - Accent3 2 4 2 4 3" xfId="37676" xr:uid="{CE7369C4-9A92-4440-9D6D-B49D3017F5B0}"/>
    <cellStyle name="40% - Accent3 2 4 2 4 3 2" xfId="37677" xr:uid="{6CB5AF87-CBF4-4D46-A2B4-811C29F64AFC}"/>
    <cellStyle name="40% - Accent3 2 4 2 4 4" xfId="37678" xr:uid="{DECB61D5-EE99-4E30-89F5-F39A21ECF83C}"/>
    <cellStyle name="40% - Accent3 2 4 2 5" xfId="37679" xr:uid="{F74C0EFB-FC6F-478F-A8A7-2D31F970CA36}"/>
    <cellStyle name="40% - Accent3 2 4 2 5 2" xfId="37680" xr:uid="{6BBC97DB-1266-42B0-82C1-59171B1B012F}"/>
    <cellStyle name="40% - Accent3 2 4 2 6" xfId="37681" xr:uid="{A1299BCF-0948-479F-926E-B665C0E7925C}"/>
    <cellStyle name="40% - Accent3 2 4 2 6 2" xfId="37682" xr:uid="{E66855E6-3531-4583-BC2C-067EBF9B8BF1}"/>
    <cellStyle name="40% - Accent3 2 4 2 7" xfId="37683" xr:uid="{817D6797-0D90-4101-9912-873F70C1D17B}"/>
    <cellStyle name="40% - Accent3 2 4 3" xfId="2974" xr:uid="{DC651630-5261-47A1-8CBE-F5C4D0E34C20}"/>
    <cellStyle name="40% - Accent3 2 4 3 2" xfId="37684" xr:uid="{E51DAD0D-057D-483E-96BC-2AA1E9DC55B0}"/>
    <cellStyle name="40% - Accent3 2 4 3 2 2" xfId="37685" xr:uid="{D6CF42F0-76A3-45C7-80E2-5384A045D691}"/>
    <cellStyle name="40% - Accent3 2 4 3 2 2 2" xfId="37686" xr:uid="{B1FEC085-759C-4ACB-A84B-90DD380C1203}"/>
    <cellStyle name="40% - Accent3 2 4 3 2 3" xfId="37687" xr:uid="{E71964DC-6D77-4A3C-A3D9-6F93794D0F22}"/>
    <cellStyle name="40% - Accent3 2 4 3 2 3 2" xfId="37688" xr:uid="{DE39288E-BEB4-4D16-A63E-084A2E7F149D}"/>
    <cellStyle name="40% - Accent3 2 4 3 2 4" xfId="37689" xr:uid="{AB1027BA-AF35-4478-8398-BFA1042FF503}"/>
    <cellStyle name="40% - Accent3 2 4 3 3" xfId="37690" xr:uid="{D784C867-D72D-4F8B-B7D5-BA201CD1FC48}"/>
    <cellStyle name="40% - Accent3 2 4 3 3 2" xfId="37691" xr:uid="{778FA19B-9782-4467-ACAA-CB0F7387D90F}"/>
    <cellStyle name="40% - Accent3 2 4 3 3 2 2" xfId="37692" xr:uid="{F5D773FF-60B6-4323-B8E8-66152B2B8206}"/>
    <cellStyle name="40% - Accent3 2 4 3 3 3" xfId="37693" xr:uid="{8A9BCDF8-0761-457B-B0A2-20A8FF973E0D}"/>
    <cellStyle name="40% - Accent3 2 4 3 3 3 2" xfId="37694" xr:uid="{FF9C7625-358B-461F-8FB7-4C2190A9958B}"/>
    <cellStyle name="40% - Accent3 2 4 3 3 4" xfId="37695" xr:uid="{F4016EE7-03DC-448B-BC7C-A5B5CC216B5A}"/>
    <cellStyle name="40% - Accent3 2 4 3 4" xfId="37696" xr:uid="{4680FA92-907E-48C7-9868-84934B7ABD28}"/>
    <cellStyle name="40% - Accent3 2 4 3 4 2" xfId="37697" xr:uid="{0752E221-5CD6-43B5-91A0-FF083DB19D6F}"/>
    <cellStyle name="40% - Accent3 2 4 3 4 2 2" xfId="37698" xr:uid="{E29720A8-4401-4897-96FB-0257B001D7A0}"/>
    <cellStyle name="40% - Accent3 2 4 3 4 3" xfId="37699" xr:uid="{52D00872-3F71-42CE-BC4E-2F9451CAE71B}"/>
    <cellStyle name="40% - Accent3 2 4 3 4 3 2" xfId="37700" xr:uid="{2A1635B9-6945-451B-ABDA-AB637F2BA944}"/>
    <cellStyle name="40% - Accent3 2 4 3 4 4" xfId="37701" xr:uid="{EBFF00AC-AF98-4195-9321-2DD38A152AD2}"/>
    <cellStyle name="40% - Accent3 2 4 3 5" xfId="37702" xr:uid="{BB786E56-4A6C-4B08-B10E-E700448650AD}"/>
    <cellStyle name="40% - Accent3 2 4 3 5 2" xfId="37703" xr:uid="{FEDEA736-98D2-4830-AA29-B9D25AD38F76}"/>
    <cellStyle name="40% - Accent3 2 4 3 6" xfId="37704" xr:uid="{72B8D5F1-53E0-4DAA-8564-D79BB02A09C6}"/>
    <cellStyle name="40% - Accent3 2 4 3 6 2" xfId="37705" xr:uid="{B946C036-B6F9-4DC3-9B6A-8EDBDC4D0CD4}"/>
    <cellStyle name="40% - Accent3 2 4 3 7" xfId="37706" xr:uid="{CB88F9EB-3CC8-4350-BD64-4DF8D7CCE746}"/>
    <cellStyle name="40% - Accent3 2 4 4" xfId="2975" xr:uid="{1F96A557-B27F-4D85-80F4-90155A889EE6}"/>
    <cellStyle name="40% - Accent3 2 4 4 2" xfId="37707" xr:uid="{898515BC-819C-4B36-A99F-DFD9530E8830}"/>
    <cellStyle name="40% - Accent3 2 4 4 2 2" xfId="37708" xr:uid="{0741CFC9-B037-4F4F-B1A4-2F0D4AC28506}"/>
    <cellStyle name="40% - Accent3 2 4 4 3" xfId="37709" xr:uid="{552F35EE-D4F5-43DD-93F8-36B9BB5272A2}"/>
    <cellStyle name="40% - Accent3 2 4 4 3 2" xfId="37710" xr:uid="{D104E8A0-B713-45AF-B945-23260A563FD4}"/>
    <cellStyle name="40% - Accent3 2 4 4 4" xfId="37711" xr:uid="{2CB44E93-2CF8-4EC8-9AFF-A6CFC896D6B5}"/>
    <cellStyle name="40% - Accent3 2 4 5" xfId="2976" xr:uid="{807A79A7-6F5D-4CAC-A354-10BF42092464}"/>
    <cellStyle name="40% - Accent3 2 4 5 2" xfId="37712" xr:uid="{DCD64DC0-2E10-401A-945F-6389370D6DFB}"/>
    <cellStyle name="40% - Accent3 2 4 5 2 2" xfId="37713" xr:uid="{66E8B2D7-EE9C-4D30-B869-75F6FC0A5809}"/>
    <cellStyle name="40% - Accent3 2 4 5 3" xfId="37714" xr:uid="{FB317325-B515-4E05-B406-2DDBE8151B06}"/>
    <cellStyle name="40% - Accent3 2 4 5 3 2" xfId="37715" xr:uid="{E366C97B-DB45-4E21-B4D4-FFE2F7A3B94B}"/>
    <cellStyle name="40% - Accent3 2 4 5 4" xfId="37716" xr:uid="{3EBC3970-5709-4007-A5A1-06C546271CBC}"/>
    <cellStyle name="40% - Accent3 2 4 6" xfId="37717" xr:uid="{FAF90F6A-8827-4CE2-B61C-24C3687AB9F1}"/>
    <cellStyle name="40% - Accent3 2 4 6 2" xfId="37718" xr:uid="{AE5EC407-34C1-4D33-8FF3-C1AEF1A11566}"/>
    <cellStyle name="40% - Accent3 2 4 6 2 2" xfId="37719" xr:uid="{052FBC44-CBCD-480E-8079-1F2E22663251}"/>
    <cellStyle name="40% - Accent3 2 4 6 3" xfId="37720" xr:uid="{9AB34B33-ECEE-4ECF-8518-A1CAA158F4C9}"/>
    <cellStyle name="40% - Accent3 2 4 6 3 2" xfId="37721" xr:uid="{8E16AC04-3077-400A-8042-B5D5607FF033}"/>
    <cellStyle name="40% - Accent3 2 4 6 4" xfId="37722" xr:uid="{8A065806-EE74-4BA4-BBC3-37118FA35982}"/>
    <cellStyle name="40% - Accent3 2 4 7" xfId="37723" xr:uid="{845CAB47-438F-47FA-94D1-6D5DDC6EF0F7}"/>
    <cellStyle name="40% - Accent3 2 4 7 2" xfId="37724" xr:uid="{2C771B26-0F51-40E9-9715-8E136E981BA4}"/>
    <cellStyle name="40% - Accent3 2 4 8" xfId="37725" xr:uid="{100ACAB7-9AE7-426A-8DFA-2121941C7ADC}"/>
    <cellStyle name="40% - Accent3 2 4 8 2" xfId="37726" xr:uid="{FFF6FF57-05BB-4BA4-99A3-090ECFC3BFBB}"/>
    <cellStyle name="40% - Accent3 2 4 9" xfId="37727" xr:uid="{C71B28F7-1542-4635-945C-F768645BAB45}"/>
    <cellStyle name="40% - Accent3 2 5" xfId="37728" xr:uid="{EF81F73D-52A0-417A-89F2-853A03D792D6}"/>
    <cellStyle name="40% - Accent3 2 5 2" xfId="37729" xr:uid="{AA045E1E-2243-4653-A0BE-9A51CF7E293A}"/>
    <cellStyle name="40% - Accent3 2 5 2 2" xfId="37730" xr:uid="{6E3CCC8A-C207-4FA9-821B-7B6A409E54DD}"/>
    <cellStyle name="40% - Accent3 2 5 2 2 2" xfId="37731" xr:uid="{CFCA5D8B-C0C2-4870-8D77-F166C77384AB}"/>
    <cellStyle name="40% - Accent3 2 5 2 3" xfId="37732" xr:uid="{893D7C74-019B-4FEF-9722-38D3B01E52A3}"/>
    <cellStyle name="40% - Accent3 2 5 2 3 2" xfId="37733" xr:uid="{32505D7E-9D3B-4321-99AA-61FAB09CDB3F}"/>
    <cellStyle name="40% - Accent3 2 5 2 4" xfId="37734" xr:uid="{2FE2077D-040C-4A1E-96E6-240FA968A216}"/>
    <cellStyle name="40% - Accent3 2 5 3" xfId="37735" xr:uid="{DD02CDB5-E1E7-492F-998C-C6D93F2A4ED1}"/>
    <cellStyle name="40% - Accent3 2 5 3 2" xfId="37736" xr:uid="{C2102A08-DA78-4307-95FF-9B045393B380}"/>
    <cellStyle name="40% - Accent3 2 5 3 2 2" xfId="37737" xr:uid="{C162AD3D-CC7F-4DAC-A519-C718E6DAD838}"/>
    <cellStyle name="40% - Accent3 2 5 3 3" xfId="37738" xr:uid="{745F1420-27B9-4223-897D-34C6D32BDF52}"/>
    <cellStyle name="40% - Accent3 2 5 3 3 2" xfId="37739" xr:uid="{AB3CA9B6-6E4E-4102-AC27-737EB7FEBAE4}"/>
    <cellStyle name="40% - Accent3 2 5 3 4" xfId="37740" xr:uid="{342C7CFD-11BD-4B1D-859F-4FC30D0E480E}"/>
    <cellStyle name="40% - Accent3 2 5 4" xfId="37741" xr:uid="{93CA89F3-638B-4138-BAE3-082D64076FD0}"/>
    <cellStyle name="40% - Accent3 2 5 4 2" xfId="37742" xr:uid="{C351301A-5ACF-469B-8707-2BEA72B5BF95}"/>
    <cellStyle name="40% - Accent3 2 5 4 2 2" xfId="37743" xr:uid="{0B330DA0-F349-4245-9560-5B669F00502B}"/>
    <cellStyle name="40% - Accent3 2 5 4 3" xfId="37744" xr:uid="{A94F3D75-5772-40DE-AB58-D17BE2D31651}"/>
    <cellStyle name="40% - Accent3 2 5 4 3 2" xfId="37745" xr:uid="{B3B028E4-4631-45F9-9567-E8BD3BF6AE4C}"/>
    <cellStyle name="40% - Accent3 2 5 4 4" xfId="37746" xr:uid="{14FD86FE-CCB1-4683-B2F2-5949E4DACA45}"/>
    <cellStyle name="40% - Accent3 2 5 5" xfId="37747" xr:uid="{EB715439-91BF-4DAC-A3E2-4C1FD2E9AE2D}"/>
    <cellStyle name="40% - Accent3 2 5 5 2" xfId="37748" xr:uid="{26ABC2FC-1336-4362-A530-B8D60D91D0F6}"/>
    <cellStyle name="40% - Accent3 2 5 6" xfId="37749" xr:uid="{6EA5A19A-4878-4DCD-8025-00A63DBA5DDF}"/>
    <cellStyle name="40% - Accent3 2 5 6 2" xfId="37750" xr:uid="{282751AD-C585-4F18-859E-99C7453DD739}"/>
    <cellStyle name="40% - Accent3 2 5 7" xfId="37751" xr:uid="{3EC26C0A-7365-49EB-949E-DA74DCE229EA}"/>
    <cellStyle name="40% - Accent3 2 6" xfId="37752" xr:uid="{93DA5B40-D9EF-4085-90A8-3C83D3CE3235}"/>
    <cellStyle name="40% - Accent3 2 6 2" xfId="37753" xr:uid="{564A0754-5E6A-4CBC-A7E0-2F32A68CA620}"/>
    <cellStyle name="40% - Accent3 2 6 2 2" xfId="37754" xr:uid="{6A75DD94-DC14-495C-877F-6EB9219FE5BD}"/>
    <cellStyle name="40% - Accent3 2 6 3" xfId="37755" xr:uid="{CD5CA116-4E77-4935-8AFC-E85D82577942}"/>
    <cellStyle name="40% - Accent3 2 6 3 2" xfId="37756" xr:uid="{F2C0298A-63E3-4DCC-8E45-B10DFE21D444}"/>
    <cellStyle name="40% - Accent3 2 6 4" xfId="37757" xr:uid="{FD15C779-C01D-4072-8839-FE9E8F1DE910}"/>
    <cellStyle name="40% - Accent3 2 7" xfId="37758" xr:uid="{25FFB170-CEBF-4C15-AED2-D67F41D442C9}"/>
    <cellStyle name="40% - Accent3 2 7 2" xfId="37759" xr:uid="{9F71A8D2-BA50-4F05-87DA-8F8EBA6BD4CD}"/>
    <cellStyle name="40% - Accent3 2 7 2 2" xfId="37760" xr:uid="{9E4DEAD0-D0EF-4BB8-BA2D-B4BB4B8B31DC}"/>
    <cellStyle name="40% - Accent3 2 7 3" xfId="37761" xr:uid="{DF8D3448-FAB3-42B0-8401-1A6B7C366797}"/>
    <cellStyle name="40% - Accent3 2 7 3 2" xfId="37762" xr:uid="{3E286BEA-AECF-4A60-8FDE-001A425D45F5}"/>
    <cellStyle name="40% - Accent3 2 7 4" xfId="37763" xr:uid="{50DE9BD1-B9B5-418F-BDE8-CB83134232D1}"/>
    <cellStyle name="40% - Accent3 2 8" xfId="37764" xr:uid="{9ACDE5DC-0DB5-47EC-ACC8-EA6FD6C89FBB}"/>
    <cellStyle name="40% - Accent3 2 9" xfId="37765" xr:uid="{7A6638A0-486A-4B1E-B754-FBF577A2C172}"/>
    <cellStyle name="40% - Accent3 2_PwrTax 51040" xfId="2977" xr:uid="{4E0DA247-FF7A-464C-B31C-7CE1B6311A7F}"/>
    <cellStyle name="40% - Accent3 20" xfId="2978" xr:uid="{1F06CF59-346F-4B97-A9C2-10502794E44A}"/>
    <cellStyle name="40% - Accent3 21" xfId="2979" xr:uid="{C45FE0AF-CE9F-4AFA-8850-EC8C8CEEB944}"/>
    <cellStyle name="40% - Accent3 22" xfId="2980" xr:uid="{1F3382ED-06D6-4AA5-8E86-6C55EABDF337}"/>
    <cellStyle name="40% - Accent3 23" xfId="2981" xr:uid="{D8BCCD23-5667-4208-8D8E-9598B0D034B9}"/>
    <cellStyle name="40% - Accent3 24" xfId="2982" xr:uid="{C87B2C55-F6F8-47D3-BF60-A28C4BD7C5C2}"/>
    <cellStyle name="40% - Accent3 25" xfId="2983" xr:uid="{1EAB6D01-3402-4043-AFBD-D2774A9A7A65}"/>
    <cellStyle name="40% - Accent3 26" xfId="2984" xr:uid="{BD833697-310B-4FA2-B783-98E888B24B70}"/>
    <cellStyle name="40% - Accent3 27" xfId="2985" xr:uid="{307CCDFE-DD80-4A04-B469-FD2B4A66AC65}"/>
    <cellStyle name="40% - Accent3 28" xfId="2986" xr:uid="{4259C85F-51A5-4660-983E-8A83BD40A6EB}"/>
    <cellStyle name="40% - Accent3 29" xfId="2987" xr:uid="{518CA0E5-57BE-4898-8DAD-6A03586742EF}"/>
    <cellStyle name="40% - Accent3 3" xfId="2988" xr:uid="{400FD81F-7AA0-4D53-9E34-0D24C96E5769}"/>
    <cellStyle name="40% - Accent3 3 10" xfId="37766" xr:uid="{8423E110-A648-4E68-BF3C-C4DEDCFAC0FB}"/>
    <cellStyle name="40% - Accent3 3 11" xfId="43532" xr:uid="{26E63954-1654-4C15-8D99-C63DF70FC624}"/>
    <cellStyle name="40% - Accent3 3 2" xfId="2989" xr:uid="{98032EC7-9762-4742-B83B-2725994D5156}"/>
    <cellStyle name="40% - Accent3 3 2 2" xfId="37767" xr:uid="{01FF54CB-5955-43D5-9F14-64C4ED36FBED}"/>
    <cellStyle name="40% - Accent3 3 2 2 2" xfId="37768" xr:uid="{1AAF334B-2459-4060-98AA-B7396F84DF53}"/>
    <cellStyle name="40% - Accent3 3 2 3" xfId="37769" xr:uid="{2D0A1F08-B6CF-416A-8088-31896B2A1179}"/>
    <cellStyle name="40% - Accent3 3 3" xfId="2990" xr:uid="{8107FD3D-AB15-466B-AE4B-734F950BD245}"/>
    <cellStyle name="40% - Accent3 3 3 10" xfId="37770" xr:uid="{5A10B495-662E-400C-9555-4CB013FDB1BC}"/>
    <cellStyle name="40% - Accent3 3 3 10 2" xfId="37771" xr:uid="{6A05BA35-B71C-4EE7-BC80-1BB6BBAF0A24}"/>
    <cellStyle name="40% - Accent3 3 3 11" xfId="37772" xr:uid="{379F1C27-903B-4703-AF84-C663EAF5C522}"/>
    <cellStyle name="40% - Accent3 3 3 12" xfId="37773" xr:uid="{34839FAA-2669-40BB-AE16-C7A907D8FB2C}"/>
    <cellStyle name="40% - Accent3 3 3 2" xfId="2991" xr:uid="{9655E03E-0811-451B-A33C-9671A6142F9B}"/>
    <cellStyle name="40% - Accent3 3 3 2 2" xfId="2992" xr:uid="{27EB0B2C-619F-453B-B757-1EAB7E20EE7E}"/>
    <cellStyle name="40% - Accent3 3 3 2 2 2" xfId="2993" xr:uid="{4EF7058E-9F43-4D0F-AFA4-B61B03475B7A}"/>
    <cellStyle name="40% - Accent3 3 3 2 2 2 2" xfId="2994" xr:uid="{237880BC-CFC0-4322-ACE9-674CE466327C}"/>
    <cellStyle name="40% - Accent3 3 3 2 2 2 2 2" xfId="37774" xr:uid="{6CA11F3A-27FE-4155-8BCE-D0C67C6DB6FA}"/>
    <cellStyle name="40% - Accent3 3 3 2 2 2 3" xfId="2995" xr:uid="{662410D7-6C92-4ECB-BF7F-0CEFFD2A618F}"/>
    <cellStyle name="40% - Accent3 3 3 2 2 2 3 2" xfId="37775" xr:uid="{792DF852-EE86-4CEA-9AD8-DE42077B9F24}"/>
    <cellStyle name="40% - Accent3 3 3 2 2 2 4" xfId="37776" xr:uid="{43A3B7D0-3FA4-45AF-9120-3B9A3B63FD2D}"/>
    <cellStyle name="40% - Accent3 3 3 2 2 3" xfId="2996" xr:uid="{BF567D7B-9AAE-46E1-96F2-24EDC7188951}"/>
    <cellStyle name="40% - Accent3 3 3 2 2 3 2" xfId="37777" xr:uid="{8FBDA624-6EB4-465C-B0EC-9F4EA9052DE5}"/>
    <cellStyle name="40% - Accent3 3 3 2 2 4" xfId="2997" xr:uid="{8236779F-ED41-4A41-BBFF-6EE412922CFF}"/>
    <cellStyle name="40% - Accent3 3 3 2 2 4 2" xfId="37778" xr:uid="{81C80E61-50DC-47DB-AF6B-9C69D86B271D}"/>
    <cellStyle name="40% - Accent3 3 3 2 2 5" xfId="37779" xr:uid="{A664BCA1-C081-40E2-969A-015EAF2E228F}"/>
    <cellStyle name="40% - Accent3 3 3 2 3" xfId="2998" xr:uid="{1F3E573C-9295-47BE-9885-A85E71C774F7}"/>
    <cellStyle name="40% - Accent3 3 3 2 3 2" xfId="2999" xr:uid="{47A3400C-23F7-4F9F-8B7E-85D2A691E85D}"/>
    <cellStyle name="40% - Accent3 3 3 2 3 2 2" xfId="37780" xr:uid="{4CACEC43-4D1A-4733-92C4-AD80C0CD8001}"/>
    <cellStyle name="40% - Accent3 3 3 2 3 3" xfId="3000" xr:uid="{D11749DD-AA9B-4197-BEF8-F0227B81BA17}"/>
    <cellStyle name="40% - Accent3 3 3 2 3 3 2" xfId="37781" xr:uid="{8B883D1A-E2BA-461B-B7E8-9B7BA74EDFB1}"/>
    <cellStyle name="40% - Accent3 3 3 2 3 4" xfId="37782" xr:uid="{58E72CE4-ED35-4DB5-AEFA-66EE348FD52F}"/>
    <cellStyle name="40% - Accent3 3 3 2 4" xfId="3001" xr:uid="{ED88AC27-78C9-4DF0-B475-E1913AA9772C}"/>
    <cellStyle name="40% - Accent3 3 3 2 4 2" xfId="37783" xr:uid="{6CF41AA0-1134-48EA-A346-814176AC5552}"/>
    <cellStyle name="40% - Accent3 3 3 2 4 2 2" xfId="37784" xr:uid="{24AC4967-7392-4F12-AD6E-EBF848F693E7}"/>
    <cellStyle name="40% - Accent3 3 3 2 4 3" xfId="37785" xr:uid="{0B16AD67-0363-4CCB-88BF-2DCBA296085D}"/>
    <cellStyle name="40% - Accent3 3 3 2 4 3 2" xfId="37786" xr:uid="{C698782F-0CE7-4DB2-9108-AA9B47D49AF3}"/>
    <cellStyle name="40% - Accent3 3 3 2 4 4" xfId="37787" xr:uid="{FE9643D9-84EF-430E-991B-AE5CDC883FD5}"/>
    <cellStyle name="40% - Accent3 3 3 2 5" xfId="3002" xr:uid="{9CA73F18-3552-470E-B3D2-5FD302880843}"/>
    <cellStyle name="40% - Accent3 3 3 2 5 2" xfId="37788" xr:uid="{8B84AFDF-42CC-4E7B-BC7F-54A6F49B3BD4}"/>
    <cellStyle name="40% - Accent3 3 3 2 5 2 2" xfId="37789" xr:uid="{36E636C8-7C22-4583-A983-022AE0AADF14}"/>
    <cellStyle name="40% - Accent3 3 3 2 5 3" xfId="37790" xr:uid="{7706898F-586E-4547-B9F6-3CCB27A5038E}"/>
    <cellStyle name="40% - Accent3 3 3 2 5 3 2" xfId="37791" xr:uid="{80BD6F59-4796-4895-8CCE-6279B9A023BF}"/>
    <cellStyle name="40% - Accent3 3 3 2 5 4" xfId="37792" xr:uid="{5484C260-D456-4CD7-8624-3B5E7CB691A6}"/>
    <cellStyle name="40% - Accent3 3 3 2 6" xfId="3003" xr:uid="{0C3DED27-FF53-4061-A092-CADAAC877B4D}"/>
    <cellStyle name="40% - Accent3 3 3 2 6 2" xfId="37793" xr:uid="{D59E5A50-F35A-4FFB-BCF2-F87C241A40F1}"/>
    <cellStyle name="40% - Accent3 3 3 2 6 2 2" xfId="37794" xr:uid="{F1A3E7DA-13EF-47C0-A5BF-D4D9B1B3751A}"/>
    <cellStyle name="40% - Accent3 3 3 2 6 3" xfId="37795" xr:uid="{BEAF2632-ECB8-4074-AFFF-A38DC0B8716E}"/>
    <cellStyle name="40% - Accent3 3 3 2 6 3 2" xfId="37796" xr:uid="{C8D824BE-644F-4F09-92BC-2D1EEE8F14C2}"/>
    <cellStyle name="40% - Accent3 3 3 2 6 4" xfId="37797" xr:uid="{7F85607D-FC2A-4130-9946-A95D24AF312B}"/>
    <cellStyle name="40% - Accent3 3 3 2 7" xfId="37798" xr:uid="{DAA0147C-ED86-49D1-BBF9-B5CD8F5623F4}"/>
    <cellStyle name="40% - Accent3 3 3 2 7 2" xfId="37799" xr:uid="{703B20E0-AEBC-4A86-900A-7B9A6C688798}"/>
    <cellStyle name="40% - Accent3 3 3 2 8" xfId="37800" xr:uid="{EE77F7BB-9900-4206-809A-FE626FD63B2E}"/>
    <cellStyle name="40% - Accent3 3 3 2 8 2" xfId="37801" xr:uid="{D4B8E7FA-3691-4AF2-96C5-D93A8740478D}"/>
    <cellStyle name="40% - Accent3 3 3 2 9" xfId="37802" xr:uid="{506BD834-63EF-4FE8-834D-2EBC185F9EB7}"/>
    <cellStyle name="40% - Accent3 3 3 3" xfId="3004" xr:uid="{48F88A3C-2FD5-401F-898C-080AE6FDCDCD}"/>
    <cellStyle name="40% - Accent3 3 3 3 2" xfId="3005" xr:uid="{9B134A34-BDB5-40BE-8350-30A79432E450}"/>
    <cellStyle name="40% - Accent3 3 3 3 2 2" xfId="3006" xr:uid="{6E0FE380-9016-4CFA-AF25-ECC7C13EC025}"/>
    <cellStyle name="40% - Accent3 3 3 3 2 2 2" xfId="37803" xr:uid="{B6D5E805-4029-4DFA-8F3B-AD75824B7FCB}"/>
    <cellStyle name="40% - Accent3 3 3 3 2 3" xfId="3007" xr:uid="{3CA504EB-0DD3-431D-A015-5E1FF1F81E66}"/>
    <cellStyle name="40% - Accent3 3 3 3 2 3 2" xfId="37804" xr:uid="{2E12E2BE-35F8-43D0-9ADA-D9A937248C9B}"/>
    <cellStyle name="40% - Accent3 3 3 3 2 4" xfId="37805" xr:uid="{0EE80465-43F2-4186-824D-1FF1ECD94167}"/>
    <cellStyle name="40% - Accent3 3 3 3 3" xfId="3008" xr:uid="{28A12F8A-0E2B-498D-8C20-8E26659FD8D4}"/>
    <cellStyle name="40% - Accent3 3 3 3 3 2" xfId="37806" xr:uid="{29033835-8C21-4BC0-9287-D7D9E2B4EDCC}"/>
    <cellStyle name="40% - Accent3 3 3 3 3 2 2" xfId="37807" xr:uid="{547BC73D-05BF-4041-A677-EF34EAD2A757}"/>
    <cellStyle name="40% - Accent3 3 3 3 3 3" xfId="37808" xr:uid="{88A29D7E-D4E0-45B8-97FE-215CA5DEE234}"/>
    <cellStyle name="40% - Accent3 3 3 3 3 3 2" xfId="37809" xr:uid="{ACE1DF27-8AC7-4709-B439-DF3B14868CA0}"/>
    <cellStyle name="40% - Accent3 3 3 3 3 4" xfId="37810" xr:uid="{9278E1AE-A135-4A89-85FF-184365C9D2EC}"/>
    <cellStyle name="40% - Accent3 3 3 3 4" xfId="3009" xr:uid="{4304F3FE-D273-4CA7-AF24-587EB80FD163}"/>
    <cellStyle name="40% - Accent3 3 3 3 4 2" xfId="37811" xr:uid="{C955BAC4-CFFA-48E9-B545-34E7F6D4CC6D}"/>
    <cellStyle name="40% - Accent3 3 3 3 4 2 2" xfId="37812" xr:uid="{7F9C00D7-1914-4930-8BCD-42C8291F60F3}"/>
    <cellStyle name="40% - Accent3 3 3 3 4 3" xfId="37813" xr:uid="{ECAB19B1-BE25-4F88-89CC-42D4EC639C61}"/>
    <cellStyle name="40% - Accent3 3 3 3 4 3 2" xfId="37814" xr:uid="{EDB6C0C7-F13C-442D-AD8C-F724BCB82663}"/>
    <cellStyle name="40% - Accent3 3 3 3 4 4" xfId="37815" xr:uid="{3C337C91-917A-41A2-9982-E6623FFADD6D}"/>
    <cellStyle name="40% - Accent3 3 3 3 5" xfId="3010" xr:uid="{87D2390A-49BE-492B-9F29-47098D2BC0D0}"/>
    <cellStyle name="40% - Accent3 3 3 3 5 2" xfId="37816" xr:uid="{366743DE-9E59-4D0B-8EF2-5DAB091DAE23}"/>
    <cellStyle name="40% - Accent3 3 3 3 5 2 2" xfId="37817" xr:uid="{F901025B-B0E5-44CF-AC15-46056303C38C}"/>
    <cellStyle name="40% - Accent3 3 3 3 5 3" xfId="37818" xr:uid="{21245205-1CAC-43F4-8DD5-036DBC98A18F}"/>
    <cellStyle name="40% - Accent3 3 3 3 5 3 2" xfId="37819" xr:uid="{5D1A61EA-D773-4979-B35B-60A740600EDE}"/>
    <cellStyle name="40% - Accent3 3 3 3 5 4" xfId="37820" xr:uid="{8374A6AB-1B1B-456A-870C-54E09FC01173}"/>
    <cellStyle name="40% - Accent3 3 3 3 6" xfId="37821" xr:uid="{D6B464F2-C6BE-4305-9A1D-F6D582616133}"/>
    <cellStyle name="40% - Accent3 3 3 3 6 2" xfId="37822" xr:uid="{75A7FEAE-D9B6-4745-88B8-DFF9411A6352}"/>
    <cellStyle name="40% - Accent3 3 3 3 7" xfId="37823" xr:uid="{AAC25B9E-E484-4FEF-B739-70AFBE6515ED}"/>
    <cellStyle name="40% - Accent3 3 3 3 7 2" xfId="37824" xr:uid="{7B0D099F-29F1-4865-A4F9-EEA227DEBDC6}"/>
    <cellStyle name="40% - Accent3 3 3 3 8" xfId="37825" xr:uid="{569CCEF3-66C5-4848-BECA-08E4DF237FB2}"/>
    <cellStyle name="40% - Accent3 3 3 4" xfId="3011" xr:uid="{E4145643-3171-44F5-9C3C-2A69CF7457EB}"/>
    <cellStyle name="40% - Accent3 3 3 4 2" xfId="3012" xr:uid="{59D4F08B-E265-44F4-BC76-8ECF88277BEA}"/>
    <cellStyle name="40% - Accent3 3 3 4 2 2" xfId="3013" xr:uid="{C81FBA89-A160-4547-B9F9-6A9919D11601}"/>
    <cellStyle name="40% - Accent3 3 3 4 2 2 2" xfId="37826" xr:uid="{BF16E396-A9AA-4762-9D30-28EC81F3081D}"/>
    <cellStyle name="40% - Accent3 3 3 4 2 3" xfId="3014" xr:uid="{91E12E48-56F7-4DCF-BD5F-37941238D956}"/>
    <cellStyle name="40% - Accent3 3 3 4 2 3 2" xfId="37827" xr:uid="{B4E87503-F290-4CCC-BE25-F0C0AD362AA0}"/>
    <cellStyle name="40% - Accent3 3 3 4 2 4" xfId="37828" xr:uid="{35838331-CBE1-4F84-B064-74616D0FE3E5}"/>
    <cellStyle name="40% - Accent3 3 3 4 3" xfId="3015" xr:uid="{B5196248-5F77-435E-BF4E-7124EDA5E09C}"/>
    <cellStyle name="40% - Accent3 3 3 4 3 2" xfId="37829" xr:uid="{72F806C6-31BB-49CB-AC52-ACBF06D9542C}"/>
    <cellStyle name="40% - Accent3 3 3 4 3 2 2" xfId="37830" xr:uid="{3D1517AE-8F6F-49C1-8A5D-08258B2380E2}"/>
    <cellStyle name="40% - Accent3 3 3 4 3 3" xfId="37831" xr:uid="{66E48250-01B3-47E9-A5F3-EF2C633FA659}"/>
    <cellStyle name="40% - Accent3 3 3 4 3 3 2" xfId="37832" xr:uid="{7FB0EA2F-FE89-497E-B931-916B381B53A1}"/>
    <cellStyle name="40% - Accent3 3 3 4 3 4" xfId="37833" xr:uid="{3A770861-3643-4728-8B74-417673E8A449}"/>
    <cellStyle name="40% - Accent3 3 3 4 4" xfId="3016" xr:uid="{EDD2DB2C-4EAE-4842-B274-850AC585FE45}"/>
    <cellStyle name="40% - Accent3 3 3 4 4 2" xfId="37834" xr:uid="{E3A364F3-F9AD-4F2D-B751-774920A25518}"/>
    <cellStyle name="40% - Accent3 3 3 4 4 2 2" xfId="37835" xr:uid="{B42661AC-36A3-4664-AB61-D9A7C62E1BD7}"/>
    <cellStyle name="40% - Accent3 3 3 4 4 3" xfId="37836" xr:uid="{0AA00978-5F88-4B1E-896F-8CFC71FB713F}"/>
    <cellStyle name="40% - Accent3 3 3 4 4 3 2" xfId="37837" xr:uid="{31B5B4F2-9285-4C46-9850-FCB244EF4E6D}"/>
    <cellStyle name="40% - Accent3 3 3 4 4 4" xfId="37838" xr:uid="{DEAD902E-FC4D-463D-8BF6-0275C716634E}"/>
    <cellStyle name="40% - Accent3 3 3 4 5" xfId="37839" xr:uid="{0F9C9D88-1D1E-4B85-AE87-596A4F132424}"/>
    <cellStyle name="40% - Accent3 3 3 4 5 2" xfId="37840" xr:uid="{BEA700F4-62CE-4ECF-83CF-52E4BE47C23B}"/>
    <cellStyle name="40% - Accent3 3 3 4 6" xfId="37841" xr:uid="{5DDA4C08-C127-4E66-9F82-2FD6900B34A8}"/>
    <cellStyle name="40% - Accent3 3 3 4 6 2" xfId="37842" xr:uid="{81A3487E-E8C2-41E3-B2EF-5EE128B14974}"/>
    <cellStyle name="40% - Accent3 3 3 4 7" xfId="37843" xr:uid="{1A3809B2-9125-4345-8D65-8C7164FBD531}"/>
    <cellStyle name="40% - Accent3 3 3 5" xfId="3017" xr:uid="{0A5EF5BA-93FE-4C88-9295-D6B2B7A3FFB0}"/>
    <cellStyle name="40% - Accent3 3 3 5 2" xfId="3018" xr:uid="{A521C245-A4A9-42A7-B1C0-447186C81E68}"/>
    <cellStyle name="40% - Accent3 3 3 5 2 2" xfId="37844" xr:uid="{4C4FC91B-A661-4AA3-AC3D-38E565AE2CB2}"/>
    <cellStyle name="40% - Accent3 3 3 5 2 2 2" xfId="37845" xr:uid="{8D75CA8A-38F7-4506-B05D-47C4E4CF2085}"/>
    <cellStyle name="40% - Accent3 3 3 5 2 3" xfId="37846" xr:uid="{A2D56CD4-5B78-4D59-B200-09D1C93D73FC}"/>
    <cellStyle name="40% - Accent3 3 3 5 2 3 2" xfId="37847" xr:uid="{F1DB3ADE-433C-4BE4-A719-5E90E06CF4D6}"/>
    <cellStyle name="40% - Accent3 3 3 5 2 4" xfId="37848" xr:uid="{970B1ADC-A5F4-475B-BC18-ACB54284FC57}"/>
    <cellStyle name="40% - Accent3 3 3 5 3" xfId="3019" xr:uid="{BA1DD342-690C-4D5E-BFF9-253703B834F4}"/>
    <cellStyle name="40% - Accent3 3 3 5 3 2" xfId="37849" xr:uid="{BC9BED55-79F4-41D8-9070-FD903AAF8802}"/>
    <cellStyle name="40% - Accent3 3 3 5 3 2 2" xfId="37850" xr:uid="{FFCEE38C-3B49-4928-9BCF-B8E1E8C9D75B}"/>
    <cellStyle name="40% - Accent3 3 3 5 3 3" xfId="37851" xr:uid="{F1BEC21F-41CC-425A-A238-F5F5EFA475CA}"/>
    <cellStyle name="40% - Accent3 3 3 5 3 3 2" xfId="37852" xr:uid="{9D5E1500-0DFA-4BC1-9641-0C7445F39EF6}"/>
    <cellStyle name="40% - Accent3 3 3 5 3 4" xfId="37853" xr:uid="{FE96524E-6D2E-4F6E-AF79-362B2F81759A}"/>
    <cellStyle name="40% - Accent3 3 3 5 4" xfId="37854" xr:uid="{D4E9E9E2-D373-40E4-A421-BD1B1553C436}"/>
    <cellStyle name="40% - Accent3 3 3 5 4 2" xfId="37855" xr:uid="{15B68821-2CCA-4780-B049-9F625060A6CA}"/>
    <cellStyle name="40% - Accent3 3 3 5 4 2 2" xfId="37856" xr:uid="{9E959144-8FCF-4868-8C5D-F91BEECF8DF4}"/>
    <cellStyle name="40% - Accent3 3 3 5 4 3" xfId="37857" xr:uid="{E260BDA9-1035-4E08-B05B-327783090D3C}"/>
    <cellStyle name="40% - Accent3 3 3 5 4 3 2" xfId="37858" xr:uid="{26F72981-D8B1-4DA7-BAA3-956C4576E0D0}"/>
    <cellStyle name="40% - Accent3 3 3 5 4 4" xfId="37859" xr:uid="{EF5E9B24-A18A-411C-9B7C-50E8178AC1DC}"/>
    <cellStyle name="40% - Accent3 3 3 5 5" xfId="37860" xr:uid="{E20A54D8-6AF1-4C50-8A75-D0C77FFE016F}"/>
    <cellStyle name="40% - Accent3 3 3 5 5 2" xfId="37861" xr:uid="{DB4E33A1-5FF9-44D2-9E4C-094C6C2F1854}"/>
    <cellStyle name="40% - Accent3 3 3 5 6" xfId="37862" xr:uid="{B81E7081-622F-4C41-BE2F-508424190396}"/>
    <cellStyle name="40% - Accent3 3 3 5 6 2" xfId="37863" xr:uid="{0EF6B3F0-3C91-4EED-B305-08641B6BD37D}"/>
    <cellStyle name="40% - Accent3 3 3 5 7" xfId="37864" xr:uid="{2DD3638B-17D0-4B13-AD39-BAC3E09F39CF}"/>
    <cellStyle name="40% - Accent3 3 3 6" xfId="3020" xr:uid="{2260C429-9586-4E22-887B-FAB7DF53D5AB}"/>
    <cellStyle name="40% - Accent3 3 3 6 2" xfId="37865" xr:uid="{0614AB8D-7AE0-40A8-B901-70D5A336A6B8}"/>
    <cellStyle name="40% - Accent3 3 3 6 2 2" xfId="37866" xr:uid="{1CCF1F0A-D2F6-4B8C-8028-4400633DF1FF}"/>
    <cellStyle name="40% - Accent3 3 3 6 3" xfId="37867" xr:uid="{679CF02D-6ECF-4DF0-B06D-F2ABECEA3BCF}"/>
    <cellStyle name="40% - Accent3 3 3 6 3 2" xfId="37868" xr:uid="{80889968-9F13-40ED-847B-1B1031473462}"/>
    <cellStyle name="40% - Accent3 3 3 6 4" xfId="37869" xr:uid="{0096BD11-B938-4B39-B0F4-A48E73DE90F4}"/>
    <cellStyle name="40% - Accent3 3 3 7" xfId="3021" xr:uid="{FC971449-8E1D-435B-92A3-0B604B1CAAD3}"/>
    <cellStyle name="40% - Accent3 3 3 7 2" xfId="37870" xr:uid="{19EC3808-E5E3-428C-B7EB-11EF4FDA2F39}"/>
    <cellStyle name="40% - Accent3 3 3 7 2 2" xfId="37871" xr:uid="{77479AA4-75FB-405A-A1CE-9B941B9A67D2}"/>
    <cellStyle name="40% - Accent3 3 3 7 3" xfId="37872" xr:uid="{88404F5F-479E-4136-B911-24C8A2DF091A}"/>
    <cellStyle name="40% - Accent3 3 3 7 3 2" xfId="37873" xr:uid="{4D2EB100-F4A5-46E2-B449-6913C98EE3E5}"/>
    <cellStyle name="40% - Accent3 3 3 7 4" xfId="37874" xr:uid="{8AE19E8C-AB8F-4A18-A4D4-8E83255F5AFB}"/>
    <cellStyle name="40% - Accent3 3 3 8" xfId="3022" xr:uid="{66D827AC-C933-4570-95FB-8F085C2A43F5}"/>
    <cellStyle name="40% - Accent3 3 3 8 2" xfId="37875" xr:uid="{EBE344C6-DAB5-4228-B53E-7E13E86F9E6E}"/>
    <cellStyle name="40% - Accent3 3 3 8 2 2" xfId="37876" xr:uid="{15BBB9F4-02E4-4C9E-9E14-291E0786177C}"/>
    <cellStyle name="40% - Accent3 3 3 8 3" xfId="37877" xr:uid="{551B9271-1D2E-4774-BDB2-819CF5B41570}"/>
    <cellStyle name="40% - Accent3 3 3 8 3 2" xfId="37878" xr:uid="{511351AD-BCA8-42C9-AB74-F477640D74D8}"/>
    <cellStyle name="40% - Accent3 3 3 8 4" xfId="37879" xr:uid="{7920CEA8-6652-4D9E-8EC8-45FF3C413C36}"/>
    <cellStyle name="40% - Accent3 3 3 9" xfId="37880" xr:uid="{DFF7B95C-7B68-45AA-93D2-C681351C63C2}"/>
    <cellStyle name="40% - Accent3 3 3 9 2" xfId="37881" xr:uid="{89403074-2B95-4D17-A391-7CB9E66A697C}"/>
    <cellStyle name="40% - Accent3 3 4" xfId="3023" xr:uid="{DEA018E3-57DF-4FF4-898E-7AEAFFE5E166}"/>
    <cellStyle name="40% - Accent3 3 4 10" xfId="37882" xr:uid="{21A90A98-743E-486B-A1C5-BEE7B80F7F99}"/>
    <cellStyle name="40% - Accent3 3 4 2" xfId="3024" xr:uid="{AC1FE797-EC37-4D07-A7AC-8586C015D5B5}"/>
    <cellStyle name="40% - Accent3 3 4 2 2" xfId="3025" xr:uid="{A69D4D6B-4DF1-4BC8-A7C3-B2F532B389BA}"/>
    <cellStyle name="40% - Accent3 3 4 2 2 2" xfId="3026" xr:uid="{576BF3AF-9621-4ACE-86A0-17EF9BA5288E}"/>
    <cellStyle name="40% - Accent3 3 4 2 2 2 2" xfId="37883" xr:uid="{4318819C-9869-45A0-A633-AF5E955B0045}"/>
    <cellStyle name="40% - Accent3 3 4 2 2 3" xfId="3027" xr:uid="{AB8110E6-F4C1-4DB2-96FD-78D0C304B7FA}"/>
    <cellStyle name="40% - Accent3 3 4 2 2 3 2" xfId="37884" xr:uid="{900EE13D-5DEF-4B70-B215-12653AC38E67}"/>
    <cellStyle name="40% - Accent3 3 4 2 2 4" xfId="37885" xr:uid="{F7A18109-1A1A-4492-A6C3-138E6EE23A17}"/>
    <cellStyle name="40% - Accent3 3 4 2 3" xfId="3028" xr:uid="{5BE84A59-23CF-408D-A0B8-5B9F3A405FCC}"/>
    <cellStyle name="40% - Accent3 3 4 2 3 2" xfId="37886" xr:uid="{86AFF64E-7174-4B4D-8EF1-45AF5F69196F}"/>
    <cellStyle name="40% - Accent3 3 4 2 3 2 2" xfId="37887" xr:uid="{E7F0A195-D22F-4C1E-B0E4-69BBF1ADB04D}"/>
    <cellStyle name="40% - Accent3 3 4 2 3 3" xfId="37888" xr:uid="{2830DB9F-A9B9-441E-A081-4AE70CE51F21}"/>
    <cellStyle name="40% - Accent3 3 4 2 3 3 2" xfId="37889" xr:uid="{C725C8EE-9C9F-431A-A84B-75095FF66864}"/>
    <cellStyle name="40% - Accent3 3 4 2 3 4" xfId="37890" xr:uid="{7199E504-A441-426A-AF35-C16D9E36935E}"/>
    <cellStyle name="40% - Accent3 3 4 2 4" xfId="3029" xr:uid="{4E529FEF-6396-46DA-8BA8-94E27C973759}"/>
    <cellStyle name="40% - Accent3 3 4 2 4 2" xfId="37891" xr:uid="{DB5B977E-D1E5-49FE-8B81-D15FF3E3A87F}"/>
    <cellStyle name="40% - Accent3 3 4 2 4 2 2" xfId="37892" xr:uid="{66EE0F95-589E-465D-8D90-E781DCA7763D}"/>
    <cellStyle name="40% - Accent3 3 4 2 4 3" xfId="37893" xr:uid="{5ED51B9B-C6B7-4606-A676-00EE1AAC5A0D}"/>
    <cellStyle name="40% - Accent3 3 4 2 4 3 2" xfId="37894" xr:uid="{467902EC-05F9-464C-A0F2-653CAA373658}"/>
    <cellStyle name="40% - Accent3 3 4 2 4 4" xfId="37895" xr:uid="{9C401DDA-D19F-4DAE-B19E-55AE55CE4C83}"/>
    <cellStyle name="40% - Accent3 3 4 2 5" xfId="37896" xr:uid="{D96C85D6-A08A-4126-A8FC-AFEB9BFB7414}"/>
    <cellStyle name="40% - Accent3 3 4 2 5 2" xfId="37897" xr:uid="{4B092205-E530-4944-B68C-7CFCCF52E1A2}"/>
    <cellStyle name="40% - Accent3 3 4 2 5 2 2" xfId="37898" xr:uid="{CECA639B-91B2-4275-B4F0-7C8FB08E6D43}"/>
    <cellStyle name="40% - Accent3 3 4 2 5 3" xfId="37899" xr:uid="{D74E6343-7EFA-479F-96E6-FAE346DE88DB}"/>
    <cellStyle name="40% - Accent3 3 4 2 5 3 2" xfId="37900" xr:uid="{7D381DF0-59BA-4684-828C-8D448EC17C9C}"/>
    <cellStyle name="40% - Accent3 3 4 2 5 4" xfId="37901" xr:uid="{551F81C6-F1B8-45D3-B832-8FEC2C72C205}"/>
    <cellStyle name="40% - Accent3 3 4 2 6" xfId="37902" xr:uid="{3F6F8031-515F-44C9-A957-673D3D91EF53}"/>
    <cellStyle name="40% - Accent3 3 4 2 6 2" xfId="37903" xr:uid="{6D0D5F76-30E4-43FA-A1CA-3AEE44F39B02}"/>
    <cellStyle name="40% - Accent3 3 4 2 7" xfId="37904" xr:uid="{210F994C-A63B-44C4-ACFE-132DC3E31B71}"/>
    <cellStyle name="40% - Accent3 3 4 2 7 2" xfId="37905" xr:uid="{974B1EF8-84A7-490B-BA77-AB721FF25F05}"/>
    <cellStyle name="40% - Accent3 3 4 2 8" xfId="37906" xr:uid="{CEEDCDE7-4E81-498D-A153-53B7E35766E0}"/>
    <cellStyle name="40% - Accent3 3 4 3" xfId="3030" xr:uid="{CD5CB415-1EEA-4EB6-A614-82CF94192CAC}"/>
    <cellStyle name="40% - Accent3 3 4 3 2" xfId="3031" xr:uid="{4B23545F-5009-44D5-A7A7-0244C101D76B}"/>
    <cellStyle name="40% - Accent3 3 4 3 2 2" xfId="37907" xr:uid="{22ACB00E-8F67-45A4-AE90-D7D52F28092D}"/>
    <cellStyle name="40% - Accent3 3 4 3 2 2 2" xfId="37908" xr:uid="{50C7155A-1A4A-4D86-A945-3DDC4F28554A}"/>
    <cellStyle name="40% - Accent3 3 4 3 2 3" xfId="37909" xr:uid="{34F79E6F-EB35-44ED-8A31-CC099CAE12AF}"/>
    <cellStyle name="40% - Accent3 3 4 3 2 3 2" xfId="37910" xr:uid="{2C490972-F98B-46A1-94D0-581DAC6D3F71}"/>
    <cellStyle name="40% - Accent3 3 4 3 2 4" xfId="37911" xr:uid="{21175AB0-8D42-43E7-9735-A3E7B3D89D3E}"/>
    <cellStyle name="40% - Accent3 3 4 3 3" xfId="3032" xr:uid="{3264E87B-6718-42BE-8DE9-FDB46CC08202}"/>
    <cellStyle name="40% - Accent3 3 4 3 3 2" xfId="37912" xr:uid="{774E6CEA-85BD-4F48-9066-59751AED5404}"/>
    <cellStyle name="40% - Accent3 3 4 3 3 2 2" xfId="37913" xr:uid="{94519AED-9F14-485C-ACDC-02B8B57A2872}"/>
    <cellStyle name="40% - Accent3 3 4 3 3 3" xfId="37914" xr:uid="{1661B4B9-91D0-4DFB-A8D7-17841CA2A330}"/>
    <cellStyle name="40% - Accent3 3 4 3 3 3 2" xfId="37915" xr:uid="{1DE88DD4-2C3A-4965-81C8-E7AC4291CF78}"/>
    <cellStyle name="40% - Accent3 3 4 3 3 4" xfId="37916" xr:uid="{5924A0A7-BEBA-4D19-868E-2F7B4FBD90DC}"/>
    <cellStyle name="40% - Accent3 3 4 3 4" xfId="37917" xr:uid="{5DDC5227-873A-4AFF-A0F8-54DB8F076C05}"/>
    <cellStyle name="40% - Accent3 3 4 3 4 2" xfId="37918" xr:uid="{976F17E0-DC4F-493B-AD00-BA46BC2ACC11}"/>
    <cellStyle name="40% - Accent3 3 4 3 4 2 2" xfId="37919" xr:uid="{3E0A0479-FEA8-41A0-9FFC-717C5DA69862}"/>
    <cellStyle name="40% - Accent3 3 4 3 4 3" xfId="37920" xr:uid="{38F9EB5F-D0C0-4A95-8A1C-42BD4F7347F3}"/>
    <cellStyle name="40% - Accent3 3 4 3 4 3 2" xfId="37921" xr:uid="{B4C87B99-BEC3-43AD-A649-29FEB7B868EE}"/>
    <cellStyle name="40% - Accent3 3 4 3 4 4" xfId="37922" xr:uid="{8A2765B9-81C5-44C0-B7F0-65C751D6A33F}"/>
    <cellStyle name="40% - Accent3 3 4 3 5" xfId="37923" xr:uid="{54A279BF-502A-49D4-8B46-824A6F1A5537}"/>
    <cellStyle name="40% - Accent3 3 4 3 5 2" xfId="37924" xr:uid="{57A96479-191E-4661-8609-054C11E4A4C8}"/>
    <cellStyle name="40% - Accent3 3 4 3 6" xfId="37925" xr:uid="{0A3A459D-7D6A-4534-873A-18EBB8D155B5}"/>
    <cellStyle name="40% - Accent3 3 4 3 6 2" xfId="37926" xr:uid="{3599086A-6291-40F3-B4D6-A1B4AFA22692}"/>
    <cellStyle name="40% - Accent3 3 4 3 7" xfId="37927" xr:uid="{04414564-65E5-4A78-8CE9-046CD881FD11}"/>
    <cellStyle name="40% - Accent3 3 4 4" xfId="3033" xr:uid="{991122C3-7CE7-45D0-8338-B75DF0EFD582}"/>
    <cellStyle name="40% - Accent3 3 4 4 2" xfId="37928" xr:uid="{5E227CF9-EB56-445D-A784-C07CCB98814A}"/>
    <cellStyle name="40% - Accent3 3 4 4 2 2" xfId="37929" xr:uid="{D45940C6-F554-4809-8367-AE3421125658}"/>
    <cellStyle name="40% - Accent3 3 4 4 3" xfId="37930" xr:uid="{F4669546-B030-40A2-AE8F-C43DC8F9C2BF}"/>
    <cellStyle name="40% - Accent3 3 4 4 3 2" xfId="37931" xr:uid="{7CA30E88-1590-460D-A39E-1863A92FF416}"/>
    <cellStyle name="40% - Accent3 3 4 4 4" xfId="37932" xr:uid="{1F213AC4-AE6C-4FCD-BE09-5935838348C5}"/>
    <cellStyle name="40% - Accent3 3 4 5" xfId="3034" xr:uid="{F5C21830-E9F9-4131-AB72-C00D1109ADE1}"/>
    <cellStyle name="40% - Accent3 3 4 5 2" xfId="37933" xr:uid="{91585715-4A64-450A-8D5F-7E141E3A636F}"/>
    <cellStyle name="40% - Accent3 3 4 5 2 2" xfId="37934" xr:uid="{F2F9EED6-AAFC-4295-ABF3-013492ECE252}"/>
    <cellStyle name="40% - Accent3 3 4 5 3" xfId="37935" xr:uid="{B2C3CDB9-2C0F-4F75-B238-D86E66D527E3}"/>
    <cellStyle name="40% - Accent3 3 4 5 3 2" xfId="37936" xr:uid="{0838AAA0-27CF-4580-A0D3-564EBADC24BA}"/>
    <cellStyle name="40% - Accent3 3 4 5 4" xfId="37937" xr:uid="{1678ECCE-43AB-40E2-9DA9-DBD2C1565FC8}"/>
    <cellStyle name="40% - Accent3 3 4 6" xfId="3035" xr:uid="{D872DEF0-931D-4533-9E7F-0F858A9E84C8}"/>
    <cellStyle name="40% - Accent3 3 4 6 2" xfId="37938" xr:uid="{B9009764-B783-4DAF-99C2-CC64C9A928DA}"/>
    <cellStyle name="40% - Accent3 3 4 6 2 2" xfId="37939" xr:uid="{E67CE0DE-E850-494E-A81F-C1446E6B82E3}"/>
    <cellStyle name="40% - Accent3 3 4 6 3" xfId="37940" xr:uid="{7E3E9441-6928-4232-9EEA-F46569A5B43C}"/>
    <cellStyle name="40% - Accent3 3 4 6 3 2" xfId="37941" xr:uid="{2B1CCA3E-DEC2-44FD-9C78-9B34160E47A5}"/>
    <cellStyle name="40% - Accent3 3 4 6 4" xfId="37942" xr:uid="{6F90353E-F346-4132-A000-9C20E459A51E}"/>
    <cellStyle name="40% - Accent3 3 4 7" xfId="37943" xr:uid="{68708233-5A7D-40A2-A8E1-DD5377A7DC6D}"/>
    <cellStyle name="40% - Accent3 3 4 7 2" xfId="37944" xr:uid="{F722E6F0-44F2-4BE3-9C77-2B6277F306CB}"/>
    <cellStyle name="40% - Accent3 3 4 8" xfId="37945" xr:uid="{8EA28646-70EE-4F8B-A3F7-9B3AD0479495}"/>
    <cellStyle name="40% - Accent3 3 4 8 2" xfId="37946" xr:uid="{EFA80DDB-4802-47F3-ACA2-B3D8EF7CC265}"/>
    <cellStyle name="40% - Accent3 3 4 9" xfId="37947" xr:uid="{36089BCF-439A-4176-8B2F-27F421737018}"/>
    <cellStyle name="40% - Accent3 3 5" xfId="3036" xr:uid="{9F41726C-532D-4049-8A9B-438C81BC3235}"/>
    <cellStyle name="40% - Accent3 3 5 2" xfId="3037" xr:uid="{0A2325FF-0D22-4C14-9DE0-0FBE07E3EE76}"/>
    <cellStyle name="40% - Accent3 3 5 2 2" xfId="3038" xr:uid="{C5C659C0-61C8-41BB-AC00-5BBE0A4B87AA}"/>
    <cellStyle name="40% - Accent3 3 5 2 2 2" xfId="37948" xr:uid="{4004EEE5-771B-4F4B-9BDD-9881E670DE65}"/>
    <cellStyle name="40% - Accent3 3 5 2 3" xfId="3039" xr:uid="{11FB7EE0-C717-4751-BDB5-0637EE1D78DB}"/>
    <cellStyle name="40% - Accent3 3 5 2 3 2" xfId="37949" xr:uid="{60028F42-5DE4-4BEE-91B3-D2DF25251FCE}"/>
    <cellStyle name="40% - Accent3 3 5 2 4" xfId="37950" xr:uid="{3CE79E0C-BD08-461A-BC7A-1066F0CA9628}"/>
    <cellStyle name="40% - Accent3 3 5 3" xfId="3040" xr:uid="{D5DF54D8-78E5-4D3E-837B-F2359769C10C}"/>
    <cellStyle name="40% - Accent3 3 5 3 2" xfId="37951" xr:uid="{66FD4F28-43FD-4706-9177-682D517B1804}"/>
    <cellStyle name="40% - Accent3 3 5 3 2 2" xfId="37952" xr:uid="{F480DE16-AE2C-47B6-9FF2-3D87B5E0843C}"/>
    <cellStyle name="40% - Accent3 3 5 3 3" xfId="37953" xr:uid="{54A1A6AF-3055-4CB2-93C2-17B3D246B49D}"/>
    <cellStyle name="40% - Accent3 3 5 3 3 2" xfId="37954" xr:uid="{96FF3330-F04D-461C-A134-72EA8C6A30EF}"/>
    <cellStyle name="40% - Accent3 3 5 3 4" xfId="37955" xr:uid="{A2C1BFFD-C0FF-42E3-8C4B-2B79C49CF4E4}"/>
    <cellStyle name="40% - Accent3 3 5 4" xfId="3041" xr:uid="{519E3F47-11BA-4922-8B29-04F59CFA9FA8}"/>
    <cellStyle name="40% - Accent3 3 5 4 2" xfId="37956" xr:uid="{1DA84900-BDEC-4382-ACF9-9C8F5D87E847}"/>
    <cellStyle name="40% - Accent3 3 5 4 2 2" xfId="37957" xr:uid="{B5EAB8EF-7A79-4A19-B23E-AB7F53BDC886}"/>
    <cellStyle name="40% - Accent3 3 5 4 3" xfId="37958" xr:uid="{97A9FD64-B3CF-4B6F-A083-50CCD213DB5D}"/>
    <cellStyle name="40% - Accent3 3 5 4 3 2" xfId="37959" xr:uid="{5767D490-8CCA-446D-B357-C7EB4F2FA91D}"/>
    <cellStyle name="40% - Accent3 3 5 4 4" xfId="37960" xr:uid="{7171A6C0-AF56-4E0C-9E2E-F129DB143611}"/>
    <cellStyle name="40% - Accent3 3 5 5" xfId="37961" xr:uid="{2A9ACEBB-C116-43CD-A355-4D70B58A9489}"/>
    <cellStyle name="40% - Accent3 3 5 5 2" xfId="37962" xr:uid="{9C46B232-F31F-4D04-B7C3-E038EDE0D66A}"/>
    <cellStyle name="40% - Accent3 3 5 5 2 2" xfId="37963" xr:uid="{E07AC68E-3B11-412A-8227-2F8C45545839}"/>
    <cellStyle name="40% - Accent3 3 5 5 3" xfId="37964" xr:uid="{DC1B0693-B04E-4E2F-9623-5BA32E9CBF67}"/>
    <cellStyle name="40% - Accent3 3 5 5 3 2" xfId="37965" xr:uid="{7A5A0587-B919-4777-9102-C22F775D9C12}"/>
    <cellStyle name="40% - Accent3 3 5 5 4" xfId="37966" xr:uid="{2B28055A-683B-41CA-9017-FCFA7A025C4C}"/>
    <cellStyle name="40% - Accent3 3 5 6" xfId="37967" xr:uid="{E6E17D29-B899-44A2-98AC-AB6BDB25666E}"/>
    <cellStyle name="40% - Accent3 3 5 6 2" xfId="37968" xr:uid="{15506292-39ED-4BD7-B6C6-41D353AB3EDB}"/>
    <cellStyle name="40% - Accent3 3 5 7" xfId="37969" xr:uid="{4AA19E0A-243B-437E-905A-AF55CCD37961}"/>
    <cellStyle name="40% - Accent3 3 5 7 2" xfId="37970" xr:uid="{210152F8-5DD1-45FE-B60A-4B724171F963}"/>
    <cellStyle name="40% - Accent3 3 5 8" xfId="37971" xr:uid="{2974F859-789E-427D-8C55-3D329326CC7D}"/>
    <cellStyle name="40% - Accent3 3 6" xfId="3042" xr:uid="{795A2C95-B987-49B9-9828-222E03B10C2B}"/>
    <cellStyle name="40% - Accent3 3 6 2" xfId="3043" xr:uid="{7B4172EC-52FE-4C61-B21F-130E9DB3AEA4}"/>
    <cellStyle name="40% - Accent3 3 6 2 2" xfId="3044" xr:uid="{0444703E-A955-48EC-9FE4-412FD513881A}"/>
    <cellStyle name="40% - Accent3 3 6 2 3" xfId="3045" xr:uid="{A8D83974-BDEC-47E0-95F3-1BEE133B9587}"/>
    <cellStyle name="40% - Accent3 3 6 3" xfId="3046" xr:uid="{9F6C06FD-2F97-4FD6-89C4-60FBC5591CFC}"/>
    <cellStyle name="40% - Accent3 3 6 3 2" xfId="37972" xr:uid="{99C6784C-BEDE-4C69-B1B1-229CEDD843EC}"/>
    <cellStyle name="40% - Accent3 3 6 4" xfId="3047" xr:uid="{48DD6FB4-6C55-47FB-9607-8CF3C88FAECA}"/>
    <cellStyle name="40% - Accent3 3 6 5" xfId="37973" xr:uid="{4ECECE62-9ACC-4283-BD29-AA7477A49EEC}"/>
    <cellStyle name="40% - Accent3 3 7" xfId="3048" xr:uid="{8F5CD748-D435-4EE1-8F03-71474446B27B}"/>
    <cellStyle name="40% - Accent3 3 7 2" xfId="3049" xr:uid="{D425E3D9-6348-4510-B29C-F969A3BB41D0}"/>
    <cellStyle name="40% - Accent3 3 7 2 2" xfId="3050" xr:uid="{6709742E-542A-489A-BCA8-4C69AB040524}"/>
    <cellStyle name="40% - Accent3 3 7 2 3" xfId="3051" xr:uid="{59ECD817-1FE3-4F02-94D8-2E21166960A5}"/>
    <cellStyle name="40% - Accent3 3 7 3" xfId="3052" xr:uid="{F5D93F2A-948F-4631-B0E0-7FC700FFF640}"/>
    <cellStyle name="40% - Accent3 3 7 3 2" xfId="37974" xr:uid="{1F7018F4-14B4-47AE-A651-220073D6D83B}"/>
    <cellStyle name="40% - Accent3 3 7 4" xfId="3053" xr:uid="{1167E44F-F62B-4BCC-8AF7-7D2589243ABF}"/>
    <cellStyle name="40% - Accent3 3 8" xfId="3054" xr:uid="{7DCC543F-3A52-4F07-8597-C640C44B3D59}"/>
    <cellStyle name="40% - Accent3 3 8 2" xfId="37975" xr:uid="{743A10C4-99BE-45FA-B0E3-25368DB8F90C}"/>
    <cellStyle name="40% - Accent3 3 8 2 2" xfId="37976" xr:uid="{476AE7E9-E4A1-4C30-9A11-9C24E5DC9C74}"/>
    <cellStyle name="40% - Accent3 3 8 3" xfId="37977" xr:uid="{9CA29E36-C1F1-4CA8-A44D-8FE4F7452131}"/>
    <cellStyle name="40% - Accent3 3 8 3 2" xfId="37978" xr:uid="{E2CEFBC5-8201-46D1-99B6-A1575F210687}"/>
    <cellStyle name="40% - Accent3 3 8 4" xfId="37979" xr:uid="{D6F0268D-D684-4679-9417-BB05BBAF6C9C}"/>
    <cellStyle name="40% - Accent3 3 9" xfId="37980" xr:uid="{EC60345E-AA1B-4E2A-9482-A851BF001D9B}"/>
    <cellStyle name="40% - Accent3 3_PwrTax 51040" xfId="3055" xr:uid="{38FB6344-7212-4368-A8CA-3DC432A11232}"/>
    <cellStyle name="40% - Accent3 30" xfId="3056" xr:uid="{CA69A086-D75A-4C1B-986C-2044D80A1489}"/>
    <cellStyle name="40% - Accent3 31" xfId="3057" xr:uid="{8524AAF8-EAD0-49C9-8940-FB58A99AB0EC}"/>
    <cellStyle name="40% - Accent3 32" xfId="3058" xr:uid="{63A1019B-378D-4F13-A7C1-17346E187B45}"/>
    <cellStyle name="40% - Accent3 33" xfId="3059" xr:uid="{D18AE768-C094-4225-9733-641866EEE573}"/>
    <cellStyle name="40% - Accent3 34" xfId="3060" xr:uid="{167E6C06-F60A-457C-A207-D5657150AA0F}"/>
    <cellStyle name="40% - Accent3 35" xfId="3061" xr:uid="{E225D154-C3E8-4C50-9D28-2495A70B6A4B}"/>
    <cellStyle name="40% - Accent3 36" xfId="3062" xr:uid="{41C7C275-B89E-48C2-86E3-9EC32F4D3900}"/>
    <cellStyle name="40% - Accent3 37" xfId="3063" xr:uid="{99E5089D-4246-41C6-A1EA-71E3DE1493DE}"/>
    <cellStyle name="40% - Accent3 37 2" xfId="3064" xr:uid="{1E58C0BB-6BF5-4E7D-ADB3-57ED5F9AA3B1}"/>
    <cellStyle name="40% - Accent3 37 2 2" xfId="3065" xr:uid="{19E739FD-3CB6-416C-8456-325BF21444BA}"/>
    <cellStyle name="40% - Accent3 37 2 3" xfId="37981" xr:uid="{211B3AFC-C291-4D98-9F8A-412889605717}"/>
    <cellStyle name="40% - Accent3 37 3" xfId="3066" xr:uid="{9AA5CB96-86FD-4B17-B8AE-2CAF82339EBA}"/>
    <cellStyle name="40% - Accent3 37 3 2" xfId="3067" xr:uid="{D17DF26A-3DFD-45D7-B291-99E1A8E4B5D2}"/>
    <cellStyle name="40% - Accent3 37 3 3" xfId="37982" xr:uid="{BF436BC3-70F0-4A5A-89D9-53F1ACD09179}"/>
    <cellStyle name="40% - Accent3 37 4" xfId="3068" xr:uid="{0172C6F3-AC60-44C7-9CB4-DCA287A640BD}"/>
    <cellStyle name="40% - Accent3 37 5" xfId="37983" xr:uid="{31E5CCD7-35A0-445A-B741-188B2A6D6556}"/>
    <cellStyle name="40% - Accent3 37_PwrTax 51040" xfId="3069" xr:uid="{B7A97364-5016-49EC-A535-219BC3571862}"/>
    <cellStyle name="40% - Accent3 38" xfId="3070" xr:uid="{CCFEA8DA-8A96-4320-8D1D-C42C12A1F305}"/>
    <cellStyle name="40% - Accent3 38 2" xfId="37984" xr:uid="{407C0D72-5818-4D8E-B627-2CD32EDA693C}"/>
    <cellStyle name="40% - Accent3 38 2 2" xfId="37985" xr:uid="{3B0E85C3-97BD-48C1-9516-521577A2550A}"/>
    <cellStyle name="40% - Accent3 38 2 2 2" xfId="37986" xr:uid="{007CBA5F-904B-4C9E-91BC-42EA91D48CB4}"/>
    <cellStyle name="40% - Accent3 38 2 3" xfId="37987" xr:uid="{C29B1026-0195-4042-A87E-46B1DBFD3D73}"/>
    <cellStyle name="40% - Accent3 38 2 3 2" xfId="37988" xr:uid="{51371315-5954-40F5-A33B-310D508C26C6}"/>
    <cellStyle name="40% - Accent3 38 2 4" xfId="37989" xr:uid="{07F8B65B-FB3A-4C67-A44C-02C37CB10BE7}"/>
    <cellStyle name="40% - Accent3 38 3" xfId="37990" xr:uid="{118ADC48-D8EE-495C-B16C-5544326208A7}"/>
    <cellStyle name="40% - Accent3 38 3 2" xfId="37991" xr:uid="{0A05332D-8EFC-4402-843D-271E82B7FF6F}"/>
    <cellStyle name="40% - Accent3 38 3 2 2" xfId="37992" xr:uid="{C4663984-8A68-4370-90B5-BB4379A0C862}"/>
    <cellStyle name="40% - Accent3 38 3 3" xfId="37993" xr:uid="{CCD55380-844F-4FB0-9F9D-11368C716A5E}"/>
    <cellStyle name="40% - Accent3 38 3 3 2" xfId="37994" xr:uid="{6B99AA0E-7BE1-44BF-92B5-461FECD41458}"/>
    <cellStyle name="40% - Accent3 38 3 4" xfId="37995" xr:uid="{69C4A15D-7236-4405-B66A-830D0C6D79D1}"/>
    <cellStyle name="40% - Accent3 38 4" xfId="37996" xr:uid="{F9E8C35C-D872-45E1-A1E2-3E4A6FC2D0E4}"/>
    <cellStyle name="40% - Accent3 38 4 2" xfId="37997" xr:uid="{850AC642-90CB-4590-9E24-E8C0E8598F49}"/>
    <cellStyle name="40% - Accent3 38 4 2 2" xfId="37998" xr:uid="{15D202DB-BA34-4448-B253-1B2DD73CECB9}"/>
    <cellStyle name="40% - Accent3 38 4 3" xfId="37999" xr:uid="{616A29F6-F466-438D-91D4-58C8640AFFD0}"/>
    <cellStyle name="40% - Accent3 38 4 3 2" xfId="38000" xr:uid="{3E8F2918-73F2-416E-96F0-102B5FC3AB7E}"/>
    <cellStyle name="40% - Accent3 38 4 4" xfId="38001" xr:uid="{24D78A53-E2ED-4A2D-8E87-A0F8C588DFE3}"/>
    <cellStyle name="40% - Accent3 38 5" xfId="38002" xr:uid="{FD58C7CD-79E1-4370-909F-0D3567F49136}"/>
    <cellStyle name="40% - Accent3 38 5 2" xfId="38003" xr:uid="{00089B47-7331-4BDB-9462-834CE4F9DC54}"/>
    <cellStyle name="40% - Accent3 38 6" xfId="38004" xr:uid="{EF771D67-F862-42F0-A9A1-04E58F24C002}"/>
    <cellStyle name="40% - Accent3 38 6 2" xfId="38005" xr:uid="{D0D12917-CDB8-4B88-BF63-0602D80CD531}"/>
    <cellStyle name="40% - Accent3 38 7" xfId="38006" xr:uid="{EEA67AFB-3434-436B-ABCD-B4F1CA743536}"/>
    <cellStyle name="40% - Accent3 39" xfId="38007" xr:uid="{3654A777-2792-4658-BDDF-D0970726BBB5}"/>
    <cellStyle name="40% - Accent3 39 2" xfId="38008" xr:uid="{BC905483-30C8-485A-99CD-6833A39C77EF}"/>
    <cellStyle name="40% - Accent3 4" xfId="3071" xr:uid="{49F44EB4-920A-42CC-9744-92E4147704F5}"/>
    <cellStyle name="40% - Accent3 4 2" xfId="3072" xr:uid="{A8AE1604-D4ED-4677-9C7B-7D31791CA4A1}"/>
    <cellStyle name="40% - Accent3 4 2 2" xfId="3073" xr:uid="{2A4DB0AA-09E2-4640-B279-CD894B7DC0EC}"/>
    <cellStyle name="40% - Accent3 4 2 2 2" xfId="38009" xr:uid="{DC305303-9A06-4AD0-B6AA-4EB47B0DECE6}"/>
    <cellStyle name="40% - Accent3 4 2 3" xfId="38010" xr:uid="{E57DB249-ACDE-4120-AD09-4D3CFC68E611}"/>
    <cellStyle name="40% - Accent3 4 3" xfId="3074" xr:uid="{6E57D808-BCD2-42AB-BB65-F80C3FECC890}"/>
    <cellStyle name="40% - Accent3 4 3 2" xfId="3075" xr:uid="{1B6DFB92-9FEB-44EA-9F99-1EA8EA7E192E}"/>
    <cellStyle name="40% - Accent3 4 3 3" xfId="3076" xr:uid="{94FD2211-B010-4200-AAA2-6471E6A918DC}"/>
    <cellStyle name="40% - Accent3 4 3 4" xfId="38011" xr:uid="{B29746FE-3741-469E-A389-B99F79A4887C}"/>
    <cellStyle name="40% - Accent3 4 4" xfId="3077" xr:uid="{9679E60C-45C8-4803-BBB7-3C8B03BE4135}"/>
    <cellStyle name="40% - Accent3 4 4 2" xfId="3078" xr:uid="{D0BCC5F6-420A-4A81-8028-045E314B8101}"/>
    <cellStyle name="40% - Accent3 4 4 2 2" xfId="3079" xr:uid="{2503DD5B-CE34-46B7-83CC-C1B911236A08}"/>
    <cellStyle name="40% - Accent3 4 4 2 3" xfId="3080" xr:uid="{D147591F-042F-4A5E-BCF8-6E89AB03F38F}"/>
    <cellStyle name="40% - Accent3 4 4 3" xfId="3081" xr:uid="{8A3E6A78-B540-4514-8130-7F6873D95B64}"/>
    <cellStyle name="40% - Accent3 4 4 4" xfId="3082" xr:uid="{3CE97676-2C11-4739-892F-01D6385887E8}"/>
    <cellStyle name="40% - Accent3 4 4 5" xfId="3083" xr:uid="{C0376197-2107-4BA4-8253-DC0EF62D29C2}"/>
    <cellStyle name="40% - Accent3 4 4 6" xfId="38012" xr:uid="{745DAE0B-87C2-4021-8906-A2C6B55021B6}"/>
    <cellStyle name="40% - Accent3 4 5" xfId="3084" xr:uid="{AB6709F6-50B2-4647-868C-04BE708AA98B}"/>
    <cellStyle name="40% - Accent3 4 5 2" xfId="3085" xr:uid="{B817D601-227F-4264-A377-8D21BAC3BCC3}"/>
    <cellStyle name="40% - Accent3 4 5 3" xfId="3086" xr:uid="{09A97136-B331-4038-8596-FD44DFA3620B}"/>
    <cellStyle name="40% - Accent3 4 5 4" xfId="38013" xr:uid="{61C3E95B-5979-4093-BB0A-E4015710DBD6}"/>
    <cellStyle name="40% - Accent3 4 6" xfId="3087" xr:uid="{C04B26A7-2DDA-407B-8156-E25527C401F1}"/>
    <cellStyle name="40% - Accent3 4 7" xfId="38014" xr:uid="{ECD47E0B-121E-441F-B228-7337062DC799}"/>
    <cellStyle name="40% - Accent3 4 8" xfId="43546" xr:uid="{D531C0AB-036E-402A-AA47-263EF959E0AA}"/>
    <cellStyle name="40% - Accent3 4_PwrTax 51040" xfId="3088" xr:uid="{72FC4087-A0ED-474D-B6CC-6E4A293CF3C0}"/>
    <cellStyle name="40% - Accent3 40" xfId="38015" xr:uid="{3BAEC59F-C2F4-4BC8-AD27-F44367050AF2}"/>
    <cellStyle name="40% - Accent3 41" xfId="38016" xr:uid="{A8662315-7244-4E22-B4D4-1C5F323BBAA8}"/>
    <cellStyle name="40% - Accent3 42" xfId="38017" xr:uid="{5763243B-9CAB-4732-96A2-7B9BD92D2B2B}"/>
    <cellStyle name="40% - Accent3 43" xfId="38018" xr:uid="{CDA31FB9-E767-4D48-86EC-4065B156F057}"/>
    <cellStyle name="40% - Accent3 44" xfId="38019" xr:uid="{61AF5199-2EC5-40AF-BAC8-4CF898DEEA30}"/>
    <cellStyle name="40% - Accent3 45" xfId="38020" xr:uid="{4FBEE680-48FC-40FA-913B-1C986CAC7FFF}"/>
    <cellStyle name="40% - Accent3 46" xfId="38021" xr:uid="{BE393D9B-D17D-4041-9763-8E1C02C962DC}"/>
    <cellStyle name="40% - Accent3 47" xfId="38022" xr:uid="{72EBC936-523E-410B-8863-EA92B4A204A7}"/>
    <cellStyle name="40% - Accent3 48" xfId="38023" xr:uid="{26709034-BB50-44B4-9708-E5B8C9959D74}"/>
    <cellStyle name="40% - Accent3 49" xfId="38024" xr:uid="{8406903A-5AD0-483B-9B7F-C60B25D1E0DE}"/>
    <cellStyle name="40% - Accent3 5" xfId="3089" xr:uid="{950B96E2-D5AA-4BBF-8CA1-A284884EC2C6}"/>
    <cellStyle name="40% - Accent3 5 2" xfId="3090" xr:uid="{41022494-F2FF-4CE6-BC68-4B9060881280}"/>
    <cellStyle name="40% - Accent3 5 2 2" xfId="38025" xr:uid="{F3A01ABC-EF8A-4EDE-A008-DA4B5EAE72EB}"/>
    <cellStyle name="40% - Accent3 5 3" xfId="3091" xr:uid="{51C17E03-1393-43AC-BE29-DC60308B7F77}"/>
    <cellStyle name="40% - Accent3 5 4" xfId="38026" xr:uid="{180FFBD0-8A0C-4CD2-BD87-CDB0B2351474}"/>
    <cellStyle name="40% - Accent3 5 5" xfId="43561" xr:uid="{43B29B77-84CD-4B0C-BB34-D25F53532030}"/>
    <cellStyle name="40% - Accent3 50" xfId="38027" xr:uid="{FC3B9266-938B-47A5-A873-6AD3AA10C67D}"/>
    <cellStyle name="40% - Accent3 51" xfId="38028" xr:uid="{64B5C174-2718-4889-A9D2-202D46DDA9EF}"/>
    <cellStyle name="40% - Accent3 52" xfId="38029" xr:uid="{B3016095-AC66-40D8-AE84-3E7440545F0F}"/>
    <cellStyle name="40% - Accent3 53" xfId="38030" xr:uid="{F49322B2-6BE7-43A9-AADC-EEB565840415}"/>
    <cellStyle name="40% - Accent3 54" xfId="38031" xr:uid="{C4F4E259-D805-43DA-9FB4-37FDEB249DB3}"/>
    <cellStyle name="40% - Accent3 55" xfId="38032" xr:uid="{512B7DBF-59FA-4BCF-89B6-4EEBB7341046}"/>
    <cellStyle name="40% - Accent3 56" xfId="38033" xr:uid="{CCEDF746-B2C9-4DB7-ACFE-80A012A964F4}"/>
    <cellStyle name="40% - Accent3 57" xfId="38034" xr:uid="{D2D33F1A-73AE-4410-8D32-2CBD89B0A5A5}"/>
    <cellStyle name="40% - Accent3 58" xfId="38035" xr:uid="{A201DA28-8A43-48EA-857E-E4E4F8461C8D}"/>
    <cellStyle name="40% - Accent3 59" xfId="38036" xr:uid="{F01BB34B-4DEF-42F8-8F14-4F5119907031}"/>
    <cellStyle name="40% - Accent3 6" xfId="3092" xr:uid="{1AD0B3A6-2A03-49D1-9229-D213B2F5F91A}"/>
    <cellStyle name="40% - Accent3 6 2" xfId="3093" xr:uid="{05C49D4F-79CC-46BC-8A39-80B11C6853A4}"/>
    <cellStyle name="40% - Accent3 6 2 2" xfId="38037" xr:uid="{FB3DA8C7-DA48-4B53-90B9-03BBF5C699BD}"/>
    <cellStyle name="40% - Accent3 6 3" xfId="3094" xr:uid="{FEB7B8E0-6315-462D-A5F9-86832B221011}"/>
    <cellStyle name="40% - Accent3 6 4" xfId="38038" xr:uid="{13C4F163-D985-45FA-8034-6673C3D6915A}"/>
    <cellStyle name="40% - Accent3 60" xfId="38039" xr:uid="{EB0F07D4-AD46-4DA2-95FD-C84B0A22F4D2}"/>
    <cellStyle name="40% - Accent3 61" xfId="38040" xr:uid="{0A279801-5DE3-49D5-9AC0-8B9E0DEAA8CE}"/>
    <cellStyle name="40% - Accent3 62" xfId="38041" xr:uid="{3849BBBC-9883-4C9D-B96E-008F3877E7CD}"/>
    <cellStyle name="40% - Accent3 63" xfId="38042" xr:uid="{7CA0C66E-7188-4211-93B5-D09DB4081FC7}"/>
    <cellStyle name="40% - Accent3 64" xfId="38043" xr:uid="{A083CE07-E856-4A79-AB52-01405174C139}"/>
    <cellStyle name="40% - Accent3 65" xfId="38044" xr:uid="{DD3E8F65-611D-4712-9D1A-5AAD0C285C9C}"/>
    <cellStyle name="40% - Accent3 66" xfId="38045" xr:uid="{9B615FCD-B196-47BC-85F0-9D5ABDBB9360}"/>
    <cellStyle name="40% - Accent3 67" xfId="38046" xr:uid="{C5A4D4BB-5201-4C23-9F2A-6B3CFAEC7B6E}"/>
    <cellStyle name="40% - Accent3 68" xfId="38047" xr:uid="{B58AE8DA-0498-4B8A-A926-4A86E67345A0}"/>
    <cellStyle name="40% - Accent3 69" xfId="38048" xr:uid="{B50D104E-F9A7-4946-BE10-E5DF8B2DF2FD}"/>
    <cellStyle name="40% - Accent3 7" xfId="3095" xr:uid="{AE8664E3-5029-4CE2-B68F-66CE81811B92}"/>
    <cellStyle name="40% - Accent3 7 2" xfId="3096" xr:uid="{DDBE8F4A-C043-460C-816D-7BE7C59624EA}"/>
    <cellStyle name="40% - Accent3 7 3" xfId="3097" xr:uid="{C20225F0-C967-4D80-9AAD-598100C570BF}"/>
    <cellStyle name="40% - Accent3 7 4" xfId="38049" xr:uid="{A63BD545-BAD0-4556-9C8C-B35C6BCBF927}"/>
    <cellStyle name="40% - Accent3 70" xfId="38050" xr:uid="{FF2B0367-35DF-4CE3-A25C-D9C259416571}"/>
    <cellStyle name="40% - Accent3 71" xfId="38051" xr:uid="{C461458C-33D4-4923-8F94-B6DC4F83CC14}"/>
    <cellStyle name="40% - Accent3 72" xfId="38052" xr:uid="{2298F60C-B276-4AD9-B07C-87F8677FAF10}"/>
    <cellStyle name="40% - Accent3 73" xfId="38053" xr:uid="{7B7A0BA2-59C3-4146-A681-8636A10A322E}"/>
    <cellStyle name="40% - Accent3 74" xfId="38054" xr:uid="{C1872FF3-3654-43F9-8D53-E08368C66CF8}"/>
    <cellStyle name="40% - Accent3 75" xfId="38055" xr:uid="{3744CEA9-2030-40F2-869D-63460E074FA3}"/>
    <cellStyle name="40% - Accent3 76" xfId="38056" xr:uid="{4B2CA521-1E83-4A50-A515-4E4908058A22}"/>
    <cellStyle name="40% - Accent3 77" xfId="38057" xr:uid="{87814EBC-526C-434F-B1D5-91FB4E4DD48A}"/>
    <cellStyle name="40% - Accent3 78" xfId="38058" xr:uid="{9CC6E41B-50D8-4B51-A575-9AB10F782C62}"/>
    <cellStyle name="40% - Accent3 79" xfId="38059" xr:uid="{C1A2E205-5CA0-42C0-82D9-ED69C14AAABD}"/>
    <cellStyle name="40% - Accent3 8" xfId="3098" xr:uid="{28EB9DB4-3F11-439B-9DEF-8E184C5907D7}"/>
    <cellStyle name="40% - Accent3 8 2" xfId="3099" xr:uid="{9D251E65-FD60-42E5-9013-AF01A37634EC}"/>
    <cellStyle name="40% - Accent3 8 3" xfId="3100" xr:uid="{1CE3D446-D311-4FEF-B455-D092D3D79F11}"/>
    <cellStyle name="40% - Accent3 8 4" xfId="38060" xr:uid="{B917FCF0-F7FD-4739-92AE-3734F12DEA45}"/>
    <cellStyle name="40% - Accent3 80" xfId="38061" xr:uid="{DD261CED-F813-4FF2-A276-FA64ECF6C0A3}"/>
    <cellStyle name="40% - Accent3 81" xfId="38062" xr:uid="{FA6E4E48-6080-484E-ABD1-A45582D23C45}"/>
    <cellStyle name="40% - Accent3 82" xfId="38063" xr:uid="{22D14AEA-BAC9-4F7D-8178-30056FD2C426}"/>
    <cellStyle name="40% - Accent3 83" xfId="38064" xr:uid="{A4E4786B-ED7C-4B51-AC1A-A7BB26D00CA8}"/>
    <cellStyle name="40% - Accent3 84" xfId="38065" xr:uid="{E17FB007-718E-47DC-9C0E-4D26B80F3BD6}"/>
    <cellStyle name="40% - Accent3 85" xfId="38066" xr:uid="{E0692EF8-9B2C-4E11-8CFA-10EAF38A820F}"/>
    <cellStyle name="40% - Accent3 86" xfId="38067" xr:uid="{56F211BE-17E0-412D-8103-47ACD93BEE1F}"/>
    <cellStyle name="40% - Accent3 87" xfId="38068" xr:uid="{9136C591-B697-4356-8FE6-8DC04B8A8812}"/>
    <cellStyle name="40% - Accent3 88" xfId="38069" xr:uid="{1315B682-7A28-491C-9F91-124272E47D83}"/>
    <cellStyle name="40% - Accent3 89" xfId="38070" xr:uid="{F7C86462-4EA7-4343-B8CC-0AC5101009BE}"/>
    <cellStyle name="40% - Accent3 9" xfId="3101" xr:uid="{8136E491-56A8-4CDB-A897-7A9E228DCC45}"/>
    <cellStyle name="40% - Accent3 9 2" xfId="3102" xr:uid="{C4241577-5D8E-45FF-96DE-6EBBEBAC5FD8}"/>
    <cellStyle name="40% - Accent3 9 3" xfId="3103" xr:uid="{CBED4196-9542-48BC-812A-5657A307FF3F}"/>
    <cellStyle name="40% - Accent3 9 4" xfId="38071" xr:uid="{8F6FADFB-B16E-4B90-82C4-7BC83CCE9B31}"/>
    <cellStyle name="40% - Accent3 90" xfId="38072" xr:uid="{37862DFA-E015-4215-AA90-902AA471DC5B}"/>
    <cellStyle name="40% - Accent3 91" xfId="38073" xr:uid="{E71748CC-C5C8-4EEF-AB8E-B8A99A02BD8E}"/>
    <cellStyle name="40% - Accent3 92" xfId="38074" xr:uid="{889EAC41-A8A9-41AE-B552-A5E662557320}"/>
    <cellStyle name="40% - Accent3 93" xfId="38075" xr:uid="{3056489F-1163-43AD-8AD0-F91D90329B51}"/>
    <cellStyle name="40% - Accent3 94" xfId="38076" xr:uid="{362DF5FF-D5B5-45E4-98D6-8CAEAB89D4A9}"/>
    <cellStyle name="40% - Accent3 95" xfId="38077" xr:uid="{37966EBA-CC0D-4D7F-92D6-6845FCF13E72}"/>
    <cellStyle name="40% - Accent3 96" xfId="38078" xr:uid="{DECF4442-2AD8-4B28-8C0D-C794F74813C9}"/>
    <cellStyle name="40% - Accent3 97" xfId="38079" xr:uid="{C90B5C31-9150-4003-A704-045444C28EE7}"/>
    <cellStyle name="40% - Accent3 98" xfId="38080" xr:uid="{59939123-5976-42A0-9286-6C9F27BCCE00}"/>
    <cellStyle name="40% - Accent3 99" xfId="38081" xr:uid="{45947508-2048-4439-B0D2-B8A67ECC8BA9}"/>
    <cellStyle name="40% - Accent4 10" xfId="3104" xr:uid="{7BAC379F-0C37-4FFE-91A2-31AB7ABB31E8}"/>
    <cellStyle name="40% - Accent4 10 2" xfId="3105" xr:uid="{F5CB37CE-0CD4-4D8D-A68D-CADD27EB823E}"/>
    <cellStyle name="40% - Accent4 10 3" xfId="3106" xr:uid="{702BCDB4-88AD-4204-8951-541FCB2A7B5A}"/>
    <cellStyle name="40% - Accent4 10 4" xfId="38082" xr:uid="{69D07B2D-3CC1-4AD6-BEA3-A0EAB11A7070}"/>
    <cellStyle name="40% - Accent4 100" xfId="38083" xr:uid="{AA88D884-34FC-40B9-8C84-8C4375049324}"/>
    <cellStyle name="40% - Accent4 101" xfId="38084" xr:uid="{9326D9CE-F8C7-4691-9457-C2D7306A5D9B}"/>
    <cellStyle name="40% - Accent4 102" xfId="38085" xr:uid="{7DC25DD4-0661-4C47-8161-2E27AE4E3547}"/>
    <cellStyle name="40% - Accent4 103" xfId="43477" xr:uid="{FCCB7D7F-3155-4EAE-81C7-B1ACE26F3539}"/>
    <cellStyle name="40% - Accent4 104" xfId="43596" xr:uid="{DFA29281-62E6-45D5-993C-FAAA93B7748F}"/>
    <cellStyle name="40% - Accent4 105" xfId="171" xr:uid="{B9C75539-9DEB-4832-83A7-C4A48D9CF09D}"/>
    <cellStyle name="40% - Accent4 11" xfId="3107" xr:uid="{8703AB21-FE08-4F83-9198-20931CD64AD2}"/>
    <cellStyle name="40% - Accent4 11 2" xfId="3108" xr:uid="{D4E40FBE-4B86-409B-84A8-B24DA067D23E}"/>
    <cellStyle name="40% - Accent4 11 3" xfId="3109" xr:uid="{C781A42E-21B5-4A77-A4EA-10105C368900}"/>
    <cellStyle name="40% - Accent4 12" xfId="3110" xr:uid="{9B060C6B-A9F5-48E2-8733-CF6E7D038C5C}"/>
    <cellStyle name="40% - Accent4 12 2" xfId="3111" xr:uid="{2D455357-7F8A-4556-9834-E9D23C5EABB8}"/>
    <cellStyle name="40% - Accent4 13" xfId="3112" xr:uid="{CACE50F5-43E5-4145-A218-AD6D543D5D5B}"/>
    <cellStyle name="40% - Accent4 13 2" xfId="3113" xr:uid="{8A7776B7-F55B-49EE-AF7D-C2A67BB84D14}"/>
    <cellStyle name="40% - Accent4 14" xfId="3114" xr:uid="{943E1B48-276D-4174-B6B4-0257E92731B6}"/>
    <cellStyle name="40% - Accent4 14 2" xfId="3115" xr:uid="{5119B25E-7334-40C6-8302-67C9026B1AD0}"/>
    <cellStyle name="40% - Accent4 15" xfId="3116" xr:uid="{8BA390C0-69BB-42ED-B74B-49F924AA4CD2}"/>
    <cellStyle name="40% - Accent4 15 2" xfId="3117" xr:uid="{9839A7C4-DF9A-4B46-898B-261F0DF64633}"/>
    <cellStyle name="40% - Accent4 16" xfId="3118" xr:uid="{A540FED7-AB5D-4821-86B5-306029BBDC2F}"/>
    <cellStyle name="40% - Accent4 16 2" xfId="3119" xr:uid="{79BE46C4-95EF-4C99-820E-2139A32D3839}"/>
    <cellStyle name="40% - Accent4 17" xfId="3120" xr:uid="{EC18FE98-7A52-40A5-B5A6-92162A1C47EC}"/>
    <cellStyle name="40% - Accent4 17 2" xfId="3121" xr:uid="{E608F318-C0E7-4081-833E-2F3ABCA237E5}"/>
    <cellStyle name="40% - Accent4 18" xfId="3122" xr:uid="{496985A8-CA22-4CB3-9304-1C29F37D9510}"/>
    <cellStyle name="40% - Accent4 18 2" xfId="3123" xr:uid="{B379E67C-A424-4F90-A584-3BC7D0745AB2}"/>
    <cellStyle name="40% - Accent4 19" xfId="3124" xr:uid="{B1ABEEC7-4C62-495A-AA1E-D15531979846}"/>
    <cellStyle name="40% - Accent4 19 2" xfId="3125" xr:uid="{BD99FE26-D8B0-462D-88FA-416C4803FAD4}"/>
    <cellStyle name="40% - Accent4 2" xfId="3126" xr:uid="{D4EFD4AD-B5EE-46FE-B059-9440FF99A7B9}"/>
    <cellStyle name="40% - Accent4 2 10" xfId="43509" xr:uid="{CCE844BE-30F0-4066-AC23-9AB80ABBE629}"/>
    <cellStyle name="40% - Accent4 2 2" xfId="3127" xr:uid="{9F1F76C4-7F6B-4D23-AB35-660EB150AEEC}"/>
    <cellStyle name="40% - Accent4 2 2 2" xfId="3128" xr:uid="{DD1747CC-1F6E-4AE9-9F5B-A58A0A4BA30A}"/>
    <cellStyle name="40% - Accent4 2 2 2 2" xfId="3129" xr:uid="{11795B05-E765-452C-B896-9736139F92D5}"/>
    <cellStyle name="40% - Accent4 2 2 2 3" xfId="3130" xr:uid="{E4876D70-B38D-4EBB-B40C-1BAEE7216EBC}"/>
    <cellStyle name="40% - Accent4 2 2 2 4" xfId="38086" xr:uid="{913B35B4-AD39-41E2-8AAA-182F98763C36}"/>
    <cellStyle name="40% - Accent4 2 2 3" xfId="3131" xr:uid="{64D3D396-FF64-4870-9BFE-03E74754A833}"/>
    <cellStyle name="40% - Accent4 2 2 3 2" xfId="3132" xr:uid="{30C81794-4D36-4502-9039-92738A51F855}"/>
    <cellStyle name="40% - Accent4 2 2 3 3" xfId="38087" xr:uid="{5FD4418F-67B7-4EDA-A9DD-FD12BFD90F19}"/>
    <cellStyle name="40% - Accent4 2 2 4" xfId="3133" xr:uid="{A03B0715-039F-4C73-9D1F-D1089418D6D2}"/>
    <cellStyle name="40% - Accent4 2 2 5" xfId="3134" xr:uid="{C4935183-AF42-4CB9-AA95-0F32C5CEE529}"/>
    <cellStyle name="40% - Accent4 2 2 6" xfId="3135" xr:uid="{2810DB6D-C518-4DD6-9212-3C2B31F7878E}"/>
    <cellStyle name="40% - Accent4 2 2 7" xfId="38088" xr:uid="{67918764-A393-4F79-BC71-E665A35180AC}"/>
    <cellStyle name="40% - Accent4 2 2_PwrTax 51040" xfId="3136" xr:uid="{04CC6D7F-1FCA-490D-A109-8605560C140D}"/>
    <cellStyle name="40% - Accent4 2 3" xfId="3137" xr:uid="{B01513F2-35D4-47E7-8DEA-709879DA6F03}"/>
    <cellStyle name="40% - Accent4 2 3 10" xfId="3138" xr:uid="{963F1209-2745-45AB-A667-99F51BBE22A7}"/>
    <cellStyle name="40% - Accent4 2 3 10 2" xfId="38089" xr:uid="{C1A1E1D9-D807-4849-8DFF-2322E734D061}"/>
    <cellStyle name="40% - Accent4 2 3 11" xfId="38090" xr:uid="{542C28FA-D253-4B43-BA48-940EAE4C4479}"/>
    <cellStyle name="40% - Accent4 2 3 12" xfId="38091" xr:uid="{00583B16-70F6-4A83-BA29-5424E7E9BA62}"/>
    <cellStyle name="40% - Accent4 2 3 2" xfId="3139" xr:uid="{B7B4C24E-E79E-43ED-A059-C8842118C110}"/>
    <cellStyle name="40% - Accent4 2 3 2 10" xfId="38092" xr:uid="{FCF1E290-65A2-4F2A-9C8D-095038CEBD0E}"/>
    <cellStyle name="40% - Accent4 2 3 2 11" xfId="38093" xr:uid="{57CC0431-1598-4F01-9D16-1B84CF88E9D6}"/>
    <cellStyle name="40% - Accent4 2 3 2 2" xfId="3140" xr:uid="{33969D2D-CF1F-454C-BCC4-7935F2EF741E}"/>
    <cellStyle name="40% - Accent4 2 3 2 2 2" xfId="3141" xr:uid="{5693BB61-15C9-48FE-BAD6-9F9A220CD0BC}"/>
    <cellStyle name="40% - Accent4 2 3 2 2 2 2" xfId="3142" xr:uid="{F7CA173D-1D90-49F9-8649-593AD45E3EFC}"/>
    <cellStyle name="40% - Accent4 2 3 2 2 2 2 2" xfId="3143" xr:uid="{C733911C-6E48-4563-8C4A-9A4807E4EB54}"/>
    <cellStyle name="40% - Accent4 2 3 2 2 2 2 2 2" xfId="38094" xr:uid="{1509F6B8-B659-45C0-9FF3-3FC2728ABA57}"/>
    <cellStyle name="40% - Accent4 2 3 2 2 2 2 3" xfId="3144" xr:uid="{32A21A9F-6485-446A-9A1C-C1D4F703E963}"/>
    <cellStyle name="40% - Accent4 2 3 2 2 2 2 3 2" xfId="38095" xr:uid="{34C9298E-AA5D-41A1-8CCD-B7060E2F7951}"/>
    <cellStyle name="40% - Accent4 2 3 2 2 2 2 4" xfId="38096" xr:uid="{2D9BC91C-778E-4467-A1B0-F3496DBDF700}"/>
    <cellStyle name="40% - Accent4 2 3 2 2 2 3" xfId="3145" xr:uid="{78711B8B-FD21-4B52-885D-C6320B53BB8F}"/>
    <cellStyle name="40% - Accent4 2 3 2 2 2 3 2" xfId="38097" xr:uid="{0134A085-1D22-49CD-BFBF-15941EBC606E}"/>
    <cellStyle name="40% - Accent4 2 3 2 2 2 4" xfId="3146" xr:uid="{BCFEDFEE-9D04-44F3-AA03-78820CEF6824}"/>
    <cellStyle name="40% - Accent4 2 3 2 2 2 4 2" xfId="38098" xr:uid="{DC65FFAD-76D7-46DC-BB34-9109C3D16E5E}"/>
    <cellStyle name="40% - Accent4 2 3 2 2 2 5" xfId="38099" xr:uid="{E662E79D-0B92-438A-BB98-23082DDA9DEC}"/>
    <cellStyle name="40% - Accent4 2 3 2 2 3" xfId="3147" xr:uid="{1B1213CC-C877-4BA3-B5E5-286970734D74}"/>
    <cellStyle name="40% - Accent4 2 3 2 2 3 2" xfId="3148" xr:uid="{EFFC07D1-1646-46AD-8B66-6EC0FD967D66}"/>
    <cellStyle name="40% - Accent4 2 3 2 2 3 2 2" xfId="38100" xr:uid="{EA409211-C04E-41CB-97D8-53655B7E1BC0}"/>
    <cellStyle name="40% - Accent4 2 3 2 2 3 3" xfId="3149" xr:uid="{A3241962-0D33-4AD8-A8A1-CED7D88B1C45}"/>
    <cellStyle name="40% - Accent4 2 3 2 2 3 3 2" xfId="38101" xr:uid="{D409E070-89B5-4841-A087-10EF504AEEFB}"/>
    <cellStyle name="40% - Accent4 2 3 2 2 3 4" xfId="38102" xr:uid="{0FA413D5-9250-4D0E-B870-7932032C6C92}"/>
    <cellStyle name="40% - Accent4 2 3 2 2 4" xfId="3150" xr:uid="{71C4EA59-F12B-4839-82A4-2208421D39A4}"/>
    <cellStyle name="40% - Accent4 2 3 2 2 4 2" xfId="38103" xr:uid="{CD1F2C5F-5D92-449C-9A8B-5909549104BD}"/>
    <cellStyle name="40% - Accent4 2 3 2 2 5" xfId="3151" xr:uid="{CAA94FF0-F191-4516-A741-4A3E45B94C6E}"/>
    <cellStyle name="40% - Accent4 2 3 2 2 5 2" xfId="38104" xr:uid="{E25AD22C-092F-4317-A414-4849875EAFAC}"/>
    <cellStyle name="40% - Accent4 2 3 2 2 6" xfId="38105" xr:uid="{2A487DE5-A039-47BA-B928-2468A455A227}"/>
    <cellStyle name="40% - Accent4 2 3 2 3" xfId="3152" xr:uid="{8430D742-3DC8-425D-996E-0F866193A66C}"/>
    <cellStyle name="40% - Accent4 2 3 2 3 2" xfId="3153" xr:uid="{37E9A78B-BAAD-4995-8DE9-C4F9F89639AB}"/>
    <cellStyle name="40% - Accent4 2 3 2 3 2 2" xfId="3154" xr:uid="{884E0205-BB01-42EC-83EE-637D7FA5FCF6}"/>
    <cellStyle name="40% - Accent4 2 3 2 3 2 2 2" xfId="38106" xr:uid="{28DFC2D5-77A7-4D13-8084-37E132EBFB27}"/>
    <cellStyle name="40% - Accent4 2 3 2 3 2 3" xfId="3155" xr:uid="{3DCDDFCB-6CCD-4312-AAB4-478A08AAC902}"/>
    <cellStyle name="40% - Accent4 2 3 2 3 2 3 2" xfId="38107" xr:uid="{0E7896F8-04E4-4B82-AAA0-9B95F60FB92B}"/>
    <cellStyle name="40% - Accent4 2 3 2 3 2 4" xfId="38108" xr:uid="{90EECF87-4485-44C2-80BE-42B742EE7B66}"/>
    <cellStyle name="40% - Accent4 2 3 2 3 3" xfId="3156" xr:uid="{622DCF4E-5020-4A69-8E85-E31E9F1E6A0B}"/>
    <cellStyle name="40% - Accent4 2 3 2 3 3 2" xfId="38109" xr:uid="{FC220D88-997E-45DB-9E0B-731E8BD3CB32}"/>
    <cellStyle name="40% - Accent4 2 3 2 3 4" xfId="3157" xr:uid="{C78D9E6C-5691-4EBF-B22C-6C10BF455631}"/>
    <cellStyle name="40% - Accent4 2 3 2 3 4 2" xfId="38110" xr:uid="{E2BD54AF-96DE-4F46-8C9B-AE4B45A94F96}"/>
    <cellStyle name="40% - Accent4 2 3 2 3 5" xfId="38111" xr:uid="{DFDD927B-0CC2-41EB-990B-5B40F08020C5}"/>
    <cellStyle name="40% - Accent4 2 3 2 4" xfId="3158" xr:uid="{45D193AA-5B2D-403A-9897-4D69E457014A}"/>
    <cellStyle name="40% - Accent4 2 3 2 4 2" xfId="3159" xr:uid="{E58D9EEF-8506-4B07-8B7B-C093B4D7CE87}"/>
    <cellStyle name="40% - Accent4 2 3 2 4 2 2" xfId="38112" xr:uid="{A1E1E1BB-6BA0-4516-A980-97AE87421C2B}"/>
    <cellStyle name="40% - Accent4 2 3 2 4 3" xfId="3160" xr:uid="{AE868FFA-9CBC-4CDA-9083-1B4CCD8E5623}"/>
    <cellStyle name="40% - Accent4 2 3 2 4 3 2" xfId="38113" xr:uid="{65025B7D-7F1D-4101-BBBF-09A01246593F}"/>
    <cellStyle name="40% - Accent4 2 3 2 4 4" xfId="38114" xr:uid="{A47F97DB-0AC3-4680-9741-FB60390E75D8}"/>
    <cellStyle name="40% - Accent4 2 3 2 5" xfId="3161" xr:uid="{FFF6B3CA-5CF7-4D0F-9DFD-543FAC7CAA53}"/>
    <cellStyle name="40% - Accent4 2 3 2 5 2" xfId="38115" xr:uid="{B619FE68-43D1-43CF-A064-E54ADD8256FE}"/>
    <cellStyle name="40% - Accent4 2 3 2 5 2 2" xfId="38116" xr:uid="{5E196A73-FC8E-47FE-8A2A-20DB50E9D904}"/>
    <cellStyle name="40% - Accent4 2 3 2 5 3" xfId="38117" xr:uid="{5F13A2A1-83D0-4AAF-B08B-B8C773217DA9}"/>
    <cellStyle name="40% - Accent4 2 3 2 5 3 2" xfId="38118" xr:uid="{6AA9CDA4-4450-4F6E-8109-61761EA86E83}"/>
    <cellStyle name="40% - Accent4 2 3 2 5 4" xfId="38119" xr:uid="{30BA70F9-5E3D-42F0-9F6E-2731C3E2B840}"/>
    <cellStyle name="40% - Accent4 2 3 2 6" xfId="3162" xr:uid="{62FE32D3-905D-430E-A0CE-7822D3334834}"/>
    <cellStyle name="40% - Accent4 2 3 2 6 2" xfId="38120" xr:uid="{04551B60-C7AC-419F-A3B0-919992C09022}"/>
    <cellStyle name="40% - Accent4 2 3 2 6 2 2" xfId="38121" xr:uid="{742B6ECF-A4A9-43BB-9BB3-17D66D6B2FBB}"/>
    <cellStyle name="40% - Accent4 2 3 2 6 3" xfId="38122" xr:uid="{F8B1EC59-09EF-499E-A2C9-D1D16DF5B3B6}"/>
    <cellStyle name="40% - Accent4 2 3 2 6 3 2" xfId="38123" xr:uid="{45518F8A-0AFB-47D0-9375-87382045EB6B}"/>
    <cellStyle name="40% - Accent4 2 3 2 6 4" xfId="38124" xr:uid="{F6BF450C-2CCB-42F1-8FB1-C21931CAF1CD}"/>
    <cellStyle name="40% - Accent4 2 3 2 7" xfId="3163" xr:uid="{B1194999-344A-4799-884A-7F8C46EA4726}"/>
    <cellStyle name="40% - Accent4 2 3 2 7 2" xfId="38125" xr:uid="{8854E79B-C9F9-400F-A54F-E8A1A63DF0A6}"/>
    <cellStyle name="40% - Accent4 2 3 2 7 2 2" xfId="38126" xr:uid="{2ABF7422-BA83-4E7A-A8FB-200A448F774C}"/>
    <cellStyle name="40% - Accent4 2 3 2 7 3" xfId="38127" xr:uid="{E7F8158A-4BB7-42D5-A313-937212BC50B9}"/>
    <cellStyle name="40% - Accent4 2 3 2 7 3 2" xfId="38128" xr:uid="{4613E8E6-A742-46B5-8412-5DB02503E75D}"/>
    <cellStyle name="40% - Accent4 2 3 2 7 4" xfId="38129" xr:uid="{BB2822C3-E480-4E83-A760-FED46CDBD35B}"/>
    <cellStyle name="40% - Accent4 2 3 2 8" xfId="38130" xr:uid="{0EE3BE31-C970-4930-8426-B343B07FE570}"/>
    <cellStyle name="40% - Accent4 2 3 2 8 2" xfId="38131" xr:uid="{A97276D1-3F85-468A-8645-7FC4DD43DC2C}"/>
    <cellStyle name="40% - Accent4 2 3 2 9" xfId="38132" xr:uid="{A9D906E7-1481-4267-8645-C24833D7DDFE}"/>
    <cellStyle name="40% - Accent4 2 3 2 9 2" xfId="38133" xr:uid="{83768926-7C57-42A6-A63E-0D4FD3EB7437}"/>
    <cellStyle name="40% - Accent4 2 3 3" xfId="3164" xr:uid="{EC55D4D3-B790-4FE2-8EE5-356F4F76A412}"/>
    <cellStyle name="40% - Accent4 2 3 3 10" xfId="38134" xr:uid="{0C159E9B-DE21-43F6-8227-0FF12612FFDC}"/>
    <cellStyle name="40% - Accent4 2 3 3 2" xfId="3165" xr:uid="{039886D4-92F1-459B-B250-540BA42EB1D1}"/>
    <cellStyle name="40% - Accent4 2 3 3 2 2" xfId="3166" xr:uid="{B1310FB9-E290-4ADC-BC97-2FF19AB2D744}"/>
    <cellStyle name="40% - Accent4 2 3 3 2 2 2" xfId="3167" xr:uid="{1A7D23DF-7A66-4F51-8EBA-28A459FA3CCD}"/>
    <cellStyle name="40% - Accent4 2 3 3 2 2 2 2" xfId="38135" xr:uid="{082612AC-E3E5-4BB9-A60B-AD4C9C047CCF}"/>
    <cellStyle name="40% - Accent4 2 3 3 2 2 3" xfId="3168" xr:uid="{6DD7FE16-16E1-47AD-B0D1-B7DE35AA498C}"/>
    <cellStyle name="40% - Accent4 2 3 3 2 2 3 2" xfId="38136" xr:uid="{7182B657-7A58-401E-8954-149FB2DFB316}"/>
    <cellStyle name="40% - Accent4 2 3 3 2 2 4" xfId="38137" xr:uid="{2436F35A-77E3-4BD8-B2A1-0AFEFCEEC47D}"/>
    <cellStyle name="40% - Accent4 2 3 3 2 3" xfId="3169" xr:uid="{17E7895D-BB1F-4757-88DF-7F759C644CCF}"/>
    <cellStyle name="40% - Accent4 2 3 3 2 3 2" xfId="38138" xr:uid="{822D02C5-639B-4149-A7F5-35836DD6DC1D}"/>
    <cellStyle name="40% - Accent4 2 3 3 2 4" xfId="3170" xr:uid="{04AC8194-D3E4-408E-92EA-68CA02BBC546}"/>
    <cellStyle name="40% - Accent4 2 3 3 2 4 2" xfId="38139" xr:uid="{9D39BDDC-79A6-4B83-8E88-0A056A4592CC}"/>
    <cellStyle name="40% - Accent4 2 3 3 2 5" xfId="38140" xr:uid="{AED64CAD-99C8-41B7-ADCC-2ED2516A0DBD}"/>
    <cellStyle name="40% - Accent4 2 3 3 3" xfId="3171" xr:uid="{9D94380B-2A53-4CC4-AC76-1205E9EAD138}"/>
    <cellStyle name="40% - Accent4 2 3 3 3 2" xfId="3172" xr:uid="{FA278968-C679-4D0D-B8D6-207748FFC7A9}"/>
    <cellStyle name="40% - Accent4 2 3 3 3 2 2" xfId="38141" xr:uid="{F70275F0-60E9-412C-9B9E-9423297E5A76}"/>
    <cellStyle name="40% - Accent4 2 3 3 3 3" xfId="3173" xr:uid="{403028F2-E351-41D8-87CE-79B33FA12C81}"/>
    <cellStyle name="40% - Accent4 2 3 3 3 3 2" xfId="38142" xr:uid="{D7A268F9-0087-4750-B6CC-33EA33FB99FE}"/>
    <cellStyle name="40% - Accent4 2 3 3 3 4" xfId="38143" xr:uid="{F0CF4115-74ED-4016-A976-2D1BF5869608}"/>
    <cellStyle name="40% - Accent4 2 3 3 4" xfId="3174" xr:uid="{98F75776-CEC6-4C07-9E30-3B47F0E1C682}"/>
    <cellStyle name="40% - Accent4 2 3 3 4 2" xfId="38144" xr:uid="{D3382D11-4BF7-4923-89B3-8686100D130F}"/>
    <cellStyle name="40% - Accent4 2 3 3 4 2 2" xfId="38145" xr:uid="{5C57908E-D5C7-4529-9FE5-232131D844AF}"/>
    <cellStyle name="40% - Accent4 2 3 3 4 3" xfId="38146" xr:uid="{3C962975-3B87-4BD2-A628-09D9CB92EFCE}"/>
    <cellStyle name="40% - Accent4 2 3 3 4 3 2" xfId="38147" xr:uid="{3D861719-D2FF-476B-B0FA-EA8BE4BA0FD4}"/>
    <cellStyle name="40% - Accent4 2 3 3 4 4" xfId="38148" xr:uid="{CBD9D905-2EB7-417B-81BB-2BF51F17EC85}"/>
    <cellStyle name="40% - Accent4 2 3 3 5" xfId="3175" xr:uid="{316ACC48-A8C3-4D4C-A534-D1041E524C07}"/>
    <cellStyle name="40% - Accent4 2 3 3 5 2" xfId="38149" xr:uid="{F1C84504-8655-44DD-8F1E-F8411337C0BB}"/>
    <cellStyle name="40% - Accent4 2 3 3 5 2 2" xfId="38150" xr:uid="{884894C5-6150-4C80-B227-452A68ABE7FA}"/>
    <cellStyle name="40% - Accent4 2 3 3 5 3" xfId="38151" xr:uid="{81EAC76F-0125-4D12-9417-4EC333B98C50}"/>
    <cellStyle name="40% - Accent4 2 3 3 5 3 2" xfId="38152" xr:uid="{377D8064-4D75-40B9-9006-853C1CAEE9E3}"/>
    <cellStyle name="40% - Accent4 2 3 3 5 4" xfId="38153" xr:uid="{1F838F03-13DD-4576-A551-99865F0C2B9B}"/>
    <cellStyle name="40% - Accent4 2 3 3 6" xfId="3176" xr:uid="{241791CF-060D-4D92-BB6E-096E9D65BFC8}"/>
    <cellStyle name="40% - Accent4 2 3 3 6 2" xfId="38154" xr:uid="{B92BBCF3-88C5-4E1C-8C18-54B28B6C9D74}"/>
    <cellStyle name="40% - Accent4 2 3 3 6 2 2" xfId="38155" xr:uid="{F511091B-618D-4134-ACA7-99CCBB64798F}"/>
    <cellStyle name="40% - Accent4 2 3 3 6 3" xfId="38156" xr:uid="{EE8506F3-72CB-4184-BB33-61E5E74BCD3E}"/>
    <cellStyle name="40% - Accent4 2 3 3 6 3 2" xfId="38157" xr:uid="{03263877-E9E4-493F-9D23-EB5A10F8297A}"/>
    <cellStyle name="40% - Accent4 2 3 3 6 4" xfId="38158" xr:uid="{36BC09B9-8B14-4019-80D7-6DF6B19C26F7}"/>
    <cellStyle name="40% - Accent4 2 3 3 7" xfId="38159" xr:uid="{2BF5EF38-8477-4286-95EB-A6EB63464614}"/>
    <cellStyle name="40% - Accent4 2 3 3 7 2" xfId="38160" xr:uid="{B14D1CDD-AD11-47FD-BEBE-EA63CAD47EA2}"/>
    <cellStyle name="40% - Accent4 2 3 3 8" xfId="38161" xr:uid="{A3A72BA1-94B7-4BCD-81CE-C95AFA63C3C2}"/>
    <cellStyle name="40% - Accent4 2 3 3 8 2" xfId="38162" xr:uid="{80C4D3C3-255E-41A1-998C-66432991B081}"/>
    <cellStyle name="40% - Accent4 2 3 3 9" xfId="38163" xr:uid="{52C786C5-BAE9-4B1A-8830-2A94A199C658}"/>
    <cellStyle name="40% - Accent4 2 3 4" xfId="3177" xr:uid="{A0320B85-F27D-479D-83DD-214D592FE164}"/>
    <cellStyle name="40% - Accent4 2 3 4 2" xfId="3178" xr:uid="{EAA8A57D-2BE1-4B19-A3BB-B0AF21971500}"/>
    <cellStyle name="40% - Accent4 2 3 4 2 2" xfId="3179" xr:uid="{5107B88B-56A6-4E51-8614-078B0FEB7660}"/>
    <cellStyle name="40% - Accent4 2 3 4 2 2 2" xfId="38164" xr:uid="{7C7F4774-3652-41E3-BAD0-0822A10CBF3F}"/>
    <cellStyle name="40% - Accent4 2 3 4 2 3" xfId="3180" xr:uid="{6D7B01AA-F2FF-4BA2-AC67-59C96DC70D2E}"/>
    <cellStyle name="40% - Accent4 2 3 4 2 3 2" xfId="38165" xr:uid="{5E869DC5-712C-40ED-90AC-42083579B8E9}"/>
    <cellStyle name="40% - Accent4 2 3 4 2 4" xfId="38166" xr:uid="{1AF3938D-58D5-496B-B903-67E326E2F8D3}"/>
    <cellStyle name="40% - Accent4 2 3 4 3" xfId="3181" xr:uid="{6E1C739B-B274-4313-A691-175562C3023D}"/>
    <cellStyle name="40% - Accent4 2 3 4 3 2" xfId="38167" xr:uid="{4025BEA0-D9FA-4FEE-B6AD-EFB2DB19EE68}"/>
    <cellStyle name="40% - Accent4 2 3 4 3 2 2" xfId="38168" xr:uid="{833DE03E-C4EE-4144-A241-85EA46A0EE62}"/>
    <cellStyle name="40% - Accent4 2 3 4 3 3" xfId="38169" xr:uid="{E4350833-14F2-423B-B34D-A1A805837A50}"/>
    <cellStyle name="40% - Accent4 2 3 4 3 3 2" xfId="38170" xr:uid="{4C2E5870-0B2B-4300-8218-5A19F48267C0}"/>
    <cellStyle name="40% - Accent4 2 3 4 3 4" xfId="38171" xr:uid="{C7E3C948-0D5A-4A35-8031-A65503EF099A}"/>
    <cellStyle name="40% - Accent4 2 3 4 4" xfId="3182" xr:uid="{FA84F6C4-228A-4403-B012-29639376E09F}"/>
    <cellStyle name="40% - Accent4 2 3 4 4 2" xfId="38172" xr:uid="{B17F19E7-ABC5-452E-AC98-0E090BCBE8F5}"/>
    <cellStyle name="40% - Accent4 2 3 4 4 2 2" xfId="38173" xr:uid="{EC113CF3-5D38-483F-BAC0-8F001BFBF287}"/>
    <cellStyle name="40% - Accent4 2 3 4 4 3" xfId="38174" xr:uid="{D9380B97-014A-46D1-9F30-32E3746A2657}"/>
    <cellStyle name="40% - Accent4 2 3 4 4 3 2" xfId="38175" xr:uid="{5F111205-B154-4197-8658-420874495490}"/>
    <cellStyle name="40% - Accent4 2 3 4 4 4" xfId="38176" xr:uid="{5B3564CE-56C8-4B20-AFEF-87341D5346D9}"/>
    <cellStyle name="40% - Accent4 2 3 4 5" xfId="38177" xr:uid="{251B5FDA-56C6-4518-9164-50F1B1AD63E7}"/>
    <cellStyle name="40% - Accent4 2 3 4 5 2" xfId="38178" xr:uid="{F25A504A-D2DB-441E-AD6E-ACE1F3B3AE31}"/>
    <cellStyle name="40% - Accent4 2 3 4 5 2 2" xfId="38179" xr:uid="{B950A713-1E08-46B3-B54A-300D47E6CFDD}"/>
    <cellStyle name="40% - Accent4 2 3 4 5 3" xfId="38180" xr:uid="{6C561790-AF2D-4B40-A203-582C67CFF5A7}"/>
    <cellStyle name="40% - Accent4 2 3 4 5 3 2" xfId="38181" xr:uid="{13DE5BA9-1FFD-422D-851C-772FC8206D56}"/>
    <cellStyle name="40% - Accent4 2 3 4 5 4" xfId="38182" xr:uid="{7EF6E867-5B60-4F04-B188-24D78C9DDAD3}"/>
    <cellStyle name="40% - Accent4 2 3 4 6" xfId="38183" xr:uid="{44D9E323-7781-4115-80C3-D50BD9815EE9}"/>
    <cellStyle name="40% - Accent4 2 3 4 6 2" xfId="38184" xr:uid="{C068586F-8AC9-47DC-B3C8-ADC23D77A9D9}"/>
    <cellStyle name="40% - Accent4 2 3 4 7" xfId="38185" xr:uid="{67AF4FA6-917E-4C49-83A4-B710011389DF}"/>
    <cellStyle name="40% - Accent4 2 3 4 7 2" xfId="38186" xr:uid="{5882A5BC-7AA7-4016-8F77-CD90BF50AE90}"/>
    <cellStyle name="40% - Accent4 2 3 4 8" xfId="38187" xr:uid="{95E65E0D-A101-47DE-8B39-AB5FB81A65DB}"/>
    <cellStyle name="40% - Accent4 2 3 5" xfId="3183" xr:uid="{BFABF910-33DE-4335-857F-C5942111CBF6}"/>
    <cellStyle name="40% - Accent4 2 3 5 2" xfId="3184" xr:uid="{98A753EC-67D1-4F3F-950D-7C951396B4C9}"/>
    <cellStyle name="40% - Accent4 2 3 5 2 2" xfId="3185" xr:uid="{6861EE59-DF33-4433-AFB7-0ABF1982A2D4}"/>
    <cellStyle name="40% - Accent4 2 3 5 2 2 2" xfId="38188" xr:uid="{7680DBDF-B7B2-4EF6-9F16-C71302709A29}"/>
    <cellStyle name="40% - Accent4 2 3 5 2 3" xfId="3186" xr:uid="{AB4DF880-0ED0-4F4C-9A23-65503CBDD01E}"/>
    <cellStyle name="40% - Accent4 2 3 5 2 3 2" xfId="38189" xr:uid="{49C44550-8BAE-42FA-A137-28B7EA827506}"/>
    <cellStyle name="40% - Accent4 2 3 5 2 4" xfId="38190" xr:uid="{E89BB80D-3396-46DF-A1AD-39D7CAFC6E80}"/>
    <cellStyle name="40% - Accent4 2 3 5 3" xfId="3187" xr:uid="{31CF296C-A12A-49E4-A9FA-E04484B54874}"/>
    <cellStyle name="40% - Accent4 2 3 5 3 2" xfId="38191" xr:uid="{835BF3CD-2392-4B2C-8758-86AE260B1DB8}"/>
    <cellStyle name="40% - Accent4 2 3 5 3 2 2" xfId="38192" xr:uid="{A99D3914-7548-4919-BB01-C663C2E4B5F7}"/>
    <cellStyle name="40% - Accent4 2 3 5 3 3" xfId="38193" xr:uid="{C4177EB5-B657-4527-8008-3BB8278C3561}"/>
    <cellStyle name="40% - Accent4 2 3 5 3 3 2" xfId="38194" xr:uid="{3D028169-F70D-4255-ADC1-58ED33AE52EF}"/>
    <cellStyle name="40% - Accent4 2 3 5 3 4" xfId="38195" xr:uid="{4E88639D-3411-4AFF-B476-A6B879307900}"/>
    <cellStyle name="40% - Accent4 2 3 5 4" xfId="3188" xr:uid="{BC05A68B-51FE-4AB2-A44B-F226B68806AF}"/>
    <cellStyle name="40% - Accent4 2 3 5 4 2" xfId="38196" xr:uid="{2811228D-9A7E-4C97-9221-174E2BD6F131}"/>
    <cellStyle name="40% - Accent4 2 3 5 4 2 2" xfId="38197" xr:uid="{D7300A23-6AFF-4C21-BB99-AD374F59F861}"/>
    <cellStyle name="40% - Accent4 2 3 5 4 3" xfId="38198" xr:uid="{70A19A34-739A-4AC1-AC47-6F64B325DB08}"/>
    <cellStyle name="40% - Accent4 2 3 5 4 3 2" xfId="38199" xr:uid="{27F2EC22-1E89-4339-8880-3393F06B8B1B}"/>
    <cellStyle name="40% - Accent4 2 3 5 4 4" xfId="38200" xr:uid="{60221AA4-3264-4D63-B4A8-288AE0C05B88}"/>
    <cellStyle name="40% - Accent4 2 3 5 5" xfId="38201" xr:uid="{6F907C1F-840F-4840-B23B-7A5782855709}"/>
    <cellStyle name="40% - Accent4 2 3 5 5 2" xfId="38202" xr:uid="{F1B57037-67B4-49C0-BF74-944C54560AA9}"/>
    <cellStyle name="40% - Accent4 2 3 5 6" xfId="38203" xr:uid="{B9D9A7D8-5106-42C5-A40F-37E1839E7C63}"/>
    <cellStyle name="40% - Accent4 2 3 5 6 2" xfId="38204" xr:uid="{192B7F40-AEA7-4CA0-9F14-7A71E17DD27B}"/>
    <cellStyle name="40% - Accent4 2 3 5 7" xfId="38205" xr:uid="{E0322EB8-171A-4D02-A11F-F89FF6DDB90D}"/>
    <cellStyle name="40% - Accent4 2 3 6" xfId="3189" xr:uid="{352D9C99-4378-4569-B862-65608E171B88}"/>
    <cellStyle name="40% - Accent4 2 3 6 2" xfId="3190" xr:uid="{B8E0971E-D713-4C08-B52A-937D1176D03B}"/>
    <cellStyle name="40% - Accent4 2 3 6 2 2" xfId="38206" xr:uid="{BC1F3AAF-387D-4FCE-B39B-9DC3D8A6F8EC}"/>
    <cellStyle name="40% - Accent4 2 3 6 3" xfId="3191" xr:uid="{74C9663E-51B3-415B-B65B-3E595B854418}"/>
    <cellStyle name="40% - Accent4 2 3 6 3 2" xfId="38207" xr:uid="{BFE92508-D517-46FC-B50E-FB9204CFC669}"/>
    <cellStyle name="40% - Accent4 2 3 6 4" xfId="38208" xr:uid="{CD2763E5-5065-430F-95FA-613DB81C94C6}"/>
    <cellStyle name="40% - Accent4 2 3 7" xfId="3192" xr:uid="{AF481B06-DF6B-4C92-AB4B-3588C102F9D2}"/>
    <cellStyle name="40% - Accent4 2 3 7 2" xfId="38209" xr:uid="{E15EE3F4-A736-4921-96A9-EF7CD4F010FB}"/>
    <cellStyle name="40% - Accent4 2 3 7 2 2" xfId="38210" xr:uid="{1A6416B6-AD6C-40FB-AB78-D3B5973E38FC}"/>
    <cellStyle name="40% - Accent4 2 3 7 3" xfId="38211" xr:uid="{E68AA9DA-4E8A-4FE1-8A86-6872AA95D230}"/>
    <cellStyle name="40% - Accent4 2 3 7 3 2" xfId="38212" xr:uid="{D5844C7A-9B81-476A-8E80-317FD7A6F4A5}"/>
    <cellStyle name="40% - Accent4 2 3 7 4" xfId="38213" xr:uid="{638D320E-85FD-474E-9679-91D5DE4F7466}"/>
    <cellStyle name="40% - Accent4 2 3 8" xfId="3193" xr:uid="{CA28DCAA-9534-47BE-9AFD-E9BD9FD0AB1A}"/>
    <cellStyle name="40% - Accent4 2 3 8 2" xfId="38214" xr:uid="{45E5255B-B80A-4136-B494-0BACD0A5B8DD}"/>
    <cellStyle name="40% - Accent4 2 3 8 2 2" xfId="38215" xr:uid="{AE071C9F-4FBE-46AA-BCC8-7D5873239F63}"/>
    <cellStyle name="40% - Accent4 2 3 8 3" xfId="38216" xr:uid="{D8ECBEB2-7DFC-4B02-AB05-80BC9C27FA76}"/>
    <cellStyle name="40% - Accent4 2 3 8 3 2" xfId="38217" xr:uid="{7F6DE257-30B7-4CD5-8550-9884B75CF8E7}"/>
    <cellStyle name="40% - Accent4 2 3 8 4" xfId="38218" xr:uid="{C9E1FCC1-6D0A-46C5-81DC-0B6178FA4658}"/>
    <cellStyle name="40% - Accent4 2 3 9" xfId="3194" xr:uid="{F035028B-AB75-4EE6-AE63-8F2F1BA4F4DC}"/>
    <cellStyle name="40% - Accent4 2 3 9 2" xfId="38219" xr:uid="{6DD4ABA3-B7C2-4D01-BACF-0CA9676CE421}"/>
    <cellStyle name="40% - Accent4 2 4" xfId="3195" xr:uid="{43BDE058-417A-4229-AD3D-83DD5D474C3E}"/>
    <cellStyle name="40% - Accent4 2 4 2" xfId="3196" xr:uid="{7AF04738-C552-4E1E-9082-2896EE57219D}"/>
    <cellStyle name="40% - Accent4 2 4 2 2" xfId="3197" xr:uid="{B26460CA-9CA0-499D-9CFE-DCCC9E693744}"/>
    <cellStyle name="40% - Accent4 2 4 2 2 2" xfId="38220" xr:uid="{FC7CD179-C2FA-4BAC-8E8F-9D9CB78CCA02}"/>
    <cellStyle name="40% - Accent4 2 4 2 2 2 2" xfId="38221" xr:uid="{ACE721B9-4333-4F63-BDD9-3DA5FA419760}"/>
    <cellStyle name="40% - Accent4 2 4 2 2 3" xfId="38222" xr:uid="{2AC307D0-BE7F-4ED8-A4C5-C53D79F30ADE}"/>
    <cellStyle name="40% - Accent4 2 4 2 2 3 2" xfId="38223" xr:uid="{2B192614-54FC-43BC-94E7-7FFDBB85E13A}"/>
    <cellStyle name="40% - Accent4 2 4 2 2 4" xfId="38224" xr:uid="{9560A189-8D61-4515-8F90-A9CEC2959620}"/>
    <cellStyle name="40% - Accent4 2 4 2 3" xfId="3198" xr:uid="{B3EBED16-6B72-41CF-8C7B-5E5C3EE4EA4D}"/>
    <cellStyle name="40% - Accent4 2 4 2 3 2" xfId="38225" xr:uid="{00785230-DABC-484C-852B-850CFF7B8724}"/>
    <cellStyle name="40% - Accent4 2 4 2 3 2 2" xfId="38226" xr:uid="{B99329AA-FAF1-4B3E-8D6E-CF7C99A4C4E6}"/>
    <cellStyle name="40% - Accent4 2 4 2 3 3" xfId="38227" xr:uid="{E92EC853-4014-4910-A716-D80582193D61}"/>
    <cellStyle name="40% - Accent4 2 4 2 3 3 2" xfId="38228" xr:uid="{92C20060-C2DD-4843-89AC-9FBF93641F18}"/>
    <cellStyle name="40% - Accent4 2 4 2 3 4" xfId="38229" xr:uid="{3C5D810E-89EB-4C9C-8C36-3B68F5842DAB}"/>
    <cellStyle name="40% - Accent4 2 4 2 4" xfId="38230" xr:uid="{CE1E3D66-8F40-4D7E-AAF5-C8411C769D35}"/>
    <cellStyle name="40% - Accent4 2 4 2 4 2" xfId="38231" xr:uid="{E11505B5-9A3B-46FD-A0AE-49D00BB9632F}"/>
    <cellStyle name="40% - Accent4 2 4 2 4 2 2" xfId="38232" xr:uid="{267C9A96-2EA0-4F8E-8DD2-0692BF59F0CF}"/>
    <cellStyle name="40% - Accent4 2 4 2 4 3" xfId="38233" xr:uid="{162525B0-520B-4B7B-B088-56F26D0AF202}"/>
    <cellStyle name="40% - Accent4 2 4 2 4 3 2" xfId="38234" xr:uid="{0E35CFF5-E8DE-43C3-A50D-81217E0B8833}"/>
    <cellStyle name="40% - Accent4 2 4 2 4 4" xfId="38235" xr:uid="{ACE51AA2-504D-436A-9F0A-D441F75188D8}"/>
    <cellStyle name="40% - Accent4 2 4 2 5" xfId="38236" xr:uid="{9A772335-EF67-41AA-9AF4-39056ED6451B}"/>
    <cellStyle name="40% - Accent4 2 4 2 5 2" xfId="38237" xr:uid="{F2139ADC-3688-4C47-8807-EE87870F8764}"/>
    <cellStyle name="40% - Accent4 2 4 2 6" xfId="38238" xr:uid="{6DB02A89-71B3-4C76-9FB8-4B4A8103DD1D}"/>
    <cellStyle name="40% - Accent4 2 4 2 6 2" xfId="38239" xr:uid="{D176C3CF-9F9B-40D2-8444-C95FD7706B0F}"/>
    <cellStyle name="40% - Accent4 2 4 2 7" xfId="38240" xr:uid="{CA3E6D22-4C4C-4A33-9BEF-DE98E2A9689C}"/>
    <cellStyle name="40% - Accent4 2 4 3" xfId="3199" xr:uid="{D9AC609D-5B71-4B47-857A-FB5BE001612D}"/>
    <cellStyle name="40% - Accent4 2 4 3 2" xfId="38241" xr:uid="{159A7D2F-7A72-45E4-9BAA-F44A4A320A85}"/>
    <cellStyle name="40% - Accent4 2 4 3 2 2" xfId="38242" xr:uid="{3FC35FAB-D19E-49EE-9B2C-A22B4EA99894}"/>
    <cellStyle name="40% - Accent4 2 4 3 2 2 2" xfId="38243" xr:uid="{DF75886E-2121-4D53-A7A5-A75F30048861}"/>
    <cellStyle name="40% - Accent4 2 4 3 2 3" xfId="38244" xr:uid="{BB716E6A-9DD1-4FB0-8C8B-8E00AD939570}"/>
    <cellStyle name="40% - Accent4 2 4 3 2 3 2" xfId="38245" xr:uid="{264DC5EF-FD83-452C-9BF3-D65ACA9FD450}"/>
    <cellStyle name="40% - Accent4 2 4 3 2 4" xfId="38246" xr:uid="{0F1B0236-BC54-451E-9486-1EE37D778BFD}"/>
    <cellStyle name="40% - Accent4 2 4 3 3" xfId="38247" xr:uid="{890950D6-8853-4A30-B13F-753001F97FDB}"/>
    <cellStyle name="40% - Accent4 2 4 3 3 2" xfId="38248" xr:uid="{3577D0E3-FCD2-44E6-98B6-5BC33292D8BD}"/>
    <cellStyle name="40% - Accent4 2 4 3 3 2 2" xfId="38249" xr:uid="{2FABE851-B49F-40DD-81B3-09EE3FFC15BD}"/>
    <cellStyle name="40% - Accent4 2 4 3 3 3" xfId="38250" xr:uid="{BCAF5449-5E0C-41E5-B074-C616D282963E}"/>
    <cellStyle name="40% - Accent4 2 4 3 3 3 2" xfId="38251" xr:uid="{814F29B4-AE26-46E7-9670-433FF61B4E76}"/>
    <cellStyle name="40% - Accent4 2 4 3 3 4" xfId="38252" xr:uid="{75B111E6-405C-46C7-8F31-B0E957BB78A0}"/>
    <cellStyle name="40% - Accent4 2 4 3 4" xfId="38253" xr:uid="{9CB4E9ED-CEE9-4119-B06D-481794D92376}"/>
    <cellStyle name="40% - Accent4 2 4 3 4 2" xfId="38254" xr:uid="{16FBE4FA-4D0A-4382-8071-2B3D79DC53A3}"/>
    <cellStyle name="40% - Accent4 2 4 3 4 2 2" xfId="38255" xr:uid="{256BAD4D-124D-4843-9BC0-16B5BBC51EF3}"/>
    <cellStyle name="40% - Accent4 2 4 3 4 3" xfId="38256" xr:uid="{9B91760A-F22B-4C67-AFCA-E6F3DC9C60B5}"/>
    <cellStyle name="40% - Accent4 2 4 3 4 3 2" xfId="38257" xr:uid="{1185FDDE-74C7-4B80-9232-9B19E14E675E}"/>
    <cellStyle name="40% - Accent4 2 4 3 4 4" xfId="38258" xr:uid="{1BB07B1B-097E-42E6-B693-DB2865A922A6}"/>
    <cellStyle name="40% - Accent4 2 4 3 5" xfId="38259" xr:uid="{93ED6950-3CA8-4092-878A-840804EAC6B5}"/>
    <cellStyle name="40% - Accent4 2 4 3 5 2" xfId="38260" xr:uid="{D970DF9B-2970-460B-BF77-2F47495AAFB4}"/>
    <cellStyle name="40% - Accent4 2 4 3 6" xfId="38261" xr:uid="{99560BE3-98A4-41DE-A53C-F01BE886B78B}"/>
    <cellStyle name="40% - Accent4 2 4 3 6 2" xfId="38262" xr:uid="{755E454B-D244-4FE7-82F0-B1DCA2F77759}"/>
    <cellStyle name="40% - Accent4 2 4 3 7" xfId="38263" xr:uid="{E765A3B3-E36D-45DF-978C-CB63B69DA929}"/>
    <cellStyle name="40% - Accent4 2 4 4" xfId="3200" xr:uid="{166D749A-06C8-4B3C-B45B-E0F9B2228DB2}"/>
    <cellStyle name="40% - Accent4 2 4 4 2" xfId="38264" xr:uid="{1239D251-F311-4A85-B99F-75A53288C286}"/>
    <cellStyle name="40% - Accent4 2 4 4 2 2" xfId="38265" xr:uid="{61ADD51F-B172-42EE-886E-91AD33280DD5}"/>
    <cellStyle name="40% - Accent4 2 4 4 3" xfId="38266" xr:uid="{CE6A33EE-CB4F-45C8-BB71-D702C86AB8DB}"/>
    <cellStyle name="40% - Accent4 2 4 4 3 2" xfId="38267" xr:uid="{1129F78F-E63D-49B9-BE41-E83BE0774C01}"/>
    <cellStyle name="40% - Accent4 2 4 4 4" xfId="38268" xr:uid="{3F4DCB49-8EAD-4E71-97DA-E287EEFE14A1}"/>
    <cellStyle name="40% - Accent4 2 4 5" xfId="3201" xr:uid="{9A34945E-93AA-4A74-AFE4-2C7FDC0E317A}"/>
    <cellStyle name="40% - Accent4 2 4 5 2" xfId="38269" xr:uid="{B12D177C-CEC1-4E21-8D13-C4ECE99E851B}"/>
    <cellStyle name="40% - Accent4 2 4 5 2 2" xfId="38270" xr:uid="{41BC4C0D-1C43-4441-A9DC-F2B22850070B}"/>
    <cellStyle name="40% - Accent4 2 4 5 3" xfId="38271" xr:uid="{3B5F2603-21BC-4481-993B-AB4AE4C16590}"/>
    <cellStyle name="40% - Accent4 2 4 5 3 2" xfId="38272" xr:uid="{FDA55C8F-4047-4B22-A94D-BB6E5FC135DF}"/>
    <cellStyle name="40% - Accent4 2 4 5 4" xfId="38273" xr:uid="{DCABCA34-952C-491A-9092-981674FA64B7}"/>
    <cellStyle name="40% - Accent4 2 4 6" xfId="38274" xr:uid="{9B59580B-917E-4987-9393-4B21A0E80BB8}"/>
    <cellStyle name="40% - Accent4 2 4 6 2" xfId="38275" xr:uid="{566945EA-BBC2-412F-8859-0C366709E81A}"/>
    <cellStyle name="40% - Accent4 2 4 6 2 2" xfId="38276" xr:uid="{DCAF945A-ED87-4F36-B0B0-4ACACC13D628}"/>
    <cellStyle name="40% - Accent4 2 4 6 3" xfId="38277" xr:uid="{CFAEAEAB-9DD6-4E28-8088-7A54FB19F90E}"/>
    <cellStyle name="40% - Accent4 2 4 6 3 2" xfId="38278" xr:uid="{9943555B-DE74-43D1-9862-905A720F2F65}"/>
    <cellStyle name="40% - Accent4 2 4 6 4" xfId="38279" xr:uid="{3C8CF369-5C98-4724-BC15-72CA443A62AF}"/>
    <cellStyle name="40% - Accent4 2 4 7" xfId="38280" xr:uid="{35401363-9A8A-41A4-87D4-F0B01C295DC1}"/>
    <cellStyle name="40% - Accent4 2 4 7 2" xfId="38281" xr:uid="{55B349AC-893C-403D-9A0A-43B63A87C17D}"/>
    <cellStyle name="40% - Accent4 2 4 8" xfId="38282" xr:uid="{AB4EA82C-F66F-44F7-8FCD-BE8CA49C4A12}"/>
    <cellStyle name="40% - Accent4 2 4 8 2" xfId="38283" xr:uid="{7272A40A-DCE7-4F7F-8403-F0AD75F0B0FB}"/>
    <cellStyle name="40% - Accent4 2 4 9" xfId="38284" xr:uid="{CDDEE356-5EC4-47A8-BE01-EC1690411F94}"/>
    <cellStyle name="40% - Accent4 2 5" xfId="38285" xr:uid="{AAF2B209-92AB-442B-9238-29A9306D2549}"/>
    <cellStyle name="40% - Accent4 2 5 2" xfId="38286" xr:uid="{54818867-1ABB-4F45-B569-5684829C66F4}"/>
    <cellStyle name="40% - Accent4 2 5 2 2" xfId="38287" xr:uid="{7DA9E1C5-14E0-442F-9954-4B5FD484F56D}"/>
    <cellStyle name="40% - Accent4 2 5 2 2 2" xfId="38288" xr:uid="{028C218C-1C8C-42AA-8BB7-A5DFA7E79FC9}"/>
    <cellStyle name="40% - Accent4 2 5 2 3" xfId="38289" xr:uid="{E1ED13C6-75F0-4657-8333-653EE6D4717D}"/>
    <cellStyle name="40% - Accent4 2 5 2 3 2" xfId="38290" xr:uid="{0F7A40F6-A63C-4E4E-B44D-E0B0C0D356C0}"/>
    <cellStyle name="40% - Accent4 2 5 2 4" xfId="38291" xr:uid="{1A471FEF-F4E2-468A-9448-D26284299619}"/>
    <cellStyle name="40% - Accent4 2 5 3" xfId="38292" xr:uid="{D2094DD2-95A3-41C0-ADA0-9E076F2F15C1}"/>
    <cellStyle name="40% - Accent4 2 5 3 2" xfId="38293" xr:uid="{3035B853-DA2F-4873-96B5-77EB9E04B102}"/>
    <cellStyle name="40% - Accent4 2 5 3 2 2" xfId="38294" xr:uid="{9EBFC975-AE8B-4CD6-97CD-3F738AA22C6C}"/>
    <cellStyle name="40% - Accent4 2 5 3 3" xfId="38295" xr:uid="{0FE6A0CE-902C-4BE3-A879-96F2A72B945B}"/>
    <cellStyle name="40% - Accent4 2 5 3 3 2" xfId="38296" xr:uid="{4DEC4BD3-C7AB-4054-A079-220C896524F7}"/>
    <cellStyle name="40% - Accent4 2 5 3 4" xfId="38297" xr:uid="{A29CFE39-6298-4DE3-8F97-0AFC3BFD84FA}"/>
    <cellStyle name="40% - Accent4 2 5 4" xfId="38298" xr:uid="{BC6EA041-6144-49AA-B69E-19AFAAC3528A}"/>
    <cellStyle name="40% - Accent4 2 5 4 2" xfId="38299" xr:uid="{8D6E39CC-8FA4-4D07-BC60-120A400A55F0}"/>
    <cellStyle name="40% - Accent4 2 5 4 2 2" xfId="38300" xr:uid="{8CF0A174-7E40-4A81-8750-283090C00212}"/>
    <cellStyle name="40% - Accent4 2 5 4 3" xfId="38301" xr:uid="{E6CD0932-E819-43DC-B80D-7BE25383D768}"/>
    <cellStyle name="40% - Accent4 2 5 4 3 2" xfId="38302" xr:uid="{4C3E89A1-1DD6-42DA-A5AA-07CF02876E4E}"/>
    <cellStyle name="40% - Accent4 2 5 4 4" xfId="38303" xr:uid="{47C6E4C6-13EA-4A2A-AFF3-492F7E4543B6}"/>
    <cellStyle name="40% - Accent4 2 5 5" xfId="38304" xr:uid="{BD540DE3-21F5-49E2-B863-8C88BB0B13ED}"/>
    <cellStyle name="40% - Accent4 2 5 5 2" xfId="38305" xr:uid="{F306E34F-4B0E-453D-BB26-E14BE1ADA18B}"/>
    <cellStyle name="40% - Accent4 2 5 6" xfId="38306" xr:uid="{07F99B32-B370-43CB-AC56-875E7DB15B00}"/>
    <cellStyle name="40% - Accent4 2 5 6 2" xfId="38307" xr:uid="{AE090E6F-4483-4E92-B7F7-72DD9014D54D}"/>
    <cellStyle name="40% - Accent4 2 5 7" xfId="38308" xr:uid="{DA308028-3DC5-4A97-9D68-1733999E4ED8}"/>
    <cellStyle name="40% - Accent4 2 6" xfId="38309" xr:uid="{7C20F2B1-26EB-47EB-948E-1B2CDB74449B}"/>
    <cellStyle name="40% - Accent4 2 6 2" xfId="38310" xr:uid="{371E405F-9395-4932-93E3-075E949FE8FA}"/>
    <cellStyle name="40% - Accent4 2 6 2 2" xfId="38311" xr:uid="{54ECC82E-F4E1-4358-986F-DB95AD7D63DC}"/>
    <cellStyle name="40% - Accent4 2 6 3" xfId="38312" xr:uid="{1E0CFF29-1FE2-40D0-B23D-4F2A0023C863}"/>
    <cellStyle name="40% - Accent4 2 6 3 2" xfId="38313" xr:uid="{F31AD213-FBE9-45C9-8EEF-8A909BA86E18}"/>
    <cellStyle name="40% - Accent4 2 6 4" xfId="38314" xr:uid="{6D53C99B-9E90-47A0-892D-CBBEDD8EC9F2}"/>
    <cellStyle name="40% - Accent4 2 7" xfId="38315" xr:uid="{8D867667-7A1F-47EB-92DA-71C2D36A4458}"/>
    <cellStyle name="40% - Accent4 2 7 2" xfId="38316" xr:uid="{0D1D9AA5-E6ED-4297-9BB7-E1C1F3D289E3}"/>
    <cellStyle name="40% - Accent4 2 7 2 2" xfId="38317" xr:uid="{F434E9D3-0FB4-466B-A915-AD8401C244DD}"/>
    <cellStyle name="40% - Accent4 2 7 3" xfId="38318" xr:uid="{62A20DBB-5223-4503-8CAD-76524C12A75A}"/>
    <cellStyle name="40% - Accent4 2 7 3 2" xfId="38319" xr:uid="{E0DD712C-4059-4D73-A9C6-5113C4298A6B}"/>
    <cellStyle name="40% - Accent4 2 7 4" xfId="38320" xr:uid="{44335373-29F1-4780-8615-39D0880BA9BA}"/>
    <cellStyle name="40% - Accent4 2 8" xfId="38321" xr:uid="{1D76AD9A-3EDE-49DD-BCF2-877B0BFDB58B}"/>
    <cellStyle name="40% - Accent4 2 9" xfId="38322" xr:uid="{82A73614-4ABA-481B-B62D-DDCACD9832F6}"/>
    <cellStyle name="40% - Accent4 2_PwrTax 51040" xfId="3202" xr:uid="{913D91A8-4195-4D4C-B770-64542B8FAC3C}"/>
    <cellStyle name="40% - Accent4 20" xfId="3203" xr:uid="{F982156A-5216-46AE-9690-5FF44B384104}"/>
    <cellStyle name="40% - Accent4 21" xfId="3204" xr:uid="{F878C062-7A11-4421-B53D-1DF95794B3ED}"/>
    <cellStyle name="40% - Accent4 22" xfId="3205" xr:uid="{C3617DA4-B835-4BEB-BFCA-77C3B670F58A}"/>
    <cellStyle name="40% - Accent4 23" xfId="3206" xr:uid="{BF323F3B-49BE-4B99-ACB3-61150B41FF69}"/>
    <cellStyle name="40% - Accent4 24" xfId="3207" xr:uid="{6D13703D-BDA9-48C1-8899-C301E9EF005F}"/>
    <cellStyle name="40% - Accent4 25" xfId="3208" xr:uid="{D2210ECE-325A-47C0-B0C8-F2BBEBEF6DD7}"/>
    <cellStyle name="40% - Accent4 26" xfId="3209" xr:uid="{7E6DB36F-64C3-4DD9-B6DB-25F61BB89A1F}"/>
    <cellStyle name="40% - Accent4 27" xfId="3210" xr:uid="{251934A0-FA93-4112-9125-C83F5CC7C1A7}"/>
    <cellStyle name="40% - Accent4 28" xfId="3211" xr:uid="{78392046-BED9-438C-8D75-7E42BA24F77F}"/>
    <cellStyle name="40% - Accent4 29" xfId="3212" xr:uid="{6A746776-1B07-4A02-9643-30544BF3E4F2}"/>
    <cellStyle name="40% - Accent4 3" xfId="3213" xr:uid="{F7D58BD1-91CD-4438-98E6-3B8D46289A1B}"/>
    <cellStyle name="40% - Accent4 3 10" xfId="38323" xr:uid="{5492E18B-A967-4D70-A3D8-B472FF4127B4}"/>
    <cellStyle name="40% - Accent4 3 11" xfId="43534" xr:uid="{E27D1D6B-CCC5-46CD-9E37-16C0D1E10EE6}"/>
    <cellStyle name="40% - Accent4 3 2" xfId="3214" xr:uid="{BC1A966C-6F3F-4D77-B082-B43B910ECF9E}"/>
    <cellStyle name="40% - Accent4 3 2 2" xfId="38324" xr:uid="{5885A435-CE03-4954-8F0A-B08E77305101}"/>
    <cellStyle name="40% - Accent4 3 2 2 2" xfId="38325" xr:uid="{EF41F74B-408F-4AB0-B7B4-23771E65A328}"/>
    <cellStyle name="40% - Accent4 3 2 3" xfId="38326" xr:uid="{6EF66715-E50E-4E94-8226-1F837B37BAC3}"/>
    <cellStyle name="40% - Accent4 3 3" xfId="3215" xr:uid="{8EDDF5EC-BD1D-40AB-90B7-E6FFEBE11BFE}"/>
    <cellStyle name="40% - Accent4 3 3 10" xfId="38327" xr:uid="{A40993F0-05A8-40A7-B022-9B214B0E0116}"/>
    <cellStyle name="40% - Accent4 3 3 10 2" xfId="38328" xr:uid="{6AF613FC-C7F6-482A-B3E9-0F4C9F83222B}"/>
    <cellStyle name="40% - Accent4 3 3 11" xfId="38329" xr:uid="{C4EEFE8D-CBC3-4AEA-A372-68491375C242}"/>
    <cellStyle name="40% - Accent4 3 3 12" xfId="38330" xr:uid="{94BE97F3-3176-4AF6-92C6-F55696203693}"/>
    <cellStyle name="40% - Accent4 3 3 2" xfId="3216" xr:uid="{EE60AC41-1755-4461-96D3-4C31E743C2C7}"/>
    <cellStyle name="40% - Accent4 3 3 2 2" xfId="3217" xr:uid="{449A9D58-204B-4F06-A376-2DA70AEB988B}"/>
    <cellStyle name="40% - Accent4 3 3 2 2 2" xfId="3218" xr:uid="{0E9B1B91-AF2E-4669-85D4-2B8F8B2C1055}"/>
    <cellStyle name="40% - Accent4 3 3 2 2 2 2" xfId="3219" xr:uid="{77471A99-B2A9-4435-BD7F-9ACD6B294A7C}"/>
    <cellStyle name="40% - Accent4 3 3 2 2 2 2 2" xfId="38331" xr:uid="{F65F4037-7F89-43EE-8221-F9FDD11414CD}"/>
    <cellStyle name="40% - Accent4 3 3 2 2 2 3" xfId="3220" xr:uid="{8E4C77A0-9F08-4877-A26B-749D5ACFEDA2}"/>
    <cellStyle name="40% - Accent4 3 3 2 2 2 3 2" xfId="38332" xr:uid="{82A6CBF1-4BE9-47D8-8B67-5BBDAB92FFC7}"/>
    <cellStyle name="40% - Accent4 3 3 2 2 2 4" xfId="38333" xr:uid="{321576A6-1EDA-45C8-80EE-7F8C8616E5EA}"/>
    <cellStyle name="40% - Accent4 3 3 2 2 3" xfId="3221" xr:uid="{3DC56B78-DF1A-45F5-996D-4C57C34998B1}"/>
    <cellStyle name="40% - Accent4 3 3 2 2 3 2" xfId="38334" xr:uid="{E8D27DD2-7D5F-4634-A79D-B7446628235E}"/>
    <cellStyle name="40% - Accent4 3 3 2 2 4" xfId="3222" xr:uid="{2443E6C6-8E79-493E-AE96-F087FCEEF48B}"/>
    <cellStyle name="40% - Accent4 3 3 2 2 4 2" xfId="38335" xr:uid="{F04A715F-2D41-4180-BEC6-69D5BB843868}"/>
    <cellStyle name="40% - Accent4 3 3 2 2 5" xfId="38336" xr:uid="{261F85AA-51DF-4F2B-A4E3-1C48675C35C7}"/>
    <cellStyle name="40% - Accent4 3 3 2 3" xfId="3223" xr:uid="{32335CA0-FD42-49A2-AAD9-BB3539C9F390}"/>
    <cellStyle name="40% - Accent4 3 3 2 3 2" xfId="3224" xr:uid="{8C4333A6-CA14-4A54-870F-6C8F7F909652}"/>
    <cellStyle name="40% - Accent4 3 3 2 3 2 2" xfId="38337" xr:uid="{68695EEA-A81A-409F-AB8C-24EC87D6CF89}"/>
    <cellStyle name="40% - Accent4 3 3 2 3 3" xfId="3225" xr:uid="{716BBABF-CF8C-4A7B-BC18-05933615A753}"/>
    <cellStyle name="40% - Accent4 3 3 2 3 3 2" xfId="38338" xr:uid="{AB587990-E616-4541-BB20-FB5F6315FFD3}"/>
    <cellStyle name="40% - Accent4 3 3 2 3 4" xfId="38339" xr:uid="{BF3A231D-88DF-44EA-8804-1F89487A87BA}"/>
    <cellStyle name="40% - Accent4 3 3 2 4" xfId="3226" xr:uid="{0A4A8985-CA2B-49C7-93B4-0A89D2229D72}"/>
    <cellStyle name="40% - Accent4 3 3 2 4 2" xfId="38340" xr:uid="{FA525B4B-223F-4FAA-A96A-7125AD472CE6}"/>
    <cellStyle name="40% - Accent4 3 3 2 4 2 2" xfId="38341" xr:uid="{97887B2A-A5D3-4227-A83A-F8330A12AB40}"/>
    <cellStyle name="40% - Accent4 3 3 2 4 3" xfId="38342" xr:uid="{3B2E829F-1115-477B-93B4-B7ACD6D54EA3}"/>
    <cellStyle name="40% - Accent4 3 3 2 4 3 2" xfId="38343" xr:uid="{81BEB900-3816-4D70-BF4E-B79F9DFED0B3}"/>
    <cellStyle name="40% - Accent4 3 3 2 4 4" xfId="38344" xr:uid="{8472D684-0634-4668-9666-55F49973C77A}"/>
    <cellStyle name="40% - Accent4 3 3 2 5" xfId="3227" xr:uid="{32D9D222-4E4D-4390-B183-AB811CC6A3D9}"/>
    <cellStyle name="40% - Accent4 3 3 2 5 2" xfId="38345" xr:uid="{6E45135F-E83D-4769-A89A-6FFDD88A89E8}"/>
    <cellStyle name="40% - Accent4 3 3 2 5 2 2" xfId="38346" xr:uid="{B44D6C8C-E37A-4F1C-A34C-179ED2FE6CC3}"/>
    <cellStyle name="40% - Accent4 3 3 2 5 3" xfId="38347" xr:uid="{A3E4A7A0-9406-4BEC-B735-A734293EFE60}"/>
    <cellStyle name="40% - Accent4 3 3 2 5 3 2" xfId="38348" xr:uid="{F0CE7393-697A-4F7D-9D82-018684201421}"/>
    <cellStyle name="40% - Accent4 3 3 2 5 4" xfId="38349" xr:uid="{3522470A-6CBF-4207-BD9D-1ECEBF80F8ED}"/>
    <cellStyle name="40% - Accent4 3 3 2 6" xfId="38350" xr:uid="{F02E4D1D-08F5-46C0-9D6F-90A92BDDA05D}"/>
    <cellStyle name="40% - Accent4 3 3 2 6 2" xfId="38351" xr:uid="{5EDE41B3-EA5C-43E5-938C-6F2F04576039}"/>
    <cellStyle name="40% - Accent4 3 3 2 6 2 2" xfId="38352" xr:uid="{98E6D114-1891-4F0F-9D08-709A44784E98}"/>
    <cellStyle name="40% - Accent4 3 3 2 6 3" xfId="38353" xr:uid="{8B67DBC2-5767-4BB3-ABC9-3BCD13926B03}"/>
    <cellStyle name="40% - Accent4 3 3 2 6 3 2" xfId="38354" xr:uid="{3EB75B1A-15B1-4358-B573-740B247158CC}"/>
    <cellStyle name="40% - Accent4 3 3 2 6 4" xfId="38355" xr:uid="{0125C9D4-D595-42DB-B440-246024D9C884}"/>
    <cellStyle name="40% - Accent4 3 3 2 7" xfId="38356" xr:uid="{D41881BA-C9DD-4E48-AA5F-76011B0FC002}"/>
    <cellStyle name="40% - Accent4 3 3 2 7 2" xfId="38357" xr:uid="{DCF1FE49-C060-4D4D-BF1B-43DBE7CD0FDE}"/>
    <cellStyle name="40% - Accent4 3 3 2 8" xfId="38358" xr:uid="{409A6BB2-0868-4028-AC0B-189A543C1E03}"/>
    <cellStyle name="40% - Accent4 3 3 2 8 2" xfId="38359" xr:uid="{63FF989F-9BFD-4BF5-BA5C-753168640D80}"/>
    <cellStyle name="40% - Accent4 3 3 2 9" xfId="38360" xr:uid="{3FB7532D-3522-4232-8445-2F9AA5C3893A}"/>
    <cellStyle name="40% - Accent4 3 3 3" xfId="3228" xr:uid="{FD418E1E-B760-41F5-A389-42581CA3535B}"/>
    <cellStyle name="40% - Accent4 3 3 3 2" xfId="3229" xr:uid="{566203B4-CC25-4A24-87F7-A743C4806404}"/>
    <cellStyle name="40% - Accent4 3 3 3 2 2" xfId="3230" xr:uid="{B7C70125-15FF-4DA4-9438-5BC6F61C3411}"/>
    <cellStyle name="40% - Accent4 3 3 3 2 2 2" xfId="38361" xr:uid="{592D5BB3-A5FC-4257-AE9B-A0BE1901ACFA}"/>
    <cellStyle name="40% - Accent4 3 3 3 2 3" xfId="3231" xr:uid="{72C1B626-218F-47D5-A616-FF19969B501D}"/>
    <cellStyle name="40% - Accent4 3 3 3 2 3 2" xfId="38362" xr:uid="{2CAD0427-781C-4413-B315-BFF8C0DDF6FE}"/>
    <cellStyle name="40% - Accent4 3 3 3 2 4" xfId="38363" xr:uid="{71C6CD71-B625-4AEA-A7D1-50C0221E8D40}"/>
    <cellStyle name="40% - Accent4 3 3 3 3" xfId="3232" xr:uid="{77EAFEA5-86E9-427A-93FD-58C4A1FEA46E}"/>
    <cellStyle name="40% - Accent4 3 3 3 3 2" xfId="38364" xr:uid="{6E9C780E-8473-451D-A2E0-7BECAF54AB9C}"/>
    <cellStyle name="40% - Accent4 3 3 3 3 2 2" xfId="38365" xr:uid="{59F1FFC5-31CD-4742-821E-B49C5E7DE830}"/>
    <cellStyle name="40% - Accent4 3 3 3 3 3" xfId="38366" xr:uid="{51FF4540-0226-402B-82F7-D3C94E11407A}"/>
    <cellStyle name="40% - Accent4 3 3 3 3 3 2" xfId="38367" xr:uid="{8507A0F8-1164-4093-B754-D2E6E486B9BA}"/>
    <cellStyle name="40% - Accent4 3 3 3 3 4" xfId="38368" xr:uid="{7ACF1665-6F54-4EB2-86D3-BEE92BECE059}"/>
    <cellStyle name="40% - Accent4 3 3 3 4" xfId="3233" xr:uid="{3EDD8F55-253E-46AA-86B8-C9CD54A87503}"/>
    <cellStyle name="40% - Accent4 3 3 3 4 2" xfId="38369" xr:uid="{92335F6D-17F1-4F3C-BB6D-9D6FBB554BC3}"/>
    <cellStyle name="40% - Accent4 3 3 3 4 2 2" xfId="38370" xr:uid="{1EF2D00C-6A87-44CD-A449-0FCD9043509B}"/>
    <cellStyle name="40% - Accent4 3 3 3 4 3" xfId="38371" xr:uid="{9C3A5E09-3C43-4CD7-ACA3-8D7D2011EA7A}"/>
    <cellStyle name="40% - Accent4 3 3 3 4 3 2" xfId="38372" xr:uid="{10E8F83F-1459-4EAA-BAAC-AE9AED425704}"/>
    <cellStyle name="40% - Accent4 3 3 3 4 4" xfId="38373" xr:uid="{60E7BDE2-E5B4-42F3-86EC-02E03B44CEAB}"/>
    <cellStyle name="40% - Accent4 3 3 3 5" xfId="3234" xr:uid="{66D08096-D3E1-41FB-A5AE-3C97CAD20CD1}"/>
    <cellStyle name="40% - Accent4 3 3 3 5 2" xfId="38374" xr:uid="{EDC18511-6B2B-4AF0-B292-F663453F8092}"/>
    <cellStyle name="40% - Accent4 3 3 3 5 2 2" xfId="38375" xr:uid="{F5223DE6-E5F4-4A9F-BB94-4519AC62017D}"/>
    <cellStyle name="40% - Accent4 3 3 3 5 3" xfId="38376" xr:uid="{DA28076B-6959-48A1-A657-6F8E100DD104}"/>
    <cellStyle name="40% - Accent4 3 3 3 5 3 2" xfId="38377" xr:uid="{8CED74C9-77CD-4FB3-901C-797CD72F4132}"/>
    <cellStyle name="40% - Accent4 3 3 3 5 4" xfId="38378" xr:uid="{42C61E41-4B01-4890-B3F1-A25C00A3A2F7}"/>
    <cellStyle name="40% - Accent4 3 3 3 6" xfId="38379" xr:uid="{28675BB4-8E7E-4680-B62E-5D07629471E2}"/>
    <cellStyle name="40% - Accent4 3 3 3 6 2" xfId="38380" xr:uid="{C967B63F-A27A-4E1D-811E-89D5C5083DC1}"/>
    <cellStyle name="40% - Accent4 3 3 3 7" xfId="38381" xr:uid="{A6F61795-9060-4A78-A7CE-F159720474D8}"/>
    <cellStyle name="40% - Accent4 3 3 3 7 2" xfId="38382" xr:uid="{2AC6A1C5-2F62-479F-BE7B-37E7FB31AAB5}"/>
    <cellStyle name="40% - Accent4 3 3 3 8" xfId="38383" xr:uid="{93C32311-AAB5-49A1-8C1D-9B40616B4B89}"/>
    <cellStyle name="40% - Accent4 3 3 4" xfId="3235" xr:uid="{8C48A885-2910-4D16-B8F5-DDE8C1909928}"/>
    <cellStyle name="40% - Accent4 3 3 4 2" xfId="3236" xr:uid="{EEA2797C-998A-46D9-AB8B-2A625C142F96}"/>
    <cellStyle name="40% - Accent4 3 3 4 2 2" xfId="3237" xr:uid="{4C7E6B8E-20C1-4BB7-9B7F-09BD544106DD}"/>
    <cellStyle name="40% - Accent4 3 3 4 2 2 2" xfId="38384" xr:uid="{ECFBB3C6-2A1E-4BD5-9FDD-206B007DB9E3}"/>
    <cellStyle name="40% - Accent4 3 3 4 2 3" xfId="3238" xr:uid="{A1946484-FE6B-4008-BBAF-A4F052AF04FA}"/>
    <cellStyle name="40% - Accent4 3 3 4 2 3 2" xfId="38385" xr:uid="{617A2B59-4E09-4824-8687-F12B697D860D}"/>
    <cellStyle name="40% - Accent4 3 3 4 2 4" xfId="38386" xr:uid="{974F9CCD-9854-4FC1-8FEB-AEF7BDC5FFEB}"/>
    <cellStyle name="40% - Accent4 3 3 4 3" xfId="3239" xr:uid="{C218BB20-06E7-44DE-AA37-8B1CB64F01DA}"/>
    <cellStyle name="40% - Accent4 3 3 4 3 2" xfId="38387" xr:uid="{0975F74D-0537-445D-83E2-85A50C348A91}"/>
    <cellStyle name="40% - Accent4 3 3 4 3 2 2" xfId="38388" xr:uid="{C7A04943-3A2E-4150-ADED-5BE9C1422973}"/>
    <cellStyle name="40% - Accent4 3 3 4 3 3" xfId="38389" xr:uid="{E6E34E31-B04E-404F-A951-C070F18F9619}"/>
    <cellStyle name="40% - Accent4 3 3 4 3 3 2" xfId="38390" xr:uid="{30BF2DD8-0985-4BDB-B5DE-A427D3744B58}"/>
    <cellStyle name="40% - Accent4 3 3 4 3 4" xfId="38391" xr:uid="{15EEDFF2-B59F-4570-A16E-9D42AB55EEE9}"/>
    <cellStyle name="40% - Accent4 3 3 4 4" xfId="3240" xr:uid="{18A36F20-C3E1-4887-BE2F-EB59985A2E18}"/>
    <cellStyle name="40% - Accent4 3 3 4 4 2" xfId="38392" xr:uid="{9707B065-1516-425F-B603-FDCAC6CAC78E}"/>
    <cellStyle name="40% - Accent4 3 3 4 4 2 2" xfId="38393" xr:uid="{33A785FB-00B6-44A3-B69F-0B5489ADCB40}"/>
    <cellStyle name="40% - Accent4 3 3 4 4 3" xfId="38394" xr:uid="{9E565559-6EAE-4EDE-9281-ACD019EC8D88}"/>
    <cellStyle name="40% - Accent4 3 3 4 4 3 2" xfId="38395" xr:uid="{DBB5551C-1FCE-4865-8152-31FE2648D556}"/>
    <cellStyle name="40% - Accent4 3 3 4 4 4" xfId="38396" xr:uid="{F2C0DB14-4D9D-4053-92E4-E90EDD2ADF24}"/>
    <cellStyle name="40% - Accent4 3 3 4 5" xfId="38397" xr:uid="{BE660768-0450-411F-BF6B-27ECEC0F4239}"/>
    <cellStyle name="40% - Accent4 3 3 4 5 2" xfId="38398" xr:uid="{2D0E5357-E989-44D5-983C-AC4CCBCC49DA}"/>
    <cellStyle name="40% - Accent4 3 3 4 6" xfId="38399" xr:uid="{868A7000-C334-41B3-B551-BD75702C1148}"/>
    <cellStyle name="40% - Accent4 3 3 4 6 2" xfId="38400" xr:uid="{692EE50A-2194-43A0-B0ED-C504999960A5}"/>
    <cellStyle name="40% - Accent4 3 3 4 7" xfId="38401" xr:uid="{9A85D0EA-B406-4388-B805-30D4ACA6A679}"/>
    <cellStyle name="40% - Accent4 3 3 5" xfId="3241" xr:uid="{28544C88-22ED-437F-AC58-0F935F689AB0}"/>
    <cellStyle name="40% - Accent4 3 3 5 2" xfId="3242" xr:uid="{7077CC6A-8482-43C9-9DD7-E6A9EC36B663}"/>
    <cellStyle name="40% - Accent4 3 3 5 2 2" xfId="38402" xr:uid="{EA194613-8F63-4EC4-860A-B4EAEC45734E}"/>
    <cellStyle name="40% - Accent4 3 3 5 2 2 2" xfId="38403" xr:uid="{AF0A9727-D980-49B9-A1D7-230D7BF1B6EF}"/>
    <cellStyle name="40% - Accent4 3 3 5 2 3" xfId="38404" xr:uid="{42EC9A0B-D7DC-489B-B29A-0281FB4117E9}"/>
    <cellStyle name="40% - Accent4 3 3 5 2 3 2" xfId="38405" xr:uid="{83989CCC-3EBD-472C-B41A-2DD82E8D791F}"/>
    <cellStyle name="40% - Accent4 3 3 5 2 4" xfId="38406" xr:uid="{63E9355F-5BC4-42E3-B9DD-B9CD3785B2F1}"/>
    <cellStyle name="40% - Accent4 3 3 5 3" xfId="3243" xr:uid="{D0EB2835-206A-4A7C-A798-E4D2578E24C9}"/>
    <cellStyle name="40% - Accent4 3 3 5 3 2" xfId="38407" xr:uid="{07A6286F-6D39-4351-86DE-60390847965C}"/>
    <cellStyle name="40% - Accent4 3 3 5 3 2 2" xfId="38408" xr:uid="{8B705D40-4E92-4CA4-91AC-346AD6CD890A}"/>
    <cellStyle name="40% - Accent4 3 3 5 3 3" xfId="38409" xr:uid="{2BEA60B0-2B20-442B-BC33-FFAAAA954604}"/>
    <cellStyle name="40% - Accent4 3 3 5 3 3 2" xfId="38410" xr:uid="{17D44CCA-2470-45B6-9B54-7EF87DC98DA2}"/>
    <cellStyle name="40% - Accent4 3 3 5 3 4" xfId="38411" xr:uid="{A46951DE-2825-418E-BA7F-E764EEDA3C54}"/>
    <cellStyle name="40% - Accent4 3 3 5 4" xfId="38412" xr:uid="{FFED557D-E949-4B16-B842-AE37A6B4E014}"/>
    <cellStyle name="40% - Accent4 3 3 5 4 2" xfId="38413" xr:uid="{2F206B03-C942-4178-AD8E-A6C52E4EAB8A}"/>
    <cellStyle name="40% - Accent4 3 3 5 4 2 2" xfId="38414" xr:uid="{71D98FF3-B328-4B51-AC3E-954CB6745E7F}"/>
    <cellStyle name="40% - Accent4 3 3 5 4 3" xfId="38415" xr:uid="{7E569440-AF88-425A-B4C0-0CD090AE5935}"/>
    <cellStyle name="40% - Accent4 3 3 5 4 3 2" xfId="38416" xr:uid="{050125A8-4A33-40CF-889D-873B19A13212}"/>
    <cellStyle name="40% - Accent4 3 3 5 4 4" xfId="38417" xr:uid="{5D20262E-E7B0-4D19-B349-1A258877757E}"/>
    <cellStyle name="40% - Accent4 3 3 5 5" xfId="38418" xr:uid="{7A526E06-BB6E-4B7E-B8B4-CFCCE7F2C54F}"/>
    <cellStyle name="40% - Accent4 3 3 5 5 2" xfId="38419" xr:uid="{836FF0CE-823B-4A03-9598-53D55957CF8E}"/>
    <cellStyle name="40% - Accent4 3 3 5 6" xfId="38420" xr:uid="{55E3393D-4D33-43D8-A646-610B515D6C27}"/>
    <cellStyle name="40% - Accent4 3 3 5 6 2" xfId="38421" xr:uid="{EE05498B-63DE-43B8-A824-490F6BAF477C}"/>
    <cellStyle name="40% - Accent4 3 3 5 7" xfId="38422" xr:uid="{CC18388B-B502-4412-81C4-FC0DAE5ADCC1}"/>
    <cellStyle name="40% - Accent4 3 3 6" xfId="3244" xr:uid="{9B9472AB-C143-4820-AF1E-6E27EC9310AA}"/>
    <cellStyle name="40% - Accent4 3 3 6 2" xfId="38423" xr:uid="{B5485293-B0E4-4728-9E95-114412DD0F51}"/>
    <cellStyle name="40% - Accent4 3 3 6 2 2" xfId="38424" xr:uid="{282AABD0-8614-4A1E-BBF9-D17175189144}"/>
    <cellStyle name="40% - Accent4 3 3 6 3" xfId="38425" xr:uid="{98CDD5AE-E8C6-4F7C-A20D-951B7731F5A9}"/>
    <cellStyle name="40% - Accent4 3 3 6 3 2" xfId="38426" xr:uid="{4321516E-5790-483B-A696-D576FD41B0A5}"/>
    <cellStyle name="40% - Accent4 3 3 6 4" xfId="38427" xr:uid="{069BE0DA-81A3-4ED5-AA51-4536784EE60B}"/>
    <cellStyle name="40% - Accent4 3 3 7" xfId="3245" xr:uid="{AF2BFE9F-753C-4DE4-B49F-A71D3EB6B346}"/>
    <cellStyle name="40% - Accent4 3 3 7 2" xfId="38428" xr:uid="{C6B27E85-E16A-492A-9533-333A96284117}"/>
    <cellStyle name="40% - Accent4 3 3 7 2 2" xfId="38429" xr:uid="{C3D38D52-BA6D-4D59-B071-AD45483A2436}"/>
    <cellStyle name="40% - Accent4 3 3 7 3" xfId="38430" xr:uid="{49054CA9-B61E-4B4D-9643-CA02C3C2A81F}"/>
    <cellStyle name="40% - Accent4 3 3 7 3 2" xfId="38431" xr:uid="{FD7B664B-D41A-4132-B166-DBBAEF00EEAC}"/>
    <cellStyle name="40% - Accent4 3 3 7 4" xfId="38432" xr:uid="{155BB192-8BC0-4602-825C-888A0F219F25}"/>
    <cellStyle name="40% - Accent4 3 3 8" xfId="3246" xr:uid="{6416D072-6F93-4F24-A848-DB2673E557AB}"/>
    <cellStyle name="40% - Accent4 3 3 8 2" xfId="38433" xr:uid="{8962508E-FD42-4CB3-9FFF-498F5D908D1E}"/>
    <cellStyle name="40% - Accent4 3 3 8 2 2" xfId="38434" xr:uid="{6F99C365-55AF-408B-A78C-0D299B007FD4}"/>
    <cellStyle name="40% - Accent4 3 3 8 3" xfId="38435" xr:uid="{3479319C-EE8B-4F96-B538-B6A16F0F18C4}"/>
    <cellStyle name="40% - Accent4 3 3 8 3 2" xfId="38436" xr:uid="{4D9C369D-E98F-47D1-8937-111F4ECB4D7F}"/>
    <cellStyle name="40% - Accent4 3 3 8 4" xfId="38437" xr:uid="{09FE5FD0-EC7E-44F4-9DD8-672E63F07C9C}"/>
    <cellStyle name="40% - Accent4 3 3 9" xfId="38438" xr:uid="{E4AE4890-8BE1-4B8B-BCE6-99C8DC0CEA32}"/>
    <cellStyle name="40% - Accent4 3 3 9 2" xfId="38439" xr:uid="{C16B5E1F-452F-48D6-A116-EC7D474925BB}"/>
    <cellStyle name="40% - Accent4 3 4" xfId="3247" xr:uid="{7F3E9F40-8565-4F1E-9CBC-74D8689BF448}"/>
    <cellStyle name="40% - Accent4 3 4 10" xfId="38440" xr:uid="{5199E9ED-1E09-43E1-9E5F-7E6AC26A165D}"/>
    <cellStyle name="40% - Accent4 3 4 2" xfId="3248" xr:uid="{26619664-EDFC-4237-B9B7-57C449BF8B78}"/>
    <cellStyle name="40% - Accent4 3 4 2 2" xfId="3249" xr:uid="{BC457271-9D8D-49DD-AEA0-19C441CFA742}"/>
    <cellStyle name="40% - Accent4 3 4 2 2 2" xfId="3250" xr:uid="{94562E0C-9B93-49FC-9743-83D3D045C2BE}"/>
    <cellStyle name="40% - Accent4 3 4 2 2 2 2" xfId="38441" xr:uid="{15CC9DC7-DC72-4695-9063-19E61778477B}"/>
    <cellStyle name="40% - Accent4 3 4 2 2 3" xfId="3251" xr:uid="{59000DBA-3ED5-4D0F-9E65-A62E93EF1C9D}"/>
    <cellStyle name="40% - Accent4 3 4 2 2 3 2" xfId="38442" xr:uid="{A66FFCDF-C86F-4772-9352-E3E43AD8D4B5}"/>
    <cellStyle name="40% - Accent4 3 4 2 2 4" xfId="38443" xr:uid="{AD7114DE-D765-44FC-9253-3E82DFA99296}"/>
    <cellStyle name="40% - Accent4 3 4 2 3" xfId="3252" xr:uid="{186AF539-EFB6-4A32-8FAE-8DF3CAA3BA22}"/>
    <cellStyle name="40% - Accent4 3 4 2 3 2" xfId="38444" xr:uid="{A636EFE1-C9D1-4786-9FA3-07B31F7E7B20}"/>
    <cellStyle name="40% - Accent4 3 4 2 3 2 2" xfId="38445" xr:uid="{410366EB-4007-4282-B67F-2E0948DF02FD}"/>
    <cellStyle name="40% - Accent4 3 4 2 3 3" xfId="38446" xr:uid="{6D34A56C-3432-459A-A161-BEFA68C38ACF}"/>
    <cellStyle name="40% - Accent4 3 4 2 3 3 2" xfId="38447" xr:uid="{40D8FAC7-CB67-42EB-B0D6-451D6679292F}"/>
    <cellStyle name="40% - Accent4 3 4 2 3 4" xfId="38448" xr:uid="{61F3414C-CF32-4AB6-A807-43330A6BAA77}"/>
    <cellStyle name="40% - Accent4 3 4 2 4" xfId="3253" xr:uid="{19C6934F-0DFB-4CB1-B122-49BC2076EE80}"/>
    <cellStyle name="40% - Accent4 3 4 2 4 2" xfId="38449" xr:uid="{06041019-8441-4464-933A-418ABA21F8A4}"/>
    <cellStyle name="40% - Accent4 3 4 2 4 2 2" xfId="38450" xr:uid="{5EE8C1E3-710F-44DD-BCE0-FA4F99143608}"/>
    <cellStyle name="40% - Accent4 3 4 2 4 3" xfId="38451" xr:uid="{5B111813-1769-4036-A629-84B537DFCC18}"/>
    <cellStyle name="40% - Accent4 3 4 2 4 3 2" xfId="38452" xr:uid="{BDB89B6D-9FD1-4858-9055-81D6686EB391}"/>
    <cellStyle name="40% - Accent4 3 4 2 4 4" xfId="38453" xr:uid="{CCE93E10-2447-442F-B4CA-1E312D7D6B2C}"/>
    <cellStyle name="40% - Accent4 3 4 2 5" xfId="38454" xr:uid="{22EB0597-410B-471A-A60C-92D55A4AE76A}"/>
    <cellStyle name="40% - Accent4 3 4 2 5 2" xfId="38455" xr:uid="{1B409418-C20D-4643-B36E-F400F6EF4170}"/>
    <cellStyle name="40% - Accent4 3 4 2 5 2 2" xfId="38456" xr:uid="{2C39E64D-7A75-4F2E-ACBF-6E56395C4C17}"/>
    <cellStyle name="40% - Accent4 3 4 2 5 3" xfId="38457" xr:uid="{707735A6-262C-46D2-87B7-12351AA4F7F0}"/>
    <cellStyle name="40% - Accent4 3 4 2 5 3 2" xfId="38458" xr:uid="{686A5BD3-EF07-4D58-86F8-86B061B428EE}"/>
    <cellStyle name="40% - Accent4 3 4 2 5 4" xfId="38459" xr:uid="{E0B2A280-A251-441B-AA61-6D260FB2D931}"/>
    <cellStyle name="40% - Accent4 3 4 2 6" xfId="38460" xr:uid="{FFFA454B-6DF8-479A-92A1-28C50A1C1DD3}"/>
    <cellStyle name="40% - Accent4 3 4 2 6 2" xfId="38461" xr:uid="{CA15EC57-F7BC-4FFC-8576-998A471E2719}"/>
    <cellStyle name="40% - Accent4 3 4 2 7" xfId="38462" xr:uid="{2E5FFC23-8E7F-4EAB-BB8B-F36A4B0BCE17}"/>
    <cellStyle name="40% - Accent4 3 4 2 7 2" xfId="38463" xr:uid="{118F685F-C8DF-4B65-BDB7-CFE625BD2DF5}"/>
    <cellStyle name="40% - Accent4 3 4 2 8" xfId="38464" xr:uid="{7FD24148-1A7C-46AD-B9DB-E71ED5C78AE8}"/>
    <cellStyle name="40% - Accent4 3 4 3" xfId="3254" xr:uid="{DEDE4BA3-5FD3-4A21-8527-53D776A954A4}"/>
    <cellStyle name="40% - Accent4 3 4 3 2" xfId="3255" xr:uid="{7DC98B14-DC1D-442C-AD58-436BBC85940E}"/>
    <cellStyle name="40% - Accent4 3 4 3 2 2" xfId="38465" xr:uid="{8F6334B7-DC32-4AC2-8142-730C27251989}"/>
    <cellStyle name="40% - Accent4 3 4 3 2 2 2" xfId="38466" xr:uid="{C20187E8-86A1-4056-8AE2-9522299A648E}"/>
    <cellStyle name="40% - Accent4 3 4 3 2 3" xfId="38467" xr:uid="{54ACA4D6-3C82-49B9-A0BF-49B54F7DAB9D}"/>
    <cellStyle name="40% - Accent4 3 4 3 2 3 2" xfId="38468" xr:uid="{75A33910-9DE3-4920-9D41-35F4F109A15B}"/>
    <cellStyle name="40% - Accent4 3 4 3 2 4" xfId="38469" xr:uid="{20A89548-CC46-432A-81E3-9FE62B32F70A}"/>
    <cellStyle name="40% - Accent4 3 4 3 3" xfId="3256" xr:uid="{265AFB93-F595-4CF1-A42A-4E769F904D6E}"/>
    <cellStyle name="40% - Accent4 3 4 3 3 2" xfId="38470" xr:uid="{F5F7CDBB-1149-48A8-80B0-956E8B1C5E24}"/>
    <cellStyle name="40% - Accent4 3 4 3 3 2 2" xfId="38471" xr:uid="{C876A067-124C-4C7C-B6A0-BFBD8A731625}"/>
    <cellStyle name="40% - Accent4 3 4 3 3 3" xfId="38472" xr:uid="{28368665-AC78-44A4-8895-E526E3FCD134}"/>
    <cellStyle name="40% - Accent4 3 4 3 3 3 2" xfId="38473" xr:uid="{C4A2754A-5079-4B3B-B70E-1167A97C3755}"/>
    <cellStyle name="40% - Accent4 3 4 3 3 4" xfId="38474" xr:uid="{6E747766-5CF9-4959-8D14-2A9BC1EB550A}"/>
    <cellStyle name="40% - Accent4 3 4 3 4" xfId="38475" xr:uid="{6F0D479D-BD53-48D5-9A33-6D4577169598}"/>
    <cellStyle name="40% - Accent4 3 4 3 4 2" xfId="38476" xr:uid="{4E4D27C9-28B2-4F08-AC40-2EC046B32B0C}"/>
    <cellStyle name="40% - Accent4 3 4 3 4 2 2" xfId="38477" xr:uid="{CDE331A4-F669-4FA3-AE10-576E620840A8}"/>
    <cellStyle name="40% - Accent4 3 4 3 4 3" xfId="38478" xr:uid="{0490CFD0-12DF-4299-9FCE-D5E458491B9F}"/>
    <cellStyle name="40% - Accent4 3 4 3 4 3 2" xfId="38479" xr:uid="{A5131759-2C80-45E5-A172-6BEB4F7F7A8E}"/>
    <cellStyle name="40% - Accent4 3 4 3 4 4" xfId="38480" xr:uid="{D89EE3AC-9E1B-4B46-9928-CAA48C11F5E7}"/>
    <cellStyle name="40% - Accent4 3 4 3 5" xfId="38481" xr:uid="{3A6FEA85-B095-4099-922E-06FFBF8936BF}"/>
    <cellStyle name="40% - Accent4 3 4 3 5 2" xfId="38482" xr:uid="{2028362B-C292-46D2-8071-3F27454F2CE1}"/>
    <cellStyle name="40% - Accent4 3 4 3 6" xfId="38483" xr:uid="{FD57CAA2-CB55-4CBE-B138-C41B1A175CA5}"/>
    <cellStyle name="40% - Accent4 3 4 3 6 2" xfId="38484" xr:uid="{69C958A0-6225-47ED-B261-4511D21B1811}"/>
    <cellStyle name="40% - Accent4 3 4 3 7" xfId="38485" xr:uid="{08F8D344-2A00-4C1A-889C-4FB267565BD4}"/>
    <cellStyle name="40% - Accent4 3 4 4" xfId="3257" xr:uid="{7F391C78-116A-4DED-B103-C31AE1FC13DA}"/>
    <cellStyle name="40% - Accent4 3 4 4 2" xfId="38486" xr:uid="{CC516718-F44D-4F8A-94AF-32167CA63B6C}"/>
    <cellStyle name="40% - Accent4 3 4 4 2 2" xfId="38487" xr:uid="{224F2490-08D1-44B0-A3E8-9F952D40630C}"/>
    <cellStyle name="40% - Accent4 3 4 4 3" xfId="38488" xr:uid="{7198D745-2514-48F2-9A6E-166EC16085F5}"/>
    <cellStyle name="40% - Accent4 3 4 4 3 2" xfId="38489" xr:uid="{7F16D981-4189-4B0A-B0BF-44E25D38C76A}"/>
    <cellStyle name="40% - Accent4 3 4 4 4" xfId="38490" xr:uid="{878C0A8A-A592-4CE8-9F7E-5BB841CBB8D0}"/>
    <cellStyle name="40% - Accent4 3 4 5" xfId="3258" xr:uid="{574B4011-AC0F-47C1-AFE7-17F74A30BFDC}"/>
    <cellStyle name="40% - Accent4 3 4 5 2" xfId="38491" xr:uid="{9EEE2828-F345-47E2-8824-A478C5CC35BA}"/>
    <cellStyle name="40% - Accent4 3 4 5 2 2" xfId="38492" xr:uid="{C98A427C-5509-4F8A-BB3E-BC8F0E4B4456}"/>
    <cellStyle name="40% - Accent4 3 4 5 3" xfId="38493" xr:uid="{5711AAB3-AD79-4787-8D83-D4DBE270D27D}"/>
    <cellStyle name="40% - Accent4 3 4 5 3 2" xfId="38494" xr:uid="{5F4F8FCB-7E42-46E4-98F4-B9E7A88ED7F8}"/>
    <cellStyle name="40% - Accent4 3 4 5 4" xfId="38495" xr:uid="{4F5FC72A-100A-4AD8-9796-022FC6FB1CD9}"/>
    <cellStyle name="40% - Accent4 3 4 6" xfId="3259" xr:uid="{BEE762FF-6C59-4B56-BF3E-60D8DAC64A64}"/>
    <cellStyle name="40% - Accent4 3 4 6 2" xfId="38496" xr:uid="{6C251E75-5FEA-4E0A-BF61-9D800B536D4D}"/>
    <cellStyle name="40% - Accent4 3 4 6 2 2" xfId="38497" xr:uid="{46A89DD5-556F-409E-99AE-17FBB7147340}"/>
    <cellStyle name="40% - Accent4 3 4 6 3" xfId="38498" xr:uid="{A1D28BC0-2E79-4090-B719-4280FFBF82BD}"/>
    <cellStyle name="40% - Accent4 3 4 6 3 2" xfId="38499" xr:uid="{BC144F55-E157-46CA-99E2-A35EC908404A}"/>
    <cellStyle name="40% - Accent4 3 4 6 4" xfId="38500" xr:uid="{17C4DA2A-411A-4C10-8D59-C151F64DCB89}"/>
    <cellStyle name="40% - Accent4 3 4 7" xfId="38501" xr:uid="{C4B0B156-A4A9-4578-945A-5DB9AC930AEC}"/>
    <cellStyle name="40% - Accent4 3 4 7 2" xfId="38502" xr:uid="{1C851373-7885-4EE0-90C8-A1942EE4C8BB}"/>
    <cellStyle name="40% - Accent4 3 4 8" xfId="38503" xr:uid="{31A74C9A-78A0-419E-97DB-CC98B61B8B58}"/>
    <cellStyle name="40% - Accent4 3 4 8 2" xfId="38504" xr:uid="{4620E6E0-8474-423D-A7A1-B473543022CB}"/>
    <cellStyle name="40% - Accent4 3 4 9" xfId="38505" xr:uid="{34207866-0112-4FBA-8798-3CF127BD1DD7}"/>
    <cellStyle name="40% - Accent4 3 5" xfId="3260" xr:uid="{FFA1763E-4A26-402F-83F9-88F3DAF8CEBE}"/>
    <cellStyle name="40% - Accent4 3 5 2" xfId="3261" xr:uid="{8529FFD3-4439-4EC6-A227-69E843BE6E82}"/>
    <cellStyle name="40% - Accent4 3 5 2 2" xfId="3262" xr:uid="{F0CF67D6-555F-4B2B-9B2D-033400A8E6DA}"/>
    <cellStyle name="40% - Accent4 3 5 2 2 2" xfId="38506" xr:uid="{C4C1F5EA-1417-4508-A28F-3CB25671A448}"/>
    <cellStyle name="40% - Accent4 3 5 2 3" xfId="3263" xr:uid="{AD6350EF-07BA-4563-B80C-273CE5352F9E}"/>
    <cellStyle name="40% - Accent4 3 5 2 3 2" xfId="38507" xr:uid="{1F8395DA-435E-45CD-8575-92B5F9E8A5B5}"/>
    <cellStyle name="40% - Accent4 3 5 2 4" xfId="38508" xr:uid="{FAAF62CA-3416-45C8-8CF9-F415BD7592B1}"/>
    <cellStyle name="40% - Accent4 3 5 3" xfId="3264" xr:uid="{53365549-172A-4C46-959B-F5BC95242A65}"/>
    <cellStyle name="40% - Accent4 3 5 3 2" xfId="38509" xr:uid="{492E5186-42B4-4C7C-AF43-D2DC2B490156}"/>
    <cellStyle name="40% - Accent4 3 5 3 2 2" xfId="38510" xr:uid="{7790B158-B478-4F42-AA98-EAC9584ABBE7}"/>
    <cellStyle name="40% - Accent4 3 5 3 3" xfId="38511" xr:uid="{C9C4708F-FB92-4FEE-85C2-E2844EA2E5F4}"/>
    <cellStyle name="40% - Accent4 3 5 3 3 2" xfId="38512" xr:uid="{8981C944-504A-411E-887D-2BF5B9B8F852}"/>
    <cellStyle name="40% - Accent4 3 5 3 4" xfId="38513" xr:uid="{C5C6AECD-1385-4023-99F8-AE371CF55AC2}"/>
    <cellStyle name="40% - Accent4 3 5 4" xfId="3265" xr:uid="{A711E5D9-DCA4-47E7-AC1D-33F4BB128465}"/>
    <cellStyle name="40% - Accent4 3 5 4 2" xfId="38514" xr:uid="{90CDCD97-08EB-4C63-AE69-A2DB09A7014D}"/>
    <cellStyle name="40% - Accent4 3 5 4 2 2" xfId="38515" xr:uid="{A312FE34-FF91-4BB8-874F-09B7FE50BB03}"/>
    <cellStyle name="40% - Accent4 3 5 4 3" xfId="38516" xr:uid="{F3A0FFBC-CF41-4633-A64D-4436EA0DE74A}"/>
    <cellStyle name="40% - Accent4 3 5 4 3 2" xfId="38517" xr:uid="{AC38CF5E-6C4C-4E3D-B3B0-BB317815ECB8}"/>
    <cellStyle name="40% - Accent4 3 5 4 4" xfId="38518" xr:uid="{C4505042-DFEF-4684-85E2-948D0126DCA9}"/>
    <cellStyle name="40% - Accent4 3 5 5" xfId="38519" xr:uid="{AEE1690F-6B67-498A-B66C-CE75FA1A67BA}"/>
    <cellStyle name="40% - Accent4 3 5 5 2" xfId="38520" xr:uid="{AC11437D-9AA2-405F-93D4-EC909185E874}"/>
    <cellStyle name="40% - Accent4 3 5 5 2 2" xfId="38521" xr:uid="{27F73C57-6A5A-4CB3-8C97-37BD7C6B14FD}"/>
    <cellStyle name="40% - Accent4 3 5 5 3" xfId="38522" xr:uid="{C7DB750B-67EF-4629-B263-0002349E5ECE}"/>
    <cellStyle name="40% - Accent4 3 5 5 3 2" xfId="38523" xr:uid="{5581FAA7-EC06-4219-9F6A-E63D6E682DB9}"/>
    <cellStyle name="40% - Accent4 3 5 5 4" xfId="38524" xr:uid="{889342BE-524C-4BE9-86E9-7C4313A47235}"/>
    <cellStyle name="40% - Accent4 3 5 6" xfId="38525" xr:uid="{06E268FB-BB5C-44B4-B8C0-576E9A0FFB23}"/>
    <cellStyle name="40% - Accent4 3 5 6 2" xfId="38526" xr:uid="{22D8716F-4AE1-41D2-9881-86A3263BD059}"/>
    <cellStyle name="40% - Accent4 3 5 7" xfId="38527" xr:uid="{864C2E8B-4F86-4FCC-91D0-CBE19813852F}"/>
    <cellStyle name="40% - Accent4 3 5 7 2" xfId="38528" xr:uid="{89C5EE42-AB60-4935-BFA1-2695FD2541E8}"/>
    <cellStyle name="40% - Accent4 3 5 8" xfId="38529" xr:uid="{7213C86B-B9F2-495F-A780-F04F2DF70CC7}"/>
    <cellStyle name="40% - Accent4 3 6" xfId="3266" xr:uid="{AE523630-8F57-4C97-8E61-C6FC993920FA}"/>
    <cellStyle name="40% - Accent4 3 6 2" xfId="3267" xr:uid="{D85617CF-1FD4-4B09-9DF6-90AFBD458061}"/>
    <cellStyle name="40% - Accent4 3 6 2 2" xfId="3268" xr:uid="{FB08DF7E-EA03-417F-B00B-2A5C650EE8FB}"/>
    <cellStyle name="40% - Accent4 3 6 2 3" xfId="3269" xr:uid="{3ACD7030-8FD2-4D07-A06E-F0C7564F2FB2}"/>
    <cellStyle name="40% - Accent4 3 6 3" xfId="3270" xr:uid="{61886F88-B4B5-4601-92D8-A31FCCDD81CA}"/>
    <cellStyle name="40% - Accent4 3 6 3 2" xfId="38530" xr:uid="{AA13F862-1840-4CF3-AAD7-7B61EC56E231}"/>
    <cellStyle name="40% - Accent4 3 6 4" xfId="3271" xr:uid="{0945263A-E1CB-48FA-8D92-E80FB021E562}"/>
    <cellStyle name="40% - Accent4 3 6 5" xfId="38531" xr:uid="{D2E2E104-3022-484A-BE52-AC501867F4C6}"/>
    <cellStyle name="40% - Accent4 3 7" xfId="3272" xr:uid="{8F60EF7C-FE88-479F-89F1-437EB8FEABE5}"/>
    <cellStyle name="40% - Accent4 3 7 2" xfId="3273" xr:uid="{D6748601-E5BC-4AAA-8929-95072BFE082D}"/>
    <cellStyle name="40% - Accent4 3 7 2 2" xfId="3274" xr:uid="{F60C5C78-C51F-4ED6-B0E9-6A22E8BFFA29}"/>
    <cellStyle name="40% - Accent4 3 7 2 3" xfId="3275" xr:uid="{741A97D0-FA1B-4751-B3F9-D69459BAEBAE}"/>
    <cellStyle name="40% - Accent4 3 7 3" xfId="3276" xr:uid="{B00D687C-1204-4279-A12C-C8255C4B36A8}"/>
    <cellStyle name="40% - Accent4 3 7 3 2" xfId="38532" xr:uid="{BEE9868C-CAC1-4E55-8646-2A1C3605A06B}"/>
    <cellStyle name="40% - Accent4 3 7 4" xfId="3277" xr:uid="{3136886F-3B1B-45F2-B303-AE01E6E283DC}"/>
    <cellStyle name="40% - Accent4 3 8" xfId="3278" xr:uid="{679E8000-AD6A-4278-9FEA-01037644C34D}"/>
    <cellStyle name="40% - Accent4 3 8 2" xfId="38533" xr:uid="{65787AD7-120A-4F19-B001-1F9F9E8F439B}"/>
    <cellStyle name="40% - Accent4 3 8 2 2" xfId="38534" xr:uid="{DB1C5313-FAA2-4765-ACE5-3A300E7A448F}"/>
    <cellStyle name="40% - Accent4 3 8 3" xfId="38535" xr:uid="{5C5EF0DF-5033-49C9-9E5E-4B89EDF5FB61}"/>
    <cellStyle name="40% - Accent4 3 8 3 2" xfId="38536" xr:uid="{D55B43A5-9CE7-47D7-B811-70FB92E316A5}"/>
    <cellStyle name="40% - Accent4 3 8 4" xfId="38537" xr:uid="{FCB715B4-F6A9-4F2A-B85F-21EA514F9549}"/>
    <cellStyle name="40% - Accent4 3 9" xfId="38538" xr:uid="{DBCFA7F2-0F55-4072-BC3C-89630B4091BC}"/>
    <cellStyle name="40% - Accent4 3_PwrTax 51040" xfId="3279" xr:uid="{FFDF19FD-5483-453D-B42F-EEB249B9E507}"/>
    <cellStyle name="40% - Accent4 30" xfId="3280" xr:uid="{041E8FAE-65D6-4AEE-B4D6-3F9AE16C023D}"/>
    <cellStyle name="40% - Accent4 31" xfId="3281" xr:uid="{32F06E48-3445-4307-B28D-154E4D82E888}"/>
    <cellStyle name="40% - Accent4 32" xfId="3282" xr:uid="{7A0915A3-0B0F-4BC3-AF0A-83327B156108}"/>
    <cellStyle name="40% - Accent4 33" xfId="3283" xr:uid="{E3C0F994-D32A-4B58-871C-87B4F39C12DE}"/>
    <cellStyle name="40% - Accent4 34" xfId="3284" xr:uid="{487C517D-1656-42C8-A284-2C0664970A4F}"/>
    <cellStyle name="40% - Accent4 35" xfId="3285" xr:uid="{9E55A073-B5ED-4380-A88F-9A89F323F3D8}"/>
    <cellStyle name="40% - Accent4 36" xfId="3286" xr:uid="{010455EF-E823-421F-ACD6-991888607447}"/>
    <cellStyle name="40% - Accent4 37" xfId="3287" xr:uid="{50944662-1997-4070-9D91-A587CD3A9E1D}"/>
    <cellStyle name="40% - Accent4 37 2" xfId="3288" xr:uid="{F0D7A8AD-AB08-45CD-98ED-BEB64317130D}"/>
    <cellStyle name="40% - Accent4 37 2 2" xfId="3289" xr:uid="{5FC3AC85-81AB-4F98-B87E-0F1D7F830205}"/>
    <cellStyle name="40% - Accent4 37 2 3" xfId="38539" xr:uid="{D8F255BD-1CC0-423D-A871-AAF6A2A9B834}"/>
    <cellStyle name="40% - Accent4 37 3" xfId="3290" xr:uid="{E1988C79-56F5-42EB-A4E3-3DEEF163A16B}"/>
    <cellStyle name="40% - Accent4 37 3 2" xfId="3291" xr:uid="{0EDEBD94-66D6-44F4-851F-C7F98E01C75F}"/>
    <cellStyle name="40% - Accent4 37 3 3" xfId="38540" xr:uid="{3D270E47-530D-4FC4-B7AD-88EE93DDCCF7}"/>
    <cellStyle name="40% - Accent4 37 4" xfId="3292" xr:uid="{3B5A2196-CAE0-4480-9D1A-9DC31765230B}"/>
    <cellStyle name="40% - Accent4 37 5" xfId="38541" xr:uid="{03E27C96-E3AE-4081-89B8-6F5A21D920BB}"/>
    <cellStyle name="40% - Accent4 37_PwrTax 51040" xfId="3293" xr:uid="{67834E3D-7C6A-4F82-B1D7-6DF9585D05CF}"/>
    <cellStyle name="40% - Accent4 38" xfId="3294" xr:uid="{B09C62CF-EA1A-4DA5-9F5A-D5BFE84971F0}"/>
    <cellStyle name="40% - Accent4 38 2" xfId="38542" xr:uid="{9B42DEA0-7566-45CB-8B90-4C009926F9C0}"/>
    <cellStyle name="40% - Accent4 38 2 2" xfId="38543" xr:uid="{3A14EFC5-F8BC-434F-85C8-F4513791A488}"/>
    <cellStyle name="40% - Accent4 38 2 2 2" xfId="38544" xr:uid="{0500953A-C6CD-4E14-A67B-CBED89C71B8A}"/>
    <cellStyle name="40% - Accent4 38 2 3" xfId="38545" xr:uid="{40B59B1C-68B7-49C3-962D-1D8074C51869}"/>
    <cellStyle name="40% - Accent4 38 2 3 2" xfId="38546" xr:uid="{99F72AAC-845B-4B41-A1F7-8C3BBAB56DA9}"/>
    <cellStyle name="40% - Accent4 38 2 4" xfId="38547" xr:uid="{6B4E5916-059D-4BD5-89CF-B008B9DE179F}"/>
    <cellStyle name="40% - Accent4 38 3" xfId="38548" xr:uid="{3632796F-CDEA-4989-8669-89335C459F9C}"/>
    <cellStyle name="40% - Accent4 38 3 2" xfId="38549" xr:uid="{0E732A2F-9FC9-4F76-93E3-6F3DDD51C702}"/>
    <cellStyle name="40% - Accent4 38 3 2 2" xfId="38550" xr:uid="{5E19912D-5214-4B58-9DA1-67174BEA9905}"/>
    <cellStyle name="40% - Accent4 38 3 3" xfId="38551" xr:uid="{50105A95-559E-4BB3-9D60-73327AD3EC1C}"/>
    <cellStyle name="40% - Accent4 38 3 3 2" xfId="38552" xr:uid="{EF36E74F-2BE2-4674-9300-84D9CAA24F7E}"/>
    <cellStyle name="40% - Accent4 38 3 4" xfId="38553" xr:uid="{B5B3DC5A-CD85-485E-AEFE-DB07CF71EB01}"/>
    <cellStyle name="40% - Accent4 38 4" xfId="38554" xr:uid="{DE25A1E0-983B-4C94-9C41-8996AB20AAF2}"/>
    <cellStyle name="40% - Accent4 38 4 2" xfId="38555" xr:uid="{0BAD602A-5E4E-4D77-B225-5634762CF353}"/>
    <cellStyle name="40% - Accent4 38 4 2 2" xfId="38556" xr:uid="{4AC73FFD-76CE-487F-A3FC-583167D04577}"/>
    <cellStyle name="40% - Accent4 38 4 3" xfId="38557" xr:uid="{F28B1317-1BA9-49BE-BFFD-97BBF590DFC7}"/>
    <cellStyle name="40% - Accent4 38 4 3 2" xfId="38558" xr:uid="{F2963189-66F7-4000-A845-D401830240B6}"/>
    <cellStyle name="40% - Accent4 38 4 4" xfId="38559" xr:uid="{B37509CD-D677-49C8-BD5A-D20AE1DCA684}"/>
    <cellStyle name="40% - Accent4 38 5" xfId="38560" xr:uid="{5C5DB436-C932-448C-AD32-FD3BA167D469}"/>
    <cellStyle name="40% - Accent4 38 5 2" xfId="38561" xr:uid="{C453F8B3-D212-4F10-82DB-BA400B69CE4B}"/>
    <cellStyle name="40% - Accent4 38 6" xfId="38562" xr:uid="{E02720CB-F5C5-42E9-B68F-AA0AFE30B884}"/>
    <cellStyle name="40% - Accent4 38 6 2" xfId="38563" xr:uid="{A38B7758-B2F5-4F95-8751-51A3A57081D9}"/>
    <cellStyle name="40% - Accent4 38 7" xfId="38564" xr:uid="{6B1082C0-3330-4A92-9C58-4EC6B65FBC80}"/>
    <cellStyle name="40% - Accent4 39" xfId="38565" xr:uid="{5B881202-D309-4DF2-9CDA-39F592AC1C3A}"/>
    <cellStyle name="40% - Accent4 39 2" xfId="38566" xr:uid="{C600B710-3AC5-45DA-9DAF-B6749A15AA22}"/>
    <cellStyle name="40% - Accent4 4" xfId="3295" xr:uid="{78B10466-D9AD-4739-8BF9-0B85D24814C1}"/>
    <cellStyle name="40% - Accent4 4 2" xfId="3296" xr:uid="{D0BCC534-8C24-4A38-95FD-D70DD47A781F}"/>
    <cellStyle name="40% - Accent4 4 2 2" xfId="3297" xr:uid="{695AA6E0-CAE6-4A73-BFF7-155EACDC054F}"/>
    <cellStyle name="40% - Accent4 4 2 2 2" xfId="38567" xr:uid="{6C61AEB2-8E0F-4A4B-9C5B-20E8F1602A69}"/>
    <cellStyle name="40% - Accent4 4 2 3" xfId="38568" xr:uid="{4EEE84DD-9C7B-425D-9C43-EB6E3CCD0CBA}"/>
    <cellStyle name="40% - Accent4 4 3" xfId="3298" xr:uid="{E70AA08A-AAB7-4908-B72A-8A932357D272}"/>
    <cellStyle name="40% - Accent4 4 3 2" xfId="3299" xr:uid="{F4797A04-4657-41B3-B3A6-C66DB6F67397}"/>
    <cellStyle name="40% - Accent4 4 3 3" xfId="3300" xr:uid="{67301C65-BAD5-484A-B090-71E1FFBB46E6}"/>
    <cellStyle name="40% - Accent4 4 3 4" xfId="38569" xr:uid="{5682406F-C99A-42BD-A85F-51EB007C7667}"/>
    <cellStyle name="40% - Accent4 4 4" xfId="3301" xr:uid="{C0291F49-C97E-45A5-8125-69A38A1938B3}"/>
    <cellStyle name="40% - Accent4 4 4 2" xfId="3302" xr:uid="{7F214691-0F52-4807-9F1B-730621E42BFA}"/>
    <cellStyle name="40% - Accent4 4 4 2 2" xfId="3303" xr:uid="{375B73F5-A5F9-423C-8BA3-289D22AE2436}"/>
    <cellStyle name="40% - Accent4 4 4 2 3" xfId="3304" xr:uid="{B84743E3-C179-46EA-946A-FCC5887F7A25}"/>
    <cellStyle name="40% - Accent4 4 4 3" xfId="3305" xr:uid="{069935E0-CDCC-4F34-89A1-040D33B2BB6D}"/>
    <cellStyle name="40% - Accent4 4 4 4" xfId="3306" xr:uid="{4CEA5393-FE19-4A79-9565-42A32A20017F}"/>
    <cellStyle name="40% - Accent4 4 4 5" xfId="3307" xr:uid="{835DC8F7-A4C3-4C44-9133-C9F1CE5DFB75}"/>
    <cellStyle name="40% - Accent4 4 4 6" xfId="38570" xr:uid="{752CABD8-7357-466C-BD4C-BF6FE5DC8C4E}"/>
    <cellStyle name="40% - Accent4 4 5" xfId="3308" xr:uid="{FFECE1E6-B223-4B93-9359-60140F3CA6C7}"/>
    <cellStyle name="40% - Accent4 4 5 2" xfId="3309" xr:uid="{6B64AB9C-EF39-4B22-A463-E1A9E30835A3}"/>
    <cellStyle name="40% - Accent4 4 5 3" xfId="3310" xr:uid="{64362448-484A-41AF-9DF5-90D26E9E967B}"/>
    <cellStyle name="40% - Accent4 4 5 4" xfId="38571" xr:uid="{3A79C4F8-2C77-4C84-AC4E-E84DB4A7AC7E}"/>
    <cellStyle name="40% - Accent4 4 6" xfId="3311" xr:uid="{C0EEBCDF-32EB-4075-8742-BAFB69F695A4}"/>
    <cellStyle name="40% - Accent4 4 7" xfId="38572" xr:uid="{B1BE6FAD-5FF4-47BB-A5D6-4A3FC050C2DD}"/>
    <cellStyle name="40% - Accent4 4 8" xfId="43548" xr:uid="{0B4E8612-0808-418C-BE24-DB61D7F8EF71}"/>
    <cellStyle name="40% - Accent4 4_PwrTax 51040" xfId="3312" xr:uid="{F8DFAF4B-30D7-48BF-924D-ED64D9F0D9E4}"/>
    <cellStyle name="40% - Accent4 40" xfId="38573" xr:uid="{86D19079-1707-4FD3-A3BE-62E32A0A66D2}"/>
    <cellStyle name="40% - Accent4 41" xfId="38574" xr:uid="{EA91C376-7152-4040-9601-0F7A5425E267}"/>
    <cellStyle name="40% - Accent4 42" xfId="38575" xr:uid="{7CAB69AB-FE80-4C92-B880-494C691B97A9}"/>
    <cellStyle name="40% - Accent4 43" xfId="38576" xr:uid="{80F6D9FB-FABF-49DB-83D0-7F107CA416AE}"/>
    <cellStyle name="40% - Accent4 44" xfId="38577" xr:uid="{53728667-8358-471D-ADDF-A072727D7364}"/>
    <cellStyle name="40% - Accent4 45" xfId="38578" xr:uid="{09F58A17-BA9A-4CD6-9BDA-59A9D4FDCCC5}"/>
    <cellStyle name="40% - Accent4 46" xfId="38579" xr:uid="{0C735E56-EDDC-4D27-93D6-25BFFA90A64B}"/>
    <cellStyle name="40% - Accent4 47" xfId="38580" xr:uid="{0CFF0EAE-7DE7-4726-8479-C65D9F0FC9CF}"/>
    <cellStyle name="40% - Accent4 48" xfId="38581" xr:uid="{D7DC1440-6178-4F99-9463-E9568CD6A164}"/>
    <cellStyle name="40% - Accent4 49" xfId="38582" xr:uid="{BFF85307-EFF4-4848-977E-BCDA8A31778F}"/>
    <cellStyle name="40% - Accent4 5" xfId="3313" xr:uid="{4C607FF7-50CD-4308-9D1A-0DCA96470EC3}"/>
    <cellStyle name="40% - Accent4 5 2" xfId="3314" xr:uid="{5E456510-1879-41F1-8D29-6E610DD40AA1}"/>
    <cellStyle name="40% - Accent4 5 2 2" xfId="38583" xr:uid="{13C0C871-BAB0-43E7-A83F-62A92D81B8BC}"/>
    <cellStyle name="40% - Accent4 5 3" xfId="3315" xr:uid="{E5F66D62-6925-4885-AC7D-BC629B97EA56}"/>
    <cellStyle name="40% - Accent4 5 4" xfId="38584" xr:uid="{1A2A8F25-919D-44BE-BEB3-E8C90BB6853B}"/>
    <cellStyle name="40% - Accent4 5 5" xfId="43563" xr:uid="{51EA0BEC-60E6-4873-ABF4-C03801061768}"/>
    <cellStyle name="40% - Accent4 50" xfId="38585" xr:uid="{0C68198C-60A4-48AA-81F6-A15C84245DDE}"/>
    <cellStyle name="40% - Accent4 51" xfId="38586" xr:uid="{F94672F8-0B28-4DE3-9396-82B78BDA8991}"/>
    <cellStyle name="40% - Accent4 52" xfId="38587" xr:uid="{4DCB08FD-7093-4F6C-A411-CD72F2AE4444}"/>
    <cellStyle name="40% - Accent4 53" xfId="38588" xr:uid="{A6E97452-8C3C-4D8F-B4C5-B353C5F6856B}"/>
    <cellStyle name="40% - Accent4 54" xfId="38589" xr:uid="{91C86528-BD5A-4A0B-B55A-8180BE37B3E1}"/>
    <cellStyle name="40% - Accent4 55" xfId="38590" xr:uid="{16A5C278-7F82-4143-95E6-DCBD5E6A70C7}"/>
    <cellStyle name="40% - Accent4 56" xfId="38591" xr:uid="{D8C717A7-24B7-4016-AED2-A8BC7CDB533D}"/>
    <cellStyle name="40% - Accent4 57" xfId="38592" xr:uid="{F97BB8F4-B4A6-4787-BE0D-EA910748EB19}"/>
    <cellStyle name="40% - Accent4 58" xfId="38593" xr:uid="{D66D7662-C06D-4DC6-81A9-03E5023D317A}"/>
    <cellStyle name="40% - Accent4 59" xfId="38594" xr:uid="{4AF9CBA9-8196-4CCB-A8A0-0678068C9D6F}"/>
    <cellStyle name="40% - Accent4 6" xfId="3316" xr:uid="{67545876-CB15-4984-9CF3-ACA1B84EBB0B}"/>
    <cellStyle name="40% - Accent4 6 2" xfId="3317" xr:uid="{B448A44A-00E7-4BCC-A38E-BEA502A1FBFB}"/>
    <cellStyle name="40% - Accent4 6 2 2" xfId="38595" xr:uid="{DE5D25C2-0223-484B-BCB3-2BC09E959FFD}"/>
    <cellStyle name="40% - Accent4 6 3" xfId="3318" xr:uid="{1122A134-189A-4FD7-BCB5-98585F47B56D}"/>
    <cellStyle name="40% - Accent4 6 4" xfId="38596" xr:uid="{21D94493-894F-4BCE-9763-3FCE84634591}"/>
    <cellStyle name="40% - Accent4 60" xfId="38597" xr:uid="{2E6B9DAC-6B2A-481F-A456-1EF342AE4333}"/>
    <cellStyle name="40% - Accent4 61" xfId="38598" xr:uid="{5864CD4F-5C8D-4AC4-9D11-2CFC2ECF34DB}"/>
    <cellStyle name="40% - Accent4 62" xfId="38599" xr:uid="{0F68FB8C-0D4D-48EC-B0E2-946AF70F2D25}"/>
    <cellStyle name="40% - Accent4 63" xfId="38600" xr:uid="{3C65593A-5564-4C18-9FC6-741853A04FD6}"/>
    <cellStyle name="40% - Accent4 64" xfId="38601" xr:uid="{1D9ED8BD-A93A-4DC5-8A08-0B5EEBA28F28}"/>
    <cellStyle name="40% - Accent4 65" xfId="38602" xr:uid="{A8365285-CBAC-4205-B432-2E4202CB7B74}"/>
    <cellStyle name="40% - Accent4 66" xfId="38603" xr:uid="{A711B96E-A81D-4945-93F2-7D0ACE944AEF}"/>
    <cellStyle name="40% - Accent4 67" xfId="38604" xr:uid="{EC15A347-9E57-4FC9-BD77-70E1C81DC4DD}"/>
    <cellStyle name="40% - Accent4 68" xfId="38605" xr:uid="{0A7AF09A-26E8-4E85-B277-0FE92265F63B}"/>
    <cellStyle name="40% - Accent4 69" xfId="38606" xr:uid="{24D46EBC-2947-404B-A620-340F21E3DD8C}"/>
    <cellStyle name="40% - Accent4 7" xfId="3319" xr:uid="{E357AC1E-8F0B-40AC-9244-CE6332FA146E}"/>
    <cellStyle name="40% - Accent4 7 2" xfId="3320" xr:uid="{77FFCCE6-D4DB-4C89-A625-765CA5EC08ED}"/>
    <cellStyle name="40% - Accent4 7 3" xfId="3321" xr:uid="{37676DB8-0853-4336-8D22-1DE4B97BC707}"/>
    <cellStyle name="40% - Accent4 7 4" xfId="38607" xr:uid="{F4EB0FF1-FBD5-4178-B3CD-7E35B7CBA247}"/>
    <cellStyle name="40% - Accent4 70" xfId="38608" xr:uid="{B2049959-F4FF-428E-9696-7B5DC0DD3CB1}"/>
    <cellStyle name="40% - Accent4 71" xfId="38609" xr:uid="{DBB5898E-76E3-4EEE-AC73-45B17A376856}"/>
    <cellStyle name="40% - Accent4 72" xfId="38610" xr:uid="{9177F545-BC70-4253-8DFF-1635A9E28FD2}"/>
    <cellStyle name="40% - Accent4 73" xfId="38611" xr:uid="{7317012C-9557-4744-A49F-CA9C45F60FE1}"/>
    <cellStyle name="40% - Accent4 74" xfId="38612" xr:uid="{56355A43-F2A6-4CE1-88BC-441D5D051672}"/>
    <cellStyle name="40% - Accent4 75" xfId="38613" xr:uid="{1B6909BC-10FE-4FB1-B566-11E9818F9EF5}"/>
    <cellStyle name="40% - Accent4 76" xfId="38614" xr:uid="{47DCBB7A-CB70-45F2-B3DF-74653BBC2A7C}"/>
    <cellStyle name="40% - Accent4 77" xfId="38615" xr:uid="{E0E1CC47-4724-4747-9DE8-24E2E06AFBD7}"/>
    <cellStyle name="40% - Accent4 78" xfId="38616" xr:uid="{8056891E-8321-4F1E-AE9E-766777378362}"/>
    <cellStyle name="40% - Accent4 79" xfId="38617" xr:uid="{F9FDEFF9-BCF4-4117-86E2-8036A69B56CF}"/>
    <cellStyle name="40% - Accent4 8" xfId="3322" xr:uid="{FCE71777-097F-4244-8CB2-3E27B3026449}"/>
    <cellStyle name="40% - Accent4 8 2" xfId="3323" xr:uid="{CE1534D7-211E-4A19-8DDE-7C8F9CC1F41B}"/>
    <cellStyle name="40% - Accent4 8 3" xfId="3324" xr:uid="{A6993288-46DC-42AD-8270-8354596D2E13}"/>
    <cellStyle name="40% - Accent4 8 4" xfId="38618" xr:uid="{30BF8DEB-17B8-4251-A8E4-90874E97C00D}"/>
    <cellStyle name="40% - Accent4 80" xfId="38619" xr:uid="{BAA1E535-FB3A-4477-82E8-F86780670A47}"/>
    <cellStyle name="40% - Accent4 81" xfId="38620" xr:uid="{4CE059F9-796B-4C14-A10D-B9BEB787A28D}"/>
    <cellStyle name="40% - Accent4 82" xfId="38621" xr:uid="{9568C5E4-8BEA-4A66-BBE9-6907E29DAD96}"/>
    <cellStyle name="40% - Accent4 83" xfId="38622" xr:uid="{168FFEDC-D513-4B61-A9F6-5ECA811696D8}"/>
    <cellStyle name="40% - Accent4 84" xfId="38623" xr:uid="{21D3B335-FFDB-4AC3-BB65-93F34A846A5F}"/>
    <cellStyle name="40% - Accent4 85" xfId="38624" xr:uid="{6120D773-B977-4D07-B4DF-6005FB43F13D}"/>
    <cellStyle name="40% - Accent4 86" xfId="38625" xr:uid="{854C42C5-78A6-4F7C-A052-07EAB97FA214}"/>
    <cellStyle name="40% - Accent4 87" xfId="38626" xr:uid="{721CA29C-DC51-4FBB-B184-79FB986BEECD}"/>
    <cellStyle name="40% - Accent4 88" xfId="38627" xr:uid="{7EB5BF7E-10BA-4222-BDF5-A85FFF341D08}"/>
    <cellStyle name="40% - Accent4 89" xfId="38628" xr:uid="{B151262F-EC6B-4EC4-A194-2269C4713F90}"/>
    <cellStyle name="40% - Accent4 9" xfId="3325" xr:uid="{D559A3D5-0563-4955-AEA3-736E37867F2B}"/>
    <cellStyle name="40% - Accent4 9 2" xfId="3326" xr:uid="{DEECAF5E-62EA-4DB6-BE29-6848FA208596}"/>
    <cellStyle name="40% - Accent4 9 3" xfId="3327" xr:uid="{AAD5A07F-EFA9-4BC2-A90D-C3D062E8B268}"/>
    <cellStyle name="40% - Accent4 9 4" xfId="38629" xr:uid="{4598E127-D7DF-42AA-B39D-755DC14B1BE5}"/>
    <cellStyle name="40% - Accent4 90" xfId="38630" xr:uid="{88CAB482-1CB4-4838-BC71-07BAC722DCCE}"/>
    <cellStyle name="40% - Accent4 91" xfId="38631" xr:uid="{6BF508A8-5AAC-43F7-BF81-EF45F85E6C15}"/>
    <cellStyle name="40% - Accent4 92" xfId="38632" xr:uid="{74DD2A31-BDE1-4115-B1B6-6F1BCC97C79D}"/>
    <cellStyle name="40% - Accent4 93" xfId="38633" xr:uid="{D08E9AF6-7B31-4B5A-95A7-66FF0D72B408}"/>
    <cellStyle name="40% - Accent4 94" xfId="38634" xr:uid="{2AE96110-465C-4921-B47D-304FBC0997EB}"/>
    <cellStyle name="40% - Accent4 95" xfId="38635" xr:uid="{AA78175D-098D-4217-87C9-551E7BB03067}"/>
    <cellStyle name="40% - Accent4 96" xfId="38636" xr:uid="{8CDE613A-5829-4E40-90ED-1E48129FA088}"/>
    <cellStyle name="40% - Accent4 97" xfId="38637" xr:uid="{D476875B-6C60-4515-9FCE-24C0C926F9A2}"/>
    <cellStyle name="40% - Accent4 98" xfId="38638" xr:uid="{1B1DA5A3-1619-4DE3-A381-6D7AF5B61296}"/>
    <cellStyle name="40% - Accent4 99" xfId="38639" xr:uid="{A354D264-EB4C-4E5A-A183-0D61E992A743}"/>
    <cellStyle name="40% - Accent5 10" xfId="3328" xr:uid="{1B78F144-6E25-4E32-8812-FD66E95E862A}"/>
    <cellStyle name="40% - Accent5 10 2" xfId="3329" xr:uid="{13F08DAC-0571-41A6-9B80-0D9F419265A4}"/>
    <cellStyle name="40% - Accent5 10 3" xfId="3330" xr:uid="{1D8B93D9-12F7-4673-9646-5D73DB2A778A}"/>
    <cellStyle name="40% - Accent5 10 4" xfId="38640" xr:uid="{D55D2194-E38D-4D4D-BDB8-6F4FB25791B8}"/>
    <cellStyle name="40% - Accent5 100" xfId="38641" xr:uid="{034EF18A-5B89-462E-BA93-B4645762199F}"/>
    <cellStyle name="40% - Accent5 101" xfId="38642" xr:uid="{57E8ACA9-7DF3-404D-9645-9BC7D14D472F}"/>
    <cellStyle name="40% - Accent5 102" xfId="38643" xr:uid="{A2DD2883-5ED6-4F62-B4B6-A53CA15880BE}"/>
    <cellStyle name="40% - Accent5 103" xfId="43480" xr:uid="{B4C864A0-9420-4B10-8CF5-203A31ED8C2D}"/>
    <cellStyle name="40% - Accent5 104" xfId="43599" xr:uid="{8C3D5C07-F2F2-4BE9-9D71-B7BDD7A055CA}"/>
    <cellStyle name="40% - Accent5 105" xfId="172" xr:uid="{44FA107B-E00E-428C-9690-2C2F37870216}"/>
    <cellStyle name="40% - Accent5 11" xfId="3331" xr:uid="{A1E7CAEF-87BC-4F66-92EC-F56F7AB8524F}"/>
    <cellStyle name="40% - Accent5 11 2" xfId="3332" xr:uid="{B743567B-85D6-407E-9A52-967F4C270923}"/>
    <cellStyle name="40% - Accent5 11 3" xfId="3333" xr:uid="{DE392F20-ABE4-46D4-B8F3-59D0E4ABD246}"/>
    <cellStyle name="40% - Accent5 12" xfId="3334" xr:uid="{382EAC5B-096E-4B60-8EEE-C82DFB650A75}"/>
    <cellStyle name="40% - Accent5 12 2" xfId="3335" xr:uid="{8AAB5589-6A28-4118-A495-79DF653CD317}"/>
    <cellStyle name="40% - Accent5 13" xfId="3336" xr:uid="{1290E122-6E7B-4C77-BEC5-188E79528128}"/>
    <cellStyle name="40% - Accent5 13 2" xfId="3337" xr:uid="{88AE93C3-E529-4421-B7A4-28AE636CD8C1}"/>
    <cellStyle name="40% - Accent5 14" xfId="3338" xr:uid="{1C6D6B71-B053-4934-BBF3-22957A769203}"/>
    <cellStyle name="40% - Accent5 14 2" xfId="3339" xr:uid="{5D8E8052-1878-4D53-8FF2-DED4A5C0C53B}"/>
    <cellStyle name="40% - Accent5 15" xfId="3340" xr:uid="{1181BA2F-4CE8-4337-A495-9CB0685EE044}"/>
    <cellStyle name="40% - Accent5 15 2" xfId="3341" xr:uid="{22A5D79E-1247-4B2A-A532-26952E36CDC9}"/>
    <cellStyle name="40% - Accent5 16" xfId="3342" xr:uid="{65206450-A290-4876-9753-D550FEA57F80}"/>
    <cellStyle name="40% - Accent5 16 2" xfId="3343" xr:uid="{E20508E6-B8BD-4A1D-8D30-5D35126AE1C8}"/>
    <cellStyle name="40% - Accent5 17" xfId="3344" xr:uid="{73953C9F-581A-4BDA-83B9-C54DA47882C6}"/>
    <cellStyle name="40% - Accent5 17 2" xfId="3345" xr:uid="{B31F6C2A-17B1-412C-9777-131E485667DE}"/>
    <cellStyle name="40% - Accent5 18" xfId="3346" xr:uid="{8FC3F569-6E5A-4A0E-88B7-9FC2E020033E}"/>
    <cellStyle name="40% - Accent5 18 2" xfId="3347" xr:uid="{4D559B58-C826-42B1-A41E-2614898365B5}"/>
    <cellStyle name="40% - Accent5 19" xfId="3348" xr:uid="{CA6F47BF-4538-49CB-A530-AAF70FBF9A15}"/>
    <cellStyle name="40% - Accent5 19 2" xfId="3349" xr:uid="{104F184D-BA17-4553-A7A2-2B1CDA0AE41B}"/>
    <cellStyle name="40% - Accent5 2" xfId="3350" xr:uid="{60B677D1-F811-492E-9979-A0867F13538F}"/>
    <cellStyle name="40% - Accent5 2 10" xfId="43511" xr:uid="{D04514FD-185B-4A38-8799-7D1F2968E2A9}"/>
    <cellStyle name="40% - Accent5 2 2" xfId="3351" xr:uid="{6FB6CB3F-FCB7-4409-ACC3-AB0F56EB745E}"/>
    <cellStyle name="40% - Accent5 2 2 2" xfId="3352" xr:uid="{5A5C737F-43C6-429C-85A9-76402F678888}"/>
    <cellStyle name="40% - Accent5 2 2 2 2" xfId="3353" xr:uid="{9C111823-7C28-4FD6-9809-CF0EDA7E7273}"/>
    <cellStyle name="40% - Accent5 2 2 2 3" xfId="3354" xr:uid="{405CFD1F-D96B-48BC-A39E-92326F334FB6}"/>
    <cellStyle name="40% - Accent5 2 2 2 4" xfId="38644" xr:uid="{2725CAD0-D716-4884-AD9A-5C51E8106286}"/>
    <cellStyle name="40% - Accent5 2 2 3" xfId="3355" xr:uid="{DE5F371D-EAB6-418F-93F1-176E1B139138}"/>
    <cellStyle name="40% - Accent5 2 2 3 2" xfId="3356" xr:uid="{0EE9D9C9-E6A6-4C51-BBC0-423FF142DCF1}"/>
    <cellStyle name="40% - Accent5 2 2 3 3" xfId="38645" xr:uid="{F25FD1EA-0F69-40B2-A00B-90E32FE5A3F5}"/>
    <cellStyle name="40% - Accent5 2 2 4" xfId="3357" xr:uid="{A3334B15-E777-4CC0-BB24-3F3883BF9233}"/>
    <cellStyle name="40% - Accent5 2 2 5" xfId="3358" xr:uid="{5B1051AB-6C93-4BEB-B9B8-CFC335D838E6}"/>
    <cellStyle name="40% - Accent5 2 2 6" xfId="3359" xr:uid="{828A72B7-BD1D-465E-A226-7C2F6E43CC0B}"/>
    <cellStyle name="40% - Accent5 2 2 7" xfId="38646" xr:uid="{B519E042-E2B3-4813-B19F-60131FE4B15C}"/>
    <cellStyle name="40% - Accent5 2 2_PwrTax 51040" xfId="3360" xr:uid="{F5A9EA0F-D49F-4A0C-BA8C-0B835DD403C7}"/>
    <cellStyle name="40% - Accent5 2 3" xfId="3361" xr:uid="{74AD84F6-BF26-411C-A612-EAC883F4780C}"/>
    <cellStyle name="40% - Accent5 2 3 10" xfId="3362" xr:uid="{03C9ADC5-F56C-4A4F-BC3F-79848F8E4DB4}"/>
    <cellStyle name="40% - Accent5 2 3 10 2" xfId="38647" xr:uid="{91AF078C-7B24-4C94-99D3-08995CA986B5}"/>
    <cellStyle name="40% - Accent5 2 3 11" xfId="38648" xr:uid="{02C60A3F-26DD-44C1-8E80-199EF00DA315}"/>
    <cellStyle name="40% - Accent5 2 3 12" xfId="38649" xr:uid="{6A12E484-0688-48C1-8CFE-FE0D34DD7C32}"/>
    <cellStyle name="40% - Accent5 2 3 2" xfId="3363" xr:uid="{893378C4-8161-4D9A-8961-33DC31107936}"/>
    <cellStyle name="40% - Accent5 2 3 2 10" xfId="38650" xr:uid="{0EE8B2A2-8374-4983-9645-587975C1CDD3}"/>
    <cellStyle name="40% - Accent5 2 3 2 11" xfId="38651" xr:uid="{D85D0EB4-EA3B-43A2-8ABD-CC0DA3DE7D02}"/>
    <cellStyle name="40% - Accent5 2 3 2 2" xfId="3364" xr:uid="{CB834E4A-0AFD-4136-9DE7-83B35523F54F}"/>
    <cellStyle name="40% - Accent5 2 3 2 2 2" xfId="3365" xr:uid="{2152B9AC-AAA6-4219-B397-9D18457EC40A}"/>
    <cellStyle name="40% - Accent5 2 3 2 2 2 2" xfId="3366" xr:uid="{DB95A177-0215-4100-8D15-3410AAB09B85}"/>
    <cellStyle name="40% - Accent5 2 3 2 2 2 2 2" xfId="3367" xr:uid="{DCEB5B46-7476-49FC-B995-6F7F22F09A66}"/>
    <cellStyle name="40% - Accent5 2 3 2 2 2 2 2 2" xfId="38652" xr:uid="{A69662B9-AA0F-443D-BC7E-6F9D6E4BA26E}"/>
    <cellStyle name="40% - Accent5 2 3 2 2 2 2 3" xfId="3368" xr:uid="{2BAAA4DF-79A8-4927-9ADB-86FC665CE086}"/>
    <cellStyle name="40% - Accent5 2 3 2 2 2 2 3 2" xfId="38653" xr:uid="{679B8211-3A6D-490D-895D-7F16AFA09ED0}"/>
    <cellStyle name="40% - Accent5 2 3 2 2 2 2 4" xfId="38654" xr:uid="{ABA9BC71-50EA-4563-B8C6-2757AF0CD2E3}"/>
    <cellStyle name="40% - Accent5 2 3 2 2 2 3" xfId="3369" xr:uid="{AD03D9C2-6DEE-424F-9505-243E6848DCA7}"/>
    <cellStyle name="40% - Accent5 2 3 2 2 2 3 2" xfId="38655" xr:uid="{1840DD05-D8BA-4E40-9193-8875CD912012}"/>
    <cellStyle name="40% - Accent5 2 3 2 2 2 4" xfId="3370" xr:uid="{81478161-7A56-48A8-80DA-9C9C38CF2B93}"/>
    <cellStyle name="40% - Accent5 2 3 2 2 2 4 2" xfId="38656" xr:uid="{E9FFB6E9-1AA4-4715-8B85-53C350AF70F9}"/>
    <cellStyle name="40% - Accent5 2 3 2 2 2 5" xfId="38657" xr:uid="{6379BD6E-9251-4A80-B6C5-391CB234742E}"/>
    <cellStyle name="40% - Accent5 2 3 2 2 3" xfId="3371" xr:uid="{093CBA46-2B3A-47D6-AC79-5E15141EF9F9}"/>
    <cellStyle name="40% - Accent5 2 3 2 2 3 2" xfId="3372" xr:uid="{F4484523-14A3-4759-8DBB-2C872241CDD7}"/>
    <cellStyle name="40% - Accent5 2 3 2 2 3 2 2" xfId="38658" xr:uid="{3D7476C9-753A-4DCD-9DEE-8F433791F6DA}"/>
    <cellStyle name="40% - Accent5 2 3 2 2 3 3" xfId="3373" xr:uid="{E913BCEC-433A-465F-A0DA-D16E593A1B0C}"/>
    <cellStyle name="40% - Accent5 2 3 2 2 3 3 2" xfId="38659" xr:uid="{8DFE811C-212F-4A13-9B03-A0B1AD370A81}"/>
    <cellStyle name="40% - Accent5 2 3 2 2 3 4" xfId="38660" xr:uid="{95D3177D-4FB9-48B0-8FB5-4DFDED698564}"/>
    <cellStyle name="40% - Accent5 2 3 2 2 4" xfId="3374" xr:uid="{ACB38041-7391-4E02-A685-5AE6C62810AE}"/>
    <cellStyle name="40% - Accent5 2 3 2 2 4 2" xfId="38661" xr:uid="{08447F02-DB92-49F1-B78C-68FEFDAF2FCA}"/>
    <cellStyle name="40% - Accent5 2 3 2 2 5" xfId="3375" xr:uid="{5CA2763E-00D3-441A-861A-640BE4B18F24}"/>
    <cellStyle name="40% - Accent5 2 3 2 2 5 2" xfId="38662" xr:uid="{7168CA25-643B-4A52-A4A1-3C99AB6B68B0}"/>
    <cellStyle name="40% - Accent5 2 3 2 2 6" xfId="38663" xr:uid="{F89A45DE-8BCD-4719-92AE-73D886BA458F}"/>
    <cellStyle name="40% - Accent5 2 3 2 3" xfId="3376" xr:uid="{BB54C64B-1717-4A80-9426-CC006569A88C}"/>
    <cellStyle name="40% - Accent5 2 3 2 3 2" xfId="3377" xr:uid="{D6730A20-9E7E-4637-939A-1F48E6266645}"/>
    <cellStyle name="40% - Accent5 2 3 2 3 2 2" xfId="3378" xr:uid="{A15602AC-A126-4FF1-80CD-6914CD3364A9}"/>
    <cellStyle name="40% - Accent5 2 3 2 3 2 2 2" xfId="38664" xr:uid="{EFFFE5D1-AD03-451A-9C52-8792BB57D968}"/>
    <cellStyle name="40% - Accent5 2 3 2 3 2 3" xfId="3379" xr:uid="{3254DA76-48DA-452C-83AE-AA03FE58FB0E}"/>
    <cellStyle name="40% - Accent5 2 3 2 3 2 3 2" xfId="38665" xr:uid="{BD293A94-B121-4C35-9445-9C4A0143329B}"/>
    <cellStyle name="40% - Accent5 2 3 2 3 2 4" xfId="38666" xr:uid="{9407C6C5-5E49-4CC7-B5DD-1C9D8E8D6BEC}"/>
    <cellStyle name="40% - Accent5 2 3 2 3 3" xfId="3380" xr:uid="{4C73DE36-01D7-4905-9646-7AD06F94031B}"/>
    <cellStyle name="40% - Accent5 2 3 2 3 3 2" xfId="38667" xr:uid="{D89AED77-134F-4F13-B50A-7BB2E12C74A3}"/>
    <cellStyle name="40% - Accent5 2 3 2 3 4" xfId="3381" xr:uid="{6296BE5B-E11A-4733-A1A4-86F075FDB515}"/>
    <cellStyle name="40% - Accent5 2 3 2 3 4 2" xfId="38668" xr:uid="{A3E2C856-7B16-4858-8A0D-C84D97261B21}"/>
    <cellStyle name="40% - Accent5 2 3 2 3 5" xfId="38669" xr:uid="{9F25E20A-46C6-499E-9533-B79E555D3841}"/>
    <cellStyle name="40% - Accent5 2 3 2 4" xfId="3382" xr:uid="{2F9F1D0B-A190-44F5-A3D0-DC03E23686C9}"/>
    <cellStyle name="40% - Accent5 2 3 2 4 2" xfId="3383" xr:uid="{388EDF8E-20B0-4962-9CD5-28C230470D7D}"/>
    <cellStyle name="40% - Accent5 2 3 2 4 2 2" xfId="38670" xr:uid="{317BA41F-F339-42D5-937B-DAD762F77507}"/>
    <cellStyle name="40% - Accent5 2 3 2 4 3" xfId="3384" xr:uid="{BCCAE78C-8145-4631-ABD5-13D220C98A0D}"/>
    <cellStyle name="40% - Accent5 2 3 2 4 3 2" xfId="38671" xr:uid="{9C57CD1C-9DE9-4DF1-A848-690617ACA1BA}"/>
    <cellStyle name="40% - Accent5 2 3 2 4 4" xfId="38672" xr:uid="{BCE3D3FB-7D1F-4356-82DE-08B8FFF74918}"/>
    <cellStyle name="40% - Accent5 2 3 2 5" xfId="3385" xr:uid="{E3117094-0039-4ECC-A7F8-EE93B8EC3ADA}"/>
    <cellStyle name="40% - Accent5 2 3 2 5 2" xfId="38673" xr:uid="{E89F0D30-46B0-487E-8AD2-2B4E3199FDCF}"/>
    <cellStyle name="40% - Accent5 2 3 2 5 2 2" xfId="38674" xr:uid="{78BDC711-C930-46E8-8B54-E0F7AC8FA224}"/>
    <cellStyle name="40% - Accent5 2 3 2 5 3" xfId="38675" xr:uid="{6E322D85-5C8F-4B52-903B-523E95E58A2B}"/>
    <cellStyle name="40% - Accent5 2 3 2 5 3 2" xfId="38676" xr:uid="{0647DB56-6981-403B-8599-B1F1A7F2DBAD}"/>
    <cellStyle name="40% - Accent5 2 3 2 5 4" xfId="38677" xr:uid="{72889E92-0D12-47C4-B1A8-5604FA782773}"/>
    <cellStyle name="40% - Accent5 2 3 2 6" xfId="3386" xr:uid="{E892D1C8-8CBA-412F-B5D2-92877104E02B}"/>
    <cellStyle name="40% - Accent5 2 3 2 6 2" xfId="38678" xr:uid="{DE864309-9193-4B72-BDAD-6761F37BCE22}"/>
    <cellStyle name="40% - Accent5 2 3 2 6 2 2" xfId="38679" xr:uid="{1DF64429-1EAD-44DF-9F45-C812D3B4E1AB}"/>
    <cellStyle name="40% - Accent5 2 3 2 6 3" xfId="38680" xr:uid="{43D7FD15-7B67-4A67-A27E-343EDF97A1AF}"/>
    <cellStyle name="40% - Accent5 2 3 2 6 3 2" xfId="38681" xr:uid="{6D925EBF-B953-4E32-A025-85216653AFE4}"/>
    <cellStyle name="40% - Accent5 2 3 2 6 4" xfId="38682" xr:uid="{0E32510C-A108-4DD4-9B8F-451E39ECF82D}"/>
    <cellStyle name="40% - Accent5 2 3 2 7" xfId="3387" xr:uid="{A3738D7E-5108-4CF0-B900-236501FE0BC5}"/>
    <cellStyle name="40% - Accent5 2 3 2 7 2" xfId="38683" xr:uid="{FDB68FBD-AF93-40B0-B061-2C58C07C0281}"/>
    <cellStyle name="40% - Accent5 2 3 2 7 2 2" xfId="38684" xr:uid="{F04CC05E-37DC-4A73-BAC8-765606CC0C21}"/>
    <cellStyle name="40% - Accent5 2 3 2 7 3" xfId="38685" xr:uid="{350D33C4-31B7-4C9C-878B-7A2495199144}"/>
    <cellStyle name="40% - Accent5 2 3 2 7 3 2" xfId="38686" xr:uid="{AFCCFDAC-0186-4A10-A560-49EB8542D1DF}"/>
    <cellStyle name="40% - Accent5 2 3 2 7 4" xfId="38687" xr:uid="{FE818E3F-8DEA-4896-84B0-F4888F835D98}"/>
    <cellStyle name="40% - Accent5 2 3 2 8" xfId="38688" xr:uid="{A8C526ED-FC1F-492B-AE1A-8449A2438A6D}"/>
    <cellStyle name="40% - Accent5 2 3 2 8 2" xfId="38689" xr:uid="{3DC0D491-2A83-4B06-8083-84EC0BFCFBF9}"/>
    <cellStyle name="40% - Accent5 2 3 2 9" xfId="38690" xr:uid="{65B03616-C243-4E26-A57B-6F4B2914538C}"/>
    <cellStyle name="40% - Accent5 2 3 2 9 2" xfId="38691" xr:uid="{5D03BD8F-9DEB-4A0F-B692-CD773669B55C}"/>
    <cellStyle name="40% - Accent5 2 3 3" xfId="3388" xr:uid="{A3B5A900-01DC-4F5C-8482-B99FDEC28B9B}"/>
    <cellStyle name="40% - Accent5 2 3 3 10" xfId="38692" xr:uid="{5E494A2B-21B3-42B1-AE76-251F9DF20450}"/>
    <cellStyle name="40% - Accent5 2 3 3 2" xfId="3389" xr:uid="{640153A2-13C1-435E-8533-4272EC888A37}"/>
    <cellStyle name="40% - Accent5 2 3 3 2 2" xfId="3390" xr:uid="{542326F0-58F5-4140-B3D5-080A51FB1FBD}"/>
    <cellStyle name="40% - Accent5 2 3 3 2 2 2" xfId="3391" xr:uid="{58F21259-347E-45E4-B3C0-3A70360D95EC}"/>
    <cellStyle name="40% - Accent5 2 3 3 2 2 2 2" xfId="38693" xr:uid="{B01BE137-2B35-44A4-9B6B-5AFF890CAE1F}"/>
    <cellStyle name="40% - Accent5 2 3 3 2 2 3" xfId="3392" xr:uid="{A3DC1E92-EFA7-4E18-AE73-420ACC261CB2}"/>
    <cellStyle name="40% - Accent5 2 3 3 2 2 3 2" xfId="38694" xr:uid="{B71A9080-ECD6-4029-9546-A399D9645F95}"/>
    <cellStyle name="40% - Accent5 2 3 3 2 2 4" xfId="38695" xr:uid="{F5EA7361-9644-417F-9C39-5115DEBE785E}"/>
    <cellStyle name="40% - Accent5 2 3 3 2 3" xfId="3393" xr:uid="{326D67D5-451B-4571-A28F-3B6312CC0C05}"/>
    <cellStyle name="40% - Accent5 2 3 3 2 3 2" xfId="38696" xr:uid="{5A0D50C1-0746-46D8-8B50-30D11D4E60C1}"/>
    <cellStyle name="40% - Accent5 2 3 3 2 4" xfId="3394" xr:uid="{054FD6FA-A07F-46BB-A23B-8A96EBBADD4D}"/>
    <cellStyle name="40% - Accent5 2 3 3 2 4 2" xfId="38697" xr:uid="{686E8861-61E7-49C6-B22B-D5F0F892B76C}"/>
    <cellStyle name="40% - Accent5 2 3 3 2 5" xfId="38698" xr:uid="{7C267D46-1E37-4B2A-9EC0-F58C2A3EF199}"/>
    <cellStyle name="40% - Accent5 2 3 3 3" xfId="3395" xr:uid="{4CA533B8-34B0-4187-9CD9-7FCE26CAF0C1}"/>
    <cellStyle name="40% - Accent5 2 3 3 3 2" xfId="3396" xr:uid="{FD98E886-4216-4019-8550-F916E7420E3D}"/>
    <cellStyle name="40% - Accent5 2 3 3 3 2 2" xfId="38699" xr:uid="{7FEEF40B-7A40-4DB5-AC80-888E5500A2C5}"/>
    <cellStyle name="40% - Accent5 2 3 3 3 3" xfId="3397" xr:uid="{5B0815DF-39AB-4A5D-9A5F-49908594756D}"/>
    <cellStyle name="40% - Accent5 2 3 3 3 3 2" xfId="38700" xr:uid="{3B3699FC-2277-42D6-94BC-10E7A7058EAB}"/>
    <cellStyle name="40% - Accent5 2 3 3 3 4" xfId="38701" xr:uid="{64A57F4F-F06A-4D78-8F26-B19EB4F8C42C}"/>
    <cellStyle name="40% - Accent5 2 3 3 4" xfId="3398" xr:uid="{CE36577F-F39A-4CDB-BC22-897787EB3512}"/>
    <cellStyle name="40% - Accent5 2 3 3 4 2" xfId="38702" xr:uid="{19B35568-48AE-43F9-BF77-91EFE38FF5BB}"/>
    <cellStyle name="40% - Accent5 2 3 3 4 2 2" xfId="38703" xr:uid="{A88FE079-4D42-42C0-9E09-CFFCD1488D6C}"/>
    <cellStyle name="40% - Accent5 2 3 3 4 3" xfId="38704" xr:uid="{56BF6CCC-7B1F-4FB7-AD0B-67391388FDEA}"/>
    <cellStyle name="40% - Accent5 2 3 3 4 3 2" xfId="38705" xr:uid="{F9880521-1FAE-4457-9BC7-E3660C12F560}"/>
    <cellStyle name="40% - Accent5 2 3 3 4 4" xfId="38706" xr:uid="{8CB075FF-DDDF-4650-9141-228F53E8D8F9}"/>
    <cellStyle name="40% - Accent5 2 3 3 5" xfId="3399" xr:uid="{58E6752D-8225-4F0A-8554-3B5E8E9314EB}"/>
    <cellStyle name="40% - Accent5 2 3 3 5 2" xfId="38707" xr:uid="{474BCE57-7166-4C9A-846B-75EB94AAC455}"/>
    <cellStyle name="40% - Accent5 2 3 3 5 2 2" xfId="38708" xr:uid="{C5E8B39B-DCD9-43CF-8FD7-72F75A95D1AA}"/>
    <cellStyle name="40% - Accent5 2 3 3 5 3" xfId="38709" xr:uid="{927867C7-7DCE-49FC-9982-E8DB2BBBF578}"/>
    <cellStyle name="40% - Accent5 2 3 3 5 3 2" xfId="38710" xr:uid="{585065C6-2BE5-45A1-9785-7E9ED843877C}"/>
    <cellStyle name="40% - Accent5 2 3 3 5 4" xfId="38711" xr:uid="{2643F36F-1479-44D7-9535-F1253426B49D}"/>
    <cellStyle name="40% - Accent5 2 3 3 6" xfId="3400" xr:uid="{05865B30-FC2A-4DC4-81E5-F0260C501A24}"/>
    <cellStyle name="40% - Accent5 2 3 3 6 2" xfId="38712" xr:uid="{D6DE77ED-325A-4234-BB39-93BE16B8B343}"/>
    <cellStyle name="40% - Accent5 2 3 3 6 2 2" xfId="38713" xr:uid="{C0C2801F-9845-4A4F-94D4-A7AB7B0A6076}"/>
    <cellStyle name="40% - Accent5 2 3 3 6 3" xfId="38714" xr:uid="{47664D43-09CA-48E1-BE73-985D3A71FB83}"/>
    <cellStyle name="40% - Accent5 2 3 3 6 3 2" xfId="38715" xr:uid="{EC6B34AB-2E69-4689-A78D-5E27BAE3451D}"/>
    <cellStyle name="40% - Accent5 2 3 3 6 4" xfId="38716" xr:uid="{FF8D9A71-EFB1-439C-B98B-62997818C757}"/>
    <cellStyle name="40% - Accent5 2 3 3 7" xfId="38717" xr:uid="{6101C869-32E9-481E-AEF2-F242C46F6A51}"/>
    <cellStyle name="40% - Accent5 2 3 3 7 2" xfId="38718" xr:uid="{E36BC2EE-E301-476D-A3B2-E5E71F084E20}"/>
    <cellStyle name="40% - Accent5 2 3 3 8" xfId="38719" xr:uid="{A70A1CB2-BFB4-42A2-AAED-DF5E2B1382A9}"/>
    <cellStyle name="40% - Accent5 2 3 3 8 2" xfId="38720" xr:uid="{610CFD79-4EE0-4B3C-803F-192941FCC328}"/>
    <cellStyle name="40% - Accent5 2 3 3 9" xfId="38721" xr:uid="{CDE84302-B222-4D24-96E8-51430067ADED}"/>
    <cellStyle name="40% - Accent5 2 3 4" xfId="3401" xr:uid="{BC2BF97C-1A54-403E-BB03-51CB00BFF91D}"/>
    <cellStyle name="40% - Accent5 2 3 4 2" xfId="3402" xr:uid="{B9C84252-D8E0-4389-B5C0-E5B0A8A27422}"/>
    <cellStyle name="40% - Accent5 2 3 4 2 2" xfId="3403" xr:uid="{6299F799-E86C-4006-989B-5D5686122705}"/>
    <cellStyle name="40% - Accent5 2 3 4 2 2 2" xfId="38722" xr:uid="{6E540DC1-7D6F-4CF2-AF6B-6C180BA01EC8}"/>
    <cellStyle name="40% - Accent5 2 3 4 2 3" xfId="3404" xr:uid="{F2402D88-5CF6-488A-8A8F-1513CBED7A90}"/>
    <cellStyle name="40% - Accent5 2 3 4 2 3 2" xfId="38723" xr:uid="{8D6408E2-41A4-4245-AE7F-2D1BBF34A153}"/>
    <cellStyle name="40% - Accent5 2 3 4 2 4" xfId="38724" xr:uid="{49DF479F-0A63-40AE-B369-503701752E76}"/>
    <cellStyle name="40% - Accent5 2 3 4 3" xfId="3405" xr:uid="{2755ED15-EA38-453D-93DB-6DFB1331E41A}"/>
    <cellStyle name="40% - Accent5 2 3 4 3 2" xfId="38725" xr:uid="{FA0A4AAA-E87E-4D99-8868-0C9E976DF8C2}"/>
    <cellStyle name="40% - Accent5 2 3 4 3 2 2" xfId="38726" xr:uid="{D5DD08EA-1B58-443E-87C9-66097095DB58}"/>
    <cellStyle name="40% - Accent5 2 3 4 3 3" xfId="38727" xr:uid="{884D616A-37B7-4FC5-B59A-8C86951FFD71}"/>
    <cellStyle name="40% - Accent5 2 3 4 3 3 2" xfId="38728" xr:uid="{3E02F291-949D-4F04-9254-6A70852649E8}"/>
    <cellStyle name="40% - Accent5 2 3 4 3 4" xfId="38729" xr:uid="{7A78E1E6-3360-4644-85FC-17A85807A99E}"/>
    <cellStyle name="40% - Accent5 2 3 4 4" xfId="3406" xr:uid="{58CD6E2D-5A8D-4F94-8F4D-278077002E3B}"/>
    <cellStyle name="40% - Accent5 2 3 4 4 2" xfId="38730" xr:uid="{4B601DF1-AE90-440A-B561-E44CC99BD7AD}"/>
    <cellStyle name="40% - Accent5 2 3 4 4 2 2" xfId="38731" xr:uid="{494E3C67-ED0C-4891-A099-A0BD32C56D90}"/>
    <cellStyle name="40% - Accent5 2 3 4 4 3" xfId="38732" xr:uid="{438D8C16-E6E8-412B-ABFE-10C6697DAE17}"/>
    <cellStyle name="40% - Accent5 2 3 4 4 3 2" xfId="38733" xr:uid="{D349B179-B24F-496D-9133-50A10C2BE4C6}"/>
    <cellStyle name="40% - Accent5 2 3 4 4 4" xfId="38734" xr:uid="{4B9891D9-CE08-469E-AF5A-1B1B6CCD6851}"/>
    <cellStyle name="40% - Accent5 2 3 4 5" xfId="38735" xr:uid="{A70E91CE-7E45-45DF-BEEF-D61710E9BAA1}"/>
    <cellStyle name="40% - Accent5 2 3 4 5 2" xfId="38736" xr:uid="{09E70C8A-F652-4BCB-84D3-AEDD01EF20FC}"/>
    <cellStyle name="40% - Accent5 2 3 4 5 2 2" xfId="38737" xr:uid="{4D02CE7A-F53E-4D83-91ED-3F4B960F9018}"/>
    <cellStyle name="40% - Accent5 2 3 4 5 3" xfId="38738" xr:uid="{45CCEBB0-BD8F-4EB6-838C-5B4F4D5B2E41}"/>
    <cellStyle name="40% - Accent5 2 3 4 5 3 2" xfId="38739" xr:uid="{1B7323D0-7B16-40FC-B0C8-A6EA9D413274}"/>
    <cellStyle name="40% - Accent5 2 3 4 5 4" xfId="38740" xr:uid="{C99099A7-54BD-4850-94AE-6251C5F46C4A}"/>
    <cellStyle name="40% - Accent5 2 3 4 6" xfId="38741" xr:uid="{BBDA60F6-785D-4621-8FEB-2E5646F424FD}"/>
    <cellStyle name="40% - Accent5 2 3 4 6 2" xfId="38742" xr:uid="{04BA85E0-D5C5-4ADF-BE69-6CEA72D83AF6}"/>
    <cellStyle name="40% - Accent5 2 3 4 7" xfId="38743" xr:uid="{AEA0DAE7-5B82-433E-8063-A5FACF8B9522}"/>
    <cellStyle name="40% - Accent5 2 3 4 7 2" xfId="38744" xr:uid="{F70A1A63-0976-43A5-979F-D2B58DA842B6}"/>
    <cellStyle name="40% - Accent5 2 3 4 8" xfId="38745" xr:uid="{C35250DA-0A67-4AE4-9C40-53BA1964CFE2}"/>
    <cellStyle name="40% - Accent5 2 3 5" xfId="3407" xr:uid="{AA19FE4A-3AC2-4B0B-80FF-3BD27A41434E}"/>
    <cellStyle name="40% - Accent5 2 3 5 2" xfId="3408" xr:uid="{62B4A1DF-AF98-4309-AD5D-C055BEEBFBD4}"/>
    <cellStyle name="40% - Accent5 2 3 5 2 2" xfId="3409" xr:uid="{013C9F52-2093-4537-9556-3B3430A258F0}"/>
    <cellStyle name="40% - Accent5 2 3 5 2 2 2" xfId="38746" xr:uid="{537789F8-1532-432C-B708-EC77D9C25E97}"/>
    <cellStyle name="40% - Accent5 2 3 5 2 3" xfId="3410" xr:uid="{36D53082-48BC-46E4-B565-C735586CF033}"/>
    <cellStyle name="40% - Accent5 2 3 5 2 3 2" xfId="38747" xr:uid="{AB1FFFBF-B793-41E7-85E0-041B3F3758AC}"/>
    <cellStyle name="40% - Accent5 2 3 5 2 4" xfId="38748" xr:uid="{9B6AD1B6-518D-4FA6-A8D2-70AE4AAC59DA}"/>
    <cellStyle name="40% - Accent5 2 3 5 3" xfId="3411" xr:uid="{DE0E2DF7-67C4-4DC4-BE50-CE638E23AD1A}"/>
    <cellStyle name="40% - Accent5 2 3 5 3 2" xfId="38749" xr:uid="{CA62F7E4-BA2A-48CA-85BE-6C0CC2AA7A0B}"/>
    <cellStyle name="40% - Accent5 2 3 5 3 2 2" xfId="38750" xr:uid="{25A1BFA4-C1DD-4A9F-BBB2-396A213D92EB}"/>
    <cellStyle name="40% - Accent5 2 3 5 3 3" xfId="38751" xr:uid="{EEFD0037-0178-423F-9D03-BD8A7687B2D1}"/>
    <cellStyle name="40% - Accent5 2 3 5 3 3 2" xfId="38752" xr:uid="{08620F0B-2221-489B-A20A-0D02A1FB1705}"/>
    <cellStyle name="40% - Accent5 2 3 5 3 4" xfId="38753" xr:uid="{200ABE51-DBF6-41F1-A407-ACE070E27059}"/>
    <cellStyle name="40% - Accent5 2 3 5 4" xfId="3412" xr:uid="{B565FB3B-4A40-4FE0-8B2D-07D8E32DB46A}"/>
    <cellStyle name="40% - Accent5 2 3 5 4 2" xfId="38754" xr:uid="{B536C1BD-8A72-433D-9C93-92626177E985}"/>
    <cellStyle name="40% - Accent5 2 3 5 4 2 2" xfId="38755" xr:uid="{B6BF7CD8-9EFC-4F12-83AC-81EF6BECD344}"/>
    <cellStyle name="40% - Accent5 2 3 5 4 3" xfId="38756" xr:uid="{59C4D3C1-3480-4CF9-AD5A-73B1249DE45B}"/>
    <cellStyle name="40% - Accent5 2 3 5 4 3 2" xfId="38757" xr:uid="{ECDE9AC8-1238-4BD6-A8F9-B77591BE4C3D}"/>
    <cellStyle name="40% - Accent5 2 3 5 4 4" xfId="38758" xr:uid="{72FED094-5301-4FB5-833A-E15BE0155D8E}"/>
    <cellStyle name="40% - Accent5 2 3 5 5" xfId="38759" xr:uid="{113A161D-4560-4EAB-8064-723DBA96D4AE}"/>
    <cellStyle name="40% - Accent5 2 3 5 5 2" xfId="38760" xr:uid="{DAA278DD-CDFE-4A50-B084-788C70229368}"/>
    <cellStyle name="40% - Accent5 2 3 5 6" xfId="38761" xr:uid="{83F26D97-69F7-45C9-AF00-43B45CC5E084}"/>
    <cellStyle name="40% - Accent5 2 3 5 6 2" xfId="38762" xr:uid="{149E70D1-7E2C-4187-BE92-80FB1348FFFE}"/>
    <cellStyle name="40% - Accent5 2 3 5 7" xfId="38763" xr:uid="{74FD060A-DD3B-487A-8249-E9C70D03760E}"/>
    <cellStyle name="40% - Accent5 2 3 6" xfId="3413" xr:uid="{53E7D678-5FFC-4C7F-BE49-CDE9946682B3}"/>
    <cellStyle name="40% - Accent5 2 3 6 2" xfId="3414" xr:uid="{B988FEF3-FBF8-4144-958D-8347CD0394FF}"/>
    <cellStyle name="40% - Accent5 2 3 6 2 2" xfId="38764" xr:uid="{6B1A47F1-EBC5-4172-90F8-4149331A9B56}"/>
    <cellStyle name="40% - Accent5 2 3 6 3" xfId="3415" xr:uid="{9A14121B-CB62-4E8D-87A0-9E1BB0F870BF}"/>
    <cellStyle name="40% - Accent5 2 3 6 3 2" xfId="38765" xr:uid="{A045546B-BAF0-40E6-86DF-CB817E51B3D1}"/>
    <cellStyle name="40% - Accent5 2 3 6 4" xfId="38766" xr:uid="{59488F64-EAB0-43F3-A79B-C27C862CD5D5}"/>
    <cellStyle name="40% - Accent5 2 3 7" xfId="3416" xr:uid="{CE57BCD3-A69F-4C83-A995-365AC67B04EB}"/>
    <cellStyle name="40% - Accent5 2 3 7 2" xfId="38767" xr:uid="{1C258E71-2161-4CB6-8D14-9CE2AB8F93B8}"/>
    <cellStyle name="40% - Accent5 2 3 7 2 2" xfId="38768" xr:uid="{974FE57C-42E2-46B0-9D65-23D1FB7EAB1B}"/>
    <cellStyle name="40% - Accent5 2 3 7 3" xfId="38769" xr:uid="{C1F2AE86-71EE-4DB2-94A4-1286C99217D0}"/>
    <cellStyle name="40% - Accent5 2 3 7 3 2" xfId="38770" xr:uid="{48D8820B-D9D8-4428-8BCD-43B31AA639E6}"/>
    <cellStyle name="40% - Accent5 2 3 7 4" xfId="38771" xr:uid="{473E9148-CBDC-4582-9B43-9E6134AF0696}"/>
    <cellStyle name="40% - Accent5 2 3 8" xfId="3417" xr:uid="{CA144675-AAEC-44B7-8880-282CB14A4272}"/>
    <cellStyle name="40% - Accent5 2 3 8 2" xfId="38772" xr:uid="{CBE4EC6F-416E-425E-A0FA-A84F7EB822DE}"/>
    <cellStyle name="40% - Accent5 2 3 8 2 2" xfId="38773" xr:uid="{C7FFED46-B02C-4921-9227-41625DFD6070}"/>
    <cellStyle name="40% - Accent5 2 3 8 3" xfId="38774" xr:uid="{FB306244-D04F-4C59-9364-3655C6B07D84}"/>
    <cellStyle name="40% - Accent5 2 3 8 3 2" xfId="38775" xr:uid="{7DD5B4FD-460B-4EA6-8CA1-9F613B359DA7}"/>
    <cellStyle name="40% - Accent5 2 3 8 4" xfId="38776" xr:uid="{61ABAA81-4B64-4F93-9375-4E64744A5E9E}"/>
    <cellStyle name="40% - Accent5 2 3 9" xfId="3418" xr:uid="{6A277648-7EB2-4CC5-8B0C-7F6AB1E3985E}"/>
    <cellStyle name="40% - Accent5 2 3 9 2" xfId="38777" xr:uid="{58338004-6224-4964-8CC7-9371637E29C5}"/>
    <cellStyle name="40% - Accent5 2 4" xfId="3419" xr:uid="{29C64D55-5D18-40B1-A2E0-DAEE5275A6AB}"/>
    <cellStyle name="40% - Accent5 2 4 2" xfId="3420" xr:uid="{4E7A9920-4881-43A2-899C-7B0B3B23F016}"/>
    <cellStyle name="40% - Accent5 2 4 2 2" xfId="3421" xr:uid="{1F3221DD-2F6C-461B-924B-1DB0A00028E7}"/>
    <cellStyle name="40% - Accent5 2 4 2 2 2" xfId="38778" xr:uid="{E9342F08-A7F2-4041-B5AE-700EB62B91BD}"/>
    <cellStyle name="40% - Accent5 2 4 2 2 2 2" xfId="38779" xr:uid="{15310A1E-0E38-4210-AC4C-78A97DE18397}"/>
    <cellStyle name="40% - Accent5 2 4 2 2 3" xfId="38780" xr:uid="{5B1DF909-01AD-416E-9747-BDB7410CAB34}"/>
    <cellStyle name="40% - Accent5 2 4 2 2 3 2" xfId="38781" xr:uid="{FC2C2220-2251-4F07-A41E-EB2817E5CD11}"/>
    <cellStyle name="40% - Accent5 2 4 2 2 4" xfId="38782" xr:uid="{5B494FEC-59C8-4E67-B290-FC6C29951B4C}"/>
    <cellStyle name="40% - Accent5 2 4 2 3" xfId="3422" xr:uid="{2AE514FD-7488-45F9-95B3-5C1F3F46FCC1}"/>
    <cellStyle name="40% - Accent5 2 4 2 3 2" xfId="38783" xr:uid="{24B91954-2139-4416-AA0C-9B246F791727}"/>
    <cellStyle name="40% - Accent5 2 4 2 3 2 2" xfId="38784" xr:uid="{A18EAAA4-1E14-44F9-A7A2-EDE66DDF13FE}"/>
    <cellStyle name="40% - Accent5 2 4 2 3 3" xfId="38785" xr:uid="{A9C81298-8094-4F33-8822-BC03B94D2708}"/>
    <cellStyle name="40% - Accent5 2 4 2 3 3 2" xfId="38786" xr:uid="{D6A60174-ACE6-4491-B63D-2EE25EE2B6CB}"/>
    <cellStyle name="40% - Accent5 2 4 2 3 4" xfId="38787" xr:uid="{A01B43EE-5C52-4529-81DC-279D2897CAB5}"/>
    <cellStyle name="40% - Accent5 2 4 2 4" xfId="38788" xr:uid="{2FFA0137-E447-4E7B-AFA8-E75CC0FC2488}"/>
    <cellStyle name="40% - Accent5 2 4 2 4 2" xfId="38789" xr:uid="{42619DCC-10A8-4797-87E6-5305D1B0A7F5}"/>
    <cellStyle name="40% - Accent5 2 4 2 4 2 2" xfId="38790" xr:uid="{22E58E79-1B67-485B-89F7-493F17C83E02}"/>
    <cellStyle name="40% - Accent5 2 4 2 4 3" xfId="38791" xr:uid="{F3141877-41F2-4EB6-9459-35F79370C560}"/>
    <cellStyle name="40% - Accent5 2 4 2 4 3 2" xfId="38792" xr:uid="{70A97E8A-055C-4234-A396-665EB72BFE4B}"/>
    <cellStyle name="40% - Accent5 2 4 2 4 4" xfId="38793" xr:uid="{82A1B0A7-34AD-4603-B375-A737CB178F30}"/>
    <cellStyle name="40% - Accent5 2 4 2 5" xfId="38794" xr:uid="{71E8A3EB-37C0-47EB-A861-C9DE18E95E05}"/>
    <cellStyle name="40% - Accent5 2 4 2 5 2" xfId="38795" xr:uid="{F6850E28-3348-4102-823B-32A33F5A9CC7}"/>
    <cellStyle name="40% - Accent5 2 4 2 6" xfId="38796" xr:uid="{957B6EA6-AADB-4622-9AF5-E1AB94814ADE}"/>
    <cellStyle name="40% - Accent5 2 4 2 6 2" xfId="38797" xr:uid="{9D7902F4-EA74-4AD6-87E5-4CFBFA0628F5}"/>
    <cellStyle name="40% - Accent5 2 4 2 7" xfId="38798" xr:uid="{9A2833FA-A0E1-41A7-B8F5-D605FA8DAE88}"/>
    <cellStyle name="40% - Accent5 2 4 3" xfId="3423" xr:uid="{05AAD989-7829-49FC-B147-E3300621F66D}"/>
    <cellStyle name="40% - Accent5 2 4 3 2" xfId="38799" xr:uid="{AF1075B7-240A-44BD-B5DF-88B82EE9AF56}"/>
    <cellStyle name="40% - Accent5 2 4 3 2 2" xfId="38800" xr:uid="{1B7BA64E-F296-46D3-8D8D-7345B7F2C0DA}"/>
    <cellStyle name="40% - Accent5 2 4 3 2 2 2" xfId="38801" xr:uid="{2ECD3361-5061-4093-93D6-85E519CC7559}"/>
    <cellStyle name="40% - Accent5 2 4 3 2 3" xfId="38802" xr:uid="{23AB6E3C-0783-465A-B6EA-0D17999EA3BF}"/>
    <cellStyle name="40% - Accent5 2 4 3 2 3 2" xfId="38803" xr:uid="{63A87CED-537B-483C-941E-EA53EC080BBB}"/>
    <cellStyle name="40% - Accent5 2 4 3 2 4" xfId="38804" xr:uid="{F2C4F795-D94C-4A05-B427-3D6F2B38CBBF}"/>
    <cellStyle name="40% - Accent5 2 4 3 3" xfId="38805" xr:uid="{D52D15D7-EFFE-4060-8304-0406F4F127A8}"/>
    <cellStyle name="40% - Accent5 2 4 3 3 2" xfId="38806" xr:uid="{344A0E64-3A50-45BF-A4DA-F42ADD990B0F}"/>
    <cellStyle name="40% - Accent5 2 4 3 3 2 2" xfId="38807" xr:uid="{7420AD87-8871-4AF8-A9C1-C3140B74C2C4}"/>
    <cellStyle name="40% - Accent5 2 4 3 3 3" xfId="38808" xr:uid="{2F860C8E-2DDE-47B1-BD7E-00D7C4BBC2B9}"/>
    <cellStyle name="40% - Accent5 2 4 3 3 3 2" xfId="38809" xr:uid="{ED611761-0261-4285-A15A-8347893038D0}"/>
    <cellStyle name="40% - Accent5 2 4 3 3 4" xfId="38810" xr:uid="{DD8CE0C6-E57E-4A35-869F-200BBEF1FD1D}"/>
    <cellStyle name="40% - Accent5 2 4 3 4" xfId="38811" xr:uid="{1B3B707C-3990-4FA7-8118-16555BF47E4C}"/>
    <cellStyle name="40% - Accent5 2 4 3 4 2" xfId="38812" xr:uid="{0F6ACC2F-09F7-427D-8997-38D5A8F4CF91}"/>
    <cellStyle name="40% - Accent5 2 4 3 4 2 2" xfId="38813" xr:uid="{4330A61A-153A-432F-B6B3-6C6A0CC4B3F6}"/>
    <cellStyle name="40% - Accent5 2 4 3 4 3" xfId="38814" xr:uid="{87025DA7-BF26-42AF-A336-C9656D55819D}"/>
    <cellStyle name="40% - Accent5 2 4 3 4 3 2" xfId="38815" xr:uid="{A48717D7-6BDA-4DC8-B1CB-9F2FBDD2C752}"/>
    <cellStyle name="40% - Accent5 2 4 3 4 4" xfId="38816" xr:uid="{14FD7EE4-8D2E-4D18-8203-3D8E1E562E80}"/>
    <cellStyle name="40% - Accent5 2 4 3 5" xfId="38817" xr:uid="{A6785922-B9C2-49A9-9990-4895F57257CA}"/>
    <cellStyle name="40% - Accent5 2 4 3 5 2" xfId="38818" xr:uid="{5C47132D-DC47-4A44-9A9D-6C58BD467052}"/>
    <cellStyle name="40% - Accent5 2 4 3 6" xfId="38819" xr:uid="{BC418F1D-CD11-4B83-8516-A0F090E45F1F}"/>
    <cellStyle name="40% - Accent5 2 4 3 6 2" xfId="38820" xr:uid="{BF086813-B596-4894-8A50-5260AA444A39}"/>
    <cellStyle name="40% - Accent5 2 4 3 7" xfId="38821" xr:uid="{09765D86-CED1-49B7-A89F-CE56A4668A4A}"/>
    <cellStyle name="40% - Accent5 2 4 4" xfId="3424" xr:uid="{9868F789-CC07-4C07-A888-6B791B356AA4}"/>
    <cellStyle name="40% - Accent5 2 4 4 2" xfId="38822" xr:uid="{77F946E0-8944-414A-9769-DB468A3E6EAF}"/>
    <cellStyle name="40% - Accent5 2 4 4 2 2" xfId="38823" xr:uid="{DD20027C-747B-42B2-A224-4E127731AEEF}"/>
    <cellStyle name="40% - Accent5 2 4 4 3" xfId="38824" xr:uid="{68DBD179-098C-4F10-8370-77B8494C1682}"/>
    <cellStyle name="40% - Accent5 2 4 4 3 2" xfId="38825" xr:uid="{13187BC1-89A0-43EE-917D-32208E4F6AB3}"/>
    <cellStyle name="40% - Accent5 2 4 4 4" xfId="38826" xr:uid="{FC4B62D0-2F6A-43B9-A9AA-EF3ACAFBA7B5}"/>
    <cellStyle name="40% - Accent5 2 4 5" xfId="3425" xr:uid="{C2CB6BB6-D466-4D6B-B331-4579CD015CEE}"/>
    <cellStyle name="40% - Accent5 2 4 5 2" xfId="38827" xr:uid="{68FE0698-819C-4EBD-9CC7-514414EFC5D5}"/>
    <cellStyle name="40% - Accent5 2 4 5 2 2" xfId="38828" xr:uid="{BF303E56-246E-471D-A48D-3515DA563C57}"/>
    <cellStyle name="40% - Accent5 2 4 5 3" xfId="38829" xr:uid="{FB65AA91-1C0C-4065-A2D9-FD596EFFD192}"/>
    <cellStyle name="40% - Accent5 2 4 5 3 2" xfId="38830" xr:uid="{FAA9ED56-6345-43AF-85D0-3677E1B4CFBB}"/>
    <cellStyle name="40% - Accent5 2 4 5 4" xfId="38831" xr:uid="{088A7C6F-53C2-4893-B974-F42D28D9E3F6}"/>
    <cellStyle name="40% - Accent5 2 4 6" xfId="38832" xr:uid="{D3AA9D00-12D1-4E26-9150-B97DF542BF49}"/>
    <cellStyle name="40% - Accent5 2 4 6 2" xfId="38833" xr:uid="{500A6128-0C62-4A6B-BF3A-1389C194846B}"/>
    <cellStyle name="40% - Accent5 2 4 6 2 2" xfId="38834" xr:uid="{95C9D044-4B4B-47D5-889D-191E91BC7E7C}"/>
    <cellStyle name="40% - Accent5 2 4 6 3" xfId="38835" xr:uid="{57FBA65E-3134-434B-8448-3D80094ED750}"/>
    <cellStyle name="40% - Accent5 2 4 6 3 2" xfId="38836" xr:uid="{D1C9FE7D-8AFD-436B-BD89-E4486E96EB37}"/>
    <cellStyle name="40% - Accent5 2 4 6 4" xfId="38837" xr:uid="{6C90EE9C-E441-4A82-A9A2-750D3EB37A26}"/>
    <cellStyle name="40% - Accent5 2 4 7" xfId="38838" xr:uid="{CACC4271-21CE-456D-925E-67BA4DE9D5ED}"/>
    <cellStyle name="40% - Accent5 2 4 7 2" xfId="38839" xr:uid="{35D72623-8171-467F-ACFD-CB9E4E923FC4}"/>
    <cellStyle name="40% - Accent5 2 4 8" xfId="38840" xr:uid="{16CE4793-347A-4CD6-81A7-1DD71F91D38B}"/>
    <cellStyle name="40% - Accent5 2 4 8 2" xfId="38841" xr:uid="{CB63299B-539C-4EA9-A57B-658F33483734}"/>
    <cellStyle name="40% - Accent5 2 4 9" xfId="38842" xr:uid="{B3B9AB90-CC0A-4FFD-80E8-612CD1C16A26}"/>
    <cellStyle name="40% - Accent5 2 5" xfId="38843" xr:uid="{9A649B67-637B-4757-81D0-0C71B0D20771}"/>
    <cellStyle name="40% - Accent5 2 5 2" xfId="38844" xr:uid="{31A7AFE8-D2FA-4DA3-854F-259289A163C9}"/>
    <cellStyle name="40% - Accent5 2 5 2 2" xfId="38845" xr:uid="{E9B8B032-E1C3-46AC-9ED5-41B4CFD97E92}"/>
    <cellStyle name="40% - Accent5 2 5 2 2 2" xfId="38846" xr:uid="{F220E813-E6E9-43F9-8662-9E23F78606DC}"/>
    <cellStyle name="40% - Accent5 2 5 2 3" xfId="38847" xr:uid="{B89C5F09-CA76-41D6-9B69-B752DF6D2247}"/>
    <cellStyle name="40% - Accent5 2 5 2 3 2" xfId="38848" xr:uid="{A2E4350A-BB0B-44FF-B542-E2DE155E03D3}"/>
    <cellStyle name="40% - Accent5 2 5 2 4" xfId="38849" xr:uid="{AC2EB0D0-3F92-410D-9332-2068C90B98CC}"/>
    <cellStyle name="40% - Accent5 2 5 3" xfId="38850" xr:uid="{46BF850F-2FFA-4D92-BF94-CDE44D4952BB}"/>
    <cellStyle name="40% - Accent5 2 5 3 2" xfId="38851" xr:uid="{49326DD3-9884-41C9-B73E-16FE52D3D7AC}"/>
    <cellStyle name="40% - Accent5 2 5 3 2 2" xfId="38852" xr:uid="{74DECBEB-AB85-4AF2-A073-A9F6DE53A011}"/>
    <cellStyle name="40% - Accent5 2 5 3 3" xfId="38853" xr:uid="{B44F6080-047E-44F3-AA38-94EE07F6EE23}"/>
    <cellStyle name="40% - Accent5 2 5 3 3 2" xfId="38854" xr:uid="{B5DE1E77-99BD-4F53-9066-6632FD71A064}"/>
    <cellStyle name="40% - Accent5 2 5 3 4" xfId="38855" xr:uid="{8A75798C-A022-4CAD-878D-A6A148F99E54}"/>
    <cellStyle name="40% - Accent5 2 5 4" xfId="38856" xr:uid="{5386AE7F-E69D-4D8C-A819-52BAAFD65BC3}"/>
    <cellStyle name="40% - Accent5 2 5 4 2" xfId="38857" xr:uid="{D5799A25-5EF9-44D2-8BFD-B4DA5C74D930}"/>
    <cellStyle name="40% - Accent5 2 5 4 2 2" xfId="38858" xr:uid="{2A7B276D-4C57-4987-9920-155FE95F4C6A}"/>
    <cellStyle name="40% - Accent5 2 5 4 3" xfId="38859" xr:uid="{D1A40FA1-84BF-4FB7-83AB-369940EBBC15}"/>
    <cellStyle name="40% - Accent5 2 5 4 3 2" xfId="38860" xr:uid="{18C377F1-F061-4FDB-9BAD-0C8BFE135473}"/>
    <cellStyle name="40% - Accent5 2 5 4 4" xfId="38861" xr:uid="{E449BE0F-6562-4CBE-82FF-18F5B821F67B}"/>
    <cellStyle name="40% - Accent5 2 5 5" xfId="38862" xr:uid="{8CBD6FB7-136D-4B13-99FD-38208CD40516}"/>
    <cellStyle name="40% - Accent5 2 5 5 2" xfId="38863" xr:uid="{312D5778-5EB4-4132-B6CA-FC44A3E8A9DA}"/>
    <cellStyle name="40% - Accent5 2 5 6" xfId="38864" xr:uid="{0EFA1356-DCB0-41EE-B08B-335308132A47}"/>
    <cellStyle name="40% - Accent5 2 5 6 2" xfId="38865" xr:uid="{4BE68A43-A0D3-41F5-BE74-4FD8CAC2AA71}"/>
    <cellStyle name="40% - Accent5 2 5 7" xfId="38866" xr:uid="{1BB53268-3EC7-4A3F-B479-0CCFE80EE85B}"/>
    <cellStyle name="40% - Accent5 2 6" xfId="38867" xr:uid="{19C5F226-0567-40F6-BA2F-C2078C6275C5}"/>
    <cellStyle name="40% - Accent5 2 6 2" xfId="38868" xr:uid="{A0989187-6B02-4D3F-8F5A-462F9F5CF13E}"/>
    <cellStyle name="40% - Accent5 2 6 2 2" xfId="38869" xr:uid="{E4AECF12-CCFD-4EEC-A68E-15CFCD103C53}"/>
    <cellStyle name="40% - Accent5 2 6 3" xfId="38870" xr:uid="{5BCFEFB3-331D-400D-8159-B1E8E32C9956}"/>
    <cellStyle name="40% - Accent5 2 6 3 2" xfId="38871" xr:uid="{2FE9DA47-6901-402F-B11B-AD36BD39732E}"/>
    <cellStyle name="40% - Accent5 2 6 4" xfId="38872" xr:uid="{C4991869-8A7F-45CE-AFBD-C06B4956970D}"/>
    <cellStyle name="40% - Accent5 2 7" xfId="38873" xr:uid="{835D6FBE-92F3-4D56-ACF5-BB1D0DCD7EC5}"/>
    <cellStyle name="40% - Accent5 2 7 2" xfId="38874" xr:uid="{156E5927-E1D5-4341-B669-6AA0B1D4D874}"/>
    <cellStyle name="40% - Accent5 2 7 2 2" xfId="38875" xr:uid="{317D258E-ED3D-45E7-BEB9-B4DC7367308C}"/>
    <cellStyle name="40% - Accent5 2 7 3" xfId="38876" xr:uid="{E2B56847-D690-4A2C-9B7C-11EFE5E074DB}"/>
    <cellStyle name="40% - Accent5 2 7 3 2" xfId="38877" xr:uid="{282234A8-4767-4C5B-9DED-4A9F1362111E}"/>
    <cellStyle name="40% - Accent5 2 7 4" xfId="38878" xr:uid="{352828B0-0B6B-4987-A950-4E7D4C0EC15B}"/>
    <cellStyle name="40% - Accent5 2 8" xfId="38879" xr:uid="{CD601B7B-C041-43B7-B999-91976B761932}"/>
    <cellStyle name="40% - Accent5 2 9" xfId="38880" xr:uid="{81D3FA78-8138-43F6-A0E9-051952D97A66}"/>
    <cellStyle name="40% - Accent5 2_PwrTax 51040" xfId="3426" xr:uid="{AEB3CC5D-9D61-4F08-A78B-B37830B645C2}"/>
    <cellStyle name="40% - Accent5 20" xfId="3427" xr:uid="{A750732A-74E0-48CB-9686-012EFBB16EA2}"/>
    <cellStyle name="40% - Accent5 21" xfId="3428" xr:uid="{19549850-708D-4019-9B6C-11675FEAD692}"/>
    <cellStyle name="40% - Accent5 22" xfId="3429" xr:uid="{449DB875-E04B-4E62-90A0-F068C7C9F599}"/>
    <cellStyle name="40% - Accent5 23" xfId="3430" xr:uid="{D8FBF0C8-140F-4138-BA4B-52F2D1E3F433}"/>
    <cellStyle name="40% - Accent5 24" xfId="3431" xr:uid="{D75B5AE0-DA58-4692-B91E-F5CA305C6EBD}"/>
    <cellStyle name="40% - Accent5 25" xfId="3432" xr:uid="{D465CB42-94EC-4BDA-894A-C8A05FD5A968}"/>
    <cellStyle name="40% - Accent5 26" xfId="3433" xr:uid="{5CF5EFF3-3786-46A9-9E0E-0A6FBF76D43A}"/>
    <cellStyle name="40% - Accent5 27" xfId="3434" xr:uid="{3BD6032F-7C6D-4707-8319-36E798538DD8}"/>
    <cellStyle name="40% - Accent5 28" xfId="3435" xr:uid="{DB488F89-81C4-4A69-A718-176EAC3F0DCD}"/>
    <cellStyle name="40% - Accent5 29" xfId="3436" xr:uid="{A14E25CF-18FB-4140-992E-F4D3CAABE5F0}"/>
    <cellStyle name="40% - Accent5 3" xfId="3437" xr:uid="{648254E4-F182-4AB0-A097-72B64B370A39}"/>
    <cellStyle name="40% - Accent5 3 10" xfId="38881" xr:uid="{E2014B8B-3423-4AB0-ADC3-5E1B88A5F1A2}"/>
    <cellStyle name="40% - Accent5 3 11" xfId="43536" xr:uid="{A8B3C6BD-9A0E-4B3E-A23E-7D1A8AA30D9F}"/>
    <cellStyle name="40% - Accent5 3 2" xfId="3438" xr:uid="{04C81F8A-3960-430B-AD15-94C85D1E7E63}"/>
    <cellStyle name="40% - Accent5 3 2 2" xfId="38882" xr:uid="{A81F3897-4048-429D-8A12-523C3692F107}"/>
    <cellStyle name="40% - Accent5 3 2 2 2" xfId="38883" xr:uid="{A37304A4-D285-42E3-9EC3-718705FEC358}"/>
    <cellStyle name="40% - Accent5 3 2 3" xfId="38884" xr:uid="{E07ED37B-787A-4EE5-8911-C816C404112C}"/>
    <cellStyle name="40% - Accent5 3 3" xfId="3439" xr:uid="{37C8976C-4743-4768-A14E-F30EDAADABE7}"/>
    <cellStyle name="40% - Accent5 3 3 10" xfId="38885" xr:uid="{5A4C2EF5-0DDA-451B-B811-BF01FE3A418E}"/>
    <cellStyle name="40% - Accent5 3 3 10 2" xfId="38886" xr:uid="{57D15774-910D-40F9-B6F6-2B1D8C35E555}"/>
    <cellStyle name="40% - Accent5 3 3 11" xfId="38887" xr:uid="{9CE596B6-ECAB-437D-9DE0-81895139EE1E}"/>
    <cellStyle name="40% - Accent5 3 3 12" xfId="38888" xr:uid="{665DFD69-B6CC-4611-9723-43570E6EC0EF}"/>
    <cellStyle name="40% - Accent5 3 3 2" xfId="3440" xr:uid="{3EAEF449-73F4-4C1A-B745-CB8B2B865261}"/>
    <cellStyle name="40% - Accent5 3 3 2 2" xfId="3441" xr:uid="{4D27D25D-C9B6-4006-9001-26F91008E502}"/>
    <cellStyle name="40% - Accent5 3 3 2 2 2" xfId="3442" xr:uid="{79E20FA8-4DF3-4E8F-8BD2-EA45EF564211}"/>
    <cellStyle name="40% - Accent5 3 3 2 2 2 2" xfId="3443" xr:uid="{0076C813-5F33-487F-93FD-184A06E2822A}"/>
    <cellStyle name="40% - Accent5 3 3 2 2 2 2 2" xfId="38889" xr:uid="{E88E1329-F94F-482C-984D-46C64B99735E}"/>
    <cellStyle name="40% - Accent5 3 3 2 2 2 3" xfId="3444" xr:uid="{3B2A1FB7-8DE4-4E16-9B11-10C18C87D635}"/>
    <cellStyle name="40% - Accent5 3 3 2 2 2 3 2" xfId="38890" xr:uid="{67F274D5-C736-4C92-AE55-F1F23095AFB5}"/>
    <cellStyle name="40% - Accent5 3 3 2 2 2 4" xfId="38891" xr:uid="{7B817898-40C6-4C78-A3A6-44D17EE4B950}"/>
    <cellStyle name="40% - Accent5 3 3 2 2 3" xfId="3445" xr:uid="{D539F07E-85A2-48FE-97E2-5187B7F506C9}"/>
    <cellStyle name="40% - Accent5 3 3 2 2 3 2" xfId="38892" xr:uid="{730E3EE6-F3B2-41A8-84FA-5D40F8BADD4A}"/>
    <cellStyle name="40% - Accent5 3 3 2 2 4" xfId="3446" xr:uid="{7FC33DE1-7343-4608-8AD0-F52FF29DD112}"/>
    <cellStyle name="40% - Accent5 3 3 2 2 4 2" xfId="38893" xr:uid="{308E71D4-E5DB-40B5-AC8E-695EE1DCA31B}"/>
    <cellStyle name="40% - Accent5 3 3 2 2 5" xfId="38894" xr:uid="{61F3F720-BD51-414A-AFAE-1BB0BC427A33}"/>
    <cellStyle name="40% - Accent5 3 3 2 3" xfId="3447" xr:uid="{632DEBCD-F9DB-4374-AE98-78AA6D7931EB}"/>
    <cellStyle name="40% - Accent5 3 3 2 3 2" xfId="3448" xr:uid="{90DF1261-CE69-4B95-ABB9-4EBBE9D5B46D}"/>
    <cellStyle name="40% - Accent5 3 3 2 3 2 2" xfId="38895" xr:uid="{6FD06A0B-3F47-400D-BD9F-59C7FBA33CCD}"/>
    <cellStyle name="40% - Accent5 3 3 2 3 3" xfId="3449" xr:uid="{F77341DE-E4D3-4E6E-9461-BB89768206D8}"/>
    <cellStyle name="40% - Accent5 3 3 2 3 3 2" xfId="38896" xr:uid="{C1EA9D3C-FEA3-4DB8-9141-32C5BD5DE533}"/>
    <cellStyle name="40% - Accent5 3 3 2 3 4" xfId="38897" xr:uid="{229F8D1F-CFDF-4A9D-ACAA-4EF1D029D589}"/>
    <cellStyle name="40% - Accent5 3 3 2 4" xfId="3450" xr:uid="{6203B972-EFF8-4961-ADF8-62513EA793AD}"/>
    <cellStyle name="40% - Accent5 3 3 2 4 2" xfId="38898" xr:uid="{0CB5B4B5-8A4C-4B2E-BF56-06B065BB2CA7}"/>
    <cellStyle name="40% - Accent5 3 3 2 4 2 2" xfId="38899" xr:uid="{34884B38-AAD1-4615-9324-44A0571BCD9C}"/>
    <cellStyle name="40% - Accent5 3 3 2 4 3" xfId="38900" xr:uid="{2E17607A-0160-4429-BB6A-6C774BA2E93B}"/>
    <cellStyle name="40% - Accent5 3 3 2 4 3 2" xfId="38901" xr:uid="{B0D1FF1B-66F3-4699-93C7-1BBFF8668B46}"/>
    <cellStyle name="40% - Accent5 3 3 2 4 4" xfId="38902" xr:uid="{8077DE32-D18E-4625-B20D-0EA80DFC3860}"/>
    <cellStyle name="40% - Accent5 3 3 2 5" xfId="3451" xr:uid="{C9B74B1A-760D-4CBA-BCF3-22B788717600}"/>
    <cellStyle name="40% - Accent5 3 3 2 5 2" xfId="38903" xr:uid="{2731EAF1-BCA0-4209-9C56-2511316EC0E1}"/>
    <cellStyle name="40% - Accent5 3 3 2 5 2 2" xfId="38904" xr:uid="{2151F5AD-6BA1-4BA3-9245-7A848A9152A9}"/>
    <cellStyle name="40% - Accent5 3 3 2 5 3" xfId="38905" xr:uid="{2279C276-06C0-401F-8002-B563E8CC8CA0}"/>
    <cellStyle name="40% - Accent5 3 3 2 5 3 2" xfId="38906" xr:uid="{C2D165E0-EABF-414A-B0F0-94B038546656}"/>
    <cellStyle name="40% - Accent5 3 3 2 5 4" xfId="38907" xr:uid="{F3EF9C08-7DAB-44E0-9938-F6B50E80B8AE}"/>
    <cellStyle name="40% - Accent5 3 3 2 6" xfId="38908" xr:uid="{F7D47A92-A3BE-4C1C-A2F4-9F72914D8EBC}"/>
    <cellStyle name="40% - Accent5 3 3 2 6 2" xfId="38909" xr:uid="{8DE1B376-B8A1-4742-9C6A-429ED03339F6}"/>
    <cellStyle name="40% - Accent5 3 3 2 6 2 2" xfId="38910" xr:uid="{A07F469A-4052-4A8E-8D15-A1F651BD232E}"/>
    <cellStyle name="40% - Accent5 3 3 2 6 3" xfId="38911" xr:uid="{8D564436-B4D1-4D37-BD69-82E0686B7498}"/>
    <cellStyle name="40% - Accent5 3 3 2 6 3 2" xfId="38912" xr:uid="{7523C807-5172-4836-A2C8-2EF4AD04C580}"/>
    <cellStyle name="40% - Accent5 3 3 2 6 4" xfId="38913" xr:uid="{380AD688-CE22-469E-8D83-947A9D4EF88D}"/>
    <cellStyle name="40% - Accent5 3 3 2 7" xfId="38914" xr:uid="{3B63C7AF-C68B-4A22-9F8F-EEFD90A10161}"/>
    <cellStyle name="40% - Accent5 3 3 2 7 2" xfId="38915" xr:uid="{223BFA0D-9CD7-4AB3-9C46-AC782AB814A7}"/>
    <cellStyle name="40% - Accent5 3 3 2 8" xfId="38916" xr:uid="{04C28EE6-98E1-487A-A6B4-61D8C3CAD821}"/>
    <cellStyle name="40% - Accent5 3 3 2 8 2" xfId="38917" xr:uid="{B76B19F4-E1A0-437E-88A6-5ED4FA5EAF6E}"/>
    <cellStyle name="40% - Accent5 3 3 2 9" xfId="38918" xr:uid="{5AEF540C-D109-4DCF-945B-5F243C4BE640}"/>
    <cellStyle name="40% - Accent5 3 3 3" xfId="3452" xr:uid="{16013AD2-AD9A-4C52-A2BA-B5A5E186E971}"/>
    <cellStyle name="40% - Accent5 3 3 3 2" xfId="3453" xr:uid="{61742325-B05C-472E-973E-D887DE9F0431}"/>
    <cellStyle name="40% - Accent5 3 3 3 2 2" xfId="3454" xr:uid="{F02BC993-E6EA-4E08-ACFF-25618886243D}"/>
    <cellStyle name="40% - Accent5 3 3 3 2 2 2" xfId="38919" xr:uid="{CC64B8BA-54C5-4290-A514-B467404D4EBC}"/>
    <cellStyle name="40% - Accent5 3 3 3 2 3" xfId="3455" xr:uid="{B1CAB67A-1279-4905-952F-01B1409292CC}"/>
    <cellStyle name="40% - Accent5 3 3 3 2 3 2" xfId="38920" xr:uid="{CEC76341-33F9-45BC-9FCA-7E40069D58A2}"/>
    <cellStyle name="40% - Accent5 3 3 3 2 4" xfId="38921" xr:uid="{1A5A1210-8B3F-4B0A-9369-5A81FDDEF48F}"/>
    <cellStyle name="40% - Accent5 3 3 3 3" xfId="3456" xr:uid="{90D001DB-3C0C-4F4A-8744-3557F65DF797}"/>
    <cellStyle name="40% - Accent5 3 3 3 3 2" xfId="38922" xr:uid="{D64DA594-26BD-434B-B3DE-133803D64BD0}"/>
    <cellStyle name="40% - Accent5 3 3 3 3 2 2" xfId="38923" xr:uid="{495E64C1-3471-4352-81D6-B21558630FDD}"/>
    <cellStyle name="40% - Accent5 3 3 3 3 3" xfId="38924" xr:uid="{8F4EF12F-D7BD-4454-AA38-284053CC0312}"/>
    <cellStyle name="40% - Accent5 3 3 3 3 3 2" xfId="38925" xr:uid="{BB756C1D-917D-43AE-B7F0-3F1677868AE9}"/>
    <cellStyle name="40% - Accent5 3 3 3 3 4" xfId="38926" xr:uid="{ECAB8721-6EC6-4E16-8856-77CC25ACFBF0}"/>
    <cellStyle name="40% - Accent5 3 3 3 4" xfId="3457" xr:uid="{DF96F1B3-6EBF-4120-84A5-87E18C8483B4}"/>
    <cellStyle name="40% - Accent5 3 3 3 4 2" xfId="38927" xr:uid="{3E1BF301-076E-4555-8466-E77FECCCDD95}"/>
    <cellStyle name="40% - Accent5 3 3 3 4 2 2" xfId="38928" xr:uid="{818B509E-174C-4486-9159-A45320281A07}"/>
    <cellStyle name="40% - Accent5 3 3 3 4 3" xfId="38929" xr:uid="{BA59FB25-2E78-4E1D-86C6-2FBB8DB3F20D}"/>
    <cellStyle name="40% - Accent5 3 3 3 4 3 2" xfId="38930" xr:uid="{A371DB90-CAAC-458E-AA4D-1AC69BDBBD3E}"/>
    <cellStyle name="40% - Accent5 3 3 3 4 4" xfId="38931" xr:uid="{75936C61-A536-47C8-B820-14A624AA0F88}"/>
    <cellStyle name="40% - Accent5 3 3 3 5" xfId="3458" xr:uid="{4418EBE4-0747-47D4-8BA0-74E55246F810}"/>
    <cellStyle name="40% - Accent5 3 3 3 5 2" xfId="38932" xr:uid="{BB1D504D-113A-4557-B415-2D7128E996DD}"/>
    <cellStyle name="40% - Accent5 3 3 3 5 2 2" xfId="38933" xr:uid="{930511EE-95EB-456E-8682-EE9D487F92B9}"/>
    <cellStyle name="40% - Accent5 3 3 3 5 3" xfId="38934" xr:uid="{F494B3BE-CD82-4D10-A706-41A70126674F}"/>
    <cellStyle name="40% - Accent5 3 3 3 5 3 2" xfId="38935" xr:uid="{65D3C2CB-620C-48A8-A831-EB797F3DEA1A}"/>
    <cellStyle name="40% - Accent5 3 3 3 5 4" xfId="38936" xr:uid="{12280275-00DE-4D22-9580-CE21A5DE0150}"/>
    <cellStyle name="40% - Accent5 3 3 3 6" xfId="38937" xr:uid="{C073C060-F4AA-4914-A778-E4BAFB993450}"/>
    <cellStyle name="40% - Accent5 3 3 3 6 2" xfId="38938" xr:uid="{36B0FB45-5316-4054-B74B-1EC042AFB1E7}"/>
    <cellStyle name="40% - Accent5 3 3 3 7" xfId="38939" xr:uid="{84780956-C84D-4F47-8B96-79B897BFD487}"/>
    <cellStyle name="40% - Accent5 3 3 3 7 2" xfId="38940" xr:uid="{00298D31-9E1D-4B16-A517-8EEE414B1F07}"/>
    <cellStyle name="40% - Accent5 3 3 3 8" xfId="38941" xr:uid="{1733C830-B352-4EB3-9742-F4857C6AEA74}"/>
    <cellStyle name="40% - Accent5 3 3 4" xfId="3459" xr:uid="{DDAB8954-EF03-4B39-BDF7-0CE5470937B4}"/>
    <cellStyle name="40% - Accent5 3 3 4 2" xfId="3460" xr:uid="{6E99F28C-E07A-46E5-9DD5-BFB8CE29C8F0}"/>
    <cellStyle name="40% - Accent5 3 3 4 2 2" xfId="3461" xr:uid="{549B8092-FA2C-46CA-BCB7-D3F8A989FE29}"/>
    <cellStyle name="40% - Accent5 3 3 4 2 2 2" xfId="38942" xr:uid="{0ED72AE2-68B7-49FB-B711-7E28330A130E}"/>
    <cellStyle name="40% - Accent5 3 3 4 2 3" xfId="3462" xr:uid="{55B87E1E-2039-48B2-BEE8-D3A47D11B8C7}"/>
    <cellStyle name="40% - Accent5 3 3 4 2 3 2" xfId="38943" xr:uid="{A074C4A1-99FE-4CCA-A9F9-6B06C74426C4}"/>
    <cellStyle name="40% - Accent5 3 3 4 2 4" xfId="38944" xr:uid="{6F0A6891-2830-420E-A30E-BC1A95150C4A}"/>
    <cellStyle name="40% - Accent5 3 3 4 3" xfId="3463" xr:uid="{B6E71AF5-B658-4AAA-A6E2-50FF3FCC356A}"/>
    <cellStyle name="40% - Accent5 3 3 4 3 2" xfId="38945" xr:uid="{C8899427-D477-44E8-A0E7-18DB741733EB}"/>
    <cellStyle name="40% - Accent5 3 3 4 3 2 2" xfId="38946" xr:uid="{C5DEF988-76AD-48AF-8E79-B2F41E18C32B}"/>
    <cellStyle name="40% - Accent5 3 3 4 3 3" xfId="38947" xr:uid="{B9D4E8E4-5337-4486-8A58-2C7FFF779478}"/>
    <cellStyle name="40% - Accent5 3 3 4 3 3 2" xfId="38948" xr:uid="{4FFE4ABC-1674-49B3-B4E6-BCEFB8C8AB8B}"/>
    <cellStyle name="40% - Accent5 3 3 4 3 4" xfId="38949" xr:uid="{17E7F619-8738-4177-B650-6198FE12CEB2}"/>
    <cellStyle name="40% - Accent5 3 3 4 4" xfId="3464" xr:uid="{A3EB4140-1987-449D-BC22-D518631C8783}"/>
    <cellStyle name="40% - Accent5 3 3 4 4 2" xfId="38950" xr:uid="{0C86BE79-F561-4FED-9CA8-332BBAFC2214}"/>
    <cellStyle name="40% - Accent5 3 3 4 4 2 2" xfId="38951" xr:uid="{B3A48354-4BF9-4EBF-83B4-A48832833FA3}"/>
    <cellStyle name="40% - Accent5 3 3 4 4 3" xfId="38952" xr:uid="{56CC605B-E858-4D4B-A6BE-B0DF259EF54F}"/>
    <cellStyle name="40% - Accent5 3 3 4 4 3 2" xfId="38953" xr:uid="{39B6BAC3-7053-4C48-BBEF-A3217E188CB2}"/>
    <cellStyle name="40% - Accent5 3 3 4 4 4" xfId="38954" xr:uid="{57DFEC5A-E9A4-4EF5-ACD3-04F59928DFAA}"/>
    <cellStyle name="40% - Accent5 3 3 4 5" xfId="38955" xr:uid="{9CACA21E-A33C-400C-9EEB-4FAF45B3A706}"/>
    <cellStyle name="40% - Accent5 3 3 4 5 2" xfId="38956" xr:uid="{6323F7D2-2B4F-44B5-9446-641CC1DE7CC5}"/>
    <cellStyle name="40% - Accent5 3 3 4 6" xfId="38957" xr:uid="{FEE2A566-6B83-4D90-A612-9CF25B3E4B3B}"/>
    <cellStyle name="40% - Accent5 3 3 4 6 2" xfId="38958" xr:uid="{DD9FC016-98E1-42F7-B429-A65CD6954E3D}"/>
    <cellStyle name="40% - Accent5 3 3 4 7" xfId="38959" xr:uid="{A1CAF93A-8ABF-436B-A3A5-33DE4BA72AC9}"/>
    <cellStyle name="40% - Accent5 3 3 5" xfId="3465" xr:uid="{21619785-D22C-4F13-92F9-F56381F78A24}"/>
    <cellStyle name="40% - Accent5 3 3 5 2" xfId="3466" xr:uid="{01D27746-EBB5-4AFC-860B-90C0D42A71A0}"/>
    <cellStyle name="40% - Accent5 3 3 5 2 2" xfId="38960" xr:uid="{45852460-6CB0-44C2-88A4-3BBB0AAD4616}"/>
    <cellStyle name="40% - Accent5 3 3 5 2 2 2" xfId="38961" xr:uid="{63C5CCE8-80B2-42D8-A318-7084DE378B5B}"/>
    <cellStyle name="40% - Accent5 3 3 5 2 3" xfId="38962" xr:uid="{EE5234B8-E789-457F-AAB8-D2B5996780FD}"/>
    <cellStyle name="40% - Accent5 3 3 5 2 3 2" xfId="38963" xr:uid="{8C9EA319-F6CA-495E-9198-4454E4AADBE1}"/>
    <cellStyle name="40% - Accent5 3 3 5 2 4" xfId="38964" xr:uid="{DDB82276-9F63-47A6-9DBD-65C8CDDD2CC5}"/>
    <cellStyle name="40% - Accent5 3 3 5 3" xfId="3467" xr:uid="{B23F1C1A-81A2-4E0C-BAA9-3A90AB7B2C10}"/>
    <cellStyle name="40% - Accent5 3 3 5 3 2" xfId="38965" xr:uid="{99FB2B62-EBB6-40D6-ACD3-89B573799C7A}"/>
    <cellStyle name="40% - Accent5 3 3 5 3 2 2" xfId="38966" xr:uid="{AD85B393-844D-494B-AA7D-C6A8ACF31822}"/>
    <cellStyle name="40% - Accent5 3 3 5 3 3" xfId="38967" xr:uid="{BEBC82C5-FD30-4094-B49F-7310C86757CD}"/>
    <cellStyle name="40% - Accent5 3 3 5 3 3 2" xfId="38968" xr:uid="{B442204D-DDC3-4927-AC1F-2A0D800D8980}"/>
    <cellStyle name="40% - Accent5 3 3 5 3 4" xfId="38969" xr:uid="{8324D4FF-C423-486E-B623-3AE44901E59B}"/>
    <cellStyle name="40% - Accent5 3 3 5 4" xfId="38970" xr:uid="{6D955785-5E26-4A11-97BF-C058AC73E6F8}"/>
    <cellStyle name="40% - Accent5 3 3 5 4 2" xfId="38971" xr:uid="{F819183A-224E-481C-81C6-84A8564CC4E2}"/>
    <cellStyle name="40% - Accent5 3 3 5 4 2 2" xfId="38972" xr:uid="{59EAE518-812A-4898-B5E5-4B15A9846629}"/>
    <cellStyle name="40% - Accent5 3 3 5 4 3" xfId="38973" xr:uid="{B260F37E-5A19-495D-B796-F98A7FBCB855}"/>
    <cellStyle name="40% - Accent5 3 3 5 4 3 2" xfId="38974" xr:uid="{31CC90F2-8ADB-4083-AB6E-01723C85CD00}"/>
    <cellStyle name="40% - Accent5 3 3 5 4 4" xfId="38975" xr:uid="{55D8CBE4-BD99-40C9-854C-EBBC80CAF014}"/>
    <cellStyle name="40% - Accent5 3 3 5 5" xfId="38976" xr:uid="{89B99DA1-73A6-4039-A963-F72A6C302AE3}"/>
    <cellStyle name="40% - Accent5 3 3 5 5 2" xfId="38977" xr:uid="{0D1D9B85-CBA3-43DC-91E2-F7738D57592C}"/>
    <cellStyle name="40% - Accent5 3 3 5 6" xfId="38978" xr:uid="{879AFB35-CEE2-4F82-B6BA-4805D925F46B}"/>
    <cellStyle name="40% - Accent5 3 3 5 6 2" xfId="38979" xr:uid="{5DE635B1-65FF-493F-B9B5-072F03A642B9}"/>
    <cellStyle name="40% - Accent5 3 3 5 7" xfId="38980" xr:uid="{1CB9C691-5FE0-4BC6-A99D-D2C72F5A2211}"/>
    <cellStyle name="40% - Accent5 3 3 6" xfId="3468" xr:uid="{0D8E1958-F92D-480C-8813-BA159468EF18}"/>
    <cellStyle name="40% - Accent5 3 3 6 2" xfId="38981" xr:uid="{1B132223-836C-45EE-9285-B475A5FA8B3F}"/>
    <cellStyle name="40% - Accent5 3 3 6 2 2" xfId="38982" xr:uid="{C0C9B199-17DA-4205-AB07-823F85910D35}"/>
    <cellStyle name="40% - Accent5 3 3 6 3" xfId="38983" xr:uid="{F90D877A-31B4-4E97-927F-6F425B20CDB9}"/>
    <cellStyle name="40% - Accent5 3 3 6 3 2" xfId="38984" xr:uid="{1C032367-E5B6-459D-AD7F-D8DF102CE6FB}"/>
    <cellStyle name="40% - Accent5 3 3 6 4" xfId="38985" xr:uid="{90E33FBB-BF7E-42E2-9EE9-E5AFE8389B06}"/>
    <cellStyle name="40% - Accent5 3 3 7" xfId="3469" xr:uid="{7D2F18DB-BDED-4CC0-9BF5-5F7674E913E9}"/>
    <cellStyle name="40% - Accent5 3 3 7 2" xfId="38986" xr:uid="{4F766C36-3062-45F0-80CF-8279C7A931B5}"/>
    <cellStyle name="40% - Accent5 3 3 7 2 2" xfId="38987" xr:uid="{B36D2703-0BC6-4126-B7F1-47B0D6DCC947}"/>
    <cellStyle name="40% - Accent5 3 3 7 3" xfId="38988" xr:uid="{8017F5FC-D51A-40BC-84A0-C749DA2E6843}"/>
    <cellStyle name="40% - Accent5 3 3 7 3 2" xfId="38989" xr:uid="{ED8E9395-1791-4007-BA47-983C3C7A0CCF}"/>
    <cellStyle name="40% - Accent5 3 3 7 4" xfId="38990" xr:uid="{DD06A93F-9748-41E7-8120-B41A07B487BC}"/>
    <cellStyle name="40% - Accent5 3 3 8" xfId="3470" xr:uid="{A43F4198-D3E1-4BA7-B0C6-69AAEEF62D38}"/>
    <cellStyle name="40% - Accent5 3 3 8 2" xfId="38991" xr:uid="{C49890EC-2439-496B-991E-636E81E7385D}"/>
    <cellStyle name="40% - Accent5 3 3 8 2 2" xfId="38992" xr:uid="{BE767DB6-74D0-4AD5-9B11-D0F12C0A628B}"/>
    <cellStyle name="40% - Accent5 3 3 8 3" xfId="38993" xr:uid="{7D710FD5-C35D-4B64-8AD1-158F784CBB4E}"/>
    <cellStyle name="40% - Accent5 3 3 8 3 2" xfId="38994" xr:uid="{B4F297D3-0095-4D42-91BC-3D8BF3311768}"/>
    <cellStyle name="40% - Accent5 3 3 8 4" xfId="38995" xr:uid="{89B29E9C-733D-487E-8789-D08C8AAA6CA6}"/>
    <cellStyle name="40% - Accent5 3 3 9" xfId="38996" xr:uid="{16D1AE2F-8276-4BD7-BA14-3A10368B05BE}"/>
    <cellStyle name="40% - Accent5 3 3 9 2" xfId="38997" xr:uid="{4B99944E-ED7A-4A4E-B2C6-0FD11ACE9E0D}"/>
    <cellStyle name="40% - Accent5 3 4" xfId="3471" xr:uid="{FB8E56D1-D69D-4286-98BC-60935254F90B}"/>
    <cellStyle name="40% - Accent5 3 4 10" xfId="38998" xr:uid="{33A9158F-93B9-428A-9BE2-3764B24D19CD}"/>
    <cellStyle name="40% - Accent5 3 4 2" xfId="3472" xr:uid="{54985DC0-06C6-4783-8B14-DED49163DF4F}"/>
    <cellStyle name="40% - Accent5 3 4 2 2" xfId="3473" xr:uid="{0FCAA32E-DA92-4479-B0D3-0522E4DACE60}"/>
    <cellStyle name="40% - Accent5 3 4 2 2 2" xfId="3474" xr:uid="{55BB4142-CAEB-40AE-A8A4-289412F4AC8C}"/>
    <cellStyle name="40% - Accent5 3 4 2 2 2 2" xfId="38999" xr:uid="{FD5A54A0-5635-44E4-BA86-2FE09E483F54}"/>
    <cellStyle name="40% - Accent5 3 4 2 2 3" xfId="3475" xr:uid="{6FAD1768-6B4A-4D63-8D92-E96668D3E6F5}"/>
    <cellStyle name="40% - Accent5 3 4 2 2 3 2" xfId="39000" xr:uid="{EDEEA120-C0DB-4AC0-809F-542467EA98C8}"/>
    <cellStyle name="40% - Accent5 3 4 2 2 4" xfId="39001" xr:uid="{9B94C88C-C962-4025-9EB8-82308CFBD3E1}"/>
    <cellStyle name="40% - Accent5 3 4 2 3" xfId="3476" xr:uid="{F6BFFF98-A7E1-4A76-B516-40298260C6CF}"/>
    <cellStyle name="40% - Accent5 3 4 2 3 2" xfId="39002" xr:uid="{F994972C-85F5-4769-B33F-F893077827CB}"/>
    <cellStyle name="40% - Accent5 3 4 2 3 2 2" xfId="39003" xr:uid="{4DED5157-0A37-4F8E-90F2-55891D3D8033}"/>
    <cellStyle name="40% - Accent5 3 4 2 3 3" xfId="39004" xr:uid="{9184187A-87ED-4E49-9224-AE98E9ABA3F8}"/>
    <cellStyle name="40% - Accent5 3 4 2 3 3 2" xfId="39005" xr:uid="{E1CDF416-62E1-43A3-9F71-F3223DD2113E}"/>
    <cellStyle name="40% - Accent5 3 4 2 3 4" xfId="39006" xr:uid="{CA764B7A-BC22-4012-89A2-2F83733646E4}"/>
    <cellStyle name="40% - Accent5 3 4 2 4" xfId="3477" xr:uid="{FBB26A35-7150-4C00-82E4-39C91B4F3AE9}"/>
    <cellStyle name="40% - Accent5 3 4 2 4 2" xfId="39007" xr:uid="{A54BEEC9-9C34-41D3-A637-5A18F61BDE33}"/>
    <cellStyle name="40% - Accent5 3 4 2 4 2 2" xfId="39008" xr:uid="{CB9E56A3-61CC-4B39-8588-29A947C86B9D}"/>
    <cellStyle name="40% - Accent5 3 4 2 4 3" xfId="39009" xr:uid="{674BC165-F489-4106-ADC6-C600AA9E950A}"/>
    <cellStyle name="40% - Accent5 3 4 2 4 3 2" xfId="39010" xr:uid="{BA249D52-5838-4A45-865F-A1E15B406E61}"/>
    <cellStyle name="40% - Accent5 3 4 2 4 4" xfId="39011" xr:uid="{6783235D-74A5-460C-BF6B-F62434B59A87}"/>
    <cellStyle name="40% - Accent5 3 4 2 5" xfId="39012" xr:uid="{6334184B-CA58-477D-9141-4AFD13909B33}"/>
    <cellStyle name="40% - Accent5 3 4 2 5 2" xfId="39013" xr:uid="{A8F71B96-9F48-4970-9DCB-E93C4593B2A7}"/>
    <cellStyle name="40% - Accent5 3 4 2 5 2 2" xfId="39014" xr:uid="{AE91CDA0-FBA3-4534-AB8F-1D6C33D646BD}"/>
    <cellStyle name="40% - Accent5 3 4 2 5 3" xfId="39015" xr:uid="{8A00DB8C-7D17-4DB5-B3AD-CD85C8D30999}"/>
    <cellStyle name="40% - Accent5 3 4 2 5 3 2" xfId="39016" xr:uid="{594B38CB-DFEF-4B9B-95AB-A710FB3A1367}"/>
    <cellStyle name="40% - Accent5 3 4 2 5 4" xfId="39017" xr:uid="{9D247F2C-F8DB-445E-898C-DF9C8513EDDF}"/>
    <cellStyle name="40% - Accent5 3 4 2 6" xfId="39018" xr:uid="{A21CAFF6-3DAB-402A-AB09-CB2EC61225AE}"/>
    <cellStyle name="40% - Accent5 3 4 2 6 2" xfId="39019" xr:uid="{7C1C0F26-1F03-4AB2-B602-C3A484B7B00D}"/>
    <cellStyle name="40% - Accent5 3 4 2 7" xfId="39020" xr:uid="{A7C1BD9A-B6F3-4D09-85D1-255650636F00}"/>
    <cellStyle name="40% - Accent5 3 4 2 7 2" xfId="39021" xr:uid="{20B0D1C2-FD46-46CC-AC60-29552383C1D1}"/>
    <cellStyle name="40% - Accent5 3 4 2 8" xfId="39022" xr:uid="{0E373A6E-4328-4746-9473-EA0F563609A3}"/>
    <cellStyle name="40% - Accent5 3 4 3" xfId="3478" xr:uid="{D20B6A46-0AA9-4F20-832C-28932F627152}"/>
    <cellStyle name="40% - Accent5 3 4 3 2" xfId="3479" xr:uid="{BF528DC4-0716-4D58-B80A-55670827C7B6}"/>
    <cellStyle name="40% - Accent5 3 4 3 2 2" xfId="39023" xr:uid="{2718E0C2-26DB-4F63-949C-8DCA7FDB2E46}"/>
    <cellStyle name="40% - Accent5 3 4 3 2 2 2" xfId="39024" xr:uid="{50BD8CAD-1CDA-4D35-A56A-3A2D373F319D}"/>
    <cellStyle name="40% - Accent5 3 4 3 2 3" xfId="39025" xr:uid="{A37AA1E6-1469-473E-B93D-AB7B24ACCEE7}"/>
    <cellStyle name="40% - Accent5 3 4 3 2 3 2" xfId="39026" xr:uid="{1893A155-205D-4E11-AB21-15BEC60EAF0D}"/>
    <cellStyle name="40% - Accent5 3 4 3 2 4" xfId="39027" xr:uid="{2859CAC4-0776-4A28-A79E-AA4A50564DBC}"/>
    <cellStyle name="40% - Accent5 3 4 3 3" xfId="3480" xr:uid="{BCA85836-B9C2-4927-87B2-7AFE4E4C9573}"/>
    <cellStyle name="40% - Accent5 3 4 3 3 2" xfId="39028" xr:uid="{C06D4EBB-6D2F-45DB-9347-C0B65507BA80}"/>
    <cellStyle name="40% - Accent5 3 4 3 3 2 2" xfId="39029" xr:uid="{9D037FBA-9766-416D-9A3F-E8063E7E8856}"/>
    <cellStyle name="40% - Accent5 3 4 3 3 3" xfId="39030" xr:uid="{EE4AB3C1-74F0-45A2-8CF2-642464D45497}"/>
    <cellStyle name="40% - Accent5 3 4 3 3 3 2" xfId="39031" xr:uid="{57F37F21-613F-49B2-A6E8-27DB23E8921A}"/>
    <cellStyle name="40% - Accent5 3 4 3 3 4" xfId="39032" xr:uid="{FE1C8BA0-F1AF-4829-AAA5-DF7AB17D30B2}"/>
    <cellStyle name="40% - Accent5 3 4 3 4" xfId="39033" xr:uid="{05AA2F0B-36B3-4B06-96BC-366C3FE0B9CE}"/>
    <cellStyle name="40% - Accent5 3 4 3 4 2" xfId="39034" xr:uid="{906375B5-9AF0-4F35-AB2F-34ABC96AE4B3}"/>
    <cellStyle name="40% - Accent5 3 4 3 4 2 2" xfId="39035" xr:uid="{3DCBF868-C1AE-4498-A890-6FB7630774E5}"/>
    <cellStyle name="40% - Accent5 3 4 3 4 3" xfId="39036" xr:uid="{46A09A54-A582-409E-B991-C76F67CDCC59}"/>
    <cellStyle name="40% - Accent5 3 4 3 4 3 2" xfId="39037" xr:uid="{E53703AC-1F95-4B59-A756-50B74D06E88A}"/>
    <cellStyle name="40% - Accent5 3 4 3 4 4" xfId="39038" xr:uid="{AC2A77EB-99DA-4570-9FFB-A08984C74623}"/>
    <cellStyle name="40% - Accent5 3 4 3 5" xfId="39039" xr:uid="{90574482-8810-44F1-9B91-3DA6FAEAFAD2}"/>
    <cellStyle name="40% - Accent5 3 4 3 5 2" xfId="39040" xr:uid="{9BC93D3F-EBA8-4F46-9C37-08B410A8E86D}"/>
    <cellStyle name="40% - Accent5 3 4 3 6" xfId="39041" xr:uid="{6C1E25D5-7D73-4DFB-AD1D-CFC5B15BDD5D}"/>
    <cellStyle name="40% - Accent5 3 4 3 6 2" xfId="39042" xr:uid="{FC5F92FE-B6FF-43F3-A58A-020CCFF8CB07}"/>
    <cellStyle name="40% - Accent5 3 4 3 7" xfId="39043" xr:uid="{AE896495-834F-46C0-927A-ED6AEEBBDC7E}"/>
    <cellStyle name="40% - Accent5 3 4 4" xfId="3481" xr:uid="{5560982D-46B0-407B-94F4-4298F618CDE5}"/>
    <cellStyle name="40% - Accent5 3 4 4 2" xfId="39044" xr:uid="{495C739E-59AD-43B3-A38C-3E941A29A597}"/>
    <cellStyle name="40% - Accent5 3 4 4 2 2" xfId="39045" xr:uid="{8DBDAC60-0309-4437-86D5-0833E16071BF}"/>
    <cellStyle name="40% - Accent5 3 4 4 3" xfId="39046" xr:uid="{EE69975E-EAE6-426C-8B1F-0C65E348E4F3}"/>
    <cellStyle name="40% - Accent5 3 4 4 3 2" xfId="39047" xr:uid="{EF000B71-AD84-4D6D-86DB-40043E931833}"/>
    <cellStyle name="40% - Accent5 3 4 4 4" xfId="39048" xr:uid="{5BA95240-463D-491D-B32B-6D5AC6436530}"/>
    <cellStyle name="40% - Accent5 3 4 5" xfId="3482" xr:uid="{2841B6FF-99B4-4E82-9565-8AAF6F2171A9}"/>
    <cellStyle name="40% - Accent5 3 4 5 2" xfId="39049" xr:uid="{73C5F9DA-892F-403D-8638-FC4387DB1BFD}"/>
    <cellStyle name="40% - Accent5 3 4 5 2 2" xfId="39050" xr:uid="{09A7BB4F-9144-458C-B147-8ADBDAE2EB04}"/>
    <cellStyle name="40% - Accent5 3 4 5 3" xfId="39051" xr:uid="{921544CC-B796-4C65-9FFE-C32BC6469E7C}"/>
    <cellStyle name="40% - Accent5 3 4 5 3 2" xfId="39052" xr:uid="{DDFE6FE9-FE54-4FA1-9B1E-28F21E39C902}"/>
    <cellStyle name="40% - Accent5 3 4 5 4" xfId="39053" xr:uid="{5771A663-A838-4F45-A036-B1DE59A6E3E2}"/>
    <cellStyle name="40% - Accent5 3 4 6" xfId="3483" xr:uid="{BECEC520-AF43-4EDC-8EDB-9C7F1C690B60}"/>
    <cellStyle name="40% - Accent5 3 4 6 2" xfId="39054" xr:uid="{35EF7466-9E3A-4FB9-8D1D-2120884AD1C6}"/>
    <cellStyle name="40% - Accent5 3 4 6 2 2" xfId="39055" xr:uid="{CB982FA8-8889-4BC5-BD05-2804DEA97D8B}"/>
    <cellStyle name="40% - Accent5 3 4 6 3" xfId="39056" xr:uid="{31FD0396-A06E-41D3-9550-03F7A015812F}"/>
    <cellStyle name="40% - Accent5 3 4 6 3 2" xfId="39057" xr:uid="{80DA4044-13EE-4C28-8E24-0D3C834E31FF}"/>
    <cellStyle name="40% - Accent5 3 4 6 4" xfId="39058" xr:uid="{25AFAD19-A64D-4FB1-A8D3-BA325AECF09F}"/>
    <cellStyle name="40% - Accent5 3 4 7" xfId="39059" xr:uid="{74F2CEB4-0AAA-4537-A317-12F1390622BF}"/>
    <cellStyle name="40% - Accent5 3 4 7 2" xfId="39060" xr:uid="{1B485A4F-90C6-4744-9C58-C4AE15DE22CA}"/>
    <cellStyle name="40% - Accent5 3 4 8" xfId="39061" xr:uid="{102D226B-CE7B-4DB2-B7EE-FAA41A7B4654}"/>
    <cellStyle name="40% - Accent5 3 4 8 2" xfId="39062" xr:uid="{881C523A-5A03-468B-9542-104831238732}"/>
    <cellStyle name="40% - Accent5 3 4 9" xfId="39063" xr:uid="{AF2A1764-5447-4D38-8349-7B5424BFEB70}"/>
    <cellStyle name="40% - Accent5 3 5" xfId="3484" xr:uid="{F02D8D7B-E75C-4EEF-A742-78EE2D958AFB}"/>
    <cellStyle name="40% - Accent5 3 5 2" xfId="3485" xr:uid="{D18C209D-2AE4-4019-8C9E-2BB866780BB4}"/>
    <cellStyle name="40% - Accent5 3 5 2 2" xfId="3486" xr:uid="{C19FD3C2-F6BA-499E-B703-DE8852541F17}"/>
    <cellStyle name="40% - Accent5 3 5 2 2 2" xfId="39064" xr:uid="{1CB540FB-D14A-4ACF-8D5C-9EC4436D08C5}"/>
    <cellStyle name="40% - Accent5 3 5 2 3" xfId="3487" xr:uid="{74CD4F82-3B3B-493F-B049-E329E47D96F1}"/>
    <cellStyle name="40% - Accent5 3 5 2 3 2" xfId="39065" xr:uid="{D11A0849-A80D-4172-AEC1-DCFC675389C2}"/>
    <cellStyle name="40% - Accent5 3 5 2 4" xfId="39066" xr:uid="{CCE310AA-A4A9-4354-8884-993A00872BF9}"/>
    <cellStyle name="40% - Accent5 3 5 3" xfId="3488" xr:uid="{CE0231FD-FC85-4D98-842A-A817ED7309B2}"/>
    <cellStyle name="40% - Accent5 3 5 3 2" xfId="39067" xr:uid="{5D80A105-6318-4D2C-BE5C-46B054FCF1D8}"/>
    <cellStyle name="40% - Accent5 3 5 3 2 2" xfId="39068" xr:uid="{3FCEECDF-A862-4001-89E9-52B2CB22021F}"/>
    <cellStyle name="40% - Accent5 3 5 3 3" xfId="39069" xr:uid="{F658C3CE-0ABE-43C5-9817-AE373E35B9EC}"/>
    <cellStyle name="40% - Accent5 3 5 3 3 2" xfId="39070" xr:uid="{C1CBDF5B-28DB-45D8-B407-2282FBF37467}"/>
    <cellStyle name="40% - Accent5 3 5 3 4" xfId="39071" xr:uid="{01721B54-A510-4117-873A-5D045D9F87D9}"/>
    <cellStyle name="40% - Accent5 3 5 4" xfId="3489" xr:uid="{B8132B12-4BC0-4AD8-B989-1171A0663518}"/>
    <cellStyle name="40% - Accent5 3 5 4 2" xfId="39072" xr:uid="{8AA769E0-EE0B-4AF8-B718-57B6C5E8BDAC}"/>
    <cellStyle name="40% - Accent5 3 5 4 2 2" xfId="39073" xr:uid="{A9308FCC-6753-4EC1-B369-CCBA2075EF84}"/>
    <cellStyle name="40% - Accent5 3 5 4 3" xfId="39074" xr:uid="{821F1274-A483-4E5A-B594-24DF8235784E}"/>
    <cellStyle name="40% - Accent5 3 5 4 3 2" xfId="39075" xr:uid="{75AE70BF-281A-4801-9D4D-0AE40A006DC5}"/>
    <cellStyle name="40% - Accent5 3 5 4 4" xfId="39076" xr:uid="{A40611DF-DCCF-4815-A0F0-FCE6876FE784}"/>
    <cellStyle name="40% - Accent5 3 5 5" xfId="39077" xr:uid="{30199A64-1338-4E2E-9B4E-9D9FA27D8EBE}"/>
    <cellStyle name="40% - Accent5 3 5 5 2" xfId="39078" xr:uid="{84D42C09-6C18-49D2-9D54-985B19DD21A3}"/>
    <cellStyle name="40% - Accent5 3 5 5 2 2" xfId="39079" xr:uid="{D81BA3B9-F563-4EA3-AB80-0B20E8B4E033}"/>
    <cellStyle name="40% - Accent5 3 5 5 3" xfId="39080" xr:uid="{3EAC4AD8-5FC4-47E4-9E93-EF80545C5B67}"/>
    <cellStyle name="40% - Accent5 3 5 5 3 2" xfId="39081" xr:uid="{6B487E5F-149C-42A5-AACD-9E54F614E0E4}"/>
    <cellStyle name="40% - Accent5 3 5 5 4" xfId="39082" xr:uid="{AB9598EE-5938-4897-ADA1-13B251BA09FA}"/>
    <cellStyle name="40% - Accent5 3 5 6" xfId="39083" xr:uid="{E970492D-F706-4BA9-A871-2D00B0C99CFA}"/>
    <cellStyle name="40% - Accent5 3 5 6 2" xfId="39084" xr:uid="{1172B43F-AE07-457A-9E4F-7277BD55CB4F}"/>
    <cellStyle name="40% - Accent5 3 5 7" xfId="39085" xr:uid="{4E288DE9-9343-42D3-8E72-5F9ADB2E0E8C}"/>
    <cellStyle name="40% - Accent5 3 5 7 2" xfId="39086" xr:uid="{25820255-20E3-438D-8119-E2791784D992}"/>
    <cellStyle name="40% - Accent5 3 5 8" xfId="39087" xr:uid="{399F030D-53B4-471D-8B33-2F4479F4C27C}"/>
    <cellStyle name="40% - Accent5 3 6" xfId="3490" xr:uid="{B4DE11C2-674F-45F0-AB59-7FE124ADA3F8}"/>
    <cellStyle name="40% - Accent5 3 6 2" xfId="3491" xr:uid="{925597F0-E296-4672-BD8F-5BB364355173}"/>
    <cellStyle name="40% - Accent5 3 6 2 2" xfId="3492" xr:uid="{2F037E6F-F37B-4551-871D-6B1D47A75402}"/>
    <cellStyle name="40% - Accent5 3 6 2 3" xfId="3493" xr:uid="{35673260-F377-4219-AE50-76F85268B1F5}"/>
    <cellStyle name="40% - Accent5 3 6 3" xfId="3494" xr:uid="{05809BFA-689F-496F-A67F-2EBDEAF03A53}"/>
    <cellStyle name="40% - Accent5 3 6 3 2" xfId="39088" xr:uid="{8AFF4F7C-C9CF-4FA6-980D-94CCD77B4507}"/>
    <cellStyle name="40% - Accent5 3 6 4" xfId="3495" xr:uid="{361B0CAC-3548-4604-A0BB-7D47847117FB}"/>
    <cellStyle name="40% - Accent5 3 6 5" xfId="39089" xr:uid="{191E2ACE-0CDD-40AF-878B-7E109B936BE0}"/>
    <cellStyle name="40% - Accent5 3 7" xfId="3496" xr:uid="{2B1D7D7D-A4AA-4591-8B6E-C7031B645293}"/>
    <cellStyle name="40% - Accent5 3 7 2" xfId="3497" xr:uid="{796CBE2A-198B-4862-A6B6-ED5193CEE971}"/>
    <cellStyle name="40% - Accent5 3 7 2 2" xfId="3498" xr:uid="{D14BBE3F-1C41-4072-A3C2-B3AE2DFD4541}"/>
    <cellStyle name="40% - Accent5 3 7 2 3" xfId="3499" xr:uid="{33B0074F-6DBA-46F9-A15F-7E23039D308B}"/>
    <cellStyle name="40% - Accent5 3 7 3" xfId="3500" xr:uid="{CE2256E6-186E-499C-88DA-5901399287A3}"/>
    <cellStyle name="40% - Accent5 3 7 3 2" xfId="39090" xr:uid="{59897EE6-A7D8-47B8-A838-A6895A18E479}"/>
    <cellStyle name="40% - Accent5 3 7 4" xfId="3501" xr:uid="{8B01055B-5814-4970-94A7-203A3EEB44E9}"/>
    <cellStyle name="40% - Accent5 3 8" xfId="3502" xr:uid="{B73A32D8-0E4F-4C44-B038-DA111172A65F}"/>
    <cellStyle name="40% - Accent5 3 8 2" xfId="39091" xr:uid="{ED8802C7-F7B0-477E-A23E-ACE4ADFE43BA}"/>
    <cellStyle name="40% - Accent5 3 8 2 2" xfId="39092" xr:uid="{88986BBD-2F21-42AB-B2C3-C4F74F2A6EA2}"/>
    <cellStyle name="40% - Accent5 3 8 3" xfId="39093" xr:uid="{2AA011EC-E5BF-4A17-862E-E999728A8309}"/>
    <cellStyle name="40% - Accent5 3 8 3 2" xfId="39094" xr:uid="{87DFB0DF-6B33-4EBC-B5BA-2E0F1C619780}"/>
    <cellStyle name="40% - Accent5 3 8 4" xfId="39095" xr:uid="{5F14342F-9B97-4DE1-B69F-51722DFE52D5}"/>
    <cellStyle name="40% - Accent5 3 9" xfId="39096" xr:uid="{A887D6BA-9743-463B-A2DA-395A2BE758D4}"/>
    <cellStyle name="40% - Accent5 3_PwrTax 51040" xfId="3503" xr:uid="{365104E4-443D-47DF-936D-F05A4A6B7DA2}"/>
    <cellStyle name="40% - Accent5 30" xfId="3504" xr:uid="{F993EFB9-1607-4B45-82FA-90C7EC252C49}"/>
    <cellStyle name="40% - Accent5 31" xfId="3505" xr:uid="{FA2D95D6-B953-4F45-99C8-90AD7E3C6F20}"/>
    <cellStyle name="40% - Accent5 32" xfId="3506" xr:uid="{47290F56-9368-4568-B172-BB3E9BF4D903}"/>
    <cellStyle name="40% - Accent5 33" xfId="3507" xr:uid="{3E1AEAFE-874C-4083-AA1A-415D2EC3AFD3}"/>
    <cellStyle name="40% - Accent5 34" xfId="3508" xr:uid="{C868D6C8-E9F4-4004-8AD3-3EA7C0E02F0A}"/>
    <cellStyle name="40% - Accent5 35" xfId="3509" xr:uid="{EFB9F86F-2DF7-4066-BF4D-88080AC1C116}"/>
    <cellStyle name="40% - Accent5 36" xfId="3510" xr:uid="{14DFE416-4E46-4EF9-A6F0-3DCDF062FF0A}"/>
    <cellStyle name="40% - Accent5 37" xfId="3511" xr:uid="{52DC2243-57D4-4EDC-8118-5532A7330E00}"/>
    <cellStyle name="40% - Accent5 37 2" xfId="3512" xr:uid="{A51DA48E-907D-4132-8011-47F77591BAEA}"/>
    <cellStyle name="40% - Accent5 37 2 2" xfId="3513" xr:uid="{D9EA2EC1-D182-46FD-AB80-14E2D6F43FA4}"/>
    <cellStyle name="40% - Accent5 37 2 3" xfId="39097" xr:uid="{8C236324-97C7-4D1F-88C1-BDB48D894FA7}"/>
    <cellStyle name="40% - Accent5 37 3" xfId="3514" xr:uid="{DA5D9CF1-6660-4D2C-B361-B537328896FA}"/>
    <cellStyle name="40% - Accent5 37 3 2" xfId="3515" xr:uid="{372C0D16-993A-46D9-A3F2-FE8897FC52B6}"/>
    <cellStyle name="40% - Accent5 37 3 3" xfId="39098" xr:uid="{F8F33532-E21A-4115-8BE2-887E367D9AC7}"/>
    <cellStyle name="40% - Accent5 37 4" xfId="3516" xr:uid="{C603752D-F14D-4A82-B137-11BB5CD8B2CB}"/>
    <cellStyle name="40% - Accent5 37 5" xfId="39099" xr:uid="{79679FC6-9497-439B-8349-83B7C499E773}"/>
    <cellStyle name="40% - Accent5 37_PwrTax 51040" xfId="3517" xr:uid="{FC7B2A8D-9FB1-42C1-84C6-AEACA765725A}"/>
    <cellStyle name="40% - Accent5 38" xfId="3518" xr:uid="{3495CAD1-3784-4E93-9FD9-D9040E57BDAE}"/>
    <cellStyle name="40% - Accent5 38 2" xfId="39100" xr:uid="{EB6CD3C8-1C66-4F1A-AB3C-156BBEA684F8}"/>
    <cellStyle name="40% - Accent5 38 2 2" xfId="39101" xr:uid="{D6F40BEF-43B8-42AF-9613-C6A94F211733}"/>
    <cellStyle name="40% - Accent5 38 2 2 2" xfId="39102" xr:uid="{C08C6BE2-03D0-4EC5-95C4-34A2CFF4D747}"/>
    <cellStyle name="40% - Accent5 38 2 3" xfId="39103" xr:uid="{0CBE01A7-47B5-424F-91BB-DC22A7B92170}"/>
    <cellStyle name="40% - Accent5 38 2 3 2" xfId="39104" xr:uid="{9E5F694E-77D2-4E4F-BBB7-C8E4718F3C80}"/>
    <cellStyle name="40% - Accent5 38 2 4" xfId="39105" xr:uid="{93F09BE3-DAB9-4A83-8F77-61D14B5F6C7B}"/>
    <cellStyle name="40% - Accent5 38 3" xfId="39106" xr:uid="{AF77764E-9158-4425-8735-EB921F2FC00F}"/>
    <cellStyle name="40% - Accent5 38 3 2" xfId="39107" xr:uid="{53FB594B-5BE6-4B29-A709-05BB8C8DE0C2}"/>
    <cellStyle name="40% - Accent5 38 3 2 2" xfId="39108" xr:uid="{6025BB3A-7D4F-4610-BD62-4129B323CC2A}"/>
    <cellStyle name="40% - Accent5 38 3 3" xfId="39109" xr:uid="{138A474C-F206-46AD-A5DC-9873611F49D3}"/>
    <cellStyle name="40% - Accent5 38 3 3 2" xfId="39110" xr:uid="{5F6C5E0E-51C5-46DF-B21B-905135A8BE97}"/>
    <cellStyle name="40% - Accent5 38 3 4" xfId="39111" xr:uid="{A82ADA5B-B6F2-4564-897D-7517E22D002C}"/>
    <cellStyle name="40% - Accent5 38 4" xfId="39112" xr:uid="{99CF9BD0-0892-434D-A420-7854DBAB0D1F}"/>
    <cellStyle name="40% - Accent5 38 4 2" xfId="39113" xr:uid="{C3388A53-0AF5-4748-821E-177B47695942}"/>
    <cellStyle name="40% - Accent5 38 4 2 2" xfId="39114" xr:uid="{D7824F7B-7C0E-4ECA-ACC4-17A9F410B966}"/>
    <cellStyle name="40% - Accent5 38 4 3" xfId="39115" xr:uid="{0A91D6EF-FBD0-4401-B448-9D4D16B8A3DC}"/>
    <cellStyle name="40% - Accent5 38 4 3 2" xfId="39116" xr:uid="{345D64B6-160A-4ACD-BA8B-388FFD69D3F6}"/>
    <cellStyle name="40% - Accent5 38 4 4" xfId="39117" xr:uid="{36A327ED-423B-4280-91C9-7E0639664777}"/>
    <cellStyle name="40% - Accent5 38 5" xfId="39118" xr:uid="{1175886A-B847-4BB2-90CF-04533C99A72A}"/>
    <cellStyle name="40% - Accent5 38 5 2" xfId="39119" xr:uid="{DFFCA643-F950-4557-8E0A-A80F8E3A9683}"/>
    <cellStyle name="40% - Accent5 38 6" xfId="39120" xr:uid="{FC33DAB5-449E-4189-8515-7C86AEAB43A3}"/>
    <cellStyle name="40% - Accent5 38 6 2" xfId="39121" xr:uid="{4E4EAF3E-5657-4397-8596-BC31DCE64DB6}"/>
    <cellStyle name="40% - Accent5 38 7" xfId="39122" xr:uid="{8C86F32E-057A-4157-BA7C-235E8D5F024D}"/>
    <cellStyle name="40% - Accent5 39" xfId="39123" xr:uid="{5B2DC9FD-50E2-4977-A37E-8D5D4255D4B2}"/>
    <cellStyle name="40% - Accent5 39 2" xfId="39124" xr:uid="{3B456760-1F29-48CE-A96E-41830D352C8E}"/>
    <cellStyle name="40% - Accent5 4" xfId="3519" xr:uid="{4FF84628-0EAD-4964-B0F5-8A0DE35E0CB3}"/>
    <cellStyle name="40% - Accent5 4 2" xfId="3520" xr:uid="{440EE1AE-AB2B-4877-A514-09D661BA2565}"/>
    <cellStyle name="40% - Accent5 4 2 2" xfId="3521" xr:uid="{8CDE5FFD-381B-4149-83B4-4903E682E04F}"/>
    <cellStyle name="40% - Accent5 4 2 2 2" xfId="39125" xr:uid="{BAA55F5F-E280-4844-9280-5EDE7C4DB9AC}"/>
    <cellStyle name="40% - Accent5 4 2 3" xfId="39126" xr:uid="{87BBC622-CDCA-4A67-81DE-CDA20791DAC7}"/>
    <cellStyle name="40% - Accent5 4 3" xfId="3522" xr:uid="{2B12AC7C-4A68-4C5C-BF5B-94A3C7D36013}"/>
    <cellStyle name="40% - Accent5 4 3 2" xfId="3523" xr:uid="{C9384E4B-77B9-4DC7-82FB-2D35866CBC58}"/>
    <cellStyle name="40% - Accent5 4 3 3" xfId="3524" xr:uid="{17BF9EEB-1B80-426D-8155-6A4401D68801}"/>
    <cellStyle name="40% - Accent5 4 3 4" xfId="39127" xr:uid="{CC446E15-0E4D-4475-983A-2F357C3FDD79}"/>
    <cellStyle name="40% - Accent5 4 4" xfId="3525" xr:uid="{5D3A4159-B46B-468E-AFF4-888D1375730E}"/>
    <cellStyle name="40% - Accent5 4 4 2" xfId="3526" xr:uid="{59260F13-9764-4027-BF24-367CED374674}"/>
    <cellStyle name="40% - Accent5 4 4 2 2" xfId="3527" xr:uid="{16C1469E-A745-459B-A892-4E9B5FE926B7}"/>
    <cellStyle name="40% - Accent5 4 4 2 3" xfId="3528" xr:uid="{103DB4F3-EFBB-4963-81EC-FD5947B34F3A}"/>
    <cellStyle name="40% - Accent5 4 4 3" xfId="3529" xr:uid="{11DFE858-CB8A-404C-A559-B8B9956901AF}"/>
    <cellStyle name="40% - Accent5 4 4 4" xfId="3530" xr:uid="{BF64C16D-4966-4CCC-8BC8-988AF7A75C70}"/>
    <cellStyle name="40% - Accent5 4 4 5" xfId="3531" xr:uid="{9C545EF2-DA91-47AD-A959-BCF8E88A6B65}"/>
    <cellStyle name="40% - Accent5 4 4 6" xfId="39128" xr:uid="{2B540C11-43EB-4EE7-B3ED-F1B274DE8DA1}"/>
    <cellStyle name="40% - Accent5 4 5" xfId="3532" xr:uid="{BA7B9866-952B-4790-ABD4-4AEA418872E8}"/>
    <cellStyle name="40% - Accent5 4 5 2" xfId="3533" xr:uid="{17448678-B234-40E8-B461-D9279055F422}"/>
    <cellStyle name="40% - Accent5 4 5 3" xfId="3534" xr:uid="{99681D0F-B967-4A14-93D3-5E9486279978}"/>
    <cellStyle name="40% - Accent5 4 5 4" xfId="39129" xr:uid="{B07745E2-AFBC-4094-A6CD-56E08E75F25A}"/>
    <cellStyle name="40% - Accent5 4 6" xfId="3535" xr:uid="{1E2D0C53-D803-40B0-B496-92C2BA6A29E2}"/>
    <cellStyle name="40% - Accent5 4 7" xfId="39130" xr:uid="{1BDB6EF2-68E3-472C-A432-70A47CFFDE6F}"/>
    <cellStyle name="40% - Accent5 4 8" xfId="43550" xr:uid="{E40B014A-CD63-4624-AD2B-4765216BFFC7}"/>
    <cellStyle name="40% - Accent5 4_PwrTax 51040" xfId="3536" xr:uid="{B6507E07-5EBD-4D45-ABAC-ACF33E30720B}"/>
    <cellStyle name="40% - Accent5 40" xfId="39131" xr:uid="{27015398-8027-4C64-8A68-112634E93610}"/>
    <cellStyle name="40% - Accent5 41" xfId="39132" xr:uid="{8FE4F583-097B-427F-9A27-4BD2F25CEE32}"/>
    <cellStyle name="40% - Accent5 42" xfId="39133" xr:uid="{603E7D3F-9D9B-4C0E-A7DD-5862F61C0207}"/>
    <cellStyle name="40% - Accent5 43" xfId="39134" xr:uid="{896A31FC-8596-4A46-BE7B-8004DC1C0EAB}"/>
    <cellStyle name="40% - Accent5 44" xfId="39135" xr:uid="{C1C05704-0F5A-4108-9EB9-DAE74C3E931E}"/>
    <cellStyle name="40% - Accent5 45" xfId="39136" xr:uid="{AD397EE0-BAD1-455B-9ADC-0345FF97232B}"/>
    <cellStyle name="40% - Accent5 46" xfId="39137" xr:uid="{7912213C-B0E4-4147-AD72-7D113094BED2}"/>
    <cellStyle name="40% - Accent5 47" xfId="39138" xr:uid="{FEBEBF1B-17A7-4133-BD0C-68FDF2059CDE}"/>
    <cellStyle name="40% - Accent5 48" xfId="39139" xr:uid="{1AFE2476-95E6-4C01-9D0C-E7386D3CE819}"/>
    <cellStyle name="40% - Accent5 49" xfId="39140" xr:uid="{532C1000-B87F-40D3-876C-A1F2799AEE31}"/>
    <cellStyle name="40% - Accent5 5" xfId="3537" xr:uid="{FCE4A913-626E-4840-9C27-ADF4F2E15A54}"/>
    <cellStyle name="40% - Accent5 5 2" xfId="3538" xr:uid="{1660567E-FBCC-46C5-B8D2-FA3D02DA3212}"/>
    <cellStyle name="40% - Accent5 5 2 2" xfId="39141" xr:uid="{2226B03D-CC00-41EA-A6D7-5A1313463AD5}"/>
    <cellStyle name="40% - Accent5 5 3" xfId="3539" xr:uid="{39EDB66C-094B-4BD9-9FD9-26AF39CB9329}"/>
    <cellStyle name="40% - Accent5 5 4" xfId="39142" xr:uid="{0E20408C-07E5-48F2-B2E3-8B73B0F2D4F3}"/>
    <cellStyle name="40% - Accent5 5 5" xfId="43565" xr:uid="{AF8F11CA-F380-4006-A741-5D4D27468969}"/>
    <cellStyle name="40% - Accent5 50" xfId="39143" xr:uid="{08986146-EE6F-4C94-B8CD-F7A7B7860AF1}"/>
    <cellStyle name="40% - Accent5 51" xfId="39144" xr:uid="{56789470-1E1B-4694-9991-01F38D44690D}"/>
    <cellStyle name="40% - Accent5 52" xfId="39145" xr:uid="{6DE0A9C9-F333-4BC5-A75E-0223F63F251F}"/>
    <cellStyle name="40% - Accent5 53" xfId="39146" xr:uid="{2B73380F-9AA3-4939-BE46-4551EDC89637}"/>
    <cellStyle name="40% - Accent5 54" xfId="39147" xr:uid="{5C5AA69D-2352-4965-8EB9-EF76A60926D7}"/>
    <cellStyle name="40% - Accent5 55" xfId="39148" xr:uid="{C4803C5A-07A5-4240-A57B-735FB4B0C89C}"/>
    <cellStyle name="40% - Accent5 56" xfId="39149" xr:uid="{ADF555DD-1B7C-4968-A37E-D965145DD829}"/>
    <cellStyle name="40% - Accent5 57" xfId="39150" xr:uid="{E7503A1B-A750-47DA-99CA-9A4530447F49}"/>
    <cellStyle name="40% - Accent5 58" xfId="39151" xr:uid="{B160D27C-8CBB-499B-B877-B9BEA4C996F1}"/>
    <cellStyle name="40% - Accent5 59" xfId="39152" xr:uid="{BA4EFF58-D9E5-40F3-AE12-7D90D6141F32}"/>
    <cellStyle name="40% - Accent5 6" xfId="3540" xr:uid="{45856C05-AD35-48A7-918B-6028EA17332A}"/>
    <cellStyle name="40% - Accent5 6 2" xfId="3541" xr:uid="{208FD947-F8F4-4B2B-8029-FC2CD4EA8EDF}"/>
    <cellStyle name="40% - Accent5 6 2 2" xfId="39153" xr:uid="{7FD05C38-0B55-42B6-86E6-6C1426994058}"/>
    <cellStyle name="40% - Accent5 6 3" xfId="3542" xr:uid="{713D284A-FE06-4B82-B5E4-EC233938C095}"/>
    <cellStyle name="40% - Accent5 6 4" xfId="39154" xr:uid="{23CFA8F3-C0D9-450B-B937-AAA1BF00E436}"/>
    <cellStyle name="40% - Accent5 60" xfId="39155" xr:uid="{03874501-5737-4EB3-8FC2-97917BAB81FF}"/>
    <cellStyle name="40% - Accent5 61" xfId="39156" xr:uid="{A2472DC8-3C37-43FF-B0DA-6187CD5AA7F1}"/>
    <cellStyle name="40% - Accent5 62" xfId="39157" xr:uid="{0A4BC36F-F035-46A7-B7CF-3A23A1A07725}"/>
    <cellStyle name="40% - Accent5 63" xfId="39158" xr:uid="{99E95E4F-0342-4A59-B526-C47E05CE7A54}"/>
    <cellStyle name="40% - Accent5 64" xfId="39159" xr:uid="{713114F0-852C-4B1F-88A6-0EFB906371D8}"/>
    <cellStyle name="40% - Accent5 65" xfId="39160" xr:uid="{1DC05B60-F246-41CE-ABC8-799A5533CDA0}"/>
    <cellStyle name="40% - Accent5 66" xfId="39161" xr:uid="{D5DE0C63-F58C-4ADE-96B2-D713639E8A33}"/>
    <cellStyle name="40% - Accent5 67" xfId="39162" xr:uid="{F6E34B4B-8081-4B66-9CD0-783C56110FBB}"/>
    <cellStyle name="40% - Accent5 68" xfId="39163" xr:uid="{4B975F27-29A8-4B95-84B9-3EB78E66EB67}"/>
    <cellStyle name="40% - Accent5 69" xfId="39164" xr:uid="{671EA7B8-7CFA-47C1-ADA6-B91BA5FA03B6}"/>
    <cellStyle name="40% - Accent5 7" xfId="3543" xr:uid="{6B0C1193-D294-42A8-A91C-2DBE2A6AAA32}"/>
    <cellStyle name="40% - Accent5 7 2" xfId="3544" xr:uid="{AA3F4805-5BF2-4DE5-B4CA-55DD4519E4A8}"/>
    <cellStyle name="40% - Accent5 7 3" xfId="3545" xr:uid="{2D38BDA1-5151-45BF-A4A5-0CF3BF46B46E}"/>
    <cellStyle name="40% - Accent5 7 4" xfId="39165" xr:uid="{B848775E-28B5-4589-975F-950C604E8EBE}"/>
    <cellStyle name="40% - Accent5 70" xfId="39166" xr:uid="{E08D5D0F-1E2D-4255-9B4A-480657B5F2C2}"/>
    <cellStyle name="40% - Accent5 71" xfId="39167" xr:uid="{CBB6F8D5-316D-4130-AAF7-EACD83D9C9AC}"/>
    <cellStyle name="40% - Accent5 72" xfId="39168" xr:uid="{647B236D-976A-451A-A298-09F74B78263A}"/>
    <cellStyle name="40% - Accent5 73" xfId="39169" xr:uid="{273EF8F3-438E-4BB4-924E-6029D968E118}"/>
    <cellStyle name="40% - Accent5 74" xfId="39170" xr:uid="{B8DC1C6C-813A-4320-BB68-834E84428EEF}"/>
    <cellStyle name="40% - Accent5 75" xfId="39171" xr:uid="{71AEB3CD-8B5A-46AB-970E-2F1FA7C1F7C2}"/>
    <cellStyle name="40% - Accent5 76" xfId="39172" xr:uid="{C63A3926-9B52-4051-9A5E-15296FE2081C}"/>
    <cellStyle name="40% - Accent5 77" xfId="39173" xr:uid="{B45AC9C5-961E-47BD-8FF2-99BC69CF0751}"/>
    <cellStyle name="40% - Accent5 78" xfId="39174" xr:uid="{2992AAC3-316D-4493-BDF4-BCD76873C823}"/>
    <cellStyle name="40% - Accent5 79" xfId="39175" xr:uid="{1784E073-162E-4D0E-AB1C-D7D7E807E791}"/>
    <cellStyle name="40% - Accent5 8" xfId="3546" xr:uid="{0EDC5409-195E-4715-A16F-DDF299B9CFD5}"/>
    <cellStyle name="40% - Accent5 8 2" xfId="3547" xr:uid="{A791622F-963E-46AC-81CF-D35C2DE83BBE}"/>
    <cellStyle name="40% - Accent5 8 3" xfId="3548" xr:uid="{3A7E36CA-5EBD-4953-9425-530151449650}"/>
    <cellStyle name="40% - Accent5 8 4" xfId="39176" xr:uid="{89FCB760-373E-4457-B148-1C7CB15DC16C}"/>
    <cellStyle name="40% - Accent5 80" xfId="39177" xr:uid="{E6F07BA5-D485-40D9-9431-217DC1D727C2}"/>
    <cellStyle name="40% - Accent5 81" xfId="39178" xr:uid="{65E4979A-A492-42E6-8079-499DD3B4790C}"/>
    <cellStyle name="40% - Accent5 82" xfId="39179" xr:uid="{6AFE83AF-06AC-4096-B05A-3B81781DAA7E}"/>
    <cellStyle name="40% - Accent5 83" xfId="39180" xr:uid="{3593FBB7-5085-467E-BCC1-7A6C8DDCB863}"/>
    <cellStyle name="40% - Accent5 84" xfId="39181" xr:uid="{607564D3-995F-4ED0-B1CC-A36772771EAD}"/>
    <cellStyle name="40% - Accent5 85" xfId="39182" xr:uid="{79ED0D38-15CA-441F-814A-88CD191243CF}"/>
    <cellStyle name="40% - Accent5 86" xfId="39183" xr:uid="{21D3344B-02F8-4FF0-95CB-8D52B22F6D8B}"/>
    <cellStyle name="40% - Accent5 87" xfId="39184" xr:uid="{9029E889-1D21-454E-80E3-B1693A5B1FCC}"/>
    <cellStyle name="40% - Accent5 88" xfId="39185" xr:uid="{0AE76B1D-A070-4439-9B25-A46D87531AC7}"/>
    <cellStyle name="40% - Accent5 89" xfId="39186" xr:uid="{F97B7FF4-249B-454D-A61A-82966BBFAA6A}"/>
    <cellStyle name="40% - Accent5 9" xfId="3549" xr:uid="{3A23FA23-D436-4AEF-AE5E-250FBE0495AE}"/>
    <cellStyle name="40% - Accent5 9 2" xfId="3550" xr:uid="{5654CD88-CC06-4FEE-8CD3-56E041942CB6}"/>
    <cellStyle name="40% - Accent5 9 3" xfId="3551" xr:uid="{8FF5BEA4-8F09-4C41-8BC2-E7D96BC00F78}"/>
    <cellStyle name="40% - Accent5 9 4" xfId="39187" xr:uid="{044A70EF-FF00-40CA-93AD-E0EB2D93A515}"/>
    <cellStyle name="40% - Accent5 90" xfId="39188" xr:uid="{9C53EA3B-C9CE-4F4F-9DBB-2AF06261622F}"/>
    <cellStyle name="40% - Accent5 91" xfId="39189" xr:uid="{7E0C0740-4698-417C-9D00-1B8E04894531}"/>
    <cellStyle name="40% - Accent5 92" xfId="39190" xr:uid="{4C7FD659-5039-41D6-BC3A-2DECC9FCA95B}"/>
    <cellStyle name="40% - Accent5 93" xfId="39191" xr:uid="{84678711-20DB-4099-8ED9-D0CD3A655678}"/>
    <cellStyle name="40% - Accent5 94" xfId="39192" xr:uid="{DDE9744D-957F-41F6-8CD3-DAFC52C07860}"/>
    <cellStyle name="40% - Accent5 95" xfId="39193" xr:uid="{D17E8C13-2260-44BC-A003-28D15FC6C85F}"/>
    <cellStyle name="40% - Accent5 96" xfId="39194" xr:uid="{C3058327-2997-4369-9743-99FF8ADFD417}"/>
    <cellStyle name="40% - Accent5 97" xfId="39195" xr:uid="{EB769070-9DE5-475D-9F0D-36CB28A63278}"/>
    <cellStyle name="40% - Accent5 98" xfId="39196" xr:uid="{36378190-9B70-42CC-83F1-F117F829A606}"/>
    <cellStyle name="40% - Accent5 99" xfId="39197" xr:uid="{8B075FA1-0484-4AB1-A13D-D7BB3F8CE75C}"/>
    <cellStyle name="40% - Accent6 10" xfId="3552" xr:uid="{6EEAC40A-AD00-4044-8FA8-92F1DA9C6473}"/>
    <cellStyle name="40% - Accent6 10 2" xfId="3553" xr:uid="{3D080D5A-E2A1-45E9-A7E6-2244C2222C3E}"/>
    <cellStyle name="40% - Accent6 10 3" xfId="3554" xr:uid="{3F2235F9-3B9D-419E-A721-96FD69FCDE2E}"/>
    <cellStyle name="40% - Accent6 10 4" xfId="39198" xr:uid="{CB58C344-65CA-4791-B266-4274CE97A215}"/>
    <cellStyle name="40% - Accent6 100" xfId="39199" xr:uid="{FDF9705D-C55B-4DB9-B656-1075FE309171}"/>
    <cellStyle name="40% - Accent6 101" xfId="39200" xr:uid="{A747C381-388D-4F87-9A42-6431D36AD0EA}"/>
    <cellStyle name="40% - Accent6 102" xfId="39201" xr:uid="{F8992BC3-AC02-46E2-B977-E986129A6347}"/>
    <cellStyle name="40% - Accent6 103" xfId="43483" xr:uid="{B22752BE-4B00-45F4-93EE-B8D2D503998C}"/>
    <cellStyle name="40% - Accent6 104" xfId="43602" xr:uid="{C6B2038B-D2C1-42A3-A760-E3A75336BA85}"/>
    <cellStyle name="40% - Accent6 105" xfId="173" xr:uid="{1554E111-8ADE-4616-B2C8-D8A7423FC9B7}"/>
    <cellStyle name="40% - Accent6 11" xfId="3555" xr:uid="{D6C47AE5-3786-4BC4-99DF-8E72501A57E0}"/>
    <cellStyle name="40% - Accent6 11 2" xfId="3556" xr:uid="{CAA4BE07-AB32-499D-B343-D75BF1388F6D}"/>
    <cellStyle name="40% - Accent6 11 3" xfId="3557" xr:uid="{5F0B9A57-F854-4D97-9FFA-3802D3AD9906}"/>
    <cellStyle name="40% - Accent6 12" xfId="3558" xr:uid="{42BA2AA6-AE72-43E5-AB4C-8D79AB76F126}"/>
    <cellStyle name="40% - Accent6 12 2" xfId="3559" xr:uid="{4D3FCF09-0E03-4DEE-BAC2-EEBEA6303E85}"/>
    <cellStyle name="40% - Accent6 13" xfId="3560" xr:uid="{CF00AEC8-46B1-4BC2-8294-5AD503F21ABD}"/>
    <cellStyle name="40% - Accent6 13 2" xfId="3561" xr:uid="{8CDFAFD5-8285-4BEF-8A53-1076E3EE80CB}"/>
    <cellStyle name="40% - Accent6 14" xfId="3562" xr:uid="{8AF59AC0-7D85-4AA4-B12D-DED902D69355}"/>
    <cellStyle name="40% - Accent6 14 2" xfId="3563" xr:uid="{8DD59A65-54AD-4CB5-8FB1-C7E944BB9B90}"/>
    <cellStyle name="40% - Accent6 15" xfId="3564" xr:uid="{0D789D32-3B7A-4979-A319-224F42D2AF87}"/>
    <cellStyle name="40% - Accent6 15 2" xfId="3565" xr:uid="{19850A5F-CA58-4587-8932-198432C29841}"/>
    <cellStyle name="40% - Accent6 16" xfId="3566" xr:uid="{4298B569-DE1A-49EA-9F3F-BD3442DA2DB3}"/>
    <cellStyle name="40% - Accent6 16 2" xfId="3567" xr:uid="{938144C2-BB86-4F70-93F7-7FC8E607BD77}"/>
    <cellStyle name="40% - Accent6 17" xfId="3568" xr:uid="{ED7E9681-AA95-4FA1-8861-3952635750ED}"/>
    <cellStyle name="40% - Accent6 17 2" xfId="3569" xr:uid="{C2A47C81-1349-4E86-811F-B9C8230211F5}"/>
    <cellStyle name="40% - Accent6 18" xfId="3570" xr:uid="{B814F408-6B15-43D2-A393-FA27A2A75D25}"/>
    <cellStyle name="40% - Accent6 18 2" xfId="3571" xr:uid="{C8B0592C-D06B-423E-8318-654DC32A96A9}"/>
    <cellStyle name="40% - Accent6 19" xfId="3572" xr:uid="{146A5857-E609-401B-B144-05BF0E399763}"/>
    <cellStyle name="40% - Accent6 19 2" xfId="3573" xr:uid="{E16D64D7-5E85-411A-BF0F-827AC1A121FC}"/>
    <cellStyle name="40% - Accent6 2" xfId="3574" xr:uid="{28ABB034-D861-4836-A1FD-3E7B11210EB8}"/>
    <cellStyle name="40% - Accent6 2 10" xfId="43513" xr:uid="{0AE75F1C-4043-40C2-9761-71546B32CD91}"/>
    <cellStyle name="40% - Accent6 2 2" xfId="3575" xr:uid="{FD2C9E32-7EBA-48AF-94CE-8897CF92BA43}"/>
    <cellStyle name="40% - Accent6 2 2 2" xfId="3576" xr:uid="{6FA79B0D-56F7-4177-80D9-99E96ED6CA7D}"/>
    <cellStyle name="40% - Accent6 2 2 2 2" xfId="3577" xr:uid="{4E267F12-20D1-4FB3-B72D-D291ACC553F2}"/>
    <cellStyle name="40% - Accent6 2 2 2 3" xfId="3578" xr:uid="{392A273C-2C09-4C1F-B8D1-675190BEA84E}"/>
    <cellStyle name="40% - Accent6 2 2 2 4" xfId="39202" xr:uid="{4638D538-158A-4AD7-A87F-8F6B88695652}"/>
    <cellStyle name="40% - Accent6 2 2 3" xfId="3579" xr:uid="{15A97420-3AAA-4E6A-9475-F21796D31DBB}"/>
    <cellStyle name="40% - Accent6 2 2 3 2" xfId="3580" xr:uid="{9221B8E3-0A49-4CE7-AEE2-F829A75DAEB9}"/>
    <cellStyle name="40% - Accent6 2 2 3 3" xfId="39203" xr:uid="{23763CAE-E0C9-4803-924C-F3A0DF8C88B8}"/>
    <cellStyle name="40% - Accent6 2 2 4" xfId="3581" xr:uid="{A2D662E9-5963-4C4A-BE8E-835A813E59D0}"/>
    <cellStyle name="40% - Accent6 2 2 5" xfId="3582" xr:uid="{2CC54EB8-5E3A-4F16-9178-61BE2508B71E}"/>
    <cellStyle name="40% - Accent6 2 2 6" xfId="3583" xr:uid="{2F69A46C-F5A5-4A87-936A-C8B2984367CD}"/>
    <cellStyle name="40% - Accent6 2 2 7" xfId="39204" xr:uid="{B8239837-6D22-433E-8EAB-CB18ECB875CC}"/>
    <cellStyle name="40% - Accent6 2 2_PwrTax 51040" xfId="3584" xr:uid="{F4A3E7DD-1089-4B35-B935-93D642D7E56A}"/>
    <cellStyle name="40% - Accent6 2 3" xfId="3585" xr:uid="{E0910550-DFCB-4FF9-B80E-7D1479827BFF}"/>
    <cellStyle name="40% - Accent6 2 3 10" xfId="3586" xr:uid="{9C33CE14-3C17-4BEE-B6A7-4A85EDC28168}"/>
    <cellStyle name="40% - Accent6 2 3 10 2" xfId="39205" xr:uid="{B4D0C114-BC8D-4B03-8C6A-4838BC21E0BE}"/>
    <cellStyle name="40% - Accent6 2 3 11" xfId="39206" xr:uid="{4B02F91C-E4DD-4C4D-B6D1-94B4366CE52F}"/>
    <cellStyle name="40% - Accent6 2 3 12" xfId="39207" xr:uid="{C84BA440-224D-4823-AC23-DECAFD8329DD}"/>
    <cellStyle name="40% - Accent6 2 3 2" xfId="3587" xr:uid="{9A937E68-4A12-44D4-B3B4-5620ABFC1D91}"/>
    <cellStyle name="40% - Accent6 2 3 2 10" xfId="39208" xr:uid="{E543BB31-F6DD-4135-9CC9-F9014C740C21}"/>
    <cellStyle name="40% - Accent6 2 3 2 11" xfId="39209" xr:uid="{8CF9ECAE-90FC-437E-8604-9CC24AA32512}"/>
    <cellStyle name="40% - Accent6 2 3 2 2" xfId="3588" xr:uid="{F075CA7C-9D0A-4CC8-A6DD-EA1452DDF665}"/>
    <cellStyle name="40% - Accent6 2 3 2 2 2" xfId="3589" xr:uid="{6C02ECC7-0E63-49E0-B665-DDF2F707123C}"/>
    <cellStyle name="40% - Accent6 2 3 2 2 2 2" xfId="3590" xr:uid="{29B9C0EF-0737-4FD2-ACC6-6014847C7C3B}"/>
    <cellStyle name="40% - Accent6 2 3 2 2 2 2 2" xfId="3591" xr:uid="{84D5D600-3D1E-49DB-B8E5-397479A955E5}"/>
    <cellStyle name="40% - Accent6 2 3 2 2 2 2 2 2" xfId="39210" xr:uid="{F6BE8327-DC86-4A43-AAE7-AB39279CEDA0}"/>
    <cellStyle name="40% - Accent6 2 3 2 2 2 2 3" xfId="3592" xr:uid="{198C1EBF-FA83-45DB-A1FF-A6A904EF10D5}"/>
    <cellStyle name="40% - Accent6 2 3 2 2 2 2 3 2" xfId="39211" xr:uid="{2CA64F2F-CF88-45A8-843D-3E814CE506AA}"/>
    <cellStyle name="40% - Accent6 2 3 2 2 2 2 4" xfId="39212" xr:uid="{A81EAA6D-A3D3-4F02-815B-DB0B7A2840D7}"/>
    <cellStyle name="40% - Accent6 2 3 2 2 2 3" xfId="3593" xr:uid="{EA4D6829-E19D-4CB2-B714-84FB557035C3}"/>
    <cellStyle name="40% - Accent6 2 3 2 2 2 3 2" xfId="39213" xr:uid="{5DD3901E-EE2F-49D5-B9BF-4657FEAF2AC0}"/>
    <cellStyle name="40% - Accent6 2 3 2 2 2 4" xfId="3594" xr:uid="{2FDFD6F8-24E3-4743-8959-2C2D37F5B027}"/>
    <cellStyle name="40% - Accent6 2 3 2 2 2 4 2" xfId="39214" xr:uid="{742A968B-9EDE-4F31-8BA9-D2DEB94C785F}"/>
    <cellStyle name="40% - Accent6 2 3 2 2 2 5" xfId="39215" xr:uid="{F048F221-0F75-4A63-AB4F-64B70A0B7EB1}"/>
    <cellStyle name="40% - Accent6 2 3 2 2 3" xfId="3595" xr:uid="{93B2AF5E-EC9E-48F1-821D-1C9B2100679C}"/>
    <cellStyle name="40% - Accent6 2 3 2 2 3 2" xfId="3596" xr:uid="{9C140A99-18C3-4B92-94F4-C40E75AF33B4}"/>
    <cellStyle name="40% - Accent6 2 3 2 2 3 2 2" xfId="39216" xr:uid="{3744FAA6-DC46-4D57-AFD2-084BF8170DB5}"/>
    <cellStyle name="40% - Accent6 2 3 2 2 3 3" xfId="3597" xr:uid="{9A885624-E7E1-4616-AFDA-B072D38B8811}"/>
    <cellStyle name="40% - Accent6 2 3 2 2 3 3 2" xfId="39217" xr:uid="{F759376D-01CF-42CE-B9AA-CCD9D2229F92}"/>
    <cellStyle name="40% - Accent6 2 3 2 2 3 4" xfId="39218" xr:uid="{42D830EB-F5FC-4119-B4A6-37ACD91395F2}"/>
    <cellStyle name="40% - Accent6 2 3 2 2 4" xfId="3598" xr:uid="{87B4CB11-89BA-436B-8122-0AEABFDD3572}"/>
    <cellStyle name="40% - Accent6 2 3 2 2 4 2" xfId="39219" xr:uid="{477B1F80-0CD8-44A7-AC6C-8B18A2C2EB7C}"/>
    <cellStyle name="40% - Accent6 2 3 2 2 5" xfId="3599" xr:uid="{75230E22-7F8C-448A-9E11-66EC7D1B259D}"/>
    <cellStyle name="40% - Accent6 2 3 2 2 5 2" xfId="39220" xr:uid="{F8946DD1-6034-4D50-87F8-72C03638AA57}"/>
    <cellStyle name="40% - Accent6 2 3 2 2 6" xfId="39221" xr:uid="{BBD14599-9FA6-4293-A211-1FD074D5F032}"/>
    <cellStyle name="40% - Accent6 2 3 2 3" xfId="3600" xr:uid="{C5B44E6B-D705-4EE1-A030-F04C93F555D0}"/>
    <cellStyle name="40% - Accent6 2 3 2 3 2" xfId="3601" xr:uid="{2E055BCD-6057-4475-A972-F3C2305FED24}"/>
    <cellStyle name="40% - Accent6 2 3 2 3 2 2" xfId="3602" xr:uid="{DAB69486-37B9-4241-B3B0-806995CDA346}"/>
    <cellStyle name="40% - Accent6 2 3 2 3 2 2 2" xfId="39222" xr:uid="{D635A10E-3B90-4161-86B0-3DC02E56B337}"/>
    <cellStyle name="40% - Accent6 2 3 2 3 2 3" xfId="3603" xr:uid="{63B50645-245B-4D78-8BA0-D7F82017BE25}"/>
    <cellStyle name="40% - Accent6 2 3 2 3 2 3 2" xfId="39223" xr:uid="{A2D3B180-11DA-462A-A54C-922C7680CBCB}"/>
    <cellStyle name="40% - Accent6 2 3 2 3 2 4" xfId="39224" xr:uid="{90CC33DE-3817-4F44-942B-031010106BFD}"/>
    <cellStyle name="40% - Accent6 2 3 2 3 3" xfId="3604" xr:uid="{1906121D-3754-49E0-9B61-730AAC94FE15}"/>
    <cellStyle name="40% - Accent6 2 3 2 3 3 2" xfId="39225" xr:uid="{57664D3E-377D-4CF9-9ECC-BDDEA657DEDD}"/>
    <cellStyle name="40% - Accent6 2 3 2 3 4" xfId="3605" xr:uid="{0E803EA8-A953-4148-9DE0-14E0C05C9902}"/>
    <cellStyle name="40% - Accent6 2 3 2 3 4 2" xfId="39226" xr:uid="{4DB0F919-0802-415E-973B-9C6BB1CC29E8}"/>
    <cellStyle name="40% - Accent6 2 3 2 3 5" xfId="39227" xr:uid="{07ECD4EC-4F5A-4AEA-B6DD-7EEDEA588052}"/>
    <cellStyle name="40% - Accent6 2 3 2 4" xfId="3606" xr:uid="{AB80337F-67CB-4C51-9ECA-556C25A08AAD}"/>
    <cellStyle name="40% - Accent6 2 3 2 4 2" xfId="3607" xr:uid="{4E41A341-254B-4E38-8F91-337A32071802}"/>
    <cellStyle name="40% - Accent6 2 3 2 4 2 2" xfId="39228" xr:uid="{01091D04-B49A-428B-A3B4-8F6E730ED736}"/>
    <cellStyle name="40% - Accent6 2 3 2 4 3" xfId="3608" xr:uid="{4493A029-2E0A-4774-B366-C9889AD99FEE}"/>
    <cellStyle name="40% - Accent6 2 3 2 4 3 2" xfId="39229" xr:uid="{892D7503-61DC-4F14-AADA-F60A3FF2C556}"/>
    <cellStyle name="40% - Accent6 2 3 2 4 4" xfId="39230" xr:uid="{84FBF243-1DCF-48F4-8D7A-F7739EE67720}"/>
    <cellStyle name="40% - Accent6 2 3 2 5" xfId="3609" xr:uid="{DAA1E7FA-B100-499C-81A2-C3BEBDC487D7}"/>
    <cellStyle name="40% - Accent6 2 3 2 5 2" xfId="39231" xr:uid="{6611056A-C693-4179-BF6C-BA59928DB0DF}"/>
    <cellStyle name="40% - Accent6 2 3 2 5 2 2" xfId="39232" xr:uid="{EE6470FE-20E7-41A3-90A6-7CFD1B7DEF68}"/>
    <cellStyle name="40% - Accent6 2 3 2 5 3" xfId="39233" xr:uid="{7D1CE263-9E50-4CE8-B7E2-1B194E1011BE}"/>
    <cellStyle name="40% - Accent6 2 3 2 5 3 2" xfId="39234" xr:uid="{C3B40A29-44E1-47E4-AD5B-CBFB4FCB2A37}"/>
    <cellStyle name="40% - Accent6 2 3 2 5 4" xfId="39235" xr:uid="{75F31BB3-FEDD-476C-B7C1-50D340917F56}"/>
    <cellStyle name="40% - Accent6 2 3 2 6" xfId="3610" xr:uid="{4F5F3673-90C1-44DE-88F9-1CBC2C6AB60F}"/>
    <cellStyle name="40% - Accent6 2 3 2 6 2" xfId="39236" xr:uid="{5115143B-2F7E-45B5-BD0D-6BCC33DC3BD7}"/>
    <cellStyle name="40% - Accent6 2 3 2 6 2 2" xfId="39237" xr:uid="{CD066264-B9BF-4833-8A76-CBE6328D6756}"/>
    <cellStyle name="40% - Accent6 2 3 2 6 3" xfId="39238" xr:uid="{B4CA2253-B2D1-4BEB-9FB4-60A0A9E12826}"/>
    <cellStyle name="40% - Accent6 2 3 2 6 3 2" xfId="39239" xr:uid="{D8E906C2-2EF4-4E12-9A06-52CEAA868745}"/>
    <cellStyle name="40% - Accent6 2 3 2 6 4" xfId="39240" xr:uid="{E9665021-F911-4F4F-9199-7F063F98C0C5}"/>
    <cellStyle name="40% - Accent6 2 3 2 7" xfId="3611" xr:uid="{53DC7A87-91E9-432F-B39E-B87AD6DAADED}"/>
    <cellStyle name="40% - Accent6 2 3 2 7 2" xfId="39241" xr:uid="{D21F98CE-306E-4673-96DB-1ABF7C5FC1BA}"/>
    <cellStyle name="40% - Accent6 2 3 2 7 2 2" xfId="39242" xr:uid="{45C3DB82-8580-4C77-9CDC-84E187A4DD98}"/>
    <cellStyle name="40% - Accent6 2 3 2 7 3" xfId="39243" xr:uid="{612460D3-7BA1-47E7-9268-51D66979B4FD}"/>
    <cellStyle name="40% - Accent6 2 3 2 7 3 2" xfId="39244" xr:uid="{5D61CA88-EA18-4C13-A3A6-F2C366876D61}"/>
    <cellStyle name="40% - Accent6 2 3 2 7 4" xfId="39245" xr:uid="{2FD54DC3-5B8F-47CE-A3AA-125A1A5F8B5B}"/>
    <cellStyle name="40% - Accent6 2 3 2 8" xfId="39246" xr:uid="{8811B6DA-A090-4640-8EB8-4C65939DEE8C}"/>
    <cellStyle name="40% - Accent6 2 3 2 8 2" xfId="39247" xr:uid="{9C0EA401-DA44-429B-A9F6-A6F3716F6CC1}"/>
    <cellStyle name="40% - Accent6 2 3 2 9" xfId="39248" xr:uid="{935F0188-8BFA-4E2B-A53D-AACAB32E04A1}"/>
    <cellStyle name="40% - Accent6 2 3 2 9 2" xfId="39249" xr:uid="{1EBFDB2A-8D57-4310-96F5-0EFB2DB598FA}"/>
    <cellStyle name="40% - Accent6 2 3 3" xfId="3612" xr:uid="{1C736DF2-9AE3-47B0-974B-E5FD0BB469E4}"/>
    <cellStyle name="40% - Accent6 2 3 3 10" xfId="39250" xr:uid="{BFA5E80A-5815-4EE8-B9BC-B6DCCC4E5B49}"/>
    <cellStyle name="40% - Accent6 2 3 3 2" xfId="3613" xr:uid="{84B8EC33-7950-4562-AC41-A15E85C47D5C}"/>
    <cellStyle name="40% - Accent6 2 3 3 2 2" xfId="3614" xr:uid="{190DAF93-3D18-4977-9957-8441F9101BDB}"/>
    <cellStyle name="40% - Accent6 2 3 3 2 2 2" xfId="3615" xr:uid="{5964213B-AC9E-414F-9D83-F68A68053625}"/>
    <cellStyle name="40% - Accent6 2 3 3 2 2 2 2" xfId="39251" xr:uid="{39FFFC56-FC22-42D8-B813-DD69A65B395E}"/>
    <cellStyle name="40% - Accent6 2 3 3 2 2 3" xfId="3616" xr:uid="{C0D078DE-8B2A-406A-825E-443E82EDE4AA}"/>
    <cellStyle name="40% - Accent6 2 3 3 2 2 3 2" xfId="39252" xr:uid="{DC5B88CB-7222-4BBB-B2CA-3F6AE8C3C5E0}"/>
    <cellStyle name="40% - Accent6 2 3 3 2 2 4" xfId="39253" xr:uid="{ADB09A51-CF2F-42DE-9524-F1BAFBB55CF5}"/>
    <cellStyle name="40% - Accent6 2 3 3 2 3" xfId="3617" xr:uid="{46BCFBDC-F085-4D82-8BCA-BC6D34922A64}"/>
    <cellStyle name="40% - Accent6 2 3 3 2 3 2" xfId="39254" xr:uid="{48AF10F9-962E-4EE6-8AF1-6AF997DD53D8}"/>
    <cellStyle name="40% - Accent6 2 3 3 2 4" xfId="3618" xr:uid="{420E69E6-46E6-4A7E-95F6-0FC9702BFFB3}"/>
    <cellStyle name="40% - Accent6 2 3 3 2 4 2" xfId="39255" xr:uid="{FCC264E5-3CBD-451F-9E56-39D286020E8B}"/>
    <cellStyle name="40% - Accent6 2 3 3 2 5" xfId="39256" xr:uid="{356B9777-8DF6-4742-B3EF-7C09DCF1F64E}"/>
    <cellStyle name="40% - Accent6 2 3 3 3" xfId="3619" xr:uid="{C6920FFD-8453-40C7-8E4D-FB71FE4C18D9}"/>
    <cellStyle name="40% - Accent6 2 3 3 3 2" xfId="3620" xr:uid="{EE9286EB-F98F-4638-BF47-E5AD25778E73}"/>
    <cellStyle name="40% - Accent6 2 3 3 3 2 2" xfId="39257" xr:uid="{44F3710F-AC3F-45A3-BF48-F9C6AED5847D}"/>
    <cellStyle name="40% - Accent6 2 3 3 3 3" xfId="3621" xr:uid="{CD807368-6407-4FB5-9ED8-8914DDFFC397}"/>
    <cellStyle name="40% - Accent6 2 3 3 3 3 2" xfId="39258" xr:uid="{CFA700EC-F0BB-43BC-854E-8D9C0D509F21}"/>
    <cellStyle name="40% - Accent6 2 3 3 3 4" xfId="39259" xr:uid="{F3DD0A93-89FB-4BAB-B5FF-48E0FC01D949}"/>
    <cellStyle name="40% - Accent6 2 3 3 4" xfId="3622" xr:uid="{B4E6654F-D210-469B-A439-773033B0D4D1}"/>
    <cellStyle name="40% - Accent6 2 3 3 4 2" xfId="39260" xr:uid="{0F5419A0-A1AD-4DF2-91D5-B5023301CE0A}"/>
    <cellStyle name="40% - Accent6 2 3 3 4 2 2" xfId="39261" xr:uid="{FF15F39D-AD2B-42C3-B36B-EB6CC0EEBFD5}"/>
    <cellStyle name="40% - Accent6 2 3 3 4 3" xfId="39262" xr:uid="{660F1BDB-9294-4405-A813-110858834E4D}"/>
    <cellStyle name="40% - Accent6 2 3 3 4 3 2" xfId="39263" xr:uid="{95427813-7088-471E-92F7-745AD28369BC}"/>
    <cellStyle name="40% - Accent6 2 3 3 4 4" xfId="39264" xr:uid="{4E06037B-C8BE-4B87-8FB0-7E7806468F7B}"/>
    <cellStyle name="40% - Accent6 2 3 3 5" xfId="3623" xr:uid="{01680E0C-ABFA-438A-A7B1-96EA70622B9C}"/>
    <cellStyle name="40% - Accent6 2 3 3 5 2" xfId="39265" xr:uid="{2A592C45-307A-412D-86C4-09083A652AF6}"/>
    <cellStyle name="40% - Accent6 2 3 3 5 2 2" xfId="39266" xr:uid="{7DCAF1A0-F3C2-4580-A9F8-D0B10205B347}"/>
    <cellStyle name="40% - Accent6 2 3 3 5 3" xfId="39267" xr:uid="{A4148349-7FAC-4827-970D-5BA299EAC641}"/>
    <cellStyle name="40% - Accent6 2 3 3 5 3 2" xfId="39268" xr:uid="{92423E7C-C586-4C15-B4D5-7D58DD07005D}"/>
    <cellStyle name="40% - Accent6 2 3 3 5 4" xfId="39269" xr:uid="{8EDE69CE-3814-4A40-9BF7-94DCF68B2088}"/>
    <cellStyle name="40% - Accent6 2 3 3 6" xfId="3624" xr:uid="{7233C244-5C5E-4C3C-A886-2CF7232C2716}"/>
    <cellStyle name="40% - Accent6 2 3 3 6 2" xfId="39270" xr:uid="{31FB2A45-DE3C-46B6-8A46-222562A5E56E}"/>
    <cellStyle name="40% - Accent6 2 3 3 6 2 2" xfId="39271" xr:uid="{A53BBFD9-14A7-4C2C-AA00-BAF33C8A7226}"/>
    <cellStyle name="40% - Accent6 2 3 3 6 3" xfId="39272" xr:uid="{30BD158D-7648-4F5D-8EC1-FDE2C3BDCEB6}"/>
    <cellStyle name="40% - Accent6 2 3 3 6 3 2" xfId="39273" xr:uid="{C466C25A-BEE7-4653-ABA3-90D2F2AD650D}"/>
    <cellStyle name="40% - Accent6 2 3 3 6 4" xfId="39274" xr:uid="{E460FDBC-32E9-40C6-8BC0-A0ECFB809C91}"/>
    <cellStyle name="40% - Accent6 2 3 3 7" xfId="39275" xr:uid="{A65C5F1C-A8A9-4D2D-9DBA-647D8F5C60ED}"/>
    <cellStyle name="40% - Accent6 2 3 3 7 2" xfId="39276" xr:uid="{1E166856-F859-4E52-87E0-4F8ADE60C064}"/>
    <cellStyle name="40% - Accent6 2 3 3 8" xfId="39277" xr:uid="{310B08CF-AA86-4D95-A043-C424F7806A29}"/>
    <cellStyle name="40% - Accent6 2 3 3 8 2" xfId="39278" xr:uid="{B88F0C12-82D6-4881-8291-AACF03FE5358}"/>
    <cellStyle name="40% - Accent6 2 3 3 9" xfId="39279" xr:uid="{89DD4B81-171B-4369-A2F5-6BF608BF06CD}"/>
    <cellStyle name="40% - Accent6 2 3 4" xfId="3625" xr:uid="{5B5735B4-539C-4EC7-B0D9-D5CA1F042766}"/>
    <cellStyle name="40% - Accent6 2 3 4 2" xfId="3626" xr:uid="{349F813D-0ED4-4862-9B2B-78A92E619707}"/>
    <cellStyle name="40% - Accent6 2 3 4 2 2" xfId="3627" xr:uid="{CB9F5ED8-1A3C-4C74-A987-2105D547FF63}"/>
    <cellStyle name="40% - Accent6 2 3 4 2 2 2" xfId="39280" xr:uid="{675EF63F-88E8-45C0-B863-4FD5930E788A}"/>
    <cellStyle name="40% - Accent6 2 3 4 2 3" xfId="3628" xr:uid="{61761FD4-6B58-4580-A55E-EDEF19F17606}"/>
    <cellStyle name="40% - Accent6 2 3 4 2 3 2" xfId="39281" xr:uid="{B5196B54-5AF6-4F31-BA51-22EA6ED6F832}"/>
    <cellStyle name="40% - Accent6 2 3 4 2 4" xfId="39282" xr:uid="{E3310F2E-275C-436D-A0D5-92098DDDB15C}"/>
    <cellStyle name="40% - Accent6 2 3 4 3" xfId="3629" xr:uid="{9C76AAC9-3440-4D00-977C-74EA57E61553}"/>
    <cellStyle name="40% - Accent6 2 3 4 3 2" xfId="39283" xr:uid="{D1A53740-94E2-4ECB-8187-8D4FF7266A9E}"/>
    <cellStyle name="40% - Accent6 2 3 4 3 2 2" xfId="39284" xr:uid="{4E361FB8-BE54-4353-886A-42E1646F25FF}"/>
    <cellStyle name="40% - Accent6 2 3 4 3 3" xfId="39285" xr:uid="{074ADB3A-C4F8-4B2F-9FA7-DEAB35125F9E}"/>
    <cellStyle name="40% - Accent6 2 3 4 3 3 2" xfId="39286" xr:uid="{48150DCB-2D05-4F45-BDF8-8F186017CD42}"/>
    <cellStyle name="40% - Accent6 2 3 4 3 4" xfId="39287" xr:uid="{844999D2-3ECA-4B57-9CF8-B353717C03D1}"/>
    <cellStyle name="40% - Accent6 2 3 4 4" xfId="3630" xr:uid="{149B2FD7-339C-4F26-8FD4-E43F84D0C1F1}"/>
    <cellStyle name="40% - Accent6 2 3 4 4 2" xfId="39288" xr:uid="{41931706-E05F-4B3E-9EF0-72AFECD4D30B}"/>
    <cellStyle name="40% - Accent6 2 3 4 4 2 2" xfId="39289" xr:uid="{90FB3582-3F37-47C2-9E54-CF4F1925140E}"/>
    <cellStyle name="40% - Accent6 2 3 4 4 3" xfId="39290" xr:uid="{548D6010-48F3-4F51-80B0-67AEFAABBA6F}"/>
    <cellStyle name="40% - Accent6 2 3 4 4 3 2" xfId="39291" xr:uid="{7118E5FF-5DD7-4AF5-AC14-3F0CEE88FBC9}"/>
    <cellStyle name="40% - Accent6 2 3 4 4 4" xfId="39292" xr:uid="{37A35903-2CC4-49AF-8114-5422AF92F1A0}"/>
    <cellStyle name="40% - Accent6 2 3 4 5" xfId="39293" xr:uid="{964DD15E-0D0A-40DB-A4C3-8D715D17CFF2}"/>
    <cellStyle name="40% - Accent6 2 3 4 5 2" xfId="39294" xr:uid="{285CA4A3-EF5E-4E09-9702-7302BD55ED8A}"/>
    <cellStyle name="40% - Accent6 2 3 4 5 2 2" xfId="39295" xr:uid="{F3300C4E-927D-41DE-9707-035CDAAD31E5}"/>
    <cellStyle name="40% - Accent6 2 3 4 5 3" xfId="39296" xr:uid="{9D570D35-6EF6-402A-874B-0946A58EEADE}"/>
    <cellStyle name="40% - Accent6 2 3 4 5 3 2" xfId="39297" xr:uid="{89E4E225-263F-4B36-A4A3-B4E41BD06EFC}"/>
    <cellStyle name="40% - Accent6 2 3 4 5 4" xfId="39298" xr:uid="{9D3616AE-A492-465C-A713-DBD42C83B3EE}"/>
    <cellStyle name="40% - Accent6 2 3 4 6" xfId="39299" xr:uid="{FC9C6CFB-6F0B-4B03-AE91-114D56BB1F86}"/>
    <cellStyle name="40% - Accent6 2 3 4 6 2" xfId="39300" xr:uid="{C45632AA-55FB-49F6-BDB4-FA55E7D5B7B3}"/>
    <cellStyle name="40% - Accent6 2 3 4 7" xfId="39301" xr:uid="{B065A948-D774-4D91-AC08-778683645FF3}"/>
    <cellStyle name="40% - Accent6 2 3 4 7 2" xfId="39302" xr:uid="{D35F0963-89CC-45BC-A7CB-0E689F16EC49}"/>
    <cellStyle name="40% - Accent6 2 3 4 8" xfId="39303" xr:uid="{CEB8AA9B-33CD-4EAE-A3A5-193BF4C63AFA}"/>
    <cellStyle name="40% - Accent6 2 3 5" xfId="3631" xr:uid="{0CF3FB3A-6C4E-46E3-AD59-C16E75F61881}"/>
    <cellStyle name="40% - Accent6 2 3 5 2" xfId="3632" xr:uid="{5468DABD-CA27-4AF7-AE81-9015CEF8FF2E}"/>
    <cellStyle name="40% - Accent6 2 3 5 2 2" xfId="3633" xr:uid="{054B879B-8DDA-41EC-BE7F-2B3C8147C967}"/>
    <cellStyle name="40% - Accent6 2 3 5 2 2 2" xfId="39304" xr:uid="{6DFB7DE1-0989-46CD-AF69-D5D9512952DD}"/>
    <cellStyle name="40% - Accent6 2 3 5 2 3" xfId="3634" xr:uid="{196D8211-8306-49D6-B805-FECA746E5E48}"/>
    <cellStyle name="40% - Accent6 2 3 5 2 3 2" xfId="39305" xr:uid="{C258643B-B85A-4A7F-8A94-49FB34AADCEF}"/>
    <cellStyle name="40% - Accent6 2 3 5 2 4" xfId="39306" xr:uid="{92792CA9-FE00-4EA3-ABB3-67A94EF79FF3}"/>
    <cellStyle name="40% - Accent6 2 3 5 3" xfId="3635" xr:uid="{64E5C969-91CF-449A-9000-6181EC12B7CC}"/>
    <cellStyle name="40% - Accent6 2 3 5 3 2" xfId="39307" xr:uid="{D95F88C2-44D0-4D1F-A1AB-3C5EF250FF1D}"/>
    <cellStyle name="40% - Accent6 2 3 5 3 2 2" xfId="39308" xr:uid="{55293740-CF9D-40C0-AA1B-6EDB1D5A6BA5}"/>
    <cellStyle name="40% - Accent6 2 3 5 3 3" xfId="39309" xr:uid="{B7ACBD4F-58D8-4775-8A90-D2A571ECA8FC}"/>
    <cellStyle name="40% - Accent6 2 3 5 3 3 2" xfId="39310" xr:uid="{47057FA4-3FE5-4E98-B122-3F8735559D34}"/>
    <cellStyle name="40% - Accent6 2 3 5 3 4" xfId="39311" xr:uid="{7D998911-B824-4FA0-991F-11A97EDAF220}"/>
    <cellStyle name="40% - Accent6 2 3 5 4" xfId="3636" xr:uid="{418077DB-9C37-40A4-AF8B-856613EBD6BC}"/>
    <cellStyle name="40% - Accent6 2 3 5 4 2" xfId="39312" xr:uid="{111118D3-1B07-4AEC-817D-490132442855}"/>
    <cellStyle name="40% - Accent6 2 3 5 4 2 2" xfId="39313" xr:uid="{41189756-BA9C-4519-B59A-0D13AF11295B}"/>
    <cellStyle name="40% - Accent6 2 3 5 4 3" xfId="39314" xr:uid="{4A7150D9-F9B9-4F26-B579-49BB4BD28B2C}"/>
    <cellStyle name="40% - Accent6 2 3 5 4 3 2" xfId="39315" xr:uid="{DA680ED8-2AF1-4C36-B188-A5EB2590ADAB}"/>
    <cellStyle name="40% - Accent6 2 3 5 4 4" xfId="39316" xr:uid="{F5EA522C-8C63-43FB-806E-A63C419C446A}"/>
    <cellStyle name="40% - Accent6 2 3 5 5" xfId="39317" xr:uid="{81CDD2C1-FD19-4380-A125-E69616D3724C}"/>
    <cellStyle name="40% - Accent6 2 3 5 5 2" xfId="39318" xr:uid="{6649C2A7-B17E-45BC-912B-66AD19828AFA}"/>
    <cellStyle name="40% - Accent6 2 3 5 6" xfId="39319" xr:uid="{09647DCA-2C0B-4278-A8AE-59478820121F}"/>
    <cellStyle name="40% - Accent6 2 3 5 6 2" xfId="39320" xr:uid="{479188F0-435D-4534-801B-89F4B3807525}"/>
    <cellStyle name="40% - Accent6 2 3 5 7" xfId="39321" xr:uid="{695905B1-E73F-481E-99FA-F630832FCFE3}"/>
    <cellStyle name="40% - Accent6 2 3 6" xfId="3637" xr:uid="{4C06D878-0098-471E-AB7C-86DA19C39FFF}"/>
    <cellStyle name="40% - Accent6 2 3 6 2" xfId="3638" xr:uid="{52EC670B-0114-4E1D-A825-2451C56D2698}"/>
    <cellStyle name="40% - Accent6 2 3 6 2 2" xfId="39322" xr:uid="{BA24C7AB-EF8D-456D-86C8-7B8FAE37E533}"/>
    <cellStyle name="40% - Accent6 2 3 6 3" xfId="3639" xr:uid="{CDD3CE17-2F74-4AC4-A304-BA2D26D0097F}"/>
    <cellStyle name="40% - Accent6 2 3 6 3 2" xfId="39323" xr:uid="{2FFADCC9-3FAB-4A78-9831-EF86E12F5F71}"/>
    <cellStyle name="40% - Accent6 2 3 6 4" xfId="39324" xr:uid="{7BAA97C5-B052-458C-9DA8-939A7B8AE807}"/>
    <cellStyle name="40% - Accent6 2 3 7" xfId="3640" xr:uid="{8F71B596-4907-41B8-86B3-CE726CA80842}"/>
    <cellStyle name="40% - Accent6 2 3 7 2" xfId="39325" xr:uid="{0AB2D6DC-9B0D-4AC5-AE4D-F04FDFB414CA}"/>
    <cellStyle name="40% - Accent6 2 3 7 2 2" xfId="39326" xr:uid="{2595B7E7-C007-44CD-B3DB-A8B41183964A}"/>
    <cellStyle name="40% - Accent6 2 3 7 3" xfId="39327" xr:uid="{DAD8C631-765C-4008-9FCA-83B514AA380A}"/>
    <cellStyle name="40% - Accent6 2 3 7 3 2" xfId="39328" xr:uid="{0EBA6263-AA0B-4A9B-9455-75925EF7DD87}"/>
    <cellStyle name="40% - Accent6 2 3 7 4" xfId="39329" xr:uid="{A70E5F92-CCEF-47C3-8F8A-CD84B4C2ABA9}"/>
    <cellStyle name="40% - Accent6 2 3 8" xfId="3641" xr:uid="{C2FD029F-6F4F-42C8-B988-CBBCC09FD7C0}"/>
    <cellStyle name="40% - Accent6 2 3 8 2" xfId="39330" xr:uid="{3444998D-E9C4-4D69-B455-439C98FD879A}"/>
    <cellStyle name="40% - Accent6 2 3 8 2 2" xfId="39331" xr:uid="{1A7BB18F-900A-4A3A-9133-C470FEE83723}"/>
    <cellStyle name="40% - Accent6 2 3 8 3" xfId="39332" xr:uid="{38837222-2D6C-4276-9AF8-2D0B641B3C95}"/>
    <cellStyle name="40% - Accent6 2 3 8 3 2" xfId="39333" xr:uid="{D80804EE-673E-43A4-BA0A-146DFFD42518}"/>
    <cellStyle name="40% - Accent6 2 3 8 4" xfId="39334" xr:uid="{6225CC75-069B-42DF-8AFF-DEA75D94EE7A}"/>
    <cellStyle name="40% - Accent6 2 3 9" xfId="3642" xr:uid="{C9081A90-E94C-4A9D-A9C1-8421B8C1769B}"/>
    <cellStyle name="40% - Accent6 2 3 9 2" xfId="39335" xr:uid="{83451B83-2B1D-48F3-AB31-FBC5CB7A3936}"/>
    <cellStyle name="40% - Accent6 2 4" xfId="3643" xr:uid="{1739828C-17D1-46A6-B718-6510F70FDF33}"/>
    <cellStyle name="40% - Accent6 2 4 2" xfId="3644" xr:uid="{4BFE44D4-B76A-4CFB-AC37-F25B28DF576A}"/>
    <cellStyle name="40% - Accent6 2 4 2 2" xfId="3645" xr:uid="{D1ED4A5F-61F4-4766-891F-9558930E96E2}"/>
    <cellStyle name="40% - Accent6 2 4 2 2 2" xfId="39336" xr:uid="{96006C7F-C7CC-4A91-A09F-83B5BA5C8CD2}"/>
    <cellStyle name="40% - Accent6 2 4 2 2 2 2" xfId="39337" xr:uid="{FF89934D-91DD-4506-ADB9-90FEF0D2C278}"/>
    <cellStyle name="40% - Accent6 2 4 2 2 3" xfId="39338" xr:uid="{1E8F0728-1845-4CFB-A27E-4411EA004AAC}"/>
    <cellStyle name="40% - Accent6 2 4 2 2 3 2" xfId="39339" xr:uid="{87A13FEC-02B0-403C-9F90-C5485AA6AB98}"/>
    <cellStyle name="40% - Accent6 2 4 2 2 4" xfId="39340" xr:uid="{0645C14B-2410-4142-8E8B-4E2B04F09931}"/>
    <cellStyle name="40% - Accent6 2 4 2 3" xfId="3646" xr:uid="{617C2032-104B-4ABB-9345-CD6D13043CDB}"/>
    <cellStyle name="40% - Accent6 2 4 2 3 2" xfId="39341" xr:uid="{D371318D-BF12-4B6C-8E1B-7E173C0A7FC8}"/>
    <cellStyle name="40% - Accent6 2 4 2 3 2 2" xfId="39342" xr:uid="{85A84080-70F1-4529-A367-86583A2A962B}"/>
    <cellStyle name="40% - Accent6 2 4 2 3 3" xfId="39343" xr:uid="{D5FDD7EC-FADA-49CA-B83B-928800A3D3D8}"/>
    <cellStyle name="40% - Accent6 2 4 2 3 3 2" xfId="39344" xr:uid="{DD5197C5-E605-4162-9F9B-7FA624816459}"/>
    <cellStyle name="40% - Accent6 2 4 2 3 4" xfId="39345" xr:uid="{8A48040A-8E36-418B-9A07-F796F113D6E2}"/>
    <cellStyle name="40% - Accent6 2 4 2 4" xfId="39346" xr:uid="{4E6B1BD3-4BD3-4CA9-840E-2797C4F1A454}"/>
    <cellStyle name="40% - Accent6 2 4 2 4 2" xfId="39347" xr:uid="{C8A77163-D2B7-46EB-BABE-658B49F6678D}"/>
    <cellStyle name="40% - Accent6 2 4 2 4 2 2" xfId="39348" xr:uid="{7C09A8EB-9102-4C2B-9095-24EA74DC420B}"/>
    <cellStyle name="40% - Accent6 2 4 2 4 3" xfId="39349" xr:uid="{D0276F1C-B02D-4F95-B168-D39200A7E499}"/>
    <cellStyle name="40% - Accent6 2 4 2 4 3 2" xfId="39350" xr:uid="{3A25CE86-BF71-432B-8F9F-EF5ECAE96BAA}"/>
    <cellStyle name="40% - Accent6 2 4 2 4 4" xfId="39351" xr:uid="{B5984C06-7CA8-4425-ACD6-3E2C541F1ADE}"/>
    <cellStyle name="40% - Accent6 2 4 2 5" xfId="39352" xr:uid="{4970228A-EFDB-4831-A8F7-D1023B204FFE}"/>
    <cellStyle name="40% - Accent6 2 4 2 5 2" xfId="39353" xr:uid="{9B881A34-E409-4B5F-8E14-C48E4F71B3CA}"/>
    <cellStyle name="40% - Accent6 2 4 2 6" xfId="39354" xr:uid="{38481CCF-9C33-4707-972D-6986BE2E5814}"/>
    <cellStyle name="40% - Accent6 2 4 2 6 2" xfId="39355" xr:uid="{ED0BCA75-4603-4041-960A-C589E1635C43}"/>
    <cellStyle name="40% - Accent6 2 4 2 7" xfId="39356" xr:uid="{703AF9D0-FD6E-4BCE-BDD2-0664348BCF78}"/>
    <cellStyle name="40% - Accent6 2 4 3" xfId="3647" xr:uid="{2B1522F3-5A38-4816-9A50-FA71B5D8D066}"/>
    <cellStyle name="40% - Accent6 2 4 3 2" xfId="39357" xr:uid="{79D2B2BB-941A-4D47-897F-5A67C2004635}"/>
    <cellStyle name="40% - Accent6 2 4 3 2 2" xfId="39358" xr:uid="{637E806E-C2B3-4F27-A52F-42D28F34A2C5}"/>
    <cellStyle name="40% - Accent6 2 4 3 2 2 2" xfId="39359" xr:uid="{4E45437E-A3AE-47F1-A36B-2848D1FD6502}"/>
    <cellStyle name="40% - Accent6 2 4 3 2 3" xfId="39360" xr:uid="{02B5E230-780A-4CAF-AC51-34EC84E29C01}"/>
    <cellStyle name="40% - Accent6 2 4 3 2 3 2" xfId="39361" xr:uid="{C34E0647-0AC2-4401-8FEC-358780840543}"/>
    <cellStyle name="40% - Accent6 2 4 3 2 4" xfId="39362" xr:uid="{99638E4B-C1B0-41E8-99FB-F93D668CAF3F}"/>
    <cellStyle name="40% - Accent6 2 4 3 3" xfId="39363" xr:uid="{59A3183B-4E03-475D-BED2-0492E27EF92E}"/>
    <cellStyle name="40% - Accent6 2 4 3 3 2" xfId="39364" xr:uid="{E35652D3-5B96-4CF5-9373-A0A5BAF0066A}"/>
    <cellStyle name="40% - Accent6 2 4 3 3 2 2" xfId="39365" xr:uid="{5294AD6A-E370-4F00-A716-04F74E03FD70}"/>
    <cellStyle name="40% - Accent6 2 4 3 3 3" xfId="39366" xr:uid="{6E48C583-BD74-4E5F-9048-D7614F7E5995}"/>
    <cellStyle name="40% - Accent6 2 4 3 3 3 2" xfId="39367" xr:uid="{CD03E096-3254-4149-869D-8239A36C7635}"/>
    <cellStyle name="40% - Accent6 2 4 3 3 4" xfId="39368" xr:uid="{004BF0B6-196D-4DF6-A3F0-C4E5D17A783D}"/>
    <cellStyle name="40% - Accent6 2 4 3 4" xfId="39369" xr:uid="{849EE893-926A-4A87-8F6A-1E6F89480F58}"/>
    <cellStyle name="40% - Accent6 2 4 3 4 2" xfId="39370" xr:uid="{1E90F3FA-31E1-4CDC-AEBC-AD2184BFB6C1}"/>
    <cellStyle name="40% - Accent6 2 4 3 4 2 2" xfId="39371" xr:uid="{FD27C1EE-C0D9-471C-8668-067F4E1354AA}"/>
    <cellStyle name="40% - Accent6 2 4 3 4 3" xfId="39372" xr:uid="{2FA8F25D-F838-485F-B7DC-44AEDCBEDA19}"/>
    <cellStyle name="40% - Accent6 2 4 3 4 3 2" xfId="39373" xr:uid="{5F8FBEDE-0BB3-4808-A084-450A89E06250}"/>
    <cellStyle name="40% - Accent6 2 4 3 4 4" xfId="39374" xr:uid="{7503069F-CC7C-478C-ADDC-9004CEFDB1CB}"/>
    <cellStyle name="40% - Accent6 2 4 3 5" xfId="39375" xr:uid="{CDC6451C-E0C2-4EB8-A3BC-BE7E09533E26}"/>
    <cellStyle name="40% - Accent6 2 4 3 5 2" xfId="39376" xr:uid="{F7C287D9-3033-45E3-B4BF-A9EDDC3A5D25}"/>
    <cellStyle name="40% - Accent6 2 4 3 6" xfId="39377" xr:uid="{B6C3FE76-DCEF-4721-92C0-BD5244EEB6A3}"/>
    <cellStyle name="40% - Accent6 2 4 3 6 2" xfId="39378" xr:uid="{0E6F1E7A-0DDA-4822-B716-8E93A14F125C}"/>
    <cellStyle name="40% - Accent6 2 4 3 7" xfId="39379" xr:uid="{5418F029-9C41-4A3C-B300-94B8125510FB}"/>
    <cellStyle name="40% - Accent6 2 4 4" xfId="3648" xr:uid="{02AA2E8E-EF6A-4864-AC02-C8085BE9D182}"/>
    <cellStyle name="40% - Accent6 2 4 4 2" xfId="39380" xr:uid="{1DA8E508-37B1-4CDC-AB7A-081CF04F1130}"/>
    <cellStyle name="40% - Accent6 2 4 4 2 2" xfId="39381" xr:uid="{8C5A4DEC-7042-4CF6-A83C-CEED1C718A5A}"/>
    <cellStyle name="40% - Accent6 2 4 4 3" xfId="39382" xr:uid="{3162895D-7F16-459C-8615-25083CF86014}"/>
    <cellStyle name="40% - Accent6 2 4 4 3 2" xfId="39383" xr:uid="{B607ED6F-545E-4A6E-B82B-56F508037621}"/>
    <cellStyle name="40% - Accent6 2 4 4 4" xfId="39384" xr:uid="{7525FB82-F7B6-4DBD-B622-97E9F876AD1D}"/>
    <cellStyle name="40% - Accent6 2 4 5" xfId="3649" xr:uid="{A7E42AB3-8D6A-4D57-A67D-C27E48D9EBAD}"/>
    <cellStyle name="40% - Accent6 2 4 5 2" xfId="39385" xr:uid="{BBA3FC90-F1AC-47BD-8276-E29E13E17732}"/>
    <cellStyle name="40% - Accent6 2 4 5 2 2" xfId="39386" xr:uid="{76978F87-30F1-4B80-81BC-8C17F5F971A3}"/>
    <cellStyle name="40% - Accent6 2 4 5 3" xfId="39387" xr:uid="{9CF0066E-3C2D-4CF6-90C7-93796033CBC6}"/>
    <cellStyle name="40% - Accent6 2 4 5 3 2" xfId="39388" xr:uid="{D2F22360-6F3A-4D5B-9DF4-99BEEEEA0B4D}"/>
    <cellStyle name="40% - Accent6 2 4 5 4" xfId="39389" xr:uid="{5730B8D1-5701-4AB8-80E7-AE565B9BF366}"/>
    <cellStyle name="40% - Accent6 2 4 6" xfId="39390" xr:uid="{5D7D65CE-80D1-4716-92F5-F87EE8BBF2CB}"/>
    <cellStyle name="40% - Accent6 2 4 6 2" xfId="39391" xr:uid="{BA5AC091-C33B-45B3-8B2E-D222CD30C361}"/>
    <cellStyle name="40% - Accent6 2 4 6 2 2" xfId="39392" xr:uid="{358D1833-B0E6-4E9E-B867-D2D612C533B3}"/>
    <cellStyle name="40% - Accent6 2 4 6 3" xfId="39393" xr:uid="{086C2765-1094-4725-883B-A8F2426939CE}"/>
    <cellStyle name="40% - Accent6 2 4 6 3 2" xfId="39394" xr:uid="{2D0B4369-E30C-40B4-90D6-237D5CD107BC}"/>
    <cellStyle name="40% - Accent6 2 4 6 4" xfId="39395" xr:uid="{B358B298-F1C6-4689-BB81-AB39F64A9A97}"/>
    <cellStyle name="40% - Accent6 2 4 7" xfId="39396" xr:uid="{8D1D5E0C-D69A-431C-ADA8-76A127CB9584}"/>
    <cellStyle name="40% - Accent6 2 4 7 2" xfId="39397" xr:uid="{FE04E651-6039-48B2-B088-1FDE6D289350}"/>
    <cellStyle name="40% - Accent6 2 4 8" xfId="39398" xr:uid="{0A4F83DF-4C5C-41B2-BF3F-B71EE15F2725}"/>
    <cellStyle name="40% - Accent6 2 4 8 2" xfId="39399" xr:uid="{325CC639-C09B-4195-97A8-2E1974391D12}"/>
    <cellStyle name="40% - Accent6 2 4 9" xfId="39400" xr:uid="{A9D57613-5F7E-4C4A-A997-8DE9458619CC}"/>
    <cellStyle name="40% - Accent6 2 5" xfId="39401" xr:uid="{402F760A-78E0-4713-8941-257301A52FEC}"/>
    <cellStyle name="40% - Accent6 2 5 2" xfId="39402" xr:uid="{60E712B0-7FFD-477C-A4F6-1B614E5A8820}"/>
    <cellStyle name="40% - Accent6 2 5 2 2" xfId="39403" xr:uid="{E87564ED-BD7D-4E41-A6A6-2E73801A3876}"/>
    <cellStyle name="40% - Accent6 2 5 2 2 2" xfId="39404" xr:uid="{F1F32F10-50BD-4535-A48B-37F8D8EB7265}"/>
    <cellStyle name="40% - Accent6 2 5 2 3" xfId="39405" xr:uid="{4A75CDCA-C508-4700-8B9C-C218F3C83A29}"/>
    <cellStyle name="40% - Accent6 2 5 2 3 2" xfId="39406" xr:uid="{74DF4D81-FAFB-4A62-8B5C-26DE74E7D4C7}"/>
    <cellStyle name="40% - Accent6 2 5 2 4" xfId="39407" xr:uid="{11FA02FF-24A8-4D38-915F-23EF8A3286C3}"/>
    <cellStyle name="40% - Accent6 2 5 3" xfId="39408" xr:uid="{9C63841E-D193-48ED-824C-0F6900677996}"/>
    <cellStyle name="40% - Accent6 2 5 3 2" xfId="39409" xr:uid="{C5886E59-4B91-49EB-A889-1EC1BE95A1DB}"/>
    <cellStyle name="40% - Accent6 2 5 3 2 2" xfId="39410" xr:uid="{0E2E6F94-F7C8-45EE-91F5-B0D6A4F69DE2}"/>
    <cellStyle name="40% - Accent6 2 5 3 3" xfId="39411" xr:uid="{0FA2C0AA-299F-4111-9E2F-C7D2EE5E6C01}"/>
    <cellStyle name="40% - Accent6 2 5 3 3 2" xfId="39412" xr:uid="{90891FFD-A67C-4978-9121-024B39FF1B8F}"/>
    <cellStyle name="40% - Accent6 2 5 3 4" xfId="39413" xr:uid="{F9DF8F9D-7F73-4CF0-94AD-1BEF6B59B3B6}"/>
    <cellStyle name="40% - Accent6 2 5 4" xfId="39414" xr:uid="{5BB9D0B1-A809-4023-8303-9A5BBC0956F5}"/>
    <cellStyle name="40% - Accent6 2 5 4 2" xfId="39415" xr:uid="{E11C7D9A-4016-4033-B44A-6A5C9AABB926}"/>
    <cellStyle name="40% - Accent6 2 5 4 2 2" xfId="39416" xr:uid="{822B1F30-81E5-4447-8BF8-650E5B813CE0}"/>
    <cellStyle name="40% - Accent6 2 5 4 3" xfId="39417" xr:uid="{52A04DC0-2855-4FE6-9322-1ACBF5171DFF}"/>
    <cellStyle name="40% - Accent6 2 5 4 3 2" xfId="39418" xr:uid="{B87ED74D-68EB-4E24-9298-C5E791E22278}"/>
    <cellStyle name="40% - Accent6 2 5 4 4" xfId="39419" xr:uid="{747729AC-2783-4548-A6A3-5EA2F40B9602}"/>
    <cellStyle name="40% - Accent6 2 5 5" xfId="39420" xr:uid="{AF9E107E-60F9-4817-8ABE-59A61934D068}"/>
    <cellStyle name="40% - Accent6 2 5 5 2" xfId="39421" xr:uid="{9CF77479-8481-4F22-8669-91FDEE1152A1}"/>
    <cellStyle name="40% - Accent6 2 5 6" xfId="39422" xr:uid="{EC68BEB9-0CEE-403B-98A0-44E51A74D15C}"/>
    <cellStyle name="40% - Accent6 2 5 6 2" xfId="39423" xr:uid="{37066D32-3151-46BD-8110-726BC32FA5FE}"/>
    <cellStyle name="40% - Accent6 2 5 7" xfId="39424" xr:uid="{FF1758C7-3869-44B8-A6A1-D6923582D691}"/>
    <cellStyle name="40% - Accent6 2 6" xfId="39425" xr:uid="{91CFC913-7439-4577-BA5B-8CC601CF2EC5}"/>
    <cellStyle name="40% - Accent6 2 6 2" xfId="39426" xr:uid="{01539654-78DD-45C1-9828-835FEC73B693}"/>
    <cellStyle name="40% - Accent6 2 6 2 2" xfId="39427" xr:uid="{D749FBD0-F0FD-4FDE-BD2A-7076B085FFE3}"/>
    <cellStyle name="40% - Accent6 2 6 3" xfId="39428" xr:uid="{42D1F3B5-C8B8-476A-A6DB-64E7327A13F6}"/>
    <cellStyle name="40% - Accent6 2 6 3 2" xfId="39429" xr:uid="{DAC98FB0-9A34-41DB-8BF1-B310880A03D3}"/>
    <cellStyle name="40% - Accent6 2 6 4" xfId="39430" xr:uid="{5D882F40-089A-42B8-B24C-41EB4B73AF3A}"/>
    <cellStyle name="40% - Accent6 2 7" xfId="39431" xr:uid="{3BE6DB3B-C33B-434F-8F92-FB529ECBBB7E}"/>
    <cellStyle name="40% - Accent6 2 7 2" xfId="39432" xr:uid="{B8C30AAA-98D6-480C-923C-1FA33ED8E66B}"/>
    <cellStyle name="40% - Accent6 2 7 2 2" xfId="39433" xr:uid="{2110A603-F6AE-4D8C-ADB3-378C115D376B}"/>
    <cellStyle name="40% - Accent6 2 7 3" xfId="39434" xr:uid="{827B08AE-0F13-4DF5-B255-3604B6D5E5F9}"/>
    <cellStyle name="40% - Accent6 2 7 3 2" xfId="39435" xr:uid="{438CBE11-E5EC-47A9-8D8F-751FD002C5B5}"/>
    <cellStyle name="40% - Accent6 2 7 4" xfId="39436" xr:uid="{B337B6BE-27D6-436E-B8FF-55E17A1ADD26}"/>
    <cellStyle name="40% - Accent6 2 8" xfId="39437" xr:uid="{7F62EB5F-740A-4E1D-B5B2-A56449D8018E}"/>
    <cellStyle name="40% - Accent6 2 9" xfId="39438" xr:uid="{2943F1E1-C2F4-4A6F-9CCD-2D996A164686}"/>
    <cellStyle name="40% - Accent6 2_PwrTax 51040" xfId="3650" xr:uid="{2BDE258E-39D6-4E63-A02B-952CBAC9A6F7}"/>
    <cellStyle name="40% - Accent6 20" xfId="3651" xr:uid="{E5FCC9E8-5899-4809-9F09-723ED6E23AB9}"/>
    <cellStyle name="40% - Accent6 21" xfId="3652" xr:uid="{EBAB4135-D12F-4ECB-9035-1E2D39990FA6}"/>
    <cellStyle name="40% - Accent6 22" xfId="3653" xr:uid="{295FC453-9971-4E93-A1EE-2870213C3157}"/>
    <cellStyle name="40% - Accent6 23" xfId="3654" xr:uid="{FF8C4C18-1D2D-47E8-9D04-42CB8E453B48}"/>
    <cellStyle name="40% - Accent6 24" xfId="3655" xr:uid="{60EB8411-C7B8-4133-AF7A-F9F93371A4FD}"/>
    <cellStyle name="40% - Accent6 25" xfId="3656" xr:uid="{0773DE4C-4D23-4283-9B79-141238013FCF}"/>
    <cellStyle name="40% - Accent6 26" xfId="3657" xr:uid="{23F37CF7-2889-43F9-8822-FE6A88DDB7E1}"/>
    <cellStyle name="40% - Accent6 27" xfId="3658" xr:uid="{B6B1087F-8A5F-42B5-9F2C-C75F7F326F42}"/>
    <cellStyle name="40% - Accent6 28" xfId="3659" xr:uid="{5ECAEEA4-DC54-4C24-A4C8-453572FEC630}"/>
    <cellStyle name="40% - Accent6 29" xfId="3660" xr:uid="{A96D5463-7FCC-4EF5-B8B1-5C2855D2A771}"/>
    <cellStyle name="40% - Accent6 3" xfId="3661" xr:uid="{D80B371B-9FCA-4267-9478-D8A246063F11}"/>
    <cellStyle name="40% - Accent6 3 10" xfId="39439" xr:uid="{3C2C73D2-0EA6-4666-A4F5-84F7E10D6909}"/>
    <cellStyle name="40% - Accent6 3 11" xfId="43538" xr:uid="{291C4C36-6E11-421D-B318-B298F0AC486F}"/>
    <cellStyle name="40% - Accent6 3 2" xfId="3662" xr:uid="{412EA2B0-346A-42C1-B2E8-536B042F4616}"/>
    <cellStyle name="40% - Accent6 3 2 2" xfId="39440" xr:uid="{D2DF03BE-25D0-4D7C-AC9B-E325659FF948}"/>
    <cellStyle name="40% - Accent6 3 2 2 2" xfId="39441" xr:uid="{8E34CDBA-056E-4133-8071-B8209BC0BD79}"/>
    <cellStyle name="40% - Accent6 3 2 3" xfId="39442" xr:uid="{C5C8E6C4-A65C-4723-9BB9-1263616B2BFE}"/>
    <cellStyle name="40% - Accent6 3 3" xfId="3663" xr:uid="{62950D62-D87A-4AA4-B464-486006539D94}"/>
    <cellStyle name="40% - Accent6 3 3 10" xfId="39443" xr:uid="{72E55160-C715-446B-B5E7-B825AAD21F1C}"/>
    <cellStyle name="40% - Accent6 3 3 10 2" xfId="39444" xr:uid="{FCBA270E-4AD4-4DAB-9BA2-813AF04D91A9}"/>
    <cellStyle name="40% - Accent6 3 3 11" xfId="39445" xr:uid="{C6DE8AD8-75AD-4B43-9342-D02F60FC4F2B}"/>
    <cellStyle name="40% - Accent6 3 3 12" xfId="39446" xr:uid="{8EF1CEDA-4735-416D-A7BC-E69C3C7245DA}"/>
    <cellStyle name="40% - Accent6 3 3 2" xfId="3664" xr:uid="{86415DD8-75B0-4A95-8C78-066B88561264}"/>
    <cellStyle name="40% - Accent6 3 3 2 2" xfId="3665" xr:uid="{3D2B4A65-3C7C-455D-928E-79761743F602}"/>
    <cellStyle name="40% - Accent6 3 3 2 2 2" xfId="3666" xr:uid="{9F375DC6-4187-407A-9894-618ACC3E1FAD}"/>
    <cellStyle name="40% - Accent6 3 3 2 2 2 2" xfId="3667" xr:uid="{0EABB17A-9F9E-4209-9439-9537BE63E78A}"/>
    <cellStyle name="40% - Accent6 3 3 2 2 2 2 2" xfId="39447" xr:uid="{24F99375-9666-4FE2-AE99-3FE3F9C93DF8}"/>
    <cellStyle name="40% - Accent6 3 3 2 2 2 3" xfId="3668" xr:uid="{4BE7C204-7D5F-4A00-B9AE-71617853DD69}"/>
    <cellStyle name="40% - Accent6 3 3 2 2 2 3 2" xfId="39448" xr:uid="{8D1B4D6E-526A-4753-A587-CF22ACDCE882}"/>
    <cellStyle name="40% - Accent6 3 3 2 2 2 4" xfId="39449" xr:uid="{93BC3DEE-F45E-4725-83E1-BB108374F721}"/>
    <cellStyle name="40% - Accent6 3 3 2 2 3" xfId="3669" xr:uid="{A4C06928-9736-43B3-B235-D8D982D374E9}"/>
    <cellStyle name="40% - Accent6 3 3 2 2 3 2" xfId="39450" xr:uid="{A49DD478-53B5-4A3F-9635-CC4F2757C2C1}"/>
    <cellStyle name="40% - Accent6 3 3 2 2 4" xfId="3670" xr:uid="{A3CA4604-07D4-40DC-8ECA-199D60D6F2A0}"/>
    <cellStyle name="40% - Accent6 3 3 2 2 4 2" xfId="39451" xr:uid="{5D723CA9-78E5-4315-B5F2-3D4942F0A984}"/>
    <cellStyle name="40% - Accent6 3 3 2 2 5" xfId="39452" xr:uid="{027AB2D8-997C-44B1-956E-FD5E2199A33B}"/>
    <cellStyle name="40% - Accent6 3 3 2 3" xfId="3671" xr:uid="{049BCEAA-0DFC-4A9D-A56C-5889D4689988}"/>
    <cellStyle name="40% - Accent6 3 3 2 3 2" xfId="3672" xr:uid="{A09E53F7-2DC6-44E8-BF26-2E40E22C0D41}"/>
    <cellStyle name="40% - Accent6 3 3 2 3 2 2" xfId="39453" xr:uid="{03BE118C-3F6F-4F09-BDE7-C9FB4FEBF17A}"/>
    <cellStyle name="40% - Accent6 3 3 2 3 3" xfId="3673" xr:uid="{A7ECE871-79F7-45D6-9646-DCD1D8DE2821}"/>
    <cellStyle name="40% - Accent6 3 3 2 3 3 2" xfId="39454" xr:uid="{DC4CAE83-A78A-4FE3-BF84-69C5C824FDA0}"/>
    <cellStyle name="40% - Accent6 3 3 2 3 4" xfId="39455" xr:uid="{E6511873-50EF-4153-8F2D-649DCAF7AF99}"/>
    <cellStyle name="40% - Accent6 3 3 2 4" xfId="3674" xr:uid="{4986BA67-5EBA-4E5A-9083-F70B1F368698}"/>
    <cellStyle name="40% - Accent6 3 3 2 4 2" xfId="39456" xr:uid="{F73F6DD8-AABD-40FC-A89E-2AC7B2165A58}"/>
    <cellStyle name="40% - Accent6 3 3 2 4 2 2" xfId="39457" xr:uid="{99FD6F70-4A15-4D37-A720-39FD8A7CEA01}"/>
    <cellStyle name="40% - Accent6 3 3 2 4 3" xfId="39458" xr:uid="{73F20B14-05E2-41D0-9AC7-0668975885E6}"/>
    <cellStyle name="40% - Accent6 3 3 2 4 3 2" xfId="39459" xr:uid="{94DE1F09-A0C6-4792-8E1E-87A14768BA58}"/>
    <cellStyle name="40% - Accent6 3 3 2 4 4" xfId="39460" xr:uid="{605A9372-494F-4961-BD3E-A4F512C299D4}"/>
    <cellStyle name="40% - Accent6 3 3 2 5" xfId="3675" xr:uid="{B450DC19-C2C6-46D6-92B5-4825FF9B8025}"/>
    <cellStyle name="40% - Accent6 3 3 2 5 2" xfId="39461" xr:uid="{FE211BAF-DFD3-4679-8EDC-DF2C5119B651}"/>
    <cellStyle name="40% - Accent6 3 3 2 5 2 2" xfId="39462" xr:uid="{1B5CBAA3-161A-4714-B4BD-556DCF12B56E}"/>
    <cellStyle name="40% - Accent6 3 3 2 5 3" xfId="39463" xr:uid="{3DB94F4A-3C52-4C2B-B913-A43C7ECF9DEC}"/>
    <cellStyle name="40% - Accent6 3 3 2 5 3 2" xfId="39464" xr:uid="{BCB70337-1DF9-4021-A9C1-43358E09C4B9}"/>
    <cellStyle name="40% - Accent6 3 3 2 5 4" xfId="39465" xr:uid="{4C443A06-636A-499B-AF23-8AA91A81F849}"/>
    <cellStyle name="40% - Accent6 3 3 2 6" xfId="39466" xr:uid="{42D1F0AC-5921-466B-9D5E-ECF6DB0ACE6C}"/>
    <cellStyle name="40% - Accent6 3 3 2 6 2" xfId="39467" xr:uid="{CD519C35-557E-47CD-BE96-5EB4E71F596B}"/>
    <cellStyle name="40% - Accent6 3 3 2 6 2 2" xfId="39468" xr:uid="{B5C80C49-493A-4B7A-A88B-32CD6F4C17E4}"/>
    <cellStyle name="40% - Accent6 3 3 2 6 3" xfId="39469" xr:uid="{FB586460-CA64-4D2E-BF83-E11A738CBE37}"/>
    <cellStyle name="40% - Accent6 3 3 2 6 3 2" xfId="39470" xr:uid="{EC3FF45B-F2A1-4E35-AC3C-EC3C857C5E1D}"/>
    <cellStyle name="40% - Accent6 3 3 2 6 4" xfId="39471" xr:uid="{628C13E3-EBB3-42BB-AC60-9291884493C4}"/>
    <cellStyle name="40% - Accent6 3 3 2 7" xfId="39472" xr:uid="{72C7FAB7-6084-483A-B778-92E3E6466AE8}"/>
    <cellStyle name="40% - Accent6 3 3 2 7 2" xfId="39473" xr:uid="{BCE0885B-E7E6-4BFF-A5A1-9D43346C1554}"/>
    <cellStyle name="40% - Accent6 3 3 2 8" xfId="39474" xr:uid="{E6F23AD1-FD36-444F-A75F-5C0CA32F38EC}"/>
    <cellStyle name="40% - Accent6 3 3 2 8 2" xfId="39475" xr:uid="{DD94A452-0E37-4819-8493-9071D2A0DC7B}"/>
    <cellStyle name="40% - Accent6 3 3 2 9" xfId="39476" xr:uid="{F71F081B-CBF2-4D9B-B8F5-CB65EFC8C581}"/>
    <cellStyle name="40% - Accent6 3 3 3" xfId="3676" xr:uid="{79B63365-5401-4C2E-9488-5138D9F21A4C}"/>
    <cellStyle name="40% - Accent6 3 3 3 2" xfId="3677" xr:uid="{0921BF09-08F5-4DA8-9AFC-96ED0677C192}"/>
    <cellStyle name="40% - Accent6 3 3 3 2 2" xfId="3678" xr:uid="{7C68109B-1EB6-48F6-A340-5FD9B5C76FEA}"/>
    <cellStyle name="40% - Accent6 3 3 3 2 2 2" xfId="39477" xr:uid="{683E7400-9778-4FA5-9312-7E572137874E}"/>
    <cellStyle name="40% - Accent6 3 3 3 2 3" xfId="3679" xr:uid="{522E37DA-A214-4934-80B4-EFD8268C12B3}"/>
    <cellStyle name="40% - Accent6 3 3 3 2 3 2" xfId="39478" xr:uid="{5A5EB18E-DF42-463E-B507-FEBA03048E3B}"/>
    <cellStyle name="40% - Accent6 3 3 3 2 4" xfId="39479" xr:uid="{C5380137-E576-4EDE-ACDF-1E8CF7FBBF85}"/>
    <cellStyle name="40% - Accent6 3 3 3 3" xfId="3680" xr:uid="{4EDD5F7C-0560-44BC-B909-670D660D5B76}"/>
    <cellStyle name="40% - Accent6 3 3 3 3 2" xfId="39480" xr:uid="{332F0046-51BD-412D-B18F-B122F3BFB1C8}"/>
    <cellStyle name="40% - Accent6 3 3 3 3 2 2" xfId="39481" xr:uid="{EAB286C3-6B48-49D4-89FF-5FE36685D73B}"/>
    <cellStyle name="40% - Accent6 3 3 3 3 3" xfId="39482" xr:uid="{AF4ACC40-8253-4C4A-8405-917BC4C2A74C}"/>
    <cellStyle name="40% - Accent6 3 3 3 3 3 2" xfId="39483" xr:uid="{3EB30334-C4BE-4D4A-809F-D9D24EE1DC07}"/>
    <cellStyle name="40% - Accent6 3 3 3 3 4" xfId="39484" xr:uid="{7B83ED4D-B7E9-4C49-B951-A3E3C1591749}"/>
    <cellStyle name="40% - Accent6 3 3 3 4" xfId="3681" xr:uid="{C575E68F-FC53-4DA4-9693-BD527A32DC2B}"/>
    <cellStyle name="40% - Accent6 3 3 3 4 2" xfId="39485" xr:uid="{C52A0653-33F6-4641-80E6-4AE4CA417D74}"/>
    <cellStyle name="40% - Accent6 3 3 3 4 2 2" xfId="39486" xr:uid="{A5033C08-20F8-4AA9-89DA-6E070B2B39A3}"/>
    <cellStyle name="40% - Accent6 3 3 3 4 3" xfId="39487" xr:uid="{9218882B-9A4F-453E-82AC-69D57A891004}"/>
    <cellStyle name="40% - Accent6 3 3 3 4 3 2" xfId="39488" xr:uid="{8DF8ABA4-92FF-46D3-92BA-2731DA6B3C03}"/>
    <cellStyle name="40% - Accent6 3 3 3 4 4" xfId="39489" xr:uid="{BB2B1C1F-33C8-4340-A3D8-1DD38B10D756}"/>
    <cellStyle name="40% - Accent6 3 3 3 5" xfId="3682" xr:uid="{154EC0FA-A37C-42B2-A5ED-C00EB2AEAE57}"/>
    <cellStyle name="40% - Accent6 3 3 3 5 2" xfId="39490" xr:uid="{A6DB2522-F5EE-41B4-8772-BB6F2349E6A2}"/>
    <cellStyle name="40% - Accent6 3 3 3 5 2 2" xfId="39491" xr:uid="{5A99CD5D-66F0-4BF2-B9B0-C7E302D5A69F}"/>
    <cellStyle name="40% - Accent6 3 3 3 5 3" xfId="39492" xr:uid="{417DB1F7-31AB-4707-A4BD-0637AF340399}"/>
    <cellStyle name="40% - Accent6 3 3 3 5 3 2" xfId="39493" xr:uid="{926B10A0-A3C0-4487-87BE-CC516E8BB9CE}"/>
    <cellStyle name="40% - Accent6 3 3 3 5 4" xfId="39494" xr:uid="{3E9F00E4-B5E5-4F97-8642-5B0A1B8197A7}"/>
    <cellStyle name="40% - Accent6 3 3 3 6" xfId="39495" xr:uid="{CD412F59-57BC-4693-9887-833B58072269}"/>
    <cellStyle name="40% - Accent6 3 3 3 6 2" xfId="39496" xr:uid="{CA3CB938-0114-47BB-B83A-ABA90BEF87AC}"/>
    <cellStyle name="40% - Accent6 3 3 3 7" xfId="39497" xr:uid="{363DB69A-3AC8-4F76-B7A8-2C0CDE862E4A}"/>
    <cellStyle name="40% - Accent6 3 3 3 7 2" xfId="39498" xr:uid="{73441204-731F-40E0-8275-8029D0FEF802}"/>
    <cellStyle name="40% - Accent6 3 3 3 8" xfId="39499" xr:uid="{A5DB5276-0738-44B4-AB96-8FAEB394721C}"/>
    <cellStyle name="40% - Accent6 3 3 4" xfId="3683" xr:uid="{905D680C-178E-48D8-B4CE-E18CED6BEE79}"/>
    <cellStyle name="40% - Accent6 3 3 4 2" xfId="3684" xr:uid="{BC500989-BE2A-4622-9591-E0199142B1C6}"/>
    <cellStyle name="40% - Accent6 3 3 4 2 2" xfId="3685" xr:uid="{600F2EF9-D6FE-42DA-83B7-823551682285}"/>
    <cellStyle name="40% - Accent6 3 3 4 2 2 2" xfId="39500" xr:uid="{C02264C2-A2FA-4E9E-91C0-51CF886FEA75}"/>
    <cellStyle name="40% - Accent6 3 3 4 2 3" xfId="3686" xr:uid="{9A579A7B-D866-41E0-A3A6-76AD9A95618D}"/>
    <cellStyle name="40% - Accent6 3 3 4 2 3 2" xfId="39501" xr:uid="{61C4124C-0114-4829-B755-816F2694413C}"/>
    <cellStyle name="40% - Accent6 3 3 4 2 4" xfId="39502" xr:uid="{CA0DF031-3E20-45F9-9942-178BC0F16F00}"/>
    <cellStyle name="40% - Accent6 3 3 4 3" xfId="3687" xr:uid="{19D66D59-C303-4ECA-9ED1-CD81D164902E}"/>
    <cellStyle name="40% - Accent6 3 3 4 3 2" xfId="39503" xr:uid="{86F2AFC6-F54F-4D34-92B7-A6451543B5FC}"/>
    <cellStyle name="40% - Accent6 3 3 4 3 2 2" xfId="39504" xr:uid="{CBD05FCC-0229-4EE3-A6F4-0DD467A4CCBA}"/>
    <cellStyle name="40% - Accent6 3 3 4 3 3" xfId="39505" xr:uid="{4858811C-FE3D-41CF-B340-3FC4A9198E1D}"/>
    <cellStyle name="40% - Accent6 3 3 4 3 3 2" xfId="39506" xr:uid="{9F51E18B-417A-4267-9470-B80DE1B90D11}"/>
    <cellStyle name="40% - Accent6 3 3 4 3 4" xfId="39507" xr:uid="{6BE15C30-3D0D-42E2-8873-1A9E735B9323}"/>
    <cellStyle name="40% - Accent6 3 3 4 4" xfId="3688" xr:uid="{BD8F0A13-5990-4957-A172-DF132BB23291}"/>
    <cellStyle name="40% - Accent6 3 3 4 4 2" xfId="39508" xr:uid="{F196B5D7-5C53-4687-AC2F-C4AEEF7AFF7C}"/>
    <cellStyle name="40% - Accent6 3 3 4 4 2 2" xfId="39509" xr:uid="{FBB0A72F-34A3-4E9B-BF5B-AB554651A827}"/>
    <cellStyle name="40% - Accent6 3 3 4 4 3" xfId="39510" xr:uid="{DDF2FEBE-A0E6-4E50-ADF0-FF2265C2F9DA}"/>
    <cellStyle name="40% - Accent6 3 3 4 4 3 2" xfId="39511" xr:uid="{87F79CB5-321F-48BA-A256-405991330597}"/>
    <cellStyle name="40% - Accent6 3 3 4 4 4" xfId="39512" xr:uid="{B4A53478-522F-4858-B2B4-68E53DFB0CC6}"/>
    <cellStyle name="40% - Accent6 3 3 4 5" xfId="39513" xr:uid="{55040A2D-92A1-44F4-82B0-18C161C60DA5}"/>
    <cellStyle name="40% - Accent6 3 3 4 5 2" xfId="39514" xr:uid="{2C526852-4269-4240-82DD-B4DA08F9ECEC}"/>
    <cellStyle name="40% - Accent6 3 3 4 6" xfId="39515" xr:uid="{AC4E3592-362E-48B8-9F7C-6D3113652239}"/>
    <cellStyle name="40% - Accent6 3 3 4 6 2" xfId="39516" xr:uid="{2D51CC71-7CAA-4753-AD26-92325A84D899}"/>
    <cellStyle name="40% - Accent6 3 3 4 7" xfId="39517" xr:uid="{2C3E277B-FB60-4017-8A64-CC0921E952B3}"/>
    <cellStyle name="40% - Accent6 3 3 5" xfId="3689" xr:uid="{EF93EAC0-6CFA-4C34-BCE4-3195E3EC29D6}"/>
    <cellStyle name="40% - Accent6 3 3 5 2" xfId="3690" xr:uid="{780BB0FA-99CD-40A9-A57B-7C168504F8C2}"/>
    <cellStyle name="40% - Accent6 3 3 5 2 2" xfId="39518" xr:uid="{7F49181B-AB90-49E2-B1D8-406D66E5ADF7}"/>
    <cellStyle name="40% - Accent6 3 3 5 2 2 2" xfId="39519" xr:uid="{C4EC8E11-E6D2-4F3A-88FF-483E33A5D212}"/>
    <cellStyle name="40% - Accent6 3 3 5 2 3" xfId="39520" xr:uid="{1D1F64D2-8DD1-4FE5-BF0A-971607176FD7}"/>
    <cellStyle name="40% - Accent6 3 3 5 2 3 2" xfId="39521" xr:uid="{6032E94A-FDCC-473E-A186-0EC8456CC26C}"/>
    <cellStyle name="40% - Accent6 3 3 5 2 4" xfId="39522" xr:uid="{CB604F77-8F9A-4920-A04F-30907A3F15D3}"/>
    <cellStyle name="40% - Accent6 3 3 5 3" xfId="3691" xr:uid="{A0712FA5-9269-4237-97FA-E080F0225F70}"/>
    <cellStyle name="40% - Accent6 3 3 5 3 2" xfId="39523" xr:uid="{477AC5C2-36D4-4A55-B5F7-D83FD5CD1C17}"/>
    <cellStyle name="40% - Accent6 3 3 5 3 2 2" xfId="39524" xr:uid="{4800F00F-5478-4065-8FBE-E667467FA41B}"/>
    <cellStyle name="40% - Accent6 3 3 5 3 3" xfId="39525" xr:uid="{6C2F7820-6CAD-436E-8017-17B8999F6A89}"/>
    <cellStyle name="40% - Accent6 3 3 5 3 3 2" xfId="39526" xr:uid="{B3D869FB-032D-48AF-84FD-56EBEDAE63CE}"/>
    <cellStyle name="40% - Accent6 3 3 5 3 4" xfId="39527" xr:uid="{BCB3226E-269B-4767-B5E6-9F967A9FA29E}"/>
    <cellStyle name="40% - Accent6 3 3 5 4" xfId="39528" xr:uid="{99BCBA65-74D4-4A2E-87B4-065C172C49B1}"/>
    <cellStyle name="40% - Accent6 3 3 5 4 2" xfId="39529" xr:uid="{FCEC8194-B1F8-4593-942B-5FF7114C9341}"/>
    <cellStyle name="40% - Accent6 3 3 5 4 2 2" xfId="39530" xr:uid="{7E85F5D4-4D83-4C9A-8665-4459E41E45FD}"/>
    <cellStyle name="40% - Accent6 3 3 5 4 3" xfId="39531" xr:uid="{C0420509-4150-4C38-B628-66BFE33AC3E3}"/>
    <cellStyle name="40% - Accent6 3 3 5 4 3 2" xfId="39532" xr:uid="{507A165A-5A9B-4D5B-B62B-AD33BAA23A0D}"/>
    <cellStyle name="40% - Accent6 3 3 5 4 4" xfId="39533" xr:uid="{64AC8749-44D4-4F90-AB94-D4675A40E668}"/>
    <cellStyle name="40% - Accent6 3 3 5 5" xfId="39534" xr:uid="{E88659F5-6761-491E-870F-9E42C18D2D17}"/>
    <cellStyle name="40% - Accent6 3 3 5 5 2" xfId="39535" xr:uid="{CA4DECBD-E25E-4CC8-B828-4EE9F48967C8}"/>
    <cellStyle name="40% - Accent6 3 3 5 6" xfId="39536" xr:uid="{4D16C6C3-E9C4-4928-857C-F34DB7DFF379}"/>
    <cellStyle name="40% - Accent6 3 3 5 6 2" xfId="39537" xr:uid="{F4B38FFA-9890-44C4-A14F-BD1D356C10E7}"/>
    <cellStyle name="40% - Accent6 3 3 5 7" xfId="39538" xr:uid="{83ECC8F0-2D17-4EA3-AA72-D4A889C69E8E}"/>
    <cellStyle name="40% - Accent6 3 3 6" xfId="3692" xr:uid="{692C6FFE-F053-4F8C-8172-78FE17602676}"/>
    <cellStyle name="40% - Accent6 3 3 6 2" xfId="39539" xr:uid="{7D134160-96E1-4426-A6EA-E921B3B7ECA3}"/>
    <cellStyle name="40% - Accent6 3 3 6 2 2" xfId="39540" xr:uid="{0F43FDD9-20C1-4F0B-B97C-CBCA2DE4E66E}"/>
    <cellStyle name="40% - Accent6 3 3 6 3" xfId="39541" xr:uid="{D5094147-87EB-4CF5-96D2-1516117FAF9A}"/>
    <cellStyle name="40% - Accent6 3 3 6 3 2" xfId="39542" xr:uid="{845CD6BC-E63E-4E21-B1CB-A7B9A6642CBD}"/>
    <cellStyle name="40% - Accent6 3 3 6 4" xfId="39543" xr:uid="{11570398-3C08-43A9-BE89-2B7C4411B088}"/>
    <cellStyle name="40% - Accent6 3 3 7" xfId="3693" xr:uid="{F7FE126F-EC7A-4809-964E-9BC38858BC73}"/>
    <cellStyle name="40% - Accent6 3 3 7 2" xfId="39544" xr:uid="{B2BE9576-D7D6-40B8-A7CE-0D3B8449A7DF}"/>
    <cellStyle name="40% - Accent6 3 3 7 2 2" xfId="39545" xr:uid="{3704AFA7-A28E-4D55-B438-0EADFF607B5A}"/>
    <cellStyle name="40% - Accent6 3 3 7 3" xfId="39546" xr:uid="{9585C8C6-3ECE-47E0-9E5F-A3A8D523B430}"/>
    <cellStyle name="40% - Accent6 3 3 7 3 2" xfId="39547" xr:uid="{54E919D9-6A79-4E1C-88BB-9E17CB87DF5F}"/>
    <cellStyle name="40% - Accent6 3 3 7 4" xfId="39548" xr:uid="{57776141-FC70-4567-B54B-92C50A6B5ED1}"/>
    <cellStyle name="40% - Accent6 3 3 8" xfId="3694" xr:uid="{746F09CB-9DA5-4212-B0DD-95B1060C1916}"/>
    <cellStyle name="40% - Accent6 3 3 8 2" xfId="39549" xr:uid="{DFC225E5-EF12-4863-A570-FC1425CE92EE}"/>
    <cellStyle name="40% - Accent6 3 3 8 2 2" xfId="39550" xr:uid="{3FAB9084-69DA-4E0E-AF31-66AA39238FF2}"/>
    <cellStyle name="40% - Accent6 3 3 8 3" xfId="39551" xr:uid="{EB340F51-5D8D-409F-A781-76DB6EE7A402}"/>
    <cellStyle name="40% - Accent6 3 3 8 3 2" xfId="39552" xr:uid="{9D1A1D20-6CDF-4E88-A851-6B6524FB52CF}"/>
    <cellStyle name="40% - Accent6 3 3 8 4" xfId="39553" xr:uid="{E32FE5C4-0041-4021-9971-028E51AFB617}"/>
    <cellStyle name="40% - Accent6 3 3 9" xfId="39554" xr:uid="{2604B84A-32E2-462B-B508-FEFA152A9566}"/>
    <cellStyle name="40% - Accent6 3 3 9 2" xfId="39555" xr:uid="{97E9DF67-2DE9-4F22-9F91-1E3DF747E4B6}"/>
    <cellStyle name="40% - Accent6 3 4" xfId="3695" xr:uid="{4CB6B993-AF0C-4375-84AA-96AEE15EAF4E}"/>
    <cellStyle name="40% - Accent6 3 4 10" xfId="39556" xr:uid="{250D069B-6D54-493A-AB58-89FC321BAC83}"/>
    <cellStyle name="40% - Accent6 3 4 2" xfId="3696" xr:uid="{3293F3DB-8EC4-4B20-AA1F-FCE9EDDE406B}"/>
    <cellStyle name="40% - Accent6 3 4 2 2" xfId="3697" xr:uid="{942E83CA-4A21-4B6E-B5BC-499E3D6BF84E}"/>
    <cellStyle name="40% - Accent6 3 4 2 2 2" xfId="3698" xr:uid="{5BEE9C0C-6A0D-4749-A272-580D8F8ABB3C}"/>
    <cellStyle name="40% - Accent6 3 4 2 2 2 2" xfId="39557" xr:uid="{22DAAFBE-0610-4B3E-AC8A-E0D0339DC225}"/>
    <cellStyle name="40% - Accent6 3 4 2 2 3" xfId="3699" xr:uid="{08C3632F-49F3-40AB-9DE5-025B04389709}"/>
    <cellStyle name="40% - Accent6 3 4 2 2 3 2" xfId="39558" xr:uid="{DD2D3F2E-7800-4BE4-8273-FE4B613C82A9}"/>
    <cellStyle name="40% - Accent6 3 4 2 2 4" xfId="39559" xr:uid="{18856EB2-8398-445E-A1F5-BBB5F9F5932A}"/>
    <cellStyle name="40% - Accent6 3 4 2 3" xfId="3700" xr:uid="{D785D34C-D67E-441B-AABB-446B7968B1F3}"/>
    <cellStyle name="40% - Accent6 3 4 2 3 2" xfId="39560" xr:uid="{5050CC13-4BDD-49C7-9FB1-05883DCC0DDA}"/>
    <cellStyle name="40% - Accent6 3 4 2 3 2 2" xfId="39561" xr:uid="{7DACB111-7135-4154-92A9-284A16C4D6EE}"/>
    <cellStyle name="40% - Accent6 3 4 2 3 3" xfId="39562" xr:uid="{866FD1F2-9B4A-485F-B0CD-2A7897D49F1F}"/>
    <cellStyle name="40% - Accent6 3 4 2 3 3 2" xfId="39563" xr:uid="{D3E8590B-0316-4941-A158-B0393E0E59A7}"/>
    <cellStyle name="40% - Accent6 3 4 2 3 4" xfId="39564" xr:uid="{9EB53124-2062-4650-AE7F-F061725384DD}"/>
    <cellStyle name="40% - Accent6 3 4 2 4" xfId="3701" xr:uid="{3C963D7B-AF02-428E-8650-6872423676E5}"/>
    <cellStyle name="40% - Accent6 3 4 2 4 2" xfId="39565" xr:uid="{8DC04000-9A00-4AB2-85BF-0D43AAE28961}"/>
    <cellStyle name="40% - Accent6 3 4 2 4 2 2" xfId="39566" xr:uid="{6FBC0035-7075-493D-B323-D96FD94D0665}"/>
    <cellStyle name="40% - Accent6 3 4 2 4 3" xfId="39567" xr:uid="{ACD02BA2-4D97-4934-83E3-3F821D0DFA43}"/>
    <cellStyle name="40% - Accent6 3 4 2 4 3 2" xfId="39568" xr:uid="{E14E0DE0-D355-405F-BE58-CB89E34065B6}"/>
    <cellStyle name="40% - Accent6 3 4 2 4 4" xfId="39569" xr:uid="{C0B5BC05-08FD-484A-84C9-9F380E860106}"/>
    <cellStyle name="40% - Accent6 3 4 2 5" xfId="39570" xr:uid="{AFC2BFF9-4EB6-4194-A0E6-44FA39053B41}"/>
    <cellStyle name="40% - Accent6 3 4 2 5 2" xfId="39571" xr:uid="{AA5B90E5-174A-4CC4-A38E-ACD5E2D924AF}"/>
    <cellStyle name="40% - Accent6 3 4 2 5 2 2" xfId="39572" xr:uid="{A069EA20-5C9F-407B-8385-EC9220CCAB5C}"/>
    <cellStyle name="40% - Accent6 3 4 2 5 3" xfId="39573" xr:uid="{C814512D-DC17-47E2-9F90-F85D683326EE}"/>
    <cellStyle name="40% - Accent6 3 4 2 5 3 2" xfId="39574" xr:uid="{5A553C2F-1FEC-429A-98C0-8A1281BB255C}"/>
    <cellStyle name="40% - Accent6 3 4 2 5 4" xfId="39575" xr:uid="{35C46504-BB6C-43DD-844C-546DA0526721}"/>
    <cellStyle name="40% - Accent6 3 4 2 6" xfId="39576" xr:uid="{F26E58F8-C4A6-4925-9488-1FD1A0BED55C}"/>
    <cellStyle name="40% - Accent6 3 4 2 6 2" xfId="39577" xr:uid="{19D5F513-5C79-4D42-B9AB-5405081259E5}"/>
    <cellStyle name="40% - Accent6 3 4 2 7" xfId="39578" xr:uid="{5CB5659B-4933-49BC-AC0B-C673E156F6EE}"/>
    <cellStyle name="40% - Accent6 3 4 2 7 2" xfId="39579" xr:uid="{27A4D9BE-01A8-479B-B464-D689F8DA359D}"/>
    <cellStyle name="40% - Accent6 3 4 2 8" xfId="39580" xr:uid="{B210AF90-C4F1-4ADB-A65F-CFF4B706068D}"/>
    <cellStyle name="40% - Accent6 3 4 3" xfId="3702" xr:uid="{2D294EFE-40CF-4795-9314-739C46901C37}"/>
    <cellStyle name="40% - Accent6 3 4 3 2" xfId="3703" xr:uid="{D6AB5049-04C8-4B2F-BECB-5855A8E0EBF3}"/>
    <cellStyle name="40% - Accent6 3 4 3 2 2" xfId="39581" xr:uid="{7D8A6057-7E77-4F80-8EBA-5B2884BFA222}"/>
    <cellStyle name="40% - Accent6 3 4 3 2 2 2" xfId="39582" xr:uid="{AAAA8AC0-7925-4AD4-B3CE-5564B92F74DD}"/>
    <cellStyle name="40% - Accent6 3 4 3 2 3" xfId="39583" xr:uid="{D6A6486E-8705-48EC-8028-C2B9FDB375E5}"/>
    <cellStyle name="40% - Accent6 3 4 3 2 3 2" xfId="39584" xr:uid="{160EED62-D264-473A-8149-B416F00900B0}"/>
    <cellStyle name="40% - Accent6 3 4 3 2 4" xfId="39585" xr:uid="{26CD9D80-209A-4CFD-AECE-B48785C5D7B0}"/>
    <cellStyle name="40% - Accent6 3 4 3 3" xfId="3704" xr:uid="{4FC54A9B-ABAB-4D03-8AA5-851757101438}"/>
    <cellStyle name="40% - Accent6 3 4 3 3 2" xfId="39586" xr:uid="{86F999D7-D6B4-40FA-AEF0-D547D6818668}"/>
    <cellStyle name="40% - Accent6 3 4 3 3 2 2" xfId="39587" xr:uid="{B19E3D49-6D72-4081-81EE-8A811C6D9A02}"/>
    <cellStyle name="40% - Accent6 3 4 3 3 3" xfId="39588" xr:uid="{F73E2867-5E38-4E16-9EA0-F468395859BD}"/>
    <cellStyle name="40% - Accent6 3 4 3 3 3 2" xfId="39589" xr:uid="{D4605E26-DB73-4C4A-8393-583D616A7083}"/>
    <cellStyle name="40% - Accent6 3 4 3 3 4" xfId="39590" xr:uid="{034B1E4A-154E-48A7-9ADA-6F8F77DE34DB}"/>
    <cellStyle name="40% - Accent6 3 4 3 4" xfId="39591" xr:uid="{E53A427B-D374-4F57-A7E6-BD6A14E6D5FA}"/>
    <cellStyle name="40% - Accent6 3 4 3 4 2" xfId="39592" xr:uid="{574387F4-678F-4878-B6AC-0B9CC9BFDDB0}"/>
    <cellStyle name="40% - Accent6 3 4 3 4 2 2" xfId="39593" xr:uid="{2A75D496-25F4-4457-ACA2-CF480432F216}"/>
    <cellStyle name="40% - Accent6 3 4 3 4 3" xfId="39594" xr:uid="{C3D82DE1-35AC-443E-A3AF-33841D4F3F41}"/>
    <cellStyle name="40% - Accent6 3 4 3 4 3 2" xfId="39595" xr:uid="{E4E891EB-457F-4DE6-AFB7-5980E7B4229C}"/>
    <cellStyle name="40% - Accent6 3 4 3 4 4" xfId="39596" xr:uid="{D2AF0190-0705-430D-AA3B-39ED970C3781}"/>
    <cellStyle name="40% - Accent6 3 4 3 5" xfId="39597" xr:uid="{376D2FBE-2032-4E98-8653-1067F17ADF0E}"/>
    <cellStyle name="40% - Accent6 3 4 3 5 2" xfId="39598" xr:uid="{4A164468-5347-4ECA-A695-80078027457D}"/>
    <cellStyle name="40% - Accent6 3 4 3 6" xfId="39599" xr:uid="{2170E3D5-73A3-4FB3-B14E-30077646693D}"/>
    <cellStyle name="40% - Accent6 3 4 3 6 2" xfId="39600" xr:uid="{41B9E4B6-B94F-4089-9543-D5C77F70DDDA}"/>
    <cellStyle name="40% - Accent6 3 4 3 7" xfId="39601" xr:uid="{E244C169-5AE6-4D18-9460-3394BCE5F8C4}"/>
    <cellStyle name="40% - Accent6 3 4 4" xfId="3705" xr:uid="{6EA610D6-A3E9-4B96-909C-A3312FDF932F}"/>
    <cellStyle name="40% - Accent6 3 4 4 2" xfId="39602" xr:uid="{43A0CF41-754A-4696-AE03-7B53BBEFFB0B}"/>
    <cellStyle name="40% - Accent6 3 4 4 2 2" xfId="39603" xr:uid="{7B874FA8-4AE4-4A15-BD70-7D43289FCFDD}"/>
    <cellStyle name="40% - Accent6 3 4 4 3" xfId="39604" xr:uid="{A932D8D9-4BB1-4F0E-81D9-8F3AFED146EC}"/>
    <cellStyle name="40% - Accent6 3 4 4 3 2" xfId="39605" xr:uid="{2E9F4FC9-594D-489B-96B8-6F8DD1772602}"/>
    <cellStyle name="40% - Accent6 3 4 4 4" xfId="39606" xr:uid="{383A94F5-3548-449A-8992-FE0B8CF2F99B}"/>
    <cellStyle name="40% - Accent6 3 4 5" xfId="3706" xr:uid="{B99E23F4-64C3-451B-B384-9B88F5A3A2F2}"/>
    <cellStyle name="40% - Accent6 3 4 5 2" xfId="39607" xr:uid="{B3D1231B-AEF1-4EE2-AE5B-D531921E058D}"/>
    <cellStyle name="40% - Accent6 3 4 5 2 2" xfId="39608" xr:uid="{23813E37-193B-46CA-9843-AA3308BC84EC}"/>
    <cellStyle name="40% - Accent6 3 4 5 3" xfId="39609" xr:uid="{31D827C7-F7F9-4A64-8F2A-623347418037}"/>
    <cellStyle name="40% - Accent6 3 4 5 3 2" xfId="39610" xr:uid="{9CDACD14-A1C5-4A4F-8F94-77928B0FAB96}"/>
    <cellStyle name="40% - Accent6 3 4 5 4" xfId="39611" xr:uid="{A29F7C7D-9FF4-4324-B5AD-4050A7DFBEED}"/>
    <cellStyle name="40% - Accent6 3 4 6" xfId="3707" xr:uid="{49D172C6-775F-47B1-966F-A548A5646794}"/>
    <cellStyle name="40% - Accent6 3 4 6 2" xfId="39612" xr:uid="{A949AF7B-9519-42B5-BBC6-61A0798633BA}"/>
    <cellStyle name="40% - Accent6 3 4 6 2 2" xfId="39613" xr:uid="{11886F0E-0DA5-46FC-8578-EDBE93E37ACB}"/>
    <cellStyle name="40% - Accent6 3 4 6 3" xfId="39614" xr:uid="{6391F0C7-AD1F-4A0C-AB8E-47AAC9D43039}"/>
    <cellStyle name="40% - Accent6 3 4 6 3 2" xfId="39615" xr:uid="{4BA21C3C-5D7A-48DD-9643-3D9C7D26E55B}"/>
    <cellStyle name="40% - Accent6 3 4 6 4" xfId="39616" xr:uid="{C72FE701-6910-4EF7-8AF6-19554122064E}"/>
    <cellStyle name="40% - Accent6 3 4 7" xfId="39617" xr:uid="{2445E8B2-A36F-41B5-A4C2-7E579C1CE7AA}"/>
    <cellStyle name="40% - Accent6 3 4 7 2" xfId="39618" xr:uid="{1FDFFA97-DDB3-42F2-96DF-35FF1058452F}"/>
    <cellStyle name="40% - Accent6 3 4 8" xfId="39619" xr:uid="{DB90AE8D-D510-44A4-82D0-C9D3EE43B16E}"/>
    <cellStyle name="40% - Accent6 3 4 8 2" xfId="39620" xr:uid="{3AFB8998-255F-4031-8D9B-867414A84E0D}"/>
    <cellStyle name="40% - Accent6 3 4 9" xfId="39621" xr:uid="{075067BE-6D09-49AD-922B-315225B9CDA3}"/>
    <cellStyle name="40% - Accent6 3 5" xfId="3708" xr:uid="{6E2181C8-D8A4-446E-A995-A06451A5BED9}"/>
    <cellStyle name="40% - Accent6 3 5 2" xfId="3709" xr:uid="{B53AEBFB-DD13-437B-8B9C-232CF6C2A297}"/>
    <cellStyle name="40% - Accent6 3 5 2 2" xfId="3710" xr:uid="{7F1BDB8A-73D6-47F8-BB29-F686B47563A8}"/>
    <cellStyle name="40% - Accent6 3 5 2 2 2" xfId="39622" xr:uid="{ABBDE1BC-EA92-4370-B5B0-A7E93869C811}"/>
    <cellStyle name="40% - Accent6 3 5 2 3" xfId="3711" xr:uid="{DAA1B0B6-5782-488D-ABC7-9684C786ACF4}"/>
    <cellStyle name="40% - Accent6 3 5 2 3 2" xfId="39623" xr:uid="{77B2CBE5-B61E-4B60-8912-1AB5F02C5119}"/>
    <cellStyle name="40% - Accent6 3 5 2 4" xfId="39624" xr:uid="{CAED3BA3-08AA-4B94-9F04-B77BC024D771}"/>
    <cellStyle name="40% - Accent6 3 5 3" xfId="3712" xr:uid="{0510C527-C449-482C-9BEC-9FD60AE73405}"/>
    <cellStyle name="40% - Accent6 3 5 3 2" xfId="39625" xr:uid="{A9FF4812-C13F-4F15-81D7-9B4A17A683CA}"/>
    <cellStyle name="40% - Accent6 3 5 3 2 2" xfId="39626" xr:uid="{910D363C-4465-4942-80E4-C08919C3EF86}"/>
    <cellStyle name="40% - Accent6 3 5 3 3" xfId="39627" xr:uid="{CF776AE7-785F-4AA4-9A4A-8F53D518B17D}"/>
    <cellStyle name="40% - Accent6 3 5 3 3 2" xfId="39628" xr:uid="{9ACF5FBF-5952-4421-9190-34BF09FC38EA}"/>
    <cellStyle name="40% - Accent6 3 5 3 4" xfId="39629" xr:uid="{AE07F127-9B9D-4B7A-931B-173E0BC298C6}"/>
    <cellStyle name="40% - Accent6 3 5 4" xfId="3713" xr:uid="{25B3E968-E66D-4DF8-9BC1-DA1BB5A47F8F}"/>
    <cellStyle name="40% - Accent6 3 5 4 2" xfId="39630" xr:uid="{D2D29FE9-8420-405A-800B-14D5A82A3713}"/>
    <cellStyle name="40% - Accent6 3 5 4 2 2" xfId="39631" xr:uid="{D6E01D58-5418-4435-87B1-AB894EDEA9E6}"/>
    <cellStyle name="40% - Accent6 3 5 4 3" xfId="39632" xr:uid="{4929E109-7DE3-4600-9C5A-F8591CEF1104}"/>
    <cellStyle name="40% - Accent6 3 5 4 3 2" xfId="39633" xr:uid="{26A34CB9-D820-4B81-A180-73B0BDBB4495}"/>
    <cellStyle name="40% - Accent6 3 5 4 4" xfId="39634" xr:uid="{E8E5EA1B-3AAA-466E-91B0-0BA95DA9247E}"/>
    <cellStyle name="40% - Accent6 3 5 5" xfId="39635" xr:uid="{F978F6BC-B86E-4DFA-B004-CC0F2E6F8161}"/>
    <cellStyle name="40% - Accent6 3 5 5 2" xfId="39636" xr:uid="{DC249728-2AFA-4A4B-9BE9-07624828DC2B}"/>
    <cellStyle name="40% - Accent6 3 5 5 2 2" xfId="39637" xr:uid="{29C92A41-9C6C-4159-A47F-4AFE1ABEBF3C}"/>
    <cellStyle name="40% - Accent6 3 5 5 3" xfId="39638" xr:uid="{4EE450B2-0177-468F-AF49-732768BD6E43}"/>
    <cellStyle name="40% - Accent6 3 5 5 3 2" xfId="39639" xr:uid="{DCE28719-1BA3-4953-84CE-F81CE5A333B6}"/>
    <cellStyle name="40% - Accent6 3 5 5 4" xfId="39640" xr:uid="{E911895A-414F-4361-B82B-02A597B4365E}"/>
    <cellStyle name="40% - Accent6 3 5 6" xfId="39641" xr:uid="{4B23E78D-7288-42D2-9B00-ABD1C11511C2}"/>
    <cellStyle name="40% - Accent6 3 5 6 2" xfId="39642" xr:uid="{598DF8F2-6489-47C4-88EB-3E5A4CA39978}"/>
    <cellStyle name="40% - Accent6 3 5 7" xfId="39643" xr:uid="{6C6E9F88-4C05-4F4B-986C-F74D1DE085C0}"/>
    <cellStyle name="40% - Accent6 3 5 7 2" xfId="39644" xr:uid="{C654D9AF-6B4E-4FB1-A98E-FC065FBF9B9E}"/>
    <cellStyle name="40% - Accent6 3 5 8" xfId="39645" xr:uid="{47B246FF-4658-4115-800D-9090A0509DB5}"/>
    <cellStyle name="40% - Accent6 3 6" xfId="3714" xr:uid="{3ECA10F1-04BB-4954-B4A3-0820510CEBBF}"/>
    <cellStyle name="40% - Accent6 3 6 2" xfId="3715" xr:uid="{79937DA9-43EC-4823-9B12-2A47EA2B810F}"/>
    <cellStyle name="40% - Accent6 3 6 2 2" xfId="3716" xr:uid="{67764E53-3AF3-4D74-8BB2-80B932C45BDE}"/>
    <cellStyle name="40% - Accent6 3 6 2 3" xfId="3717" xr:uid="{590E1680-3F29-4AD6-96A6-6D6A87FD5706}"/>
    <cellStyle name="40% - Accent6 3 6 3" xfId="3718" xr:uid="{2BDD195A-89D1-4F63-B746-F4E7ACF3B81F}"/>
    <cellStyle name="40% - Accent6 3 6 3 2" xfId="39646" xr:uid="{F68A267D-B8EB-4FFB-A1EA-989F4B7FF273}"/>
    <cellStyle name="40% - Accent6 3 6 4" xfId="3719" xr:uid="{AACAE5D4-0C9D-48E7-8F16-5EBEA19CBE7F}"/>
    <cellStyle name="40% - Accent6 3 6 5" xfId="39647" xr:uid="{558BB0EF-D820-4E6E-B397-6C5CFCF7B4E4}"/>
    <cellStyle name="40% - Accent6 3 7" xfId="3720" xr:uid="{087EDE9B-63C3-45E7-A1FC-FDD18CF0E8D0}"/>
    <cellStyle name="40% - Accent6 3 7 2" xfId="3721" xr:uid="{C0FAACB2-0E8F-438D-B7D4-3F7CB49B00D9}"/>
    <cellStyle name="40% - Accent6 3 7 2 2" xfId="3722" xr:uid="{74298245-F394-45C6-9136-B23CC42C6E9F}"/>
    <cellStyle name="40% - Accent6 3 7 2 3" xfId="3723" xr:uid="{299DB955-B87A-426E-907B-A7DDE2CA7576}"/>
    <cellStyle name="40% - Accent6 3 7 3" xfId="3724" xr:uid="{30B04136-4493-4BBF-A607-BFDA34AEDF0A}"/>
    <cellStyle name="40% - Accent6 3 7 3 2" xfId="39648" xr:uid="{D4ABADBE-C403-44A3-A531-1498CC349B36}"/>
    <cellStyle name="40% - Accent6 3 7 4" xfId="3725" xr:uid="{5EA09133-B1AF-4D87-B320-2A3AEE1425B5}"/>
    <cellStyle name="40% - Accent6 3 8" xfId="3726" xr:uid="{DD5DCCD1-5560-4B8E-ADF5-CB41FCDF8519}"/>
    <cellStyle name="40% - Accent6 3 8 2" xfId="39649" xr:uid="{C00DBF12-5F6C-483E-B4BD-F80AB627B727}"/>
    <cellStyle name="40% - Accent6 3 8 2 2" xfId="39650" xr:uid="{C0116F85-D3D4-4E83-B121-5441B369E23E}"/>
    <cellStyle name="40% - Accent6 3 8 3" xfId="39651" xr:uid="{45531ECA-8141-4C49-9A85-06C7EEF885E3}"/>
    <cellStyle name="40% - Accent6 3 8 3 2" xfId="39652" xr:uid="{18041A1B-8E4B-4363-88CA-69A2B01FC464}"/>
    <cellStyle name="40% - Accent6 3 8 4" xfId="39653" xr:uid="{B5CDB6FB-EB61-4AEF-8EDA-ED84170502D8}"/>
    <cellStyle name="40% - Accent6 3 9" xfId="39654" xr:uid="{981631E3-4F92-4599-9314-9786DE653F32}"/>
    <cellStyle name="40% - Accent6 3_PwrTax 51040" xfId="3727" xr:uid="{EFFE408D-62D5-488D-BF7E-2A0DE2223A79}"/>
    <cellStyle name="40% - Accent6 30" xfId="3728" xr:uid="{D5C3EC50-3E27-42F4-86F4-183C3A7A2612}"/>
    <cellStyle name="40% - Accent6 31" xfId="3729" xr:uid="{014E397F-5D1B-48A4-996E-FE20DC05F787}"/>
    <cellStyle name="40% - Accent6 32" xfId="3730" xr:uid="{9458796C-6581-4DF9-ACD7-518154EF7149}"/>
    <cellStyle name="40% - Accent6 33" xfId="3731" xr:uid="{4454B2D7-59FE-435F-8453-40BABBEA3FD3}"/>
    <cellStyle name="40% - Accent6 34" xfId="3732" xr:uid="{CD1ACBF3-E026-4B2A-9984-876C2CB2C422}"/>
    <cellStyle name="40% - Accent6 35" xfId="3733" xr:uid="{AE61B991-0DC0-48AC-BE6B-1B4CF1D88EE6}"/>
    <cellStyle name="40% - Accent6 36" xfId="3734" xr:uid="{E5E5CACD-6ABC-44D5-A8FF-E2F14C17E4A4}"/>
    <cellStyle name="40% - Accent6 37" xfId="3735" xr:uid="{9A845E0B-E2AC-49E1-A0BD-1C58AE843083}"/>
    <cellStyle name="40% - Accent6 37 2" xfId="3736" xr:uid="{3F779BB5-BCB6-4895-857F-B265F80C8462}"/>
    <cellStyle name="40% - Accent6 37 2 2" xfId="3737" xr:uid="{D7BF1925-9895-44A7-8460-A60D6E73A2ED}"/>
    <cellStyle name="40% - Accent6 37 2 3" xfId="39655" xr:uid="{A62BA5E4-B27D-475B-9CE0-CF7D532FFD1B}"/>
    <cellStyle name="40% - Accent6 37 3" xfId="3738" xr:uid="{FC2447E8-E308-4EE3-983E-715D7A0BE807}"/>
    <cellStyle name="40% - Accent6 37 3 2" xfId="3739" xr:uid="{3071B513-C25E-40D7-BA9E-D951CA22FC24}"/>
    <cellStyle name="40% - Accent6 37 3 3" xfId="39656" xr:uid="{94945DC6-E4D7-46A9-ABAC-DA5EEBC3035E}"/>
    <cellStyle name="40% - Accent6 37 4" xfId="3740" xr:uid="{4558F782-6490-4CC5-A7CB-7D7476714F42}"/>
    <cellStyle name="40% - Accent6 37 5" xfId="39657" xr:uid="{153DF436-9CA1-41F6-80C0-D64841ACA138}"/>
    <cellStyle name="40% - Accent6 37_PwrTax 51040" xfId="3741" xr:uid="{5313488F-D972-40B4-9C04-5D8AE41EC66A}"/>
    <cellStyle name="40% - Accent6 38" xfId="3742" xr:uid="{24F6D9A6-5913-49C8-97C5-E47E3E4CF766}"/>
    <cellStyle name="40% - Accent6 38 2" xfId="39658" xr:uid="{5502029A-72F3-40ED-B091-E38AFBA5BACF}"/>
    <cellStyle name="40% - Accent6 38 2 2" xfId="39659" xr:uid="{FFAF1960-B073-44DE-A733-D05722E34832}"/>
    <cellStyle name="40% - Accent6 38 2 2 2" xfId="39660" xr:uid="{6981469F-AD5B-47EA-A407-2773BFE9DC65}"/>
    <cellStyle name="40% - Accent6 38 2 3" xfId="39661" xr:uid="{0C310448-B4DD-4BD6-B913-8957D4C8761A}"/>
    <cellStyle name="40% - Accent6 38 2 3 2" xfId="39662" xr:uid="{ABB903B7-AD57-4C20-A421-CFBFCBD847A9}"/>
    <cellStyle name="40% - Accent6 38 2 4" xfId="39663" xr:uid="{B69EF467-29BA-4026-BF7A-B726DBBCD131}"/>
    <cellStyle name="40% - Accent6 38 3" xfId="39664" xr:uid="{C416CA27-6E53-448F-819A-6152C83CE228}"/>
    <cellStyle name="40% - Accent6 38 3 2" xfId="39665" xr:uid="{6883CCBE-5854-41CB-B5DF-4BE25063AA92}"/>
    <cellStyle name="40% - Accent6 38 3 2 2" xfId="39666" xr:uid="{8DC0F805-A570-415C-8C98-3D9B508CDA43}"/>
    <cellStyle name="40% - Accent6 38 3 3" xfId="39667" xr:uid="{7D9195D3-CEF3-4B59-940A-E66B9D319645}"/>
    <cellStyle name="40% - Accent6 38 3 3 2" xfId="39668" xr:uid="{38B77170-C74E-4013-B009-51A044F4E072}"/>
    <cellStyle name="40% - Accent6 38 3 4" xfId="39669" xr:uid="{F99C21EB-5E37-49A8-AB36-A262FEC8A1DD}"/>
    <cellStyle name="40% - Accent6 38 4" xfId="39670" xr:uid="{C92ED3DA-EBBC-463D-8D71-C17464180C49}"/>
    <cellStyle name="40% - Accent6 38 4 2" xfId="39671" xr:uid="{537626EF-834F-40C1-A8B8-5E8AFE894668}"/>
    <cellStyle name="40% - Accent6 38 4 2 2" xfId="39672" xr:uid="{F3A50A6A-F94C-443B-8834-2909B6C94FE2}"/>
    <cellStyle name="40% - Accent6 38 4 3" xfId="39673" xr:uid="{CA7CC093-E3CC-465F-B66A-1134F9AE4A34}"/>
    <cellStyle name="40% - Accent6 38 4 3 2" xfId="39674" xr:uid="{F4C07C9B-81CE-4684-BB1C-B2EC5F650BEC}"/>
    <cellStyle name="40% - Accent6 38 4 4" xfId="39675" xr:uid="{998297C9-B353-4254-8DF1-49507B4F07A9}"/>
    <cellStyle name="40% - Accent6 38 5" xfId="39676" xr:uid="{577E3FA5-692C-49E7-918D-08DAE248D126}"/>
    <cellStyle name="40% - Accent6 38 5 2" xfId="39677" xr:uid="{2B6AB2E7-2755-4AA2-A266-819E211FAA6D}"/>
    <cellStyle name="40% - Accent6 38 6" xfId="39678" xr:uid="{8D0B7624-0CD2-468B-81F8-6FF18F684783}"/>
    <cellStyle name="40% - Accent6 38 6 2" xfId="39679" xr:uid="{EDC70B14-773B-4DB0-BA81-89FB123C09F3}"/>
    <cellStyle name="40% - Accent6 38 7" xfId="39680" xr:uid="{694C2644-2988-4B2E-9471-228C62B88DA4}"/>
    <cellStyle name="40% - Accent6 39" xfId="39681" xr:uid="{42583BC2-38D1-4784-9948-F0C99621DF0C}"/>
    <cellStyle name="40% - Accent6 39 2" xfId="39682" xr:uid="{2C6B1B35-CC62-41CC-AA92-B5B9C385D603}"/>
    <cellStyle name="40% - Accent6 4" xfId="3743" xr:uid="{33FB7461-A92C-4103-9B68-4FE878FF6802}"/>
    <cellStyle name="40% - Accent6 4 2" xfId="3744" xr:uid="{8233F0D3-A017-425C-8214-9E06C786E46C}"/>
    <cellStyle name="40% - Accent6 4 2 2" xfId="3745" xr:uid="{8D9BB844-5D13-4EFE-A27E-DD478CF3E7FC}"/>
    <cellStyle name="40% - Accent6 4 2 2 2" xfId="39683" xr:uid="{B4E721B5-B551-4784-8BAA-054B73C7E558}"/>
    <cellStyle name="40% - Accent6 4 2 3" xfId="39684" xr:uid="{6770FC5C-FCB7-43C9-BFED-119DBA7E325F}"/>
    <cellStyle name="40% - Accent6 4 3" xfId="3746" xr:uid="{835D3EDD-142E-4947-A6AC-0C58BE124651}"/>
    <cellStyle name="40% - Accent6 4 3 2" xfId="3747" xr:uid="{118645C7-AABC-4AA6-A59D-BE4BD9A8C7E5}"/>
    <cellStyle name="40% - Accent6 4 3 3" xfId="3748" xr:uid="{C676A482-B7DC-42D2-89BC-240277F3DE2C}"/>
    <cellStyle name="40% - Accent6 4 3 4" xfId="39685" xr:uid="{8D8BDCF9-B41B-4C50-91E2-3C5861FEAE79}"/>
    <cellStyle name="40% - Accent6 4 4" xfId="3749" xr:uid="{3871AA0E-2D6E-4347-93DC-624D705C55B4}"/>
    <cellStyle name="40% - Accent6 4 4 2" xfId="3750" xr:uid="{293D44BD-F5B4-45CF-919E-A230EB4A9153}"/>
    <cellStyle name="40% - Accent6 4 4 2 2" xfId="3751" xr:uid="{29EC27F9-E91B-4BD7-B745-086B95FB4C27}"/>
    <cellStyle name="40% - Accent6 4 4 2 3" xfId="3752" xr:uid="{8BF44016-CD03-4289-B12E-391124CE24E2}"/>
    <cellStyle name="40% - Accent6 4 4 3" xfId="3753" xr:uid="{C085D715-81FA-4594-ADC5-2259689D64E2}"/>
    <cellStyle name="40% - Accent6 4 4 4" xfId="3754" xr:uid="{9D700BFE-C2C3-4C0F-A12B-3DFA24DED956}"/>
    <cellStyle name="40% - Accent6 4 4 5" xfId="3755" xr:uid="{44BD105F-9985-4D2D-9104-0BAEE8B54D9F}"/>
    <cellStyle name="40% - Accent6 4 4 6" xfId="39686" xr:uid="{313310E8-FEE2-41A1-A5A5-A591B3606FA7}"/>
    <cellStyle name="40% - Accent6 4 5" xfId="3756" xr:uid="{90344148-744B-4B2F-8B09-5267EC38DB49}"/>
    <cellStyle name="40% - Accent6 4 5 2" xfId="3757" xr:uid="{03F860F2-023F-4348-A655-38AD19A216C9}"/>
    <cellStyle name="40% - Accent6 4 5 3" xfId="3758" xr:uid="{A3BEE564-9D35-4CE6-B887-C039EA97C18B}"/>
    <cellStyle name="40% - Accent6 4 5 4" xfId="39687" xr:uid="{65F25DF6-E185-4229-9B97-BD11C2783774}"/>
    <cellStyle name="40% - Accent6 4 6" xfId="3759" xr:uid="{89E95B0B-AFC3-4700-9D33-D7B823670997}"/>
    <cellStyle name="40% - Accent6 4 7" xfId="39688" xr:uid="{2E237F11-5B10-4D68-9418-79893C4910BC}"/>
    <cellStyle name="40% - Accent6 4 8" xfId="43552" xr:uid="{764481E8-28E3-4107-BB96-A561E8788A04}"/>
    <cellStyle name="40% - Accent6 4_PwrTax 51040" xfId="3760" xr:uid="{C7DDA47E-4BF2-4638-9C6E-65AF9680989B}"/>
    <cellStyle name="40% - Accent6 40" xfId="39689" xr:uid="{3BC058DC-9F58-41BA-AE70-BFB79835118F}"/>
    <cellStyle name="40% - Accent6 41" xfId="39690" xr:uid="{4CC432CB-4AD0-40B0-AABF-73C22D11C3FC}"/>
    <cellStyle name="40% - Accent6 42" xfId="39691" xr:uid="{73DF9AA2-2539-4D00-940E-FC31398FAE52}"/>
    <cellStyle name="40% - Accent6 43" xfId="39692" xr:uid="{77923D01-6A21-4256-A481-55DB695CF3D2}"/>
    <cellStyle name="40% - Accent6 44" xfId="39693" xr:uid="{DCFF5A63-D554-49F1-B1DA-CD6879BD2484}"/>
    <cellStyle name="40% - Accent6 45" xfId="39694" xr:uid="{6A73D84A-0C66-4016-B65A-C762D0DCCF34}"/>
    <cellStyle name="40% - Accent6 46" xfId="39695" xr:uid="{FAE93EE2-3AED-4FBA-9D4C-33294F94F796}"/>
    <cellStyle name="40% - Accent6 47" xfId="39696" xr:uid="{390516F5-ABD6-45AE-A397-1A3D3DC5599E}"/>
    <cellStyle name="40% - Accent6 48" xfId="39697" xr:uid="{4B2341C6-91BD-4ECD-8AE3-C698634769C2}"/>
    <cellStyle name="40% - Accent6 49" xfId="39698" xr:uid="{EFA3DBF7-303A-47AA-97CA-8847990FBB9D}"/>
    <cellStyle name="40% - Accent6 5" xfId="3761" xr:uid="{E626145C-85AF-44E5-98DD-190C72AE0810}"/>
    <cellStyle name="40% - Accent6 5 2" xfId="3762" xr:uid="{F1A70F5B-80C0-4370-9151-7CC6992ACA74}"/>
    <cellStyle name="40% - Accent6 5 2 2" xfId="39699" xr:uid="{D8768E82-EDCC-4D82-809B-84D8859F9956}"/>
    <cellStyle name="40% - Accent6 5 3" xfId="3763" xr:uid="{4C01F889-CBBE-404F-A0B6-1DF8CABA0D2F}"/>
    <cellStyle name="40% - Accent6 5 4" xfId="39700" xr:uid="{FD633EAA-2874-455A-90D2-9B5DDB21BCAF}"/>
    <cellStyle name="40% - Accent6 5 5" xfId="43567" xr:uid="{A1EE47F2-3EF0-437B-8B8C-3B66AC24D0CC}"/>
    <cellStyle name="40% - Accent6 50" xfId="39701" xr:uid="{1222F0F7-AC7F-4835-9BAF-67E0CB075E80}"/>
    <cellStyle name="40% - Accent6 51" xfId="39702" xr:uid="{8597FDFA-015D-44DD-82B4-452E7D7D1759}"/>
    <cellStyle name="40% - Accent6 52" xfId="39703" xr:uid="{45032D0A-CD48-44FB-B761-C32BB1336DC8}"/>
    <cellStyle name="40% - Accent6 53" xfId="39704" xr:uid="{DB033C15-5D1B-4501-99A1-0308417FFE52}"/>
    <cellStyle name="40% - Accent6 54" xfId="39705" xr:uid="{63CF5FC4-48FD-419E-B7C4-69F550DF72BC}"/>
    <cellStyle name="40% - Accent6 55" xfId="39706" xr:uid="{CD2C05D6-0241-4A27-87A6-07787C3BE0A4}"/>
    <cellStyle name="40% - Accent6 56" xfId="39707" xr:uid="{22EE1741-3365-40D0-AECC-7708310855D5}"/>
    <cellStyle name="40% - Accent6 57" xfId="39708" xr:uid="{35786D22-F810-46DF-80B0-986E38FF22FE}"/>
    <cellStyle name="40% - Accent6 58" xfId="39709" xr:uid="{1800510E-5271-4EAE-AA4C-D04681D925D4}"/>
    <cellStyle name="40% - Accent6 59" xfId="39710" xr:uid="{602B2F8F-42D4-4C6B-B5DF-AC0097FF423B}"/>
    <cellStyle name="40% - Accent6 6" xfId="3764" xr:uid="{919DE9AF-99C1-4F18-92AA-367A4A5B41DB}"/>
    <cellStyle name="40% - Accent6 6 2" xfId="3765" xr:uid="{68DAAEFA-B981-4382-8C8F-1B52052FD5FC}"/>
    <cellStyle name="40% - Accent6 6 2 2" xfId="39711" xr:uid="{D4B72EC9-A339-4938-BEE2-713E42853F2B}"/>
    <cellStyle name="40% - Accent6 6 3" xfId="3766" xr:uid="{7BF5D18A-5D49-451E-93C7-D9ED5D94588B}"/>
    <cellStyle name="40% - Accent6 6 4" xfId="39712" xr:uid="{AB0F4D61-7E3E-4EBE-A61D-7BCE8C055E29}"/>
    <cellStyle name="40% - Accent6 60" xfId="39713" xr:uid="{0C325B6D-6E98-4E27-BC66-9B405ED18C6D}"/>
    <cellStyle name="40% - Accent6 61" xfId="39714" xr:uid="{4E8DF7D3-A6EA-431A-B767-B2E698DA221F}"/>
    <cellStyle name="40% - Accent6 62" xfId="39715" xr:uid="{B7ED816C-3D3B-4A54-8034-D3CF7DAD4743}"/>
    <cellStyle name="40% - Accent6 63" xfId="39716" xr:uid="{7D568D1C-1EF4-42F2-8BCE-044200EBE62F}"/>
    <cellStyle name="40% - Accent6 64" xfId="39717" xr:uid="{B21AFB4C-AD14-4670-A9F4-DB82F1E730A5}"/>
    <cellStyle name="40% - Accent6 65" xfId="39718" xr:uid="{1B774A63-EDDB-4D03-B3E8-B1105D2E65D8}"/>
    <cellStyle name="40% - Accent6 66" xfId="39719" xr:uid="{19C07386-8FBA-40F6-AA59-C168A949D325}"/>
    <cellStyle name="40% - Accent6 67" xfId="39720" xr:uid="{09CDB8EE-B8BC-44E0-A52F-708E67DC58C7}"/>
    <cellStyle name="40% - Accent6 68" xfId="39721" xr:uid="{6C0D1980-4B85-4483-8ED2-A2F4466EF0E6}"/>
    <cellStyle name="40% - Accent6 69" xfId="39722" xr:uid="{8B2576C0-AC46-47AD-B3B0-0BB71FB01E63}"/>
    <cellStyle name="40% - Accent6 7" xfId="3767" xr:uid="{4B7D192B-362F-495C-87F5-B3C3A47D5134}"/>
    <cellStyle name="40% - Accent6 7 2" xfId="3768" xr:uid="{DEA12BAA-15F2-41B2-8083-65B214C5792E}"/>
    <cellStyle name="40% - Accent6 7 3" xfId="3769" xr:uid="{6CB2F55D-B4D8-43D7-BD58-871D8B7C6517}"/>
    <cellStyle name="40% - Accent6 7 4" xfId="39723" xr:uid="{09E98500-27B7-4D8B-B6DA-8B43A320E497}"/>
    <cellStyle name="40% - Accent6 70" xfId="39724" xr:uid="{879D05B9-2C06-42F9-925F-105B7E68FC79}"/>
    <cellStyle name="40% - Accent6 71" xfId="39725" xr:uid="{C83F5614-29AA-40E7-BB7B-3E9552DC796A}"/>
    <cellStyle name="40% - Accent6 72" xfId="39726" xr:uid="{B069D935-1D89-43CF-9FB6-802525C4E8C1}"/>
    <cellStyle name="40% - Accent6 73" xfId="39727" xr:uid="{19B0803B-12E0-402F-899D-F69EE5DE5E70}"/>
    <cellStyle name="40% - Accent6 74" xfId="39728" xr:uid="{18C016FD-6C91-4056-B1ED-84D6D871630D}"/>
    <cellStyle name="40% - Accent6 75" xfId="39729" xr:uid="{5D27E8E0-BD4C-4D5B-AB8C-6F2F5C40C221}"/>
    <cellStyle name="40% - Accent6 76" xfId="39730" xr:uid="{C22361E5-3DA3-4D1C-8504-C002A6D90717}"/>
    <cellStyle name="40% - Accent6 77" xfId="39731" xr:uid="{6B6573F8-A2C8-412D-AFDB-954DE7846E99}"/>
    <cellStyle name="40% - Accent6 78" xfId="39732" xr:uid="{092B2532-8831-4F93-9C3B-1C099D4A2650}"/>
    <cellStyle name="40% - Accent6 79" xfId="39733" xr:uid="{6E6F9755-E51E-4E1D-9A4E-536C864DDF20}"/>
    <cellStyle name="40% - Accent6 8" xfId="3770" xr:uid="{23BBD207-AC60-4B77-8C15-876DB7464234}"/>
    <cellStyle name="40% - Accent6 8 2" xfId="3771" xr:uid="{DA56E9D4-A063-4B3F-BA8F-27FC89A67C7F}"/>
    <cellStyle name="40% - Accent6 8 3" xfId="3772" xr:uid="{DAE18D9D-7029-4D1C-8DCA-B9068FB666BC}"/>
    <cellStyle name="40% - Accent6 8 4" xfId="39734" xr:uid="{3591A138-6F2E-4E17-A707-E13B9146906C}"/>
    <cellStyle name="40% - Accent6 80" xfId="39735" xr:uid="{A724906B-8EE9-4652-8C8A-8FF0996FF6FE}"/>
    <cellStyle name="40% - Accent6 81" xfId="39736" xr:uid="{3AC9FF6D-7C02-4BBF-8A25-3C36549BFCF7}"/>
    <cellStyle name="40% - Accent6 82" xfId="39737" xr:uid="{10260580-9445-4A78-8856-578692BF05A6}"/>
    <cellStyle name="40% - Accent6 83" xfId="39738" xr:uid="{DD035C1C-C214-4559-A553-88E0EB60818F}"/>
    <cellStyle name="40% - Accent6 84" xfId="39739" xr:uid="{6E841066-EBB5-4306-B9CD-BC8796520A27}"/>
    <cellStyle name="40% - Accent6 85" xfId="39740" xr:uid="{86C538A7-6F8B-4630-A171-1B733EC34093}"/>
    <cellStyle name="40% - Accent6 86" xfId="39741" xr:uid="{FB72CBBD-396E-4AA8-A6FF-DE01806ADB3B}"/>
    <cellStyle name="40% - Accent6 87" xfId="39742" xr:uid="{0AA103EF-09AB-4673-BA86-3D730B2274E0}"/>
    <cellStyle name="40% - Accent6 88" xfId="39743" xr:uid="{205E63FD-80F1-4D35-A457-CD8EEEA16D4F}"/>
    <cellStyle name="40% - Accent6 89" xfId="39744" xr:uid="{37302F78-3888-4FB4-AC0B-A76D1AAD9707}"/>
    <cellStyle name="40% - Accent6 9" xfId="3773" xr:uid="{D21A41AA-06CE-404C-947C-D5ACDB0351C4}"/>
    <cellStyle name="40% - Accent6 9 2" xfId="3774" xr:uid="{DD74B125-E902-48FC-BA8E-0C653FF09F07}"/>
    <cellStyle name="40% - Accent6 9 3" xfId="3775" xr:uid="{58D71480-0D0E-4987-8984-3D20F34CB10F}"/>
    <cellStyle name="40% - Accent6 9 4" xfId="39745" xr:uid="{F8F86525-4D58-4B87-8AE6-9EED651FA417}"/>
    <cellStyle name="40% - Accent6 90" xfId="39746" xr:uid="{AD560CCC-4B8D-4F49-920B-DD395AD5C904}"/>
    <cellStyle name="40% - Accent6 91" xfId="39747" xr:uid="{7C873F6F-A1BA-4E32-827F-0781BDE90A26}"/>
    <cellStyle name="40% - Accent6 92" xfId="39748" xr:uid="{224EC3B7-712E-43D9-8B26-EC78A976D8A0}"/>
    <cellStyle name="40% - Accent6 93" xfId="39749" xr:uid="{6498E163-166E-4BC6-9E44-123FABBDCD1B}"/>
    <cellStyle name="40% - Accent6 94" xfId="39750" xr:uid="{92B63E56-EE48-4F83-B0C8-3B1D0B10AD9F}"/>
    <cellStyle name="40% - Accent6 95" xfId="39751" xr:uid="{D0B340F1-C808-4355-98E3-477B1878794F}"/>
    <cellStyle name="40% - Accent6 96" xfId="39752" xr:uid="{4BFC8446-C417-4C56-AA70-E161CB9AF0E5}"/>
    <cellStyle name="40% - Accent6 97" xfId="39753" xr:uid="{91AF9E5F-C608-427E-A7F4-1CE9859A9D00}"/>
    <cellStyle name="40% - Accent6 98" xfId="39754" xr:uid="{A3841A2C-53C8-4021-8DCE-4747CD441C8A}"/>
    <cellStyle name="40% - Accent6 99" xfId="39755" xr:uid="{BD8ACE9F-D8BB-406D-92AB-5E5E8D2726FB}"/>
    <cellStyle name="60% - Accent1 10" xfId="3776" xr:uid="{2F9511D2-B5E1-4F2B-AFA8-2B20E1C70ABC}"/>
    <cellStyle name="60% - Accent1 10 2" xfId="3777" xr:uid="{4075FA5F-0E24-444F-BA8E-4BF0F882B77C}"/>
    <cellStyle name="60% - Accent1 10 3" xfId="3778" xr:uid="{B976B189-64F8-4C33-BF16-7E8DA2936297}"/>
    <cellStyle name="60% - Accent1 11" xfId="3779" xr:uid="{C38ABD71-2AD8-4257-9E54-C30C191B02CB}"/>
    <cellStyle name="60% - Accent1 11 2" xfId="3780" xr:uid="{52FAB856-2714-4E56-B9FE-FAFAE8073E31}"/>
    <cellStyle name="60% - Accent1 11 3" xfId="3781" xr:uid="{9B76059F-A6EA-4567-A2AF-5C69DCE96E08}"/>
    <cellStyle name="60% - Accent1 12" xfId="3782" xr:uid="{838D3AE5-B02E-4520-8AC0-3E8133D1D803}"/>
    <cellStyle name="60% - Accent1 12 2" xfId="3783" xr:uid="{05E7FE62-08C6-448F-9A47-9BB8714B68F0}"/>
    <cellStyle name="60% - Accent1 13" xfId="3784" xr:uid="{956F50E2-DC5A-48FD-A82F-9EB9FD9CDBF1}"/>
    <cellStyle name="60% - Accent1 13 2" xfId="3785" xr:uid="{6E13EBBC-CE49-4AA6-90E7-672AF13C2111}"/>
    <cellStyle name="60% - Accent1 14" xfId="3786" xr:uid="{6B3C4E79-4FB5-449A-A1B5-F9E24BCA0C8F}"/>
    <cellStyle name="60% - Accent1 14 2" xfId="3787" xr:uid="{C509EAF8-415E-4540-B302-8FAF3C10CB19}"/>
    <cellStyle name="60% - Accent1 15" xfId="3788" xr:uid="{AE694F2E-D3B9-493C-A946-05265D8AAA0C}"/>
    <cellStyle name="60% - Accent1 15 2" xfId="3789" xr:uid="{BEA280BC-C9E2-44EF-B315-210809C61CD8}"/>
    <cellStyle name="60% - Accent1 16" xfId="3790" xr:uid="{E2F3CDF9-F74F-4B08-9209-93131D66EFF2}"/>
    <cellStyle name="60% - Accent1 16 2" xfId="3791" xr:uid="{C66B71C0-B2D5-414E-BFCA-F65CF2E5168B}"/>
    <cellStyle name="60% - Accent1 17" xfId="3792" xr:uid="{97412D4E-D921-42C0-8EC9-416CE375FE9F}"/>
    <cellStyle name="60% - Accent1 17 2" xfId="3793" xr:uid="{B9B20A2E-1B81-44E8-A5DF-493757798264}"/>
    <cellStyle name="60% - Accent1 18" xfId="3794" xr:uid="{9E19E366-54D6-430F-A4C1-B71416D913CD}"/>
    <cellStyle name="60% - Accent1 18 2" xfId="3795" xr:uid="{13F44B3C-0CF7-479B-AD65-B04E095FAC8F}"/>
    <cellStyle name="60% - Accent1 19" xfId="3796" xr:uid="{E6C94BF4-7467-46C3-90FD-66C907A267AB}"/>
    <cellStyle name="60% - Accent1 19 2" xfId="3797" xr:uid="{2869EFE5-D9B8-4B5B-B768-D148DAE16915}"/>
    <cellStyle name="60% - Accent1 2" xfId="3798" xr:uid="{A6B11B8A-0554-4DC3-99F2-2D23EE6CB1C3}"/>
    <cellStyle name="60% - Accent1 2 2" xfId="3799" xr:uid="{CA5E8B1C-6A45-427C-909C-E665C60EE9AD}"/>
    <cellStyle name="60% - Accent1 2 3" xfId="3800" xr:uid="{AA69ED07-56A8-44A3-966A-31780EF2B5A4}"/>
    <cellStyle name="60% - Accent1 2 3 2" xfId="3801" xr:uid="{A2E941D8-D676-45AD-B41F-277A232B0668}"/>
    <cellStyle name="60% - Accent1 2 3 3" xfId="3802" xr:uid="{F8586B0A-D5AE-49E6-94A8-8661BCFE547E}"/>
    <cellStyle name="60% - Accent1 2 4" xfId="39756" xr:uid="{26314D39-9BE0-43C9-BFF9-4296950F8D65}"/>
    <cellStyle name="60% - Accent1 2_PwrTax 51040" xfId="3803" xr:uid="{AF140EDA-04C7-49AA-AA98-15131429635A}"/>
    <cellStyle name="60% - Accent1 20" xfId="3804" xr:uid="{405F79CC-3A6B-465B-8A9C-795B1CEA2151}"/>
    <cellStyle name="60% - Accent1 21" xfId="3805" xr:uid="{BDC3C4A1-CCE6-48AC-97BF-0CE01262AA64}"/>
    <cellStyle name="60% - Accent1 22" xfId="3806" xr:uid="{85D241A2-754F-4252-96A5-26F3768A210D}"/>
    <cellStyle name="60% - Accent1 23" xfId="3807" xr:uid="{9EEA5F71-00AF-4F5A-8339-98C7A90DCA04}"/>
    <cellStyle name="60% - Accent1 24" xfId="3808" xr:uid="{6C44E607-FAE2-4AB4-9C26-9AC48BEF6145}"/>
    <cellStyle name="60% - Accent1 25" xfId="3809" xr:uid="{FFC6D60E-2BC6-4BAD-AC14-42E279736696}"/>
    <cellStyle name="60% - Accent1 26" xfId="3810" xr:uid="{613ED69F-DB10-4492-8468-E05157FE74F1}"/>
    <cellStyle name="60% - Accent1 27" xfId="3811" xr:uid="{7587AB8F-DA89-4654-A555-D8E5F9EBD140}"/>
    <cellStyle name="60% - Accent1 28" xfId="3812" xr:uid="{9F9CE06A-5C4E-4F01-8348-D25A2BDED91C}"/>
    <cellStyle name="60% - Accent1 29" xfId="3813" xr:uid="{57ABCE92-84CC-4DE5-832F-32FB81B1E29E}"/>
    <cellStyle name="60% - Accent1 3" xfId="3814" xr:uid="{2B708930-9E58-4235-9077-D62C04593F2D}"/>
    <cellStyle name="60% - Accent1 3 2" xfId="3815" xr:uid="{E3711AA3-3434-4C8B-8C4F-54D708AF144C}"/>
    <cellStyle name="60% - Accent1 3 3" xfId="3816" xr:uid="{14F0C16C-4E3E-4E96-B1DC-F58B0373AFC0}"/>
    <cellStyle name="60% - Accent1 3 3 2" xfId="3817" xr:uid="{40EB7268-7EC5-495A-ACFC-9A32BECBD1E9}"/>
    <cellStyle name="60% - Accent1 3 3 3" xfId="3818" xr:uid="{8742B0CD-C6A5-474E-9585-195EC42E7E5C}"/>
    <cellStyle name="60% - Accent1 3 4" xfId="39757" xr:uid="{03A3ECD9-DDB7-438B-B01A-0633D2BCBF86}"/>
    <cellStyle name="60% - Accent1 30" xfId="3819" xr:uid="{F04CF966-FC07-4716-BA97-7D201121F6A9}"/>
    <cellStyle name="60% - Accent1 31" xfId="3820" xr:uid="{3980AAC6-D318-4F10-94B2-67FA29240334}"/>
    <cellStyle name="60% - Accent1 32" xfId="3821" xr:uid="{6F062E08-96C6-47F9-ADD7-E80562735D0C}"/>
    <cellStyle name="60% - Accent1 33" xfId="3822" xr:uid="{D9E65F84-2C28-4AC1-A132-9068555ECEE8}"/>
    <cellStyle name="60% - Accent1 34" xfId="3823" xr:uid="{03DB2F07-4A4C-4AF6-BB1A-B6E759049B9F}"/>
    <cellStyle name="60% - Accent1 35" xfId="3824" xr:uid="{A9AA68BA-F4A2-40C0-8570-DAB29B1CCC42}"/>
    <cellStyle name="60% - Accent1 36" xfId="3825" xr:uid="{1BE5BF80-4047-4522-B64E-26E93E520232}"/>
    <cellStyle name="60% - Accent1 37" xfId="39758" xr:uid="{865D2293-092A-4DD1-8841-F49841650393}"/>
    <cellStyle name="60% - Accent1 38" xfId="174" xr:uid="{6BB529E4-D772-44D0-9FB0-49C4E54FF390}"/>
    <cellStyle name="60% - Accent1 4" xfId="3826" xr:uid="{070BA7DF-A85C-430C-A399-C59600D13AFA}"/>
    <cellStyle name="60% - Accent1 4 2" xfId="3827" xr:uid="{EB09ED76-B710-40AA-B6D3-D06CA469558B}"/>
    <cellStyle name="60% - Accent1 4 3" xfId="3828" xr:uid="{E7D5042D-75C5-48A3-9DD6-25E20DDB7807}"/>
    <cellStyle name="60% - Accent1 5" xfId="3829" xr:uid="{E2BF25C2-5012-4C44-A46E-19856C662F0D}"/>
    <cellStyle name="60% - Accent1 5 2" xfId="3830" xr:uid="{0BCCD327-43E6-47D7-8162-D5BB0184D69E}"/>
    <cellStyle name="60% - Accent1 5 3" xfId="3831" xr:uid="{F433D0B0-0AA2-4C70-B77E-C93FE710FE6D}"/>
    <cellStyle name="60% - Accent1 6" xfId="3832" xr:uid="{A9FDD3F3-FC9E-49D9-82EA-B734949D1B32}"/>
    <cellStyle name="60% - Accent1 6 2" xfId="3833" xr:uid="{ACB08D5E-6E46-4481-B8B1-21301423DFFA}"/>
    <cellStyle name="60% - Accent1 6 3" xfId="3834" xr:uid="{DBF539CF-4C8D-48CA-8E19-8A06EC994731}"/>
    <cellStyle name="60% - Accent1 7" xfId="3835" xr:uid="{63A7C6EE-6656-4F88-8EEB-020A5F65CA33}"/>
    <cellStyle name="60% - Accent1 7 2" xfId="3836" xr:uid="{4C3446E4-E47B-413A-B556-84A4667AFA21}"/>
    <cellStyle name="60% - Accent1 7 3" xfId="3837" xr:uid="{1A438B23-A385-4494-8D7A-63E52F46BBE3}"/>
    <cellStyle name="60% - Accent1 8" xfId="3838" xr:uid="{D4843A08-5631-4F3A-94CA-0B76E3F4A311}"/>
    <cellStyle name="60% - Accent1 8 2" xfId="3839" xr:uid="{6A99EE60-14D9-4793-968F-DE8ED39E42AA}"/>
    <cellStyle name="60% - Accent1 8 3" xfId="3840" xr:uid="{B9975FFC-2E6D-4F6B-9763-6458BB6CB4ED}"/>
    <cellStyle name="60% - Accent1 9" xfId="3841" xr:uid="{392D45F5-7F9A-4AD7-AA65-F1250D84ABE0}"/>
    <cellStyle name="60% - Accent1 9 2" xfId="3842" xr:uid="{546187AF-4839-4D7B-867C-1FA48AB1D173}"/>
    <cellStyle name="60% - Accent1 9 3" xfId="3843" xr:uid="{3798F9B6-9775-4996-8F5D-5DB8533887C2}"/>
    <cellStyle name="60% - Accent2 10" xfId="3844" xr:uid="{BE066EA6-6E72-4DD5-BAF7-D85495E51874}"/>
    <cellStyle name="60% - Accent2 10 2" xfId="3845" xr:uid="{6CADFDAE-A3E7-4C87-A91A-1132EADF05E8}"/>
    <cellStyle name="60% - Accent2 10 3" xfId="3846" xr:uid="{9A045BE6-DC1A-4FD8-973F-E263311E4752}"/>
    <cellStyle name="60% - Accent2 11" xfId="3847" xr:uid="{21315DBE-5A56-4A81-AEFB-02FA4B2438BC}"/>
    <cellStyle name="60% - Accent2 11 2" xfId="3848" xr:uid="{9815F34E-DB8A-4202-8C54-ABB616AD60CF}"/>
    <cellStyle name="60% - Accent2 11 3" xfId="3849" xr:uid="{4AD0112E-1019-4CC0-9922-B1378A46BF61}"/>
    <cellStyle name="60% - Accent2 12" xfId="3850" xr:uid="{F563AB40-6106-4984-A400-347DFCB387C9}"/>
    <cellStyle name="60% - Accent2 12 2" xfId="3851" xr:uid="{F44E3F75-B5BF-486E-827E-51AC1DE36B2C}"/>
    <cellStyle name="60% - Accent2 13" xfId="3852" xr:uid="{A2B03A8C-3FA0-44AC-8E14-B0B753E7BFF6}"/>
    <cellStyle name="60% - Accent2 13 2" xfId="3853" xr:uid="{520E745C-6795-4087-9A32-4B35A91E6A5B}"/>
    <cellStyle name="60% - Accent2 14" xfId="3854" xr:uid="{39905ED3-2066-4F10-A71A-5D4689D12E51}"/>
    <cellStyle name="60% - Accent2 14 2" xfId="3855" xr:uid="{65FED13F-5EB2-413B-B4D3-C79C46A291C1}"/>
    <cellStyle name="60% - Accent2 15" xfId="3856" xr:uid="{2203003C-9738-4F97-963E-6D008DD97B81}"/>
    <cellStyle name="60% - Accent2 15 2" xfId="3857" xr:uid="{BBD554C3-0E0B-437F-B63B-768C80F17798}"/>
    <cellStyle name="60% - Accent2 16" xfId="3858" xr:uid="{AD99245C-6500-47DC-8793-CCD61C6C3930}"/>
    <cellStyle name="60% - Accent2 16 2" xfId="3859" xr:uid="{89E4BAB8-EE6E-4A5D-95A4-39CFD8E3A17C}"/>
    <cellStyle name="60% - Accent2 17" xfId="3860" xr:uid="{CA0DFA62-EBD7-4B53-A16E-AAB1276EE155}"/>
    <cellStyle name="60% - Accent2 17 2" xfId="3861" xr:uid="{48A04DC4-49FF-469C-A70B-80A23515DC51}"/>
    <cellStyle name="60% - Accent2 18" xfId="3862" xr:uid="{8F886270-720C-4660-862E-D2DF5FCA2F44}"/>
    <cellStyle name="60% - Accent2 18 2" xfId="3863" xr:uid="{607EABAE-4170-45BA-9B0C-3A65DDD0EA62}"/>
    <cellStyle name="60% - Accent2 19" xfId="3864" xr:uid="{77891E42-64E5-4D5F-9F21-3C29794D03A6}"/>
    <cellStyle name="60% - Accent2 19 2" xfId="3865" xr:uid="{4EF36E0A-F456-4D1D-8EED-B0EA92348D91}"/>
    <cellStyle name="60% - Accent2 2" xfId="3866" xr:uid="{7CAE327C-F1EE-4DB0-8BF0-E48A14D0EB50}"/>
    <cellStyle name="60% - Accent2 2 2" xfId="3867" xr:uid="{3FA1B6C2-BDCA-4D7D-BD48-6F4D4CB1B4A4}"/>
    <cellStyle name="60% - Accent2 2 3" xfId="3868" xr:uid="{578992FD-2233-48F4-A738-AC575A8C7592}"/>
    <cellStyle name="60% - Accent2 2 3 2" xfId="3869" xr:uid="{449B0981-00D4-4B49-84FD-28D12405D31A}"/>
    <cellStyle name="60% - Accent2 2 3 3" xfId="3870" xr:uid="{432E9D06-1A08-438A-A291-AAA1497DDCD4}"/>
    <cellStyle name="60% - Accent2 2 4" xfId="39759" xr:uid="{1EE823FF-9CF8-4541-90F2-7D4B0F287767}"/>
    <cellStyle name="60% - Accent2 2_PwrTax 51040" xfId="3871" xr:uid="{E2927330-C616-4DA9-BE7E-DACD8BE6756D}"/>
    <cellStyle name="60% - Accent2 20" xfId="3872" xr:uid="{3C8A14B5-E9D2-4520-8604-BFBCB96F39D3}"/>
    <cellStyle name="60% - Accent2 21" xfId="3873" xr:uid="{BCE1200A-C1D4-4660-B49D-EDEE52BECF6A}"/>
    <cellStyle name="60% - Accent2 22" xfId="3874" xr:uid="{18AFD602-EABB-48D0-B95C-315F2159D47A}"/>
    <cellStyle name="60% - Accent2 23" xfId="3875" xr:uid="{28897AF9-B01F-4596-95D0-6CBAF164BD80}"/>
    <cellStyle name="60% - Accent2 24" xfId="3876" xr:uid="{E486E161-72C4-486B-9BD3-40EA0BCF662B}"/>
    <cellStyle name="60% - Accent2 25" xfId="3877" xr:uid="{73DB3F3E-C5F0-4D0E-9F44-29E17F8DEB6E}"/>
    <cellStyle name="60% - Accent2 26" xfId="3878" xr:uid="{BD3701C3-3252-45C6-B934-C32298916CF6}"/>
    <cellStyle name="60% - Accent2 27" xfId="3879" xr:uid="{66591AFE-D398-42D1-9725-79C63EFF271D}"/>
    <cellStyle name="60% - Accent2 28" xfId="3880" xr:uid="{45A75B06-833E-4534-A5F8-1CCCBE40EE10}"/>
    <cellStyle name="60% - Accent2 29" xfId="3881" xr:uid="{F67EFD31-5AA6-4643-8621-A8BCC9114DE4}"/>
    <cellStyle name="60% - Accent2 3" xfId="3882" xr:uid="{8818FE30-8108-4381-8BBA-2CD3D8FB5606}"/>
    <cellStyle name="60% - Accent2 3 2" xfId="3883" xr:uid="{79ED9517-4EF2-4085-9D37-254756A91F17}"/>
    <cellStyle name="60% - Accent2 3 3" xfId="3884" xr:uid="{378C9E91-8EDB-4214-B1B8-731A8AC34ABF}"/>
    <cellStyle name="60% - Accent2 3 3 2" xfId="3885" xr:uid="{59529953-76E2-401B-9C49-8F6FB2D38522}"/>
    <cellStyle name="60% - Accent2 3 3 3" xfId="3886" xr:uid="{B26EA20C-B47F-44D5-9F0D-6BA0D1542F5A}"/>
    <cellStyle name="60% - Accent2 3 4" xfId="39760" xr:uid="{00EFA4DC-9BE9-4AAF-95D2-774CC067EC8F}"/>
    <cellStyle name="60% - Accent2 30" xfId="3887" xr:uid="{B52BF1B6-7523-4FCB-B7A3-17A8B0E50FD6}"/>
    <cellStyle name="60% - Accent2 31" xfId="3888" xr:uid="{037AA260-33EB-47DA-A820-56E4FE11AA73}"/>
    <cellStyle name="60% - Accent2 32" xfId="3889" xr:uid="{48E19FF5-9E04-4EBA-B427-38B8D79EDDAB}"/>
    <cellStyle name="60% - Accent2 33" xfId="3890" xr:uid="{8755A369-AF7B-4A94-8902-E1088EF4A3E7}"/>
    <cellStyle name="60% - Accent2 34" xfId="3891" xr:uid="{CCD1213C-7C44-47BE-A407-E7784EB638E8}"/>
    <cellStyle name="60% - Accent2 35" xfId="3892" xr:uid="{810AAA84-00E8-4DED-BF79-D3A1B93D5232}"/>
    <cellStyle name="60% - Accent2 36" xfId="3893" xr:uid="{A72B3A92-486B-4646-A297-55AAD7319C96}"/>
    <cellStyle name="60% - Accent2 37" xfId="39761" xr:uid="{0F2588C8-CACE-4DB4-BE6D-10151C08D8AF}"/>
    <cellStyle name="60% - Accent2 38" xfId="175" xr:uid="{F497BB30-C836-488A-988C-7E49FA849721}"/>
    <cellStyle name="60% - Accent2 4" xfId="3894" xr:uid="{2A429107-DFD8-4222-8F0F-CBC15159ED04}"/>
    <cellStyle name="60% - Accent2 4 2" xfId="3895" xr:uid="{A5C085B1-0D85-4A1C-A205-0B0FC5B5475F}"/>
    <cellStyle name="60% - Accent2 4 3" xfId="3896" xr:uid="{042DAF3F-19AF-4AA0-B767-F31C3899429B}"/>
    <cellStyle name="60% - Accent2 5" xfId="3897" xr:uid="{150AF95F-C66C-4CA8-93BF-4129AE11FBB0}"/>
    <cellStyle name="60% - Accent2 5 2" xfId="3898" xr:uid="{EBEE9185-E222-47AB-84DD-F9DCE2F9B860}"/>
    <cellStyle name="60% - Accent2 5 3" xfId="3899" xr:uid="{FF03E22E-E643-4A97-AA9A-83155AF36AE0}"/>
    <cellStyle name="60% - Accent2 6" xfId="3900" xr:uid="{418193DF-DB93-4216-AD70-4746F913B449}"/>
    <cellStyle name="60% - Accent2 6 2" xfId="3901" xr:uid="{A5361A04-B53D-41E2-86B5-DDACFF562CFA}"/>
    <cellStyle name="60% - Accent2 6 3" xfId="3902" xr:uid="{FDF11B27-B218-47B1-B201-4613FF2E6E28}"/>
    <cellStyle name="60% - Accent2 7" xfId="3903" xr:uid="{140E4410-4461-46FC-94F8-64C1758FB6FB}"/>
    <cellStyle name="60% - Accent2 7 2" xfId="3904" xr:uid="{5147AE11-33DA-4DBB-AE97-DBD5E9B95104}"/>
    <cellStyle name="60% - Accent2 7 3" xfId="3905" xr:uid="{C34BE5BB-2774-44D9-B0E5-FE06F528BF1A}"/>
    <cellStyle name="60% - Accent2 8" xfId="3906" xr:uid="{15FCC606-208A-455F-9CFD-D6A440106CD8}"/>
    <cellStyle name="60% - Accent2 8 2" xfId="3907" xr:uid="{30DA5BC9-143A-48B7-A610-36154B4B45C3}"/>
    <cellStyle name="60% - Accent2 8 3" xfId="3908" xr:uid="{8F4DBD8D-214B-411B-80DF-0E3D43C5E2EF}"/>
    <cellStyle name="60% - Accent2 9" xfId="3909" xr:uid="{9023A4CF-EE81-4C08-8728-AF7EB8053D31}"/>
    <cellStyle name="60% - Accent2 9 2" xfId="3910" xr:uid="{360EB4E5-CB14-489F-903E-1E12E283CAE6}"/>
    <cellStyle name="60% - Accent2 9 3" xfId="3911" xr:uid="{F12EC9EA-83CB-4C9E-88F9-3ED4EEA0B716}"/>
    <cellStyle name="60% - Accent3 10" xfId="3912" xr:uid="{73F169E1-54B8-4FD3-8732-0B82006DA0FA}"/>
    <cellStyle name="60% - Accent3 10 2" xfId="3913" xr:uid="{B452A119-E93D-43ED-86E6-E20573F70A98}"/>
    <cellStyle name="60% - Accent3 10 3" xfId="3914" xr:uid="{0AA80C5A-B3CB-4D49-92E6-AB4999EAE700}"/>
    <cellStyle name="60% - Accent3 11" xfId="3915" xr:uid="{CDB785B8-03AC-40EA-A408-7C830E56FDF4}"/>
    <cellStyle name="60% - Accent3 11 2" xfId="3916" xr:uid="{A3132AB6-E042-45DB-AED5-E549D8968E43}"/>
    <cellStyle name="60% - Accent3 11 3" xfId="3917" xr:uid="{8A131469-9DF9-4C0A-9105-6E3A18E1A107}"/>
    <cellStyle name="60% - Accent3 12" xfId="3918" xr:uid="{F08138E9-58D3-44BE-ABDB-E45CA04951A6}"/>
    <cellStyle name="60% - Accent3 12 2" xfId="3919" xr:uid="{7CB1ADBB-08EF-4591-986A-3EF42AF12568}"/>
    <cellStyle name="60% - Accent3 13" xfId="3920" xr:uid="{9D9CD498-1B12-41A8-95FB-43CC3F59F73E}"/>
    <cellStyle name="60% - Accent3 13 2" xfId="3921" xr:uid="{E873B632-7F49-4073-BA0D-705C9D33434C}"/>
    <cellStyle name="60% - Accent3 14" xfId="3922" xr:uid="{F2B8FB32-B7E7-4A4B-8AF7-CC60ABC9BF8A}"/>
    <cellStyle name="60% - Accent3 14 2" xfId="3923" xr:uid="{493FFD78-106E-4C86-AD8B-78ECD049282D}"/>
    <cellStyle name="60% - Accent3 15" xfId="3924" xr:uid="{1EA5AB78-1609-4B6E-89FF-D43925DFF9BD}"/>
    <cellStyle name="60% - Accent3 15 2" xfId="3925" xr:uid="{A734BB4D-683F-4A17-8EB9-971527EA7CF4}"/>
    <cellStyle name="60% - Accent3 16" xfId="3926" xr:uid="{9664AE5B-DAB7-4487-B361-3FDE30EC10ED}"/>
    <cellStyle name="60% - Accent3 16 2" xfId="3927" xr:uid="{8D2F037F-C3D2-4B53-913B-686264C4D4AD}"/>
    <cellStyle name="60% - Accent3 17" xfId="3928" xr:uid="{84FECB2C-6498-47A9-A077-C26A765C5737}"/>
    <cellStyle name="60% - Accent3 17 2" xfId="3929" xr:uid="{468D6986-63A3-46B7-9C6B-D8F14B132749}"/>
    <cellStyle name="60% - Accent3 18" xfId="3930" xr:uid="{B73A6F94-811A-48DF-876C-32A7C0279ABC}"/>
    <cellStyle name="60% - Accent3 18 2" xfId="3931" xr:uid="{3687ED0D-3691-495C-8371-0B8893351CA5}"/>
    <cellStyle name="60% - Accent3 19" xfId="3932" xr:uid="{62EEE903-9AC7-4DF3-983B-58E60FA34C03}"/>
    <cellStyle name="60% - Accent3 19 2" xfId="3933" xr:uid="{29036ED2-9AA0-42AE-8F64-72ABDFB9E206}"/>
    <cellStyle name="60% - Accent3 2" xfId="3934" xr:uid="{64831520-E49E-4608-99C5-981B00149F85}"/>
    <cellStyle name="60% - Accent3 2 2" xfId="3935" xr:uid="{38804C94-A08C-4914-A9EE-F7EA50941DCB}"/>
    <cellStyle name="60% - Accent3 2 3" xfId="3936" xr:uid="{33F80512-D351-406A-8482-B2B50F7BA875}"/>
    <cellStyle name="60% - Accent3 2 3 2" xfId="3937" xr:uid="{895570A1-725B-47F9-A9D5-75D28614B8AF}"/>
    <cellStyle name="60% - Accent3 2 3 3" xfId="3938" xr:uid="{95CFFDB0-977C-4B2F-AC9C-C72F6B48B0D4}"/>
    <cellStyle name="60% - Accent3 2 3 4" xfId="3939" xr:uid="{AC05C65C-645B-4C59-BCA2-8A68BFA7B27A}"/>
    <cellStyle name="60% - Accent3 2 4" xfId="39762" xr:uid="{B8A9B8F7-9772-4BE5-8670-57FC215B6284}"/>
    <cellStyle name="60% - Accent3 2_PwrTax 51040" xfId="3940" xr:uid="{313259FF-CF5D-4E27-9D89-8279EFFBA097}"/>
    <cellStyle name="60% - Accent3 20" xfId="3941" xr:uid="{190914F9-6B96-499E-9258-3E0F8FA425E3}"/>
    <cellStyle name="60% - Accent3 21" xfId="3942" xr:uid="{D57A70BF-D5F6-48E9-B809-DA7548064845}"/>
    <cellStyle name="60% - Accent3 22" xfId="3943" xr:uid="{1EAE9413-BCCC-466D-B06A-60FDC6791BCC}"/>
    <cellStyle name="60% - Accent3 23" xfId="3944" xr:uid="{B1F97ADA-382E-488F-A0F7-10AF8B10A6DF}"/>
    <cellStyle name="60% - Accent3 24" xfId="3945" xr:uid="{899B8273-56B5-41C7-8752-D8D83C05284B}"/>
    <cellStyle name="60% - Accent3 25" xfId="3946" xr:uid="{EC60CF1A-4299-4500-A922-7D14A9ED1FDD}"/>
    <cellStyle name="60% - Accent3 26" xfId="3947" xr:uid="{6AC84044-CB1F-4C50-8A1F-37CDE6C4B948}"/>
    <cellStyle name="60% - Accent3 27" xfId="3948" xr:uid="{8825AD7D-9DD9-4223-8098-4E88EB90117A}"/>
    <cellStyle name="60% - Accent3 28" xfId="3949" xr:uid="{136094F8-0828-4A41-8690-3ED358B4888B}"/>
    <cellStyle name="60% - Accent3 29" xfId="3950" xr:uid="{D3A5FBFD-4CD0-4121-A274-BF867E0C15D3}"/>
    <cellStyle name="60% - Accent3 3" xfId="3951" xr:uid="{1DFB85AB-2886-4E3F-AED6-9DD6D8AD7D34}"/>
    <cellStyle name="60% - Accent3 3 2" xfId="3952" xr:uid="{BC7245BF-33E9-4C4A-A69A-27BD6818BCF5}"/>
    <cellStyle name="60% - Accent3 3 3" xfId="3953" xr:uid="{9E74FCBA-C73A-4B9A-87FA-F6EE98F379FD}"/>
    <cellStyle name="60% - Accent3 3 3 2" xfId="3954" xr:uid="{8C7D28C3-A762-4D98-8F5E-87D7EF721AF4}"/>
    <cellStyle name="60% - Accent3 3 3 3" xfId="3955" xr:uid="{58F782E9-D39E-4D76-9CA9-22B0959C29B3}"/>
    <cellStyle name="60% - Accent3 3 4" xfId="39763" xr:uid="{3DEB6196-D25C-4D56-A08C-F4C15B255725}"/>
    <cellStyle name="60% - Accent3 30" xfId="3956" xr:uid="{93A23C8C-F498-467A-8D23-E570F0648D48}"/>
    <cellStyle name="60% - Accent3 31" xfId="3957" xr:uid="{5499BC8B-72D9-4329-A037-367DF7B9B6B3}"/>
    <cellStyle name="60% - Accent3 32" xfId="3958" xr:uid="{5ABAFC93-BC4C-40D9-9676-FF5DC08F235C}"/>
    <cellStyle name="60% - Accent3 33" xfId="3959" xr:uid="{054F805D-8478-4EFD-B9D2-1D9E955A2090}"/>
    <cellStyle name="60% - Accent3 34" xfId="3960" xr:uid="{1F39C36A-1FFD-40DE-A51E-AFA8A0ABB980}"/>
    <cellStyle name="60% - Accent3 35" xfId="3961" xr:uid="{A6F30469-4E70-4349-988F-45A0897A18DF}"/>
    <cellStyle name="60% - Accent3 36" xfId="3962" xr:uid="{3978B3F8-0CE7-4B15-9505-454BC8A40CC2}"/>
    <cellStyle name="60% - Accent3 37" xfId="39764" xr:uid="{DF603C9D-AFFF-44AC-B429-B66167E5BE8F}"/>
    <cellStyle name="60% - Accent3 38" xfId="39765" xr:uid="{C3951C76-25A8-415D-9A86-58AE3A040883}"/>
    <cellStyle name="60% - Accent3 39" xfId="176" xr:uid="{2DA61E20-E27F-4B4B-A56C-ECEAE3E5F490}"/>
    <cellStyle name="60% - Accent3 4" xfId="3963" xr:uid="{0F5D9B04-0694-4B40-B200-E4F7F2652CEC}"/>
    <cellStyle name="60% - Accent3 4 2" xfId="3964" xr:uid="{7D21E3AE-67C6-46A9-A9DB-98EFBC7D599D}"/>
    <cellStyle name="60% - Accent3 4 3" xfId="3965" xr:uid="{7FA8BBEE-E7DA-4F84-AA28-28C7B151247D}"/>
    <cellStyle name="60% - Accent3 5" xfId="3966" xr:uid="{8E1FA823-BD6C-4437-9AE7-E4A45086FA26}"/>
    <cellStyle name="60% - Accent3 5 2" xfId="3967" xr:uid="{9409A572-2F29-455D-A139-431DE0E4E15D}"/>
    <cellStyle name="60% - Accent3 5 3" xfId="3968" xr:uid="{1D550B9A-7952-46E4-A15F-894BF5FC1887}"/>
    <cellStyle name="60% - Accent3 6" xfId="3969" xr:uid="{12F18B63-9BDF-4C0D-9117-066AA993E0C4}"/>
    <cellStyle name="60% - Accent3 6 2" xfId="3970" xr:uid="{557D097D-5906-40FB-9D11-8C9B104867BB}"/>
    <cellStyle name="60% - Accent3 6 3" xfId="3971" xr:uid="{C2B535C4-EC3A-421A-82D7-45EBBA99EC5F}"/>
    <cellStyle name="60% - Accent3 7" xfId="3972" xr:uid="{4F5603E6-FAED-4867-85A6-B221CD982873}"/>
    <cellStyle name="60% - Accent3 7 2" xfId="3973" xr:uid="{AA8126A8-0E8B-441C-A19F-009219AB54AE}"/>
    <cellStyle name="60% - Accent3 7 3" xfId="3974" xr:uid="{856C07F5-16C7-4023-A3DA-B6E974867358}"/>
    <cellStyle name="60% - Accent3 8" xfId="3975" xr:uid="{783D9D55-F665-40B8-9B26-C53613FA5FAF}"/>
    <cellStyle name="60% - Accent3 8 2" xfId="3976" xr:uid="{1F631091-C23D-4CBA-950E-DB5E5AF53D56}"/>
    <cellStyle name="60% - Accent3 8 3" xfId="3977" xr:uid="{9091336A-2BD6-4354-AFB7-6EFFADB41AC7}"/>
    <cellStyle name="60% - Accent3 9" xfId="3978" xr:uid="{710961AD-7FA5-4E01-AED0-88EC56B64601}"/>
    <cellStyle name="60% - Accent3 9 2" xfId="3979" xr:uid="{F47B9C0E-676B-4DB7-A78B-33F2D36AB5CC}"/>
    <cellStyle name="60% - Accent3 9 3" xfId="3980" xr:uid="{58688C6B-60E6-4F80-A471-BFD64AC33AC6}"/>
    <cellStyle name="60% - Accent4 10" xfId="3981" xr:uid="{C04D39B1-9904-408D-87ED-BF884DB6F46B}"/>
    <cellStyle name="60% - Accent4 10 2" xfId="3982" xr:uid="{A0D5A472-9070-4D09-8B7C-1318880BF16A}"/>
    <cellStyle name="60% - Accent4 10 3" xfId="3983" xr:uid="{0ADD7A4C-7149-4755-9681-63F31D431217}"/>
    <cellStyle name="60% - Accent4 11" xfId="3984" xr:uid="{411332A7-6496-498A-B119-905C6CA5FC19}"/>
    <cellStyle name="60% - Accent4 11 2" xfId="3985" xr:uid="{8EAC7A1B-485D-4B23-BEAA-05A110F67ECB}"/>
    <cellStyle name="60% - Accent4 11 3" xfId="3986" xr:uid="{A02371D6-B2D3-4959-ADEB-BB0313B596C9}"/>
    <cellStyle name="60% - Accent4 12" xfId="3987" xr:uid="{A37E2304-132B-4BC8-A1DE-101B7FF5A8B6}"/>
    <cellStyle name="60% - Accent4 12 2" xfId="3988" xr:uid="{FED6682A-3E68-4648-8A77-6DDA22826042}"/>
    <cellStyle name="60% - Accent4 13" xfId="3989" xr:uid="{FA3B90A3-43DC-4811-BCAA-F8304EA164D0}"/>
    <cellStyle name="60% - Accent4 13 2" xfId="3990" xr:uid="{28AC97B2-7900-41D4-BA50-95A79C9C8EA0}"/>
    <cellStyle name="60% - Accent4 14" xfId="3991" xr:uid="{59A6D808-7ADF-4EAC-9BD6-934DD8AA1FFA}"/>
    <cellStyle name="60% - Accent4 14 2" xfId="3992" xr:uid="{B572F8B4-D33A-45CD-B1DF-4AF57D57262B}"/>
    <cellStyle name="60% - Accent4 15" xfId="3993" xr:uid="{E60AA891-D538-4C9D-B338-DCEDBC1A1633}"/>
    <cellStyle name="60% - Accent4 15 2" xfId="3994" xr:uid="{A9A0B409-76C4-4200-8EA5-29B89940A5BA}"/>
    <cellStyle name="60% - Accent4 16" xfId="3995" xr:uid="{ABE9954F-9F6B-48C1-A510-F83DF4B61076}"/>
    <cellStyle name="60% - Accent4 16 2" xfId="3996" xr:uid="{A0D87D34-AA59-427C-B6D2-1EFC781077D1}"/>
    <cellStyle name="60% - Accent4 17" xfId="3997" xr:uid="{F16AF0B2-92D6-47EE-9AC9-4A3A5A8734E2}"/>
    <cellStyle name="60% - Accent4 17 2" xfId="3998" xr:uid="{8CD5304E-607C-466E-85E8-EB926CE9C64B}"/>
    <cellStyle name="60% - Accent4 18" xfId="3999" xr:uid="{BCEBC9FE-DA44-4120-8F86-9F313D362107}"/>
    <cellStyle name="60% - Accent4 18 2" xfId="4000" xr:uid="{B7D8BA40-1B45-47F2-8A84-E26C99C0DEDD}"/>
    <cellStyle name="60% - Accent4 19" xfId="4001" xr:uid="{18AB965D-6AB5-4537-9CBE-945C91FCB013}"/>
    <cellStyle name="60% - Accent4 19 2" xfId="4002" xr:uid="{0F3D75A1-31FB-46CB-8D27-0B636371E445}"/>
    <cellStyle name="60% - Accent4 2" xfId="4003" xr:uid="{DE75849B-8D7D-4A8C-8320-AA03977D6634}"/>
    <cellStyle name="60% - Accent4 2 2" xfId="4004" xr:uid="{05F810FD-FD5F-4ECE-90BB-82AA4A8D0F3F}"/>
    <cellStyle name="60% - Accent4 2 3" xfId="4005" xr:uid="{DCD7F926-6861-467B-AC07-6BD615950ECA}"/>
    <cellStyle name="60% - Accent4 2 3 2" xfId="4006" xr:uid="{EC78E178-E8CF-42CA-9D5E-D4BE12144D13}"/>
    <cellStyle name="60% - Accent4 2 3 3" xfId="4007" xr:uid="{A0D0F437-A611-48AC-B21F-36315D93A87B}"/>
    <cellStyle name="60% - Accent4 2 3 4" xfId="4008" xr:uid="{D425689B-7D6D-4817-AEAD-66A74C7575B2}"/>
    <cellStyle name="60% - Accent4 2 4" xfId="39766" xr:uid="{B3F289DA-A2D4-4FDA-8A22-39A4186E2A89}"/>
    <cellStyle name="60% - Accent4 2_PwrTax 51040" xfId="4009" xr:uid="{5E41412B-DC04-4846-A10E-EC83A2D8BD90}"/>
    <cellStyle name="60% - Accent4 20" xfId="4010" xr:uid="{633426E7-984E-47FA-9CC8-4858267C3703}"/>
    <cellStyle name="60% - Accent4 21" xfId="4011" xr:uid="{BB56D04B-A32F-4046-B946-2204FE1A60BA}"/>
    <cellStyle name="60% - Accent4 22" xfId="4012" xr:uid="{6C3BC9C4-C3D5-4503-B7F7-02C37AD0E0B6}"/>
    <cellStyle name="60% - Accent4 23" xfId="4013" xr:uid="{E8039968-4D9D-498B-99AD-7479DFA3D8F7}"/>
    <cellStyle name="60% - Accent4 24" xfId="4014" xr:uid="{D88219D3-0260-45CE-8CDF-F3CAE8075220}"/>
    <cellStyle name="60% - Accent4 25" xfId="4015" xr:uid="{346EC0BB-FC4A-446F-A829-819406818B8F}"/>
    <cellStyle name="60% - Accent4 26" xfId="4016" xr:uid="{A746FFC7-4AD3-4241-AFEE-C142D6BD1DED}"/>
    <cellStyle name="60% - Accent4 27" xfId="4017" xr:uid="{533EF11B-6BC6-466C-895E-F955CF0FD517}"/>
    <cellStyle name="60% - Accent4 28" xfId="4018" xr:uid="{A27D2AB5-C0B8-4789-A0A8-54D98234F7D9}"/>
    <cellStyle name="60% - Accent4 29" xfId="4019" xr:uid="{C57BB5BC-97DC-41DD-A992-66107A7AEDFF}"/>
    <cellStyle name="60% - Accent4 3" xfId="4020" xr:uid="{896343E7-5218-4CC5-BD65-AE1623C48BBE}"/>
    <cellStyle name="60% - Accent4 3 2" xfId="4021" xr:uid="{2EFEF8E1-D3E5-49C9-81E3-5A183598C78B}"/>
    <cellStyle name="60% - Accent4 3 3" xfId="4022" xr:uid="{69384CF8-8BDC-4791-B42D-EA253D64AA6F}"/>
    <cellStyle name="60% - Accent4 3 3 2" xfId="4023" xr:uid="{85CD2CB7-0354-4BF8-88FA-98FCD6B92022}"/>
    <cellStyle name="60% - Accent4 3 3 3" xfId="4024" xr:uid="{41C24D75-70C4-4AF7-AEDC-D95BF3258EE5}"/>
    <cellStyle name="60% - Accent4 3 4" xfId="39767" xr:uid="{C87649F0-F1C8-4933-86B3-A2DB66A56890}"/>
    <cellStyle name="60% - Accent4 30" xfId="4025" xr:uid="{DA3993E8-00CD-4D85-BAF5-8A6368D03677}"/>
    <cellStyle name="60% - Accent4 31" xfId="4026" xr:uid="{4A9FDC4C-5A33-4A0B-82CD-0AF5E3FC5161}"/>
    <cellStyle name="60% - Accent4 32" xfId="4027" xr:uid="{37B8F67F-179C-4986-871E-7D6B112D228B}"/>
    <cellStyle name="60% - Accent4 33" xfId="4028" xr:uid="{5C568DB3-8869-4082-8D89-C431D3F8F42D}"/>
    <cellStyle name="60% - Accent4 34" xfId="4029" xr:uid="{0ED76FDE-419D-4F59-B3F1-1D4418F0B432}"/>
    <cellStyle name="60% - Accent4 35" xfId="4030" xr:uid="{F8C75FC8-9333-40BB-9BBA-9D85929D34E3}"/>
    <cellStyle name="60% - Accent4 36" xfId="4031" xr:uid="{FFF21FE9-8BFA-400E-8775-ADE2D8A8B878}"/>
    <cellStyle name="60% - Accent4 37" xfId="39768" xr:uid="{7A2D36D1-8009-4854-87EA-46BE6F6EDF48}"/>
    <cellStyle name="60% - Accent4 38" xfId="39769" xr:uid="{8E2115BC-DECF-40BE-8892-D875878A5547}"/>
    <cellStyle name="60% - Accent4 39" xfId="177" xr:uid="{1BBAC475-7480-46CF-BA1A-DC854FB542BC}"/>
    <cellStyle name="60% - Accent4 4" xfId="4032" xr:uid="{3285C95E-8176-4732-A294-9A79ECFDBF5A}"/>
    <cellStyle name="60% - Accent4 4 2" xfId="4033" xr:uid="{5E067516-28F5-4415-B18C-D9126BC8E854}"/>
    <cellStyle name="60% - Accent4 4 3" xfId="4034" xr:uid="{A72AA2D3-2A72-4060-AA30-959B9FDB7FED}"/>
    <cellStyle name="60% - Accent4 5" xfId="4035" xr:uid="{876D6B13-6ED2-4033-82A4-E0CBD73224E1}"/>
    <cellStyle name="60% - Accent4 5 2" xfId="4036" xr:uid="{9A5E6D6F-F7A7-4C90-91A4-A3D7B2AD0F62}"/>
    <cellStyle name="60% - Accent4 5 3" xfId="4037" xr:uid="{192B088C-1DBB-421F-AC0C-AC6C7F4C3C0A}"/>
    <cellStyle name="60% - Accent4 6" xfId="4038" xr:uid="{4A62A5D3-3378-4370-A106-4898BDF81688}"/>
    <cellStyle name="60% - Accent4 6 2" xfId="4039" xr:uid="{B0C9DE4C-6DEC-4B7C-B92F-D224BB5A975B}"/>
    <cellStyle name="60% - Accent4 6 3" xfId="4040" xr:uid="{CB70F087-7A64-46F4-8527-40C39A390975}"/>
    <cellStyle name="60% - Accent4 7" xfId="4041" xr:uid="{6D89F7DE-1EA3-44B5-A346-A68CA3B910D9}"/>
    <cellStyle name="60% - Accent4 7 2" xfId="4042" xr:uid="{50A2D372-F607-45E6-A8E8-D80649311B6D}"/>
    <cellStyle name="60% - Accent4 7 3" xfId="4043" xr:uid="{37101920-0C0D-45FB-9846-0DE2C6C0D71F}"/>
    <cellStyle name="60% - Accent4 8" xfId="4044" xr:uid="{876D8614-9125-42A1-A6AF-AE472E151F4E}"/>
    <cellStyle name="60% - Accent4 8 2" xfId="4045" xr:uid="{578CE8A9-EDE5-4E9B-8FFA-730323CA08CD}"/>
    <cellStyle name="60% - Accent4 8 3" xfId="4046" xr:uid="{4E9C83F2-BE1C-4381-AC90-40323A27EFB3}"/>
    <cellStyle name="60% - Accent4 9" xfId="4047" xr:uid="{E252F554-092C-4733-B426-B9E3EAEFDCC5}"/>
    <cellStyle name="60% - Accent4 9 2" xfId="4048" xr:uid="{0FA11EFA-582D-4DCA-93BD-BEE2F84A9AB8}"/>
    <cellStyle name="60% - Accent4 9 3" xfId="4049" xr:uid="{EFD045AA-61D6-4B10-BA95-EC00E431DB92}"/>
    <cellStyle name="60% - Accent5 10" xfId="4050" xr:uid="{0E0D48B8-B429-40DD-957A-FD53E28B206D}"/>
    <cellStyle name="60% - Accent5 10 2" xfId="4051" xr:uid="{D712138F-EBD1-4090-9C52-36C15E26D676}"/>
    <cellStyle name="60% - Accent5 10 3" xfId="4052" xr:uid="{8D986CE9-00CA-4DCF-B44B-FB9C251D2228}"/>
    <cellStyle name="60% - Accent5 11" xfId="4053" xr:uid="{AE9FE2FB-0A94-4312-BD48-A0A474887D07}"/>
    <cellStyle name="60% - Accent5 11 2" xfId="4054" xr:uid="{FAC39888-5359-4AF2-99F7-6DA82140DED2}"/>
    <cellStyle name="60% - Accent5 11 3" xfId="4055" xr:uid="{D659C302-486B-4C18-B2CD-00F505DCE5D3}"/>
    <cellStyle name="60% - Accent5 12" xfId="4056" xr:uid="{E141C67C-301F-4A99-8C51-78FEC45DCEA0}"/>
    <cellStyle name="60% - Accent5 12 2" xfId="4057" xr:uid="{DDDA77DF-3B5C-4333-99AE-B930918633DB}"/>
    <cellStyle name="60% - Accent5 13" xfId="4058" xr:uid="{A1AD2A20-74EE-4AFA-829C-F7B8A8EE2342}"/>
    <cellStyle name="60% - Accent5 13 2" xfId="4059" xr:uid="{F9631018-8D7A-4A9D-8B60-1EA7C07AB07A}"/>
    <cellStyle name="60% - Accent5 14" xfId="4060" xr:uid="{A45F1C39-C615-41E5-BB38-D44CBE49F012}"/>
    <cellStyle name="60% - Accent5 14 2" xfId="4061" xr:uid="{898DE52A-6672-4063-86B7-3EFACB44BE0F}"/>
    <cellStyle name="60% - Accent5 15" xfId="4062" xr:uid="{69E99B42-7876-4ACA-893A-14B4449B53AF}"/>
    <cellStyle name="60% - Accent5 15 2" xfId="4063" xr:uid="{02052A0E-8884-420A-A0CF-6C1D135CAFA1}"/>
    <cellStyle name="60% - Accent5 16" xfId="4064" xr:uid="{B1BA56E2-51A5-475A-9208-A12C7BB1232B}"/>
    <cellStyle name="60% - Accent5 16 2" xfId="4065" xr:uid="{C8A0223C-34ED-49B9-A339-BA301894DBBB}"/>
    <cellStyle name="60% - Accent5 17" xfId="4066" xr:uid="{7C6C9E54-D7E5-4606-B257-B7CECCB8CEB0}"/>
    <cellStyle name="60% - Accent5 17 2" xfId="4067" xr:uid="{15F2986A-6BDE-41D6-827D-8630A3C14401}"/>
    <cellStyle name="60% - Accent5 18" xfId="4068" xr:uid="{A1FBEEE8-08C7-46C4-BC71-CD3ADBC8792E}"/>
    <cellStyle name="60% - Accent5 18 2" xfId="4069" xr:uid="{ED6FE12E-885A-4A93-8E16-5B5D5256695A}"/>
    <cellStyle name="60% - Accent5 19" xfId="4070" xr:uid="{978556F2-4F01-4974-8514-00794B7FABCF}"/>
    <cellStyle name="60% - Accent5 19 2" xfId="4071" xr:uid="{FBDE587E-CBB4-4163-A08B-A333D1ADCA99}"/>
    <cellStyle name="60% - Accent5 2" xfId="4072" xr:uid="{071D7263-04E9-4E37-8823-FA865129A523}"/>
    <cellStyle name="60% - Accent5 2 2" xfId="4073" xr:uid="{352F5817-0F8F-45FE-9279-B5575BD9D8D7}"/>
    <cellStyle name="60% - Accent5 2 3" xfId="4074" xr:uid="{F69AD11D-2A9D-4300-A23F-0790B4286B73}"/>
    <cellStyle name="60% - Accent5 2 3 2" xfId="4075" xr:uid="{E541E88A-9640-496F-ABA6-D0EDE960480F}"/>
    <cellStyle name="60% - Accent5 2 3 3" xfId="4076" xr:uid="{D347A607-AB0F-420A-8FE0-5D098C589FC7}"/>
    <cellStyle name="60% - Accent5 2 4" xfId="39770" xr:uid="{504E125B-DAD7-4EA9-9705-BC8883225D7F}"/>
    <cellStyle name="60% - Accent5 2_PwrTax 51040" xfId="4077" xr:uid="{5D6356BB-CDC1-491E-8BD4-E7AD3FDEEC6D}"/>
    <cellStyle name="60% - Accent5 20" xfId="4078" xr:uid="{81E0FE2C-0E63-4CED-A9A0-AFE742C14868}"/>
    <cellStyle name="60% - Accent5 21" xfId="4079" xr:uid="{8B13388D-430E-49A7-B339-5E411D4470F7}"/>
    <cellStyle name="60% - Accent5 22" xfId="4080" xr:uid="{CC8BEC8A-B903-4552-858A-0209F4E9FD06}"/>
    <cellStyle name="60% - Accent5 23" xfId="4081" xr:uid="{2592240C-8423-43F6-A07B-51AC525938B8}"/>
    <cellStyle name="60% - Accent5 24" xfId="4082" xr:uid="{3FF36153-DF1C-48FC-9789-040F7E7279AE}"/>
    <cellStyle name="60% - Accent5 25" xfId="4083" xr:uid="{171B9A96-6524-4472-9284-D7C654082957}"/>
    <cellStyle name="60% - Accent5 26" xfId="4084" xr:uid="{DA2E1A13-0329-4544-B2F6-8F67BFF97A94}"/>
    <cellStyle name="60% - Accent5 27" xfId="4085" xr:uid="{50BB944A-5E77-46A7-A8A2-C8ACAAD94D03}"/>
    <cellStyle name="60% - Accent5 28" xfId="4086" xr:uid="{F58F8ECC-C1DF-46A9-90CC-FBDEB58DC087}"/>
    <cellStyle name="60% - Accent5 29" xfId="4087" xr:uid="{11E72798-F135-4A27-B509-081F1A9C0E6F}"/>
    <cellStyle name="60% - Accent5 3" xfId="4088" xr:uid="{5EA8D3ED-5075-4C70-8011-42966E86F79C}"/>
    <cellStyle name="60% - Accent5 3 2" xfId="4089" xr:uid="{D29C7028-1DF6-40F4-A9C2-DF9ED5E06311}"/>
    <cellStyle name="60% - Accent5 3 3" xfId="4090" xr:uid="{23FE4FA7-B7C0-4704-8758-72E310D905B8}"/>
    <cellStyle name="60% - Accent5 3 3 2" xfId="4091" xr:uid="{63788048-99DA-4E51-9C29-760D11B28B9F}"/>
    <cellStyle name="60% - Accent5 3 3 3" xfId="4092" xr:uid="{1DCFDBC4-6C33-4DA7-9176-64E2CB271242}"/>
    <cellStyle name="60% - Accent5 3 4" xfId="39771" xr:uid="{1EA2584E-216B-49B3-9D3E-C8B90394B02E}"/>
    <cellStyle name="60% - Accent5 30" xfId="4093" xr:uid="{343C896C-242C-4195-9925-D5B279728826}"/>
    <cellStyle name="60% - Accent5 31" xfId="4094" xr:uid="{532A3856-AAE0-4B87-A60F-A3E235FD8000}"/>
    <cellStyle name="60% - Accent5 32" xfId="4095" xr:uid="{16E4839C-B4AE-4A3D-AEF6-39CE0B61D9F4}"/>
    <cellStyle name="60% - Accent5 33" xfId="4096" xr:uid="{A282D2CD-CFED-4C1C-9EB4-D15FEBE90C1E}"/>
    <cellStyle name="60% - Accent5 34" xfId="4097" xr:uid="{33B21D40-BDEF-4E4C-B8E3-1C703244EE1B}"/>
    <cellStyle name="60% - Accent5 35" xfId="4098" xr:uid="{B97C029B-849D-451E-BE09-550038D52CBC}"/>
    <cellStyle name="60% - Accent5 36" xfId="4099" xr:uid="{DF7986EA-DA62-40D2-83B8-904E2B1385D6}"/>
    <cellStyle name="60% - Accent5 37" xfId="39772" xr:uid="{91D9C926-82A4-47D6-A80C-E7CA5AEEC7CC}"/>
    <cellStyle name="60% - Accent5 38" xfId="178" xr:uid="{758ED4D7-59CD-4F8A-810E-4161F90752E8}"/>
    <cellStyle name="60% - Accent5 4" xfId="4100" xr:uid="{CAB76DA8-D2C1-4092-90A1-3E43D3DA56BA}"/>
    <cellStyle name="60% - Accent5 4 2" xfId="4101" xr:uid="{FDF5CC56-6E14-4288-90B2-3E304E780435}"/>
    <cellStyle name="60% - Accent5 4 3" xfId="4102" xr:uid="{8690C767-AD8A-4B84-B62A-7A56C25D3188}"/>
    <cellStyle name="60% - Accent5 5" xfId="4103" xr:uid="{AB1ADE4E-4D20-4DB3-8362-66D9A0CACED5}"/>
    <cellStyle name="60% - Accent5 5 2" xfId="4104" xr:uid="{9B904C2C-AB5C-4187-A674-C775C813DBE3}"/>
    <cellStyle name="60% - Accent5 5 3" xfId="4105" xr:uid="{C5EC2DC3-23A9-4C13-9711-A22C96B00F1A}"/>
    <cellStyle name="60% - Accent5 6" xfId="4106" xr:uid="{1EB56170-227A-477D-B41E-09C7E32ED5A3}"/>
    <cellStyle name="60% - Accent5 6 2" xfId="4107" xr:uid="{9C4B53A6-72CB-4538-BAC7-C90BCC3D3ACD}"/>
    <cellStyle name="60% - Accent5 6 3" xfId="4108" xr:uid="{B19BA6EF-7A0D-4689-B8CA-9E704A2B9D3B}"/>
    <cellStyle name="60% - Accent5 7" xfId="4109" xr:uid="{273703B8-AB84-416F-AF40-9889E23CC109}"/>
    <cellStyle name="60% - Accent5 7 2" xfId="4110" xr:uid="{7C6C060E-0A70-4A88-B8DC-02E1FCAE16A7}"/>
    <cellStyle name="60% - Accent5 7 3" xfId="4111" xr:uid="{1AC6FF09-1841-4408-B644-D3840548AD8D}"/>
    <cellStyle name="60% - Accent5 8" xfId="4112" xr:uid="{6F3843F9-2779-4578-9FE7-43D9FD7A24BD}"/>
    <cellStyle name="60% - Accent5 8 2" xfId="4113" xr:uid="{EDE495D9-C2AC-4AE2-A795-33D7B7D86101}"/>
    <cellStyle name="60% - Accent5 8 3" xfId="4114" xr:uid="{706E1544-0086-44D0-AC48-7D3C7049BED3}"/>
    <cellStyle name="60% - Accent5 9" xfId="4115" xr:uid="{BFCB19FB-CB15-49E8-B3F6-58F4D272B5F2}"/>
    <cellStyle name="60% - Accent5 9 2" xfId="4116" xr:uid="{68531C7E-F453-4AB9-9917-204D01DFE7A4}"/>
    <cellStyle name="60% - Accent5 9 3" xfId="4117" xr:uid="{FC62F1C8-5ECC-4190-9757-E6042B1172F4}"/>
    <cellStyle name="60% - Accent6 10" xfId="4118" xr:uid="{4257B1E0-B13E-4782-B2D7-FB9AA16F712A}"/>
    <cellStyle name="60% - Accent6 10 2" xfId="4119" xr:uid="{F8652B26-136B-4453-B13B-D626A3D20C68}"/>
    <cellStyle name="60% - Accent6 10 3" xfId="4120" xr:uid="{86A6FED2-855B-45F5-8DA8-A3747456C6CE}"/>
    <cellStyle name="60% - Accent6 11" xfId="4121" xr:uid="{08B0500C-F032-4674-925F-25A10156EBA6}"/>
    <cellStyle name="60% - Accent6 11 2" xfId="4122" xr:uid="{613B153F-5A82-4392-B3BD-8663A994A5F0}"/>
    <cellStyle name="60% - Accent6 11 3" xfId="4123" xr:uid="{7D46568C-F33F-44FB-A73F-E7E2E3F90B05}"/>
    <cellStyle name="60% - Accent6 12" xfId="4124" xr:uid="{CAB3E12F-D3B9-47A2-B5CD-3A7FA81BCCB5}"/>
    <cellStyle name="60% - Accent6 12 2" xfId="4125" xr:uid="{0C7A875C-B696-420A-9CD3-688B45F31230}"/>
    <cellStyle name="60% - Accent6 13" xfId="4126" xr:uid="{9204C5A1-FA6F-4BF3-B13B-8346134D0805}"/>
    <cellStyle name="60% - Accent6 13 2" xfId="4127" xr:uid="{D9B28B9B-904A-4664-99BD-C681D071FB6B}"/>
    <cellStyle name="60% - Accent6 14" xfId="4128" xr:uid="{455DE46C-AA66-407F-A9D3-7DCA01C61B70}"/>
    <cellStyle name="60% - Accent6 14 2" xfId="4129" xr:uid="{80F07E54-E10A-41EF-BFDF-488EA1C10AC7}"/>
    <cellStyle name="60% - Accent6 15" xfId="4130" xr:uid="{26139EFA-0C21-423A-98D7-A438ACCA063A}"/>
    <cellStyle name="60% - Accent6 15 2" xfId="4131" xr:uid="{C5F2D39D-5AF2-41B9-AB1D-CD88C2FC61F1}"/>
    <cellStyle name="60% - Accent6 16" xfId="4132" xr:uid="{6A819FF2-FFAC-4B2E-9999-1AC6EF005504}"/>
    <cellStyle name="60% - Accent6 16 2" xfId="4133" xr:uid="{07F2B7BC-C73D-4A7F-9138-74AD69367CAF}"/>
    <cellStyle name="60% - Accent6 17" xfId="4134" xr:uid="{E3146275-5B9D-49C6-8924-CA8337E36331}"/>
    <cellStyle name="60% - Accent6 17 2" xfId="4135" xr:uid="{314FFB1C-F013-49AF-9EF9-7DED5E58EB61}"/>
    <cellStyle name="60% - Accent6 18" xfId="4136" xr:uid="{D6AFCADB-2E22-49CB-BBC3-6D1D337EF6F7}"/>
    <cellStyle name="60% - Accent6 18 2" xfId="4137" xr:uid="{35FB2497-9752-41EB-B5C6-4962874E9221}"/>
    <cellStyle name="60% - Accent6 19" xfId="4138" xr:uid="{3B7AAE81-15C2-4523-8141-D855275E2DC1}"/>
    <cellStyle name="60% - Accent6 19 2" xfId="4139" xr:uid="{E63D6D74-CBFA-4A2E-814F-FA5DFF02D532}"/>
    <cellStyle name="60% - Accent6 2" xfId="4140" xr:uid="{4F144BF1-CE23-4720-AD72-438A51DB7D19}"/>
    <cellStyle name="60% - Accent6 2 2" xfId="4141" xr:uid="{077DE6CF-B3FA-4014-B860-796F66A8E8A8}"/>
    <cellStyle name="60% - Accent6 2 3" xfId="4142" xr:uid="{83BCEF1F-5744-4801-8EBD-37D96500A936}"/>
    <cellStyle name="60% - Accent6 2 3 2" xfId="4143" xr:uid="{49F95215-AD42-41F5-A6BA-FCF9B0D8F720}"/>
    <cellStyle name="60% - Accent6 2 3 3" xfId="4144" xr:uid="{6C6A365B-2856-4A23-B740-9B2200E3EC83}"/>
    <cellStyle name="60% - Accent6 2 3 4" xfId="4145" xr:uid="{63CC685D-A26F-4928-9962-548EDEE1FC06}"/>
    <cellStyle name="60% - Accent6 2 4" xfId="39773" xr:uid="{06C89C8C-5857-41C4-A52C-A800B7C7F04C}"/>
    <cellStyle name="60% - Accent6 2_PwrTax 51040" xfId="4146" xr:uid="{AA202652-8970-4500-95E7-0F71DD895083}"/>
    <cellStyle name="60% - Accent6 20" xfId="4147" xr:uid="{62250276-0710-46D2-B0D6-2FAD830C0101}"/>
    <cellStyle name="60% - Accent6 21" xfId="4148" xr:uid="{52804856-77F8-45F2-A514-796C5AB5F29C}"/>
    <cellStyle name="60% - Accent6 22" xfId="4149" xr:uid="{486B8384-8211-4E8F-9E64-123FE689996B}"/>
    <cellStyle name="60% - Accent6 23" xfId="4150" xr:uid="{DAE79E4C-7390-4323-9A52-443A0CAC14E0}"/>
    <cellStyle name="60% - Accent6 24" xfId="4151" xr:uid="{2EA2E955-0D2C-4BAD-B20C-6FDD7E738721}"/>
    <cellStyle name="60% - Accent6 25" xfId="4152" xr:uid="{F9FA76D4-7EE8-41D5-B9F7-6088858D9CAF}"/>
    <cellStyle name="60% - Accent6 26" xfId="4153" xr:uid="{C890C776-344A-49E3-8334-06DA03AD9BFE}"/>
    <cellStyle name="60% - Accent6 27" xfId="4154" xr:uid="{82676D22-6081-4F0D-9DF3-0DD88114D71C}"/>
    <cellStyle name="60% - Accent6 28" xfId="4155" xr:uid="{72902925-0A88-437D-9C2B-51299ADB4DCA}"/>
    <cellStyle name="60% - Accent6 29" xfId="4156" xr:uid="{EF45D216-861E-4874-B06A-F4D44DE8AEB4}"/>
    <cellStyle name="60% - Accent6 3" xfId="4157" xr:uid="{3E7A637C-9D9C-4C59-8890-76A81FE7C2DC}"/>
    <cellStyle name="60% - Accent6 3 2" xfId="4158" xr:uid="{54505DEC-08D0-4285-A66A-4F8159843D46}"/>
    <cellStyle name="60% - Accent6 3 3" xfId="4159" xr:uid="{22EB5237-0DA0-4BB6-872A-37276DE32CF7}"/>
    <cellStyle name="60% - Accent6 3 3 2" xfId="4160" xr:uid="{69D73B89-6870-44D9-A4EE-740DAA42D8FD}"/>
    <cellStyle name="60% - Accent6 3 3 3" xfId="4161" xr:uid="{C61549BD-B91E-43B8-883F-9933E2C8CCBC}"/>
    <cellStyle name="60% - Accent6 3 4" xfId="39774" xr:uid="{F6BCA7F6-33FA-41C3-9212-EC378F966EB4}"/>
    <cellStyle name="60% - Accent6 30" xfId="4162" xr:uid="{7D5ED94E-681C-482F-926F-CE1A51EDD380}"/>
    <cellStyle name="60% - Accent6 31" xfId="4163" xr:uid="{1BC8EE24-2875-41AD-8BF3-3FBA3D836FFA}"/>
    <cellStyle name="60% - Accent6 32" xfId="4164" xr:uid="{004A4D69-5A45-4A04-937D-AA119B43BACD}"/>
    <cellStyle name="60% - Accent6 33" xfId="4165" xr:uid="{DC3242E8-56F4-44D1-91C2-B0323BCA6CA0}"/>
    <cellStyle name="60% - Accent6 34" xfId="4166" xr:uid="{1E74CC1F-FC07-4C90-AE75-053A0413B37C}"/>
    <cellStyle name="60% - Accent6 35" xfId="4167" xr:uid="{AD74C1B1-95C9-404E-9892-1D49AD54BF77}"/>
    <cellStyle name="60% - Accent6 36" xfId="4168" xr:uid="{C409690C-B986-4BD7-A70B-F04BB129115E}"/>
    <cellStyle name="60% - Accent6 37" xfId="39775" xr:uid="{CE02CA5A-E859-4682-9DB8-4168167DA3C5}"/>
    <cellStyle name="60% - Accent6 38" xfId="39776" xr:uid="{E4244CB9-1ED0-44E0-8013-9CA50564C95D}"/>
    <cellStyle name="60% - Accent6 39" xfId="179" xr:uid="{23DAF425-90E5-43A2-9670-9B028392B8A4}"/>
    <cellStyle name="60% - Accent6 4" xfId="4169" xr:uid="{B85E81C5-5B3B-49EE-ADFF-132254C46A39}"/>
    <cellStyle name="60% - Accent6 4 2" xfId="4170" xr:uid="{36E71C1F-9146-4AA9-BDB2-6CF78B827806}"/>
    <cellStyle name="60% - Accent6 4 3" xfId="4171" xr:uid="{C6B85D51-770B-4525-913F-4AB70486BE0E}"/>
    <cellStyle name="60% - Accent6 5" xfId="4172" xr:uid="{ABA7EA89-1E95-49E4-A97F-29BD4FD204D5}"/>
    <cellStyle name="60% - Accent6 5 2" xfId="4173" xr:uid="{003C73E7-EE9D-493E-9479-2079275D7F86}"/>
    <cellStyle name="60% - Accent6 5 3" xfId="4174" xr:uid="{357C39E2-852F-423A-8F9B-EAFDBC662602}"/>
    <cellStyle name="60% - Accent6 6" xfId="4175" xr:uid="{DEDBB3FA-5B60-4DF3-9B77-1E4D9481847E}"/>
    <cellStyle name="60% - Accent6 6 2" xfId="4176" xr:uid="{04FAB652-FAD1-46FC-BED1-7B975F15B72B}"/>
    <cellStyle name="60% - Accent6 6 3" xfId="4177" xr:uid="{5A90138D-6460-4E1B-9762-1A479FFD7E51}"/>
    <cellStyle name="60% - Accent6 7" xfId="4178" xr:uid="{C3D8DF37-F405-481B-86F1-67B64CE92EB8}"/>
    <cellStyle name="60% - Accent6 7 2" xfId="4179" xr:uid="{71C39639-343A-43ED-B582-BC308EBB46D5}"/>
    <cellStyle name="60% - Accent6 7 3" xfId="4180" xr:uid="{B5B9E245-26DD-49BB-8693-28BD1D647BF6}"/>
    <cellStyle name="60% - Accent6 8" xfId="4181" xr:uid="{67448993-2447-49BD-A06C-3F83E6B57671}"/>
    <cellStyle name="60% - Accent6 8 2" xfId="4182" xr:uid="{6D34C481-60D0-4605-8B89-31EEC143CF45}"/>
    <cellStyle name="60% - Accent6 8 3" xfId="4183" xr:uid="{A9139993-4DCC-4B5C-8D39-6B7F8918278A}"/>
    <cellStyle name="60% - Accent6 9" xfId="4184" xr:uid="{D2ED9064-2751-4910-9A06-5481E9E0FA5E}"/>
    <cellStyle name="60% - Accent6 9 2" xfId="4185" xr:uid="{A684CEF5-74B6-4FF9-A87E-289392F4521B}"/>
    <cellStyle name="60% - Accent6 9 3" xfId="4186" xr:uid="{F37761EA-282B-488D-A808-530716B27943}"/>
    <cellStyle name="Accent1 - 20%" xfId="4187" xr:uid="{AB5CD8A5-AD43-4ACE-B2C1-9284958F5457}"/>
    <cellStyle name="Accent1 - 20% 2" xfId="39777" xr:uid="{CD9FF739-E942-4838-99A7-535A86C4FD67}"/>
    <cellStyle name="Accent1 - 40%" xfId="4188" xr:uid="{880E7D8E-1891-4EFF-9525-3C07613BE296}"/>
    <cellStyle name="Accent1 - 40% 2" xfId="39778" xr:uid="{0FD6D5E4-B7A6-4515-B561-1FEE452ED2CE}"/>
    <cellStyle name="Accent1 - 60%" xfId="4189" xr:uid="{35A2634D-27B4-464C-9E65-1594212F850B}"/>
    <cellStyle name="Accent1 10" xfId="4190" xr:uid="{5FB65098-DF10-448C-A7AA-BACD7FDAB990}"/>
    <cellStyle name="Accent1 10 2" xfId="4191" xr:uid="{C18DEDB6-2859-410C-9D16-AA77915A695A}"/>
    <cellStyle name="Accent1 10 3" xfId="4192" xr:uid="{C5BFC627-D4E4-4BB0-9F86-8CDA0E931A6A}"/>
    <cellStyle name="Accent1 100" xfId="39779" xr:uid="{CBDE9A1D-512E-498C-8E34-EE72F96C79F6}"/>
    <cellStyle name="Accent1 101" xfId="39780" xr:uid="{E4547280-4B05-4C86-A626-638F232D0EF2}"/>
    <cellStyle name="Accent1 102" xfId="39781" xr:uid="{00A70F26-A97A-42F6-B429-C00587651125}"/>
    <cellStyle name="Accent1 103" xfId="39782" xr:uid="{B2F9A9B9-4809-421D-9878-C7514F3AAE76}"/>
    <cellStyle name="Accent1 104" xfId="39783" xr:uid="{0C223B41-F1B5-4ABF-AC2C-6AE0DC4DF964}"/>
    <cellStyle name="Accent1 105" xfId="39784" xr:uid="{4E464FD7-D442-4F1D-96AD-15DE20A9BB4A}"/>
    <cellStyle name="Accent1 106" xfId="39785" xr:uid="{207AE20D-2A9F-42B2-912F-9E8D8BA0D046}"/>
    <cellStyle name="Accent1 107" xfId="39786" xr:uid="{17D03A1E-5128-4284-9C72-2ADD1D3F4A35}"/>
    <cellStyle name="Accent1 108" xfId="39787" xr:uid="{745D0966-6B9E-4C2F-8140-E3F46D71370A}"/>
    <cellStyle name="Accent1 109" xfId="39788" xr:uid="{D563692A-FD23-4778-AA79-C4650B849028}"/>
    <cellStyle name="Accent1 11" xfId="4193" xr:uid="{AE62FA18-D598-4B3F-8AC2-D023C0332A51}"/>
    <cellStyle name="Accent1 11 2" xfId="4194" xr:uid="{76DFC7C0-9AA4-4497-923F-62C72156B8BF}"/>
    <cellStyle name="Accent1 11 3" xfId="4195" xr:uid="{3D1D084D-40A3-4E5A-833D-12DF13D6DDBB}"/>
    <cellStyle name="Accent1 110" xfId="39789" xr:uid="{7047B518-8434-4E7C-9A0C-4A08C5DF236C}"/>
    <cellStyle name="Accent1 111" xfId="39790" xr:uid="{032E0FAA-F750-4230-A993-119A60047833}"/>
    <cellStyle name="Accent1 112" xfId="39791" xr:uid="{CA281884-FDC6-4C68-AE64-94FAF8E2D624}"/>
    <cellStyle name="Accent1 113" xfId="39792" xr:uid="{AF851B14-E87D-420E-B248-79959E373AA4}"/>
    <cellStyle name="Accent1 114" xfId="39793" xr:uid="{AC1E864B-3DA8-4385-BDE9-B7DC813337E7}"/>
    <cellStyle name="Accent1 115" xfId="39794" xr:uid="{562E6320-0DFF-4477-9F4C-446612043140}"/>
    <cellStyle name="Accent1 116" xfId="39795" xr:uid="{D8ECB48E-804E-4110-AB52-F4BF912A0D04}"/>
    <cellStyle name="Accent1 117" xfId="39796" xr:uid="{54D924FB-18A4-41BD-8554-261225AE579C}"/>
    <cellStyle name="Accent1 118" xfId="39797" xr:uid="{7E020830-89F2-4ED4-B0C1-2F3F9847B9C2}"/>
    <cellStyle name="Accent1 119" xfId="39798" xr:uid="{FC21095A-266A-4DB8-9D13-DFF7A44D3FB6}"/>
    <cellStyle name="Accent1 12" xfId="4196" xr:uid="{C2E70BC5-9058-4C4F-B144-41E860436F6A}"/>
    <cellStyle name="Accent1 12 2" xfId="4197" xr:uid="{0CE715A8-0654-4525-86B6-7156143E45CC}"/>
    <cellStyle name="Accent1 120" xfId="39799" xr:uid="{596108A1-85A8-465F-A44A-B311AC676792}"/>
    <cellStyle name="Accent1 121" xfId="39800" xr:uid="{8A6774A5-54C0-4F2B-ACAE-D5F393538042}"/>
    <cellStyle name="Accent1 122" xfId="39801" xr:uid="{61C808F6-ACBB-45D9-85A4-9B9FCF6C363B}"/>
    <cellStyle name="Accent1 123" xfId="39802" xr:uid="{AA8A9788-9442-4ACA-ACB8-9DFF3340F053}"/>
    <cellStyle name="Accent1 124" xfId="39803" xr:uid="{510C1924-5577-462F-83B9-361D4A6B230C}"/>
    <cellStyle name="Accent1 125" xfId="39804" xr:uid="{FA2EFD36-2391-4CA7-88D6-5E87380A97F5}"/>
    <cellStyle name="Accent1 126" xfId="39805" xr:uid="{CA3E2911-4891-4A74-A4CB-E4DB5FCF0D94}"/>
    <cellStyle name="Accent1 127" xfId="39806" xr:uid="{05F3DE0E-687D-4AA9-B26C-95B810F89BB2}"/>
    <cellStyle name="Accent1 128" xfId="39807" xr:uid="{FBF1194D-D1EA-4670-B152-2FEC932DC1A7}"/>
    <cellStyle name="Accent1 129" xfId="39808" xr:uid="{FB9BB4A1-4306-4F30-9509-0B8D0669FC49}"/>
    <cellStyle name="Accent1 13" xfId="4198" xr:uid="{D6E18C7F-E885-4E33-B391-77D47E430294}"/>
    <cellStyle name="Accent1 13 2" xfId="4199" xr:uid="{0E3BF4E4-53CD-4B85-835F-06DDDDD2694D}"/>
    <cellStyle name="Accent1 130" xfId="39809" xr:uid="{5643E67A-166D-4EA4-87B4-0FD51BB1B371}"/>
    <cellStyle name="Accent1 131" xfId="39810" xr:uid="{01065F10-C302-4ACF-95DC-BA43AF7117B5}"/>
    <cellStyle name="Accent1 132" xfId="39811" xr:uid="{4AF18635-E053-4EA3-B6C1-07B9EB75F5F5}"/>
    <cellStyle name="Accent1 133" xfId="39812" xr:uid="{4AC14F05-BBED-4BC2-9668-03CA8EE5EEC5}"/>
    <cellStyle name="Accent1 134" xfId="39813" xr:uid="{7FA98513-82CB-4860-B7A1-489D1AF4CF11}"/>
    <cellStyle name="Accent1 135" xfId="39814" xr:uid="{01C6F5C1-53FA-4821-A4F6-E8EECC6F562C}"/>
    <cellStyle name="Accent1 136" xfId="39815" xr:uid="{19919D87-9EBC-4909-B0DA-DBB9CDE54F92}"/>
    <cellStyle name="Accent1 137" xfId="39816" xr:uid="{3E1A3EA0-4F99-4FC7-BF91-CF28D4BE38C0}"/>
    <cellStyle name="Accent1 138" xfId="39817" xr:uid="{FCE2DBD0-3C25-405C-9659-3699ED578C95}"/>
    <cellStyle name="Accent1 139" xfId="39818" xr:uid="{B08C1156-B6D4-47FA-819D-5B94C7B7A9A5}"/>
    <cellStyle name="Accent1 14" xfId="4200" xr:uid="{2DAA4C79-78F0-44BE-AFA5-B9270C1A39C4}"/>
    <cellStyle name="Accent1 14 2" xfId="4201" xr:uid="{817FFD93-3E65-470A-8377-7D72B21A0E98}"/>
    <cellStyle name="Accent1 140" xfId="39819" xr:uid="{6E9ABE67-6EA9-4B54-B32D-6EE60DA772FF}"/>
    <cellStyle name="Accent1 141" xfId="39820" xr:uid="{89A07916-405C-4FEB-9B8E-1C9294F08CED}"/>
    <cellStyle name="Accent1 142" xfId="39821" xr:uid="{B600C5C5-C5A1-47A5-8196-7CC16D8724DC}"/>
    <cellStyle name="Accent1 143" xfId="39822" xr:uid="{36CBB185-E3C6-40AA-91ED-8685F8B978D0}"/>
    <cellStyle name="Accent1 144" xfId="39823" xr:uid="{C6E67573-C619-4ED5-B384-554D2199DA9A}"/>
    <cellStyle name="Accent1 145" xfId="39824" xr:uid="{616C8A35-3B26-45AE-8A31-8934BEB9976E}"/>
    <cellStyle name="Accent1 146" xfId="39825" xr:uid="{F42296EB-F7A5-45CF-BD9C-C23EB6F2572D}"/>
    <cellStyle name="Accent1 147" xfId="39826" xr:uid="{46FEB8CF-29B7-4BB2-BC6D-D31C09EE0239}"/>
    <cellStyle name="Accent1 148" xfId="39827" xr:uid="{19CF5557-B3B8-44E8-A2F7-753B93120F35}"/>
    <cellStyle name="Accent1 149" xfId="39828" xr:uid="{41FB0C85-8CAF-4D7E-A238-871FD8AC28A8}"/>
    <cellStyle name="Accent1 15" xfId="4202" xr:uid="{C65BDC3B-F204-4A77-A863-09E5652B8BD1}"/>
    <cellStyle name="Accent1 15 2" xfId="4203" xr:uid="{30EF58C0-2A6E-4202-A625-B3C510B8B92D}"/>
    <cellStyle name="Accent1 150" xfId="39829" xr:uid="{28C84475-05E3-45BE-92A1-FE17CBFC6E01}"/>
    <cellStyle name="Accent1 151" xfId="39830" xr:uid="{23A73341-26BA-4B60-A0B2-3E2D34A082E2}"/>
    <cellStyle name="Accent1 152" xfId="39831" xr:uid="{60532822-4DAE-4E27-B2FE-3989DD800730}"/>
    <cellStyle name="Accent1 153" xfId="39832" xr:uid="{C5E538A6-301A-48EC-819D-2BDBFB3A3D3A}"/>
    <cellStyle name="Accent1 154" xfId="39833" xr:uid="{1448E620-947E-4D2C-A66F-C30E967993D0}"/>
    <cellStyle name="Accent1 155" xfId="39834" xr:uid="{8FBFDFEE-DE6F-4494-BF5E-D0045E05BE68}"/>
    <cellStyle name="Accent1 156" xfId="39835" xr:uid="{6DA943BE-1AB8-4155-A113-146931DCF56E}"/>
    <cellStyle name="Accent1 157" xfId="39836" xr:uid="{B854A143-EA21-4B62-A645-1023CA82A71E}"/>
    <cellStyle name="Accent1 158" xfId="39837" xr:uid="{6F25285F-626E-42BA-ABAF-7A99CE009D87}"/>
    <cellStyle name="Accent1 159" xfId="39838" xr:uid="{1FC3906D-338B-449C-BAB1-617843837F3A}"/>
    <cellStyle name="Accent1 16" xfId="4204" xr:uid="{5827C8B9-3F6D-481B-95A1-DAED03DD2CBA}"/>
    <cellStyle name="Accent1 16 2" xfId="4205" xr:uid="{D143E8E5-AF47-4BCB-9E1B-202A4BD11C0D}"/>
    <cellStyle name="Accent1 160" xfId="39839" xr:uid="{54203C3F-9C80-4476-A8FA-80AEF141978D}"/>
    <cellStyle name="Accent1 161" xfId="39840" xr:uid="{1A6136EE-328C-43BB-A2A4-FD079ACC2623}"/>
    <cellStyle name="Accent1 162" xfId="39841" xr:uid="{D562D51A-94A9-49E3-ADF3-5D985594D4FE}"/>
    <cellStyle name="Accent1 163" xfId="39842" xr:uid="{29E3E37F-9ACE-4D48-B0BD-061FAED20DB6}"/>
    <cellStyle name="Accent1 164" xfId="39843" xr:uid="{952AA7EB-4B9B-44CB-B412-2036B901E234}"/>
    <cellStyle name="Accent1 165" xfId="39844" xr:uid="{576D0D2A-8814-4C0B-8C1C-D98976CE7AD0}"/>
    <cellStyle name="Accent1 166" xfId="39845" xr:uid="{D0D47152-A945-4048-96AA-E2FB25FD368C}"/>
    <cellStyle name="Accent1 167" xfId="39846" xr:uid="{35C87AB3-ABAA-4C64-AB1D-47EECFD85C97}"/>
    <cellStyle name="Accent1 168" xfId="39847" xr:uid="{309E0530-997F-4F32-BFFC-B96E3F1E0650}"/>
    <cellStyle name="Accent1 169" xfId="39848" xr:uid="{09C8C407-85B5-472A-ACFD-FDB66539DACF}"/>
    <cellStyle name="Accent1 17" xfId="4206" xr:uid="{B2591ED4-97E9-4316-90BF-FFA44D69939C}"/>
    <cellStyle name="Accent1 17 2" xfId="4207" xr:uid="{D3EE0B1E-94DD-4B05-9941-41E24788ADE4}"/>
    <cellStyle name="Accent1 170" xfId="39849" xr:uid="{1522A873-4873-4BEF-A7CB-B111EA19CCB9}"/>
    <cellStyle name="Accent1 171" xfId="39850" xr:uid="{C6C3515E-B00A-4882-9B21-A3AD8FE8388E}"/>
    <cellStyle name="Accent1 172" xfId="39851" xr:uid="{CB20BEEF-57CA-4D36-A4CA-D70584DE1505}"/>
    <cellStyle name="Accent1 173" xfId="39852" xr:uid="{BE9BDA43-D7CF-43E8-9A36-7E3C58E48C8F}"/>
    <cellStyle name="Accent1 174" xfId="39853" xr:uid="{DF046FC3-4AE6-4A63-B1C4-BE6013FC1567}"/>
    <cellStyle name="Accent1 175" xfId="39854" xr:uid="{80E31E43-7E94-4BE4-A6BE-98EAADA50379}"/>
    <cellStyle name="Accent1 176" xfId="39855" xr:uid="{6F2897BB-0AD4-4D72-A7AC-E3866D7EAB80}"/>
    <cellStyle name="Accent1 177" xfId="43465" xr:uid="{58FF72B9-CB48-460C-B0A2-AC76B588B041}"/>
    <cellStyle name="Accent1 178" xfId="43491" xr:uid="{0551C4A9-AA83-4166-898C-357E7A3CB6F6}"/>
    <cellStyle name="Accent1 179" xfId="43495" xr:uid="{9FBE233D-000A-41D8-82AE-0A3A80360E7C}"/>
    <cellStyle name="Accent1 18" xfId="4208" xr:uid="{099D86B9-A71F-4F81-BAAA-653AA8C5B3FE}"/>
    <cellStyle name="Accent1 18 2" xfId="4209" xr:uid="{6147A508-72D6-48DA-8BE3-484BB06AC98C}"/>
    <cellStyle name="Accent1 180" xfId="43569" xr:uid="{9430A00B-9063-4104-A3AE-D978DAD2C77D}"/>
    <cellStyle name="Accent1 181" xfId="43585" xr:uid="{A6DD50CC-1AAA-49DC-B6F6-866CC4835676}"/>
    <cellStyle name="Accent1 182" xfId="180" xr:uid="{00AE3C4A-5F20-413D-87A7-9126D03B3AAB}"/>
    <cellStyle name="Accent1 19" xfId="4210" xr:uid="{32C10397-F182-4B7D-A269-7C6F718B12E1}"/>
    <cellStyle name="Accent1 19 2" xfId="4211" xr:uid="{29E5DB5D-3829-470B-AA60-9F0CF97710E6}"/>
    <cellStyle name="Accent1 2" xfId="4212" xr:uid="{F575FEDC-0ACA-4BBE-92A0-4C166C932C8F}"/>
    <cellStyle name="Accent1 2 2" xfId="4213" xr:uid="{9C7F356D-723E-415E-9F9E-08907BB09332}"/>
    <cellStyle name="Accent1 2 3" xfId="4214" xr:uid="{6ACF60E6-D719-4629-A8C2-324121F0B644}"/>
    <cellStyle name="Accent1 2 3 2" xfId="4215" xr:uid="{0EE3E715-40E2-4F5F-8D52-F31DF9A8037E}"/>
    <cellStyle name="Accent1 2 3 3" xfId="4216" xr:uid="{6ACC13ED-09A9-4703-9574-546B371C4643}"/>
    <cellStyle name="Accent1 2 4" xfId="39856" xr:uid="{1F1C62C7-E7A8-4263-A4AD-6AFB94874380}"/>
    <cellStyle name="Accent1 2_PwrTax 51040" xfId="4217" xr:uid="{121F8389-9EFB-46CD-BCDB-338D61C59C99}"/>
    <cellStyle name="Accent1 20" xfId="4218" xr:uid="{00191731-CE0C-4201-8485-DD030EC90360}"/>
    <cellStyle name="Accent1 20 2" xfId="4219" xr:uid="{B934B935-18E0-4406-8910-4233204C2B2A}"/>
    <cellStyle name="Accent1 21" xfId="4220" xr:uid="{7933564A-32A8-4BD4-A6F4-0BD24065F7C2}"/>
    <cellStyle name="Accent1 21 2" xfId="4221" xr:uid="{08D0D17F-D096-4752-8A87-7D1BA4802C35}"/>
    <cellStyle name="Accent1 22" xfId="4222" xr:uid="{5646D174-F9EA-4CDA-B769-D9B580EB41B9}"/>
    <cellStyle name="Accent1 22 2" xfId="4223" xr:uid="{E1B1E5B8-7049-4DB2-B12A-7EBAD2DB24B3}"/>
    <cellStyle name="Accent1 23" xfId="4224" xr:uid="{0AA99FB7-3BF3-4B47-97C3-BE29A25360F3}"/>
    <cellStyle name="Accent1 23 2" xfId="4225" xr:uid="{FA882D00-648E-4553-B7ED-D7C55141FFDD}"/>
    <cellStyle name="Accent1 24" xfId="4226" xr:uid="{FD492CE0-CFC0-49AC-B92E-B6E773C28579}"/>
    <cellStyle name="Accent1 24 2" xfId="4227" xr:uid="{540539ED-2E03-4C8F-B084-0C58838E9D89}"/>
    <cellStyle name="Accent1 25" xfId="4228" xr:uid="{AA4D4657-A468-443A-918D-4563AF613290}"/>
    <cellStyle name="Accent1 26" xfId="4229" xr:uid="{2A6B42F9-C056-4CCC-98CD-596B79E7433A}"/>
    <cellStyle name="Accent1 27" xfId="4230" xr:uid="{2A87E39B-7D43-45E5-AEA4-4E65C5FBDBED}"/>
    <cellStyle name="Accent1 28" xfId="4231" xr:uid="{2D3A3F44-1DFC-4287-8621-8686E0D75178}"/>
    <cellStyle name="Accent1 29" xfId="4232" xr:uid="{9664BBCB-1A58-4C2E-B5C9-97229DD335D1}"/>
    <cellStyle name="Accent1 3" xfId="4233" xr:uid="{1C2F96E2-CBA2-44C5-9F96-55EB7FBAFF5A}"/>
    <cellStyle name="Accent1 3 2" xfId="4234" xr:uid="{C2FC1FD1-8064-415A-96E4-C2060124967F}"/>
    <cellStyle name="Accent1 3 3" xfId="4235" xr:uid="{12DA2657-CDEB-4614-A117-EFF0B9B86DB8}"/>
    <cellStyle name="Accent1 3 3 2" xfId="4236" xr:uid="{0DBD8C84-CEB7-41B3-9074-756B7E4342EA}"/>
    <cellStyle name="Accent1 3 3 3" xfId="4237" xr:uid="{E7B9ED31-F6AA-429A-85EA-7C25A557BD0D}"/>
    <cellStyle name="Accent1 3 4" xfId="4238" xr:uid="{F4AF9CDC-A24E-47DA-8BEC-71EE02B812B1}"/>
    <cellStyle name="Accent1 3_PwrTax 51040" xfId="4239" xr:uid="{98A1976E-7942-4E87-89FD-E70916AFE274}"/>
    <cellStyle name="Accent1 30" xfId="4240" xr:uid="{134F5FB6-FDD6-411E-898C-5A1BB5D530AE}"/>
    <cellStyle name="Accent1 31" xfId="4241" xr:uid="{25C4DB20-20D5-4E9B-87CE-AEB26EAF2B5B}"/>
    <cellStyle name="Accent1 32" xfId="4242" xr:uid="{FB8F08B1-0F80-4D78-8452-5B69BE47B455}"/>
    <cellStyle name="Accent1 33" xfId="4243" xr:uid="{356245A4-A6F2-4344-BB65-828E94C62FD9}"/>
    <cellStyle name="Accent1 34" xfId="4244" xr:uid="{B955AE1B-F7A4-46D5-BCB7-2D6A9838FFE1}"/>
    <cellStyle name="Accent1 35" xfId="4245" xr:uid="{191F1BD1-91CD-42EE-8CFE-42C90A3895FF}"/>
    <cellStyle name="Accent1 36" xfId="4246" xr:uid="{AB1217FF-A36F-4CDC-845F-1E83883F1B0C}"/>
    <cellStyle name="Accent1 37" xfId="4247" xr:uid="{B9F6E4F7-619A-462D-8F51-77A35356B7E2}"/>
    <cellStyle name="Accent1 37 2" xfId="4248" xr:uid="{388C5390-4CF5-4C0E-9CD5-C422A9E8E773}"/>
    <cellStyle name="Accent1 38" xfId="4249" xr:uid="{B2ADC7A9-11F9-412E-8BFF-855C6B058DCC}"/>
    <cellStyle name="Accent1 38 2" xfId="4250" xr:uid="{65389CA1-50C1-4A6C-AB62-1B3DE1F15528}"/>
    <cellStyle name="Accent1 39" xfId="4251" xr:uid="{0052C5BC-FE3E-4551-B5F6-6216A1054FFD}"/>
    <cellStyle name="Accent1 39 2" xfId="4252" xr:uid="{09129217-EB10-4DC4-BC21-8E342724DD9A}"/>
    <cellStyle name="Accent1 4" xfId="4253" xr:uid="{07075D00-C4A4-4575-9B91-90581B7D3184}"/>
    <cellStyle name="Accent1 4 2" xfId="4254" xr:uid="{60EDED31-984A-49D4-9BB3-76177A1E7116}"/>
    <cellStyle name="Accent1 4 3" xfId="4255" xr:uid="{CDD6AF57-40A1-4939-B9C6-01FFBF0AFEF3}"/>
    <cellStyle name="Accent1 40" xfId="4256" xr:uid="{AB27D2CB-1769-452D-8598-DCAF64BB936B}"/>
    <cellStyle name="Accent1 40 2" xfId="4257" xr:uid="{26CAE5C0-9F03-4EE2-B0E8-785534092631}"/>
    <cellStyle name="Accent1 41" xfId="4258" xr:uid="{6C2CC09F-A266-4443-8C5C-067DA4AD4A3D}"/>
    <cellStyle name="Accent1 41 2" xfId="4259" xr:uid="{9827799D-C841-45AC-AF6E-2B8185C831F8}"/>
    <cellStyle name="Accent1 42" xfId="4260" xr:uid="{879FD265-002B-46F6-9299-7B203470B58C}"/>
    <cellStyle name="Accent1 42 2" xfId="4261" xr:uid="{2173C0D7-817A-46CA-86EB-1FB08357892B}"/>
    <cellStyle name="Accent1 43" xfId="4262" xr:uid="{11F84DC9-1A32-438A-A74C-94064A2C72B7}"/>
    <cellStyle name="Accent1 43 2" xfId="4263" xr:uid="{144F9E13-681C-45A1-B104-B87B751DEA23}"/>
    <cellStyle name="Accent1 44" xfId="4264" xr:uid="{71FFE5CE-8925-4C48-8DD8-3B0191195643}"/>
    <cellStyle name="Accent1 44 2" xfId="4265" xr:uid="{AB8A48F0-069C-4B6D-B1C3-53315F696F16}"/>
    <cellStyle name="Accent1 45" xfId="4266" xr:uid="{6A6C58C1-47F2-45A2-B096-3B2988671293}"/>
    <cellStyle name="Accent1 45 2" xfId="4267" xr:uid="{917663F9-7C0C-48CC-B319-A507D4621F02}"/>
    <cellStyle name="Accent1 46" xfId="4268" xr:uid="{50E2FA25-871C-4E1F-B10C-1CC5FD5AE64C}"/>
    <cellStyle name="Accent1 46 2" xfId="4269" xr:uid="{D728FD6D-D692-47E1-A0D1-DB0C882BC126}"/>
    <cellStyle name="Accent1 47" xfId="4270" xr:uid="{5D7412D7-F8C6-420B-8129-873E9197FD74}"/>
    <cellStyle name="Accent1 48" xfId="4271" xr:uid="{B58F6C5E-0294-442D-9920-7CFC7098CBDA}"/>
    <cellStyle name="Accent1 49" xfId="4272" xr:uid="{F4F79FB3-6AB4-436D-88CF-6ADDBD4125FB}"/>
    <cellStyle name="Accent1 49 2" xfId="39857" xr:uid="{506A3584-BA94-438B-BBE9-79B9F6CC3AC0}"/>
    <cellStyle name="Accent1 5" xfId="4273" xr:uid="{525A87BD-FD04-45EB-A6D4-E00E8D65AEFC}"/>
    <cellStyle name="Accent1 5 2" xfId="4274" xr:uid="{F43BDA2D-DCC1-45F6-B0DD-12949A99C212}"/>
    <cellStyle name="Accent1 5 3" xfId="4275" xr:uid="{9E3647C9-FD65-4A3E-A2A2-832483F860B2}"/>
    <cellStyle name="Accent1 50" xfId="4276" xr:uid="{98D10B11-60EF-4347-83D4-5EC5E59FDACF}"/>
    <cellStyle name="Accent1 50 2" xfId="39858" xr:uid="{A456F340-78AD-4A73-B49D-CD3674FC594A}"/>
    <cellStyle name="Accent1 51" xfId="4277" xr:uid="{9A97EE5D-5B8E-432A-A8AB-26C627951348}"/>
    <cellStyle name="Accent1 51 2" xfId="39859" xr:uid="{B6546BD5-7417-4B09-B4C8-30F234279727}"/>
    <cellStyle name="Accent1 52" xfId="4278" xr:uid="{1FB4A199-7BDD-46DF-8886-916827593661}"/>
    <cellStyle name="Accent1 53" xfId="4279" xr:uid="{FC5B4217-A434-455D-91B9-7B6D98BE0A5A}"/>
    <cellStyle name="Accent1 54" xfId="4280" xr:uid="{4A1D1D68-7A4E-44A6-BA62-745BFB2A8034}"/>
    <cellStyle name="Accent1 55" xfId="4281" xr:uid="{61C1B509-FEC4-415D-9F75-7081CE9C5EDC}"/>
    <cellStyle name="Accent1 56" xfId="4282" xr:uid="{98ED8374-B739-456F-A155-C44B8AFA8710}"/>
    <cellStyle name="Accent1 57" xfId="4283" xr:uid="{8449B510-DA16-4C11-B00F-AEB12347BA32}"/>
    <cellStyle name="Accent1 58" xfId="4284" xr:uid="{6E3F62B5-B699-4FD2-9A4B-31DF04AA3EE9}"/>
    <cellStyle name="Accent1 59" xfId="4285" xr:uid="{7231B4F8-29EA-49B2-BE87-E3128EDF2CC2}"/>
    <cellStyle name="Accent1 6" xfId="4286" xr:uid="{9DA8EFD3-469F-4E10-B829-BF393ACD0CE2}"/>
    <cellStyle name="Accent1 6 2" xfId="4287" xr:uid="{C9584E82-599D-454B-9016-0103F2607AD0}"/>
    <cellStyle name="Accent1 6 3" xfId="4288" xr:uid="{80F9173F-E049-4DC1-833B-EE9E606B1497}"/>
    <cellStyle name="Accent1 60" xfId="4289" xr:uid="{A05859E2-A4F0-4B10-8562-4FA24CE707C2}"/>
    <cellStyle name="Accent1 60 2" xfId="4290" xr:uid="{BF5DACBB-2C9A-4C72-9321-51B98580C728}"/>
    <cellStyle name="Accent1 61" xfId="4291" xr:uid="{4CFD895B-493C-453B-87D6-A55498EB0820}"/>
    <cellStyle name="Accent1 62" xfId="4292" xr:uid="{9E700E46-9CF5-43E9-80FD-10A728D72F6B}"/>
    <cellStyle name="Accent1 63" xfId="4293" xr:uid="{6E06BAB3-6901-435E-B5D4-E74B128BC3DC}"/>
    <cellStyle name="Accent1 64" xfId="4294" xr:uid="{7484C552-2318-47CD-B11F-D916FCA5E15E}"/>
    <cellStyle name="Accent1 65" xfId="4295" xr:uid="{3948C01F-4424-4F54-8107-C7ECFB53BD01}"/>
    <cellStyle name="Accent1 66" xfId="4296" xr:uid="{87E70C44-7C2F-4B0B-82C6-74AD9AFC7ED8}"/>
    <cellStyle name="Accent1 67" xfId="4297" xr:uid="{7835037C-1E6D-41A6-B471-08BE0B349552}"/>
    <cellStyle name="Accent1 68" xfId="4298" xr:uid="{AF1C3631-2209-4AD0-9EC3-29B4E7D61741}"/>
    <cellStyle name="Accent1 69" xfId="4299" xr:uid="{11B84330-1BCC-4DC0-BA7F-B856E9A674D3}"/>
    <cellStyle name="Accent1 7" xfId="4300" xr:uid="{EF9C2DAB-BB50-48E1-926A-EB956C3F409C}"/>
    <cellStyle name="Accent1 7 2" xfId="4301" xr:uid="{13AF6884-4344-48B8-B719-AF72B9863685}"/>
    <cellStyle name="Accent1 7 3" xfId="4302" xr:uid="{EE6A6B13-1BFE-4BAC-8410-43D181C3EEEC}"/>
    <cellStyle name="Accent1 70" xfId="4303" xr:uid="{23E7E7A0-C340-4520-B8D8-BDEDDA2DF599}"/>
    <cellStyle name="Accent1 71" xfId="4304" xr:uid="{7E6E6ABD-B9C4-4EE9-B91E-61212E6A2E9F}"/>
    <cellStyle name="Accent1 72" xfId="4305" xr:uid="{7113A196-84DC-451D-A02F-9C0E4330E1F7}"/>
    <cellStyle name="Accent1 73" xfId="39860" xr:uid="{460F10D6-EF0B-4A7B-84AF-C0FF67A7BEB4}"/>
    <cellStyle name="Accent1 74" xfId="39861" xr:uid="{589275CD-96EA-43F0-BD13-32EE86EDCAAD}"/>
    <cellStyle name="Accent1 75" xfId="39862" xr:uid="{B1FA8509-A8A5-4C6C-BB64-BD70078BF287}"/>
    <cellStyle name="Accent1 76" xfId="39863" xr:uid="{18EC2CFD-5B5B-492F-A68A-F4E79E93EC3A}"/>
    <cellStyle name="Accent1 77" xfId="39864" xr:uid="{A0FBAD8E-C68D-4AFA-A8E0-034512B9693B}"/>
    <cellStyle name="Accent1 78" xfId="39865" xr:uid="{4E17E2F1-FE6E-4665-B0A2-79586E31FFB7}"/>
    <cellStyle name="Accent1 79" xfId="39866" xr:uid="{49437581-5817-445A-B084-9C3A29C285A0}"/>
    <cellStyle name="Accent1 8" xfId="4306" xr:uid="{400A058F-3F14-4737-B708-AFB4AC092398}"/>
    <cellStyle name="Accent1 8 2" xfId="4307" xr:uid="{6417AB2F-01CF-4937-B6A1-22E3FE76ABB8}"/>
    <cellStyle name="Accent1 8 3" xfId="4308" xr:uid="{3F54A62C-763A-43D6-849F-2D9FFABBA0A8}"/>
    <cellStyle name="Accent1 80" xfId="39867" xr:uid="{1266B301-7D73-48A7-932F-6AAEF9DAF2C3}"/>
    <cellStyle name="Accent1 81" xfId="39868" xr:uid="{94627D0C-7C1C-4128-8E34-243014746EBF}"/>
    <cellStyle name="Accent1 82" xfId="39869" xr:uid="{7F355756-DECA-45A7-9E02-C710FA0EBD3A}"/>
    <cellStyle name="Accent1 83" xfId="39870" xr:uid="{4B59DA99-17F5-4FED-B7E9-5AD8B54AAAE2}"/>
    <cellStyle name="Accent1 84" xfId="39871" xr:uid="{26FFA016-030C-4D5E-B8ED-B0AFCD956247}"/>
    <cellStyle name="Accent1 85" xfId="39872" xr:uid="{24F8D8C9-05EA-4E89-AD03-D5B99C76F519}"/>
    <cellStyle name="Accent1 86" xfId="39873" xr:uid="{39DE9450-DF33-43F1-A33B-30BF3DCC6B15}"/>
    <cellStyle name="Accent1 87" xfId="39874" xr:uid="{91293B7B-1205-4BE5-886A-2C64CE3AB10E}"/>
    <cellStyle name="Accent1 88" xfId="39875" xr:uid="{46B4F8A1-CE5E-4EF0-A2BF-162E58E8A593}"/>
    <cellStyle name="Accent1 89" xfId="39876" xr:uid="{6F3BDB2E-8A89-44D7-83AD-8FC670A17DCE}"/>
    <cellStyle name="Accent1 9" xfId="4309" xr:uid="{6ED6D714-5C2D-4251-859A-819FDCE4C545}"/>
    <cellStyle name="Accent1 9 2" xfId="4310" xr:uid="{D1B3A207-ACFA-4DC0-93DA-F0E1116C8AC4}"/>
    <cellStyle name="Accent1 9 3" xfId="4311" xr:uid="{B7B96B96-FC72-4886-93AC-A43E7A568EFB}"/>
    <cellStyle name="Accent1 90" xfId="39877" xr:uid="{F6A4EB28-401D-43C7-B4BA-141F0FFE611B}"/>
    <cellStyle name="Accent1 91" xfId="39878" xr:uid="{0B9B5147-72AB-476E-9448-6FAFF60FC14D}"/>
    <cellStyle name="Accent1 92" xfId="39879" xr:uid="{7A1D4D5A-5875-4178-8FE1-0C4CBF1AAC17}"/>
    <cellStyle name="Accent1 93" xfId="39880" xr:uid="{063FF372-3C18-41AC-A71B-356F454297A2}"/>
    <cellStyle name="Accent1 94" xfId="39881" xr:uid="{6ACAAD69-BC76-4300-B026-19F02F5733D9}"/>
    <cellStyle name="Accent1 95" xfId="39882" xr:uid="{3791028F-CDD0-48C4-A6C0-11C18A53452D}"/>
    <cellStyle name="Accent1 96" xfId="39883" xr:uid="{0AAB709B-FB53-446B-AFDD-29EB80BA36B4}"/>
    <cellStyle name="Accent1 97" xfId="39884" xr:uid="{88B8BE48-33BE-4F7E-B3FA-9B57E4BAD17E}"/>
    <cellStyle name="Accent1 98" xfId="39885" xr:uid="{93C1D060-2BDE-4DB7-8CE8-A0953302A976}"/>
    <cellStyle name="Accent1 99" xfId="39886" xr:uid="{05748467-9978-4215-A2BD-DCE893E65B2A}"/>
    <cellStyle name="Accent2 - 20%" xfId="4312" xr:uid="{FEBFB2F3-BE25-436C-A4FB-CF6C84654391}"/>
    <cellStyle name="Accent2 - 20% 2" xfId="39887" xr:uid="{BD8CADDD-0A7A-4380-A8B2-B25620B38421}"/>
    <cellStyle name="Accent2 - 40%" xfId="4313" xr:uid="{E5EB2B7C-F30B-455F-A92F-0114626921CA}"/>
    <cellStyle name="Accent2 - 40% 2" xfId="39888" xr:uid="{1B8B9DC4-CAA8-466D-A69C-C89C6438C508}"/>
    <cellStyle name="Accent2 - 60%" xfId="4314" xr:uid="{349EF76F-A5E2-4162-8964-1A0BDA111403}"/>
    <cellStyle name="Accent2 10" xfId="4315" xr:uid="{13D7BF5D-4285-41B0-BE1B-F79925105052}"/>
    <cellStyle name="Accent2 10 2" xfId="4316" xr:uid="{67E7CDAB-296A-4808-87F3-1DE37C4E2EAA}"/>
    <cellStyle name="Accent2 10 3" xfId="4317" xr:uid="{50C9F0F7-B5B4-4305-B5D6-863934616A7B}"/>
    <cellStyle name="Accent2 100" xfId="39889" xr:uid="{168574D3-4A84-4483-A5F4-20976EC59B8D}"/>
    <cellStyle name="Accent2 101" xfId="39890" xr:uid="{EA30D834-9A8B-48FE-A315-D241990FC142}"/>
    <cellStyle name="Accent2 102" xfId="39891" xr:uid="{3D14F1C2-13F3-4B49-8990-815A4A5D5357}"/>
    <cellStyle name="Accent2 103" xfId="39892" xr:uid="{FDA3EAC6-D913-4E5A-80F3-C19232F45B46}"/>
    <cellStyle name="Accent2 104" xfId="39893" xr:uid="{32649175-32CC-4949-8BCF-05651F8DE503}"/>
    <cellStyle name="Accent2 105" xfId="39894" xr:uid="{5BA0F942-D420-4446-AB12-EE5D271EBFA7}"/>
    <cellStyle name="Accent2 106" xfId="39895" xr:uid="{829BF4AB-8A6A-4266-8ABC-5FBCFE5B4CCC}"/>
    <cellStyle name="Accent2 107" xfId="39896" xr:uid="{EC21948B-64E5-4C75-A89C-13555A2CD9C4}"/>
    <cellStyle name="Accent2 108" xfId="39897" xr:uid="{BECB54DA-EFCA-4FAE-9CC8-6584B436EB89}"/>
    <cellStyle name="Accent2 109" xfId="39898" xr:uid="{D143BA4A-3559-423F-B452-21AE2902CBCB}"/>
    <cellStyle name="Accent2 11" xfId="4318" xr:uid="{1D5203C5-57DA-451F-9E57-FED659A54C8C}"/>
    <cellStyle name="Accent2 11 2" xfId="4319" xr:uid="{75B397CE-62CC-41C9-9956-C49888D62A04}"/>
    <cellStyle name="Accent2 11 3" xfId="4320" xr:uid="{D38F21A1-1A41-47FD-AE27-4BE9B77A8F93}"/>
    <cellStyle name="Accent2 110" xfId="39899" xr:uid="{16593492-6516-4632-AF43-1C4B6816D8B5}"/>
    <cellStyle name="Accent2 111" xfId="39900" xr:uid="{43DF8BED-201D-491F-B228-A2E656129898}"/>
    <cellStyle name="Accent2 112" xfId="39901" xr:uid="{591BF64E-5E11-444A-86E7-8C989EE5F35B}"/>
    <cellStyle name="Accent2 113" xfId="39902" xr:uid="{63D68D39-0E76-4A37-96FA-AF898E699193}"/>
    <cellStyle name="Accent2 114" xfId="39903" xr:uid="{3CF04FDC-8A01-42C7-A49A-BE431590C95F}"/>
    <cellStyle name="Accent2 115" xfId="39904" xr:uid="{25D571B0-7451-4D8D-B74A-34D242E727FE}"/>
    <cellStyle name="Accent2 116" xfId="39905" xr:uid="{CBA78749-1948-4816-AB2B-3A04DD11F7DF}"/>
    <cellStyle name="Accent2 117" xfId="39906" xr:uid="{DBD1510A-1B64-4E19-8B51-AA0BC435E4C4}"/>
    <cellStyle name="Accent2 118" xfId="39907" xr:uid="{8D09F7F9-0216-4C50-9943-5FC1E4B88F3D}"/>
    <cellStyle name="Accent2 119" xfId="39908" xr:uid="{DB411776-F74C-4B0C-94F7-2F6F7A4AD808}"/>
    <cellStyle name="Accent2 12" xfId="4321" xr:uid="{646D3B6A-88CC-4D47-8B59-48512160432E}"/>
    <cellStyle name="Accent2 12 2" xfId="4322" xr:uid="{05FB8C2B-9DF2-49AC-91A6-3101FFBBF859}"/>
    <cellStyle name="Accent2 120" xfId="39909" xr:uid="{914432E6-D1AC-4902-A1F4-C2E9CE2DFD43}"/>
    <cellStyle name="Accent2 121" xfId="39910" xr:uid="{51CD44BB-75FC-4AC2-9EA5-84FF07EBBCD6}"/>
    <cellStyle name="Accent2 122" xfId="39911" xr:uid="{2E9FBEAC-A062-40E8-9166-65C9A577854F}"/>
    <cellStyle name="Accent2 123" xfId="39912" xr:uid="{4448E0E9-023B-430E-96A7-3E3F120F4E23}"/>
    <cellStyle name="Accent2 124" xfId="39913" xr:uid="{BBA23160-2D36-4F5A-9738-43CFEEBF177A}"/>
    <cellStyle name="Accent2 125" xfId="39914" xr:uid="{79754354-A7E0-4BD8-A777-D0F74D9154CF}"/>
    <cellStyle name="Accent2 126" xfId="39915" xr:uid="{2BDD3315-35CD-4196-ADE6-9D8D990A05CC}"/>
    <cellStyle name="Accent2 127" xfId="39916" xr:uid="{5E845C88-F648-44D9-B403-B498A0BD41FD}"/>
    <cellStyle name="Accent2 128" xfId="39917" xr:uid="{7CF9921D-F564-4839-A1D3-802FD88E9D6A}"/>
    <cellStyle name="Accent2 129" xfId="39918" xr:uid="{38C0A26A-83FD-465E-8A4F-135EC9F99088}"/>
    <cellStyle name="Accent2 13" xfId="4323" xr:uid="{10EC3702-D684-4399-912D-A6E76153F25F}"/>
    <cellStyle name="Accent2 13 2" xfId="4324" xr:uid="{CD9893EE-CA3B-4368-9926-7CEDFCB89776}"/>
    <cellStyle name="Accent2 130" xfId="39919" xr:uid="{2632305D-A8A0-41CF-ACF2-0743FC7F7B04}"/>
    <cellStyle name="Accent2 131" xfId="39920" xr:uid="{1EA9793E-4E50-4FBE-8BEE-7ECCEC0C2E0E}"/>
    <cellStyle name="Accent2 132" xfId="39921" xr:uid="{DD0CA010-BDAC-4A9A-AA57-2F78DE5A45C0}"/>
    <cellStyle name="Accent2 133" xfId="39922" xr:uid="{1CD88141-F4CE-4AE7-8558-9ECAEC8B9FBF}"/>
    <cellStyle name="Accent2 134" xfId="39923" xr:uid="{7D9A8BB5-1608-4F49-A9E8-FAA3CC35026A}"/>
    <cellStyle name="Accent2 135" xfId="39924" xr:uid="{E4D70CBC-E8F5-4F41-98A1-7A81C4C36D7E}"/>
    <cellStyle name="Accent2 136" xfId="39925" xr:uid="{66CD0093-FC20-41DF-B075-EA743F8A3A5C}"/>
    <cellStyle name="Accent2 137" xfId="39926" xr:uid="{646F53D8-56B1-4DFA-9619-F42712577344}"/>
    <cellStyle name="Accent2 138" xfId="39927" xr:uid="{AF3E70A6-9A0F-4612-8966-86E47EBF6C28}"/>
    <cellStyle name="Accent2 139" xfId="39928" xr:uid="{59801B37-05A4-4E9C-B6FC-BF9FF2B7C751}"/>
    <cellStyle name="Accent2 14" xfId="4325" xr:uid="{A392DDB9-4BD8-4801-ACE3-89E55F618B6F}"/>
    <cellStyle name="Accent2 14 2" xfId="4326" xr:uid="{292E6BE8-3A9E-446E-8324-79774914F406}"/>
    <cellStyle name="Accent2 140" xfId="39929" xr:uid="{3C1568F4-4551-44CB-9803-EB6C4312002C}"/>
    <cellStyle name="Accent2 141" xfId="39930" xr:uid="{AA184837-EBEF-4DE6-A711-4A2E414156D8}"/>
    <cellStyle name="Accent2 142" xfId="39931" xr:uid="{67451237-865C-4632-8EDA-0500279C6FF0}"/>
    <cellStyle name="Accent2 143" xfId="39932" xr:uid="{CBCDC7E3-C6DA-452B-906F-6BBD8422BD44}"/>
    <cellStyle name="Accent2 144" xfId="39933" xr:uid="{D46935A8-C1AA-4F51-A91C-608B2A7113D4}"/>
    <cellStyle name="Accent2 145" xfId="39934" xr:uid="{040473BD-5919-4B5E-88E8-4302CCE819BA}"/>
    <cellStyle name="Accent2 146" xfId="39935" xr:uid="{2A072563-3A6A-4870-8BCD-5DCEDEC5E0CB}"/>
    <cellStyle name="Accent2 147" xfId="39936" xr:uid="{545A35CC-82FE-49E7-8656-751785532025}"/>
    <cellStyle name="Accent2 148" xfId="39937" xr:uid="{D325D1D5-C32E-4B90-8F7A-F90EB7866387}"/>
    <cellStyle name="Accent2 149" xfId="39938" xr:uid="{616C6A47-F27E-4942-86FC-653A63510B3F}"/>
    <cellStyle name="Accent2 15" xfId="4327" xr:uid="{68502626-F3F7-499D-BA39-85315F357478}"/>
    <cellStyle name="Accent2 15 2" xfId="4328" xr:uid="{06A8A81F-1DD6-4B7A-AC33-B32857C4E69F}"/>
    <cellStyle name="Accent2 150" xfId="39939" xr:uid="{1E360AB1-0DFF-479E-AAB6-1C7AC5403CA0}"/>
    <cellStyle name="Accent2 151" xfId="39940" xr:uid="{B2855C1C-305D-414F-8F40-9F314D7C56A0}"/>
    <cellStyle name="Accent2 152" xfId="39941" xr:uid="{9F7429EB-286D-425C-A96E-A85C42EE1F9C}"/>
    <cellStyle name="Accent2 153" xfId="39942" xr:uid="{59A7CA7E-4BC1-4D41-9376-6919D725704A}"/>
    <cellStyle name="Accent2 154" xfId="39943" xr:uid="{5697E172-242D-4033-AF88-178F6042580F}"/>
    <cellStyle name="Accent2 155" xfId="39944" xr:uid="{0D5E02F2-6A59-4D44-8B27-269311EDC3D9}"/>
    <cellStyle name="Accent2 156" xfId="39945" xr:uid="{8A049D80-10BF-4656-9B6E-B3CDFF4CE0B5}"/>
    <cellStyle name="Accent2 157" xfId="39946" xr:uid="{C73AD60F-EB33-4E48-9488-C81D7F8872FC}"/>
    <cellStyle name="Accent2 158" xfId="39947" xr:uid="{9535AAC5-477B-4F8F-B846-F01DF1BA1CED}"/>
    <cellStyle name="Accent2 159" xfId="39948" xr:uid="{D16F890D-7A89-4621-9A0A-5034638AA710}"/>
    <cellStyle name="Accent2 16" xfId="4329" xr:uid="{E544C627-BF28-40D0-BE70-C702A0811070}"/>
    <cellStyle name="Accent2 16 2" xfId="4330" xr:uid="{E7CC8FBB-FB36-41CA-BA88-30243F0C0A05}"/>
    <cellStyle name="Accent2 160" xfId="39949" xr:uid="{DA136F8F-AB7E-42AC-82D3-7991EEFC1A9D}"/>
    <cellStyle name="Accent2 161" xfId="39950" xr:uid="{E30686B6-7DEF-40E8-8980-DC0798086A66}"/>
    <cellStyle name="Accent2 162" xfId="39951" xr:uid="{FD87CE97-C8F8-4265-A5E6-77932C901463}"/>
    <cellStyle name="Accent2 163" xfId="39952" xr:uid="{7C76D3DA-B7EE-4D30-8F6B-231F5D79ADB9}"/>
    <cellStyle name="Accent2 164" xfId="39953" xr:uid="{9503DBE0-9402-4C54-8129-7989D53DF633}"/>
    <cellStyle name="Accent2 165" xfId="39954" xr:uid="{815D9985-5B87-40B6-AEC4-CC214947EF72}"/>
    <cellStyle name="Accent2 166" xfId="39955" xr:uid="{F8850CFB-0F27-4D3D-B4F4-76BE9BD33877}"/>
    <cellStyle name="Accent2 167" xfId="39956" xr:uid="{55C15E31-D8C4-4FB9-909D-68E9548B55A8}"/>
    <cellStyle name="Accent2 168" xfId="39957" xr:uid="{377C6B65-F04F-4E15-8E8B-E6B383A6E499}"/>
    <cellStyle name="Accent2 169" xfId="39958" xr:uid="{5E868E2F-076A-4C97-9201-3927BCCD0CB7}"/>
    <cellStyle name="Accent2 17" xfId="4331" xr:uid="{11303117-8C80-4E99-8443-550DC38B8665}"/>
    <cellStyle name="Accent2 17 2" xfId="4332" xr:uid="{CAE05021-C9E1-4FCE-A0AD-84A20CE4581B}"/>
    <cellStyle name="Accent2 170" xfId="39959" xr:uid="{72B1BA3C-8B0C-4332-BEB0-E11C21B88864}"/>
    <cellStyle name="Accent2 171" xfId="39960" xr:uid="{2C968A3E-2C51-4801-B31D-FC63B9DDE850}"/>
    <cellStyle name="Accent2 172" xfId="39961" xr:uid="{F787A76A-0FAA-40B8-9AF7-7B8FC7ACF3A8}"/>
    <cellStyle name="Accent2 173" xfId="39962" xr:uid="{DCABF0A0-150B-41C1-9F18-612EF86DEBAA}"/>
    <cellStyle name="Accent2 174" xfId="39963" xr:uid="{500BB2B1-588E-4C77-8145-AFF87BECCE77}"/>
    <cellStyle name="Accent2 175" xfId="39964" xr:uid="{A6C68E05-73C0-4471-B3B5-CE57726AD735}"/>
    <cellStyle name="Accent2 176" xfId="39965" xr:uid="{2BA1AA33-F947-4AA2-AE1E-B2DC8BEEA11F}"/>
    <cellStyle name="Accent2 177" xfId="43468" xr:uid="{E037A24B-EC8B-4659-9020-6D40A210E0A7}"/>
    <cellStyle name="Accent2 178" xfId="43494" xr:uid="{BAF52338-DC79-487C-B79A-E4BB00327799}"/>
    <cellStyle name="Accent2 179" xfId="43575" xr:uid="{0CA0671E-9B15-4809-83E5-F7BD4F22F9A1}"/>
    <cellStyle name="Accent2 18" xfId="4333" xr:uid="{7D4D0640-8BE8-4762-9895-5E44D138E18B}"/>
    <cellStyle name="Accent2 18 2" xfId="4334" xr:uid="{BB2FF730-30E6-4DDE-9629-76A0E9BC65D7}"/>
    <cellStyle name="Accent2 180" xfId="43572" xr:uid="{F240C3F2-21CA-4685-8B49-F7F8DC179763}"/>
    <cellStyle name="Accent2 181" xfId="43588" xr:uid="{C494F02B-156F-40E1-B702-5DDF4946B9B8}"/>
    <cellStyle name="Accent2 182" xfId="181" xr:uid="{DFCB3407-A2DE-4479-A323-D6205DA2F5EC}"/>
    <cellStyle name="Accent2 19" xfId="4335" xr:uid="{4A059937-E9C2-4992-9864-EF67B174DA43}"/>
    <cellStyle name="Accent2 19 2" xfId="4336" xr:uid="{588162C4-08C9-4902-9E23-588DC145D347}"/>
    <cellStyle name="Accent2 2" xfId="4337" xr:uid="{6657CF41-DBD9-4180-82E4-416CD5B1F6CF}"/>
    <cellStyle name="Accent2 2 2" xfId="4338" xr:uid="{1EA2F615-9E93-4B72-9A3D-6076D62DC0A3}"/>
    <cellStyle name="Accent2 2 3" xfId="4339" xr:uid="{B274CE36-0B64-489F-B040-78B3859AAFF6}"/>
    <cellStyle name="Accent2 2 3 2" xfId="4340" xr:uid="{B02676C3-3D3E-488B-B874-CD7D622A06DA}"/>
    <cellStyle name="Accent2 2 3 3" xfId="4341" xr:uid="{CD3E4975-37AC-480D-82DB-CE6F882E998E}"/>
    <cellStyle name="Accent2 2 4" xfId="39966" xr:uid="{FAF43752-5D2B-49C2-856E-11CBE6192F7C}"/>
    <cellStyle name="Accent2 2_PwrTax 51040" xfId="4342" xr:uid="{12807156-37F0-4A5E-A8BC-7C3D9733C186}"/>
    <cellStyle name="Accent2 20" xfId="4343" xr:uid="{BCD7CFEF-AB43-48FC-8D28-DB3C2D03EE6B}"/>
    <cellStyle name="Accent2 20 2" xfId="4344" xr:uid="{C2F939E4-E690-487A-A7CB-14649DE388FB}"/>
    <cellStyle name="Accent2 21" xfId="4345" xr:uid="{841AC7CA-A4B0-48C5-9FAD-F578E4C1C241}"/>
    <cellStyle name="Accent2 21 2" xfId="4346" xr:uid="{0128F413-E2D1-405B-BE1B-84F52B5A6991}"/>
    <cellStyle name="Accent2 22" xfId="4347" xr:uid="{0D4F37CB-F554-4350-A0FF-8F704400DF87}"/>
    <cellStyle name="Accent2 22 2" xfId="4348" xr:uid="{324B3F35-0CB8-4792-A062-2A3BEDBA539C}"/>
    <cellStyle name="Accent2 23" xfId="4349" xr:uid="{69E569FA-6E7E-4B59-BD13-66C4B787CF0E}"/>
    <cellStyle name="Accent2 23 2" xfId="4350" xr:uid="{B9AE9861-E731-436C-B7B0-BD073D020CF7}"/>
    <cellStyle name="Accent2 24" xfId="4351" xr:uid="{51E32687-50AE-43F3-9777-D53E2A0AF293}"/>
    <cellStyle name="Accent2 24 2" xfId="4352" xr:uid="{E46F6DF8-2457-4B59-A3B6-0D0BC19B2033}"/>
    <cellStyle name="Accent2 25" xfId="4353" xr:uid="{5F60FFD5-9595-4675-8771-15B278BD02FB}"/>
    <cellStyle name="Accent2 26" xfId="4354" xr:uid="{5685B8AA-C3DE-4E50-AE09-65534E3CF311}"/>
    <cellStyle name="Accent2 27" xfId="4355" xr:uid="{2863CB3E-C7EC-4694-A826-09E680077BDE}"/>
    <cellStyle name="Accent2 28" xfId="4356" xr:uid="{82480729-845B-4327-B31D-FEFD7424302C}"/>
    <cellStyle name="Accent2 29" xfId="4357" xr:uid="{7A826CF6-793B-40BC-A8E2-112ED281ECF7}"/>
    <cellStyle name="Accent2 3" xfId="4358" xr:uid="{41A51628-2436-4B46-9EF6-D6420F9DAE13}"/>
    <cellStyle name="Accent2 3 2" xfId="4359" xr:uid="{318E8D91-C8DA-479B-B626-242D8A467955}"/>
    <cellStyle name="Accent2 3 3" xfId="4360" xr:uid="{499A6D15-08BC-447E-94A7-FDB2D1B90737}"/>
    <cellStyle name="Accent2 3 3 2" xfId="4361" xr:uid="{0D37EFBA-4115-4ABE-AF36-15026817F795}"/>
    <cellStyle name="Accent2 3 3 3" xfId="4362" xr:uid="{22367CE5-F677-4A18-A808-090EB453D52D}"/>
    <cellStyle name="Accent2 3 4" xfId="4363" xr:uid="{C34BF819-88BC-4EAC-9265-CE33BEE3F2C8}"/>
    <cellStyle name="Accent2 3_PwrTax 51040" xfId="4364" xr:uid="{69639B9E-0D9E-4E94-8BA2-E528C8F22855}"/>
    <cellStyle name="Accent2 30" xfId="4365" xr:uid="{7B267864-1D78-429B-9496-4C7EED77643C}"/>
    <cellStyle name="Accent2 31" xfId="4366" xr:uid="{C727DE72-E020-4E05-B52A-F47D441B3B0C}"/>
    <cellStyle name="Accent2 32" xfId="4367" xr:uid="{291A642F-E839-4950-8057-9D13028C78B0}"/>
    <cellStyle name="Accent2 33" xfId="4368" xr:uid="{C0A3B77F-9270-4887-A10B-D18B8E34BBAA}"/>
    <cellStyle name="Accent2 34" xfId="4369" xr:uid="{D9928ED2-C66E-45BD-A1C9-B173DBF4AD93}"/>
    <cellStyle name="Accent2 35" xfId="4370" xr:uid="{3DAE6678-21CA-44E6-BF88-64698779FA02}"/>
    <cellStyle name="Accent2 36" xfId="4371" xr:uid="{862BA03C-B0B2-47B4-B7F9-71E29F1BC1E7}"/>
    <cellStyle name="Accent2 37" xfId="4372" xr:uid="{BBDDC63F-FA15-4894-BFE1-3FAE11F73D38}"/>
    <cellStyle name="Accent2 37 2" xfId="4373" xr:uid="{371C5914-8661-46BC-A9D5-12E0CFDF63C8}"/>
    <cellStyle name="Accent2 38" xfId="4374" xr:uid="{8F9E9225-668F-4348-B45B-86F75809D374}"/>
    <cellStyle name="Accent2 38 2" xfId="4375" xr:uid="{F0CAEDC2-FA13-4BE3-B068-4864C138E9A9}"/>
    <cellStyle name="Accent2 39" xfId="4376" xr:uid="{32E87C3E-A3A1-4609-9491-869A692FDF25}"/>
    <cellStyle name="Accent2 39 2" xfId="4377" xr:uid="{DE429B7C-8AC2-4588-8975-FF9DEF8D3F51}"/>
    <cellStyle name="Accent2 4" xfId="4378" xr:uid="{6B4C1D5B-6000-41E8-8700-11763696D707}"/>
    <cellStyle name="Accent2 4 2" xfId="4379" xr:uid="{8BE885E1-A7A6-492B-8D29-FCDDED9E0D1A}"/>
    <cellStyle name="Accent2 4 3" xfId="4380" xr:uid="{E776C758-274C-46CD-BF8E-D1F3A22CA4D9}"/>
    <cellStyle name="Accent2 40" xfId="4381" xr:uid="{30EB10F8-FB0F-43A2-8939-CE5A600B98E7}"/>
    <cellStyle name="Accent2 40 2" xfId="4382" xr:uid="{4F0599B1-4578-4510-AE78-367AF86AED72}"/>
    <cellStyle name="Accent2 41" xfId="4383" xr:uid="{375019A6-DDBE-4324-8DFB-0AAB4D6CBBDB}"/>
    <cellStyle name="Accent2 41 2" xfId="4384" xr:uid="{638FE3C6-4197-44B8-81A3-3F493C563162}"/>
    <cellStyle name="Accent2 42" xfId="4385" xr:uid="{4F7C0039-D382-4CAD-BFD0-29D633182D5B}"/>
    <cellStyle name="Accent2 42 2" xfId="4386" xr:uid="{4DE41FA3-08F1-451C-9F76-90C1058E629E}"/>
    <cellStyle name="Accent2 43" xfId="4387" xr:uid="{E35CD23E-3519-469A-A3DC-4D222DD80CD4}"/>
    <cellStyle name="Accent2 43 2" xfId="4388" xr:uid="{0302905D-B269-4F02-B799-49AA53ACEB1E}"/>
    <cellStyle name="Accent2 44" xfId="4389" xr:uid="{5265223D-A1C2-4BFE-9805-0B024539DC26}"/>
    <cellStyle name="Accent2 44 2" xfId="4390" xr:uid="{38ED1B40-BE2E-48EB-8F1D-5BE0E652F7FF}"/>
    <cellStyle name="Accent2 45" xfId="4391" xr:uid="{01E1E51E-5F76-4B29-B311-D04D7350EAB9}"/>
    <cellStyle name="Accent2 45 2" xfId="4392" xr:uid="{93AA7583-5C37-4D47-BC93-C827D822BF54}"/>
    <cellStyle name="Accent2 46" xfId="4393" xr:uid="{4B70FCDA-A3FB-49D8-8905-B886CB19F34E}"/>
    <cellStyle name="Accent2 46 2" xfId="4394" xr:uid="{FC0400C6-ADA7-466D-AD03-42363CF9D9D2}"/>
    <cellStyle name="Accent2 47" xfId="4395" xr:uid="{17854BE3-A50B-4F7E-82A4-7FCFADF27CBC}"/>
    <cellStyle name="Accent2 48" xfId="4396" xr:uid="{F257F26E-484A-422E-AF4B-DAA61F97A502}"/>
    <cellStyle name="Accent2 49" xfId="4397" xr:uid="{0F118EC6-1112-4EC2-AC70-872ECDC6182B}"/>
    <cellStyle name="Accent2 49 2" xfId="39967" xr:uid="{C56E2508-EE54-4434-999C-136CDC793278}"/>
    <cellStyle name="Accent2 5" xfId="4398" xr:uid="{868963EF-363B-47C5-B0E7-C60C3501EE3B}"/>
    <cellStyle name="Accent2 5 2" xfId="4399" xr:uid="{23F26DB7-659B-4540-ADF1-51B6BC3CF76F}"/>
    <cellStyle name="Accent2 5 3" xfId="4400" xr:uid="{A73A1A16-6923-4B4C-BE81-318ECD7FB3F9}"/>
    <cellStyle name="Accent2 50" xfId="4401" xr:uid="{610E5F4C-D7F4-43C0-8722-1CDEEA8F9483}"/>
    <cellStyle name="Accent2 50 2" xfId="39968" xr:uid="{FA581D54-6C32-4C89-BDD7-7DD4E55062BD}"/>
    <cellStyle name="Accent2 51" xfId="4402" xr:uid="{AFE9AA6C-EA95-4FEF-B6DE-6452E14A1197}"/>
    <cellStyle name="Accent2 51 2" xfId="39969" xr:uid="{3ACAD70A-C976-4377-904C-B9F946865CAC}"/>
    <cellStyle name="Accent2 52" xfId="4403" xr:uid="{FC8A177E-75DD-4C2E-B364-7137FC186C78}"/>
    <cellStyle name="Accent2 53" xfId="4404" xr:uid="{A2266475-AEF0-4CAE-844B-CF8D8DCDB165}"/>
    <cellStyle name="Accent2 54" xfId="4405" xr:uid="{D313F7AF-AAB1-4F1A-ADBA-A481FC4E7C4F}"/>
    <cellStyle name="Accent2 55" xfId="4406" xr:uid="{9D40B472-53CE-4072-9348-DBAD9884C5DE}"/>
    <cellStyle name="Accent2 56" xfId="4407" xr:uid="{4A8ACBDD-0AD7-4DA0-859C-B2D3038E3083}"/>
    <cellStyle name="Accent2 57" xfId="4408" xr:uid="{9D2B669A-0FFE-45A4-9542-CB31DFE1F6E3}"/>
    <cellStyle name="Accent2 58" xfId="4409" xr:uid="{1A8A37BE-F78E-4993-96A5-E0A33A4091D0}"/>
    <cellStyle name="Accent2 59" xfId="4410" xr:uid="{6C0C95F3-3676-4C0C-A5AD-79107B4CD6C5}"/>
    <cellStyle name="Accent2 6" xfId="4411" xr:uid="{29C279F3-F9B6-4406-9B87-BFF2FC605679}"/>
    <cellStyle name="Accent2 6 2" xfId="4412" xr:uid="{3257D73C-8F9C-42EB-9659-C453233A6541}"/>
    <cellStyle name="Accent2 6 3" xfId="4413" xr:uid="{224DD2D4-A11D-4726-BFF3-7518CA0870A8}"/>
    <cellStyle name="Accent2 60" xfId="4414" xr:uid="{ACF24433-32B1-480F-AF7A-D9E11554689D}"/>
    <cellStyle name="Accent2 60 2" xfId="4415" xr:uid="{9A70C781-C20D-4EFE-8BCD-7C4E7D64CA5A}"/>
    <cellStyle name="Accent2 61" xfId="4416" xr:uid="{4D9B09AA-8549-4A10-A569-6CBD26536B93}"/>
    <cellStyle name="Accent2 62" xfId="4417" xr:uid="{525F0AD8-8D3D-4BC8-9083-818C9C306008}"/>
    <cellStyle name="Accent2 63" xfId="4418" xr:uid="{FA4B7F35-0A08-4535-A802-4E779F8EB458}"/>
    <cellStyle name="Accent2 64" xfId="4419" xr:uid="{755F263E-EF7D-4D66-AF1D-708298156314}"/>
    <cellStyle name="Accent2 65" xfId="4420" xr:uid="{D1C9B5DB-A6DE-47AB-B311-D97FEF95C330}"/>
    <cellStyle name="Accent2 66" xfId="4421" xr:uid="{04B04F7A-FF57-4C44-827D-B76372285215}"/>
    <cellStyle name="Accent2 67" xfId="4422" xr:uid="{FBEE72B3-97EC-4C58-A548-ADC97942B3B2}"/>
    <cellStyle name="Accent2 68" xfId="4423" xr:uid="{A13E54DA-0218-4354-A9A1-BDEEFF673BDD}"/>
    <cellStyle name="Accent2 69" xfId="4424" xr:uid="{E9BD394C-E0D8-4CEF-BA1B-286FF674ADE3}"/>
    <cellStyle name="Accent2 7" xfId="4425" xr:uid="{146EF477-92DA-4615-BC20-9BBBBA46E734}"/>
    <cellStyle name="Accent2 7 2" xfId="4426" xr:uid="{D41F9EED-AA3F-4D20-82A0-E70B277F1F6D}"/>
    <cellStyle name="Accent2 7 3" xfId="4427" xr:uid="{06956C6A-9594-4751-B3CB-3B6356FEBDE3}"/>
    <cellStyle name="Accent2 70" xfId="4428" xr:uid="{2DB92A37-54D3-4B30-A14F-F0DE5BB2CB31}"/>
    <cellStyle name="Accent2 71" xfId="4429" xr:uid="{8A7F5C25-D79F-49A2-963E-C919E6FD15D2}"/>
    <cellStyle name="Accent2 72" xfId="4430" xr:uid="{304854E1-35C0-4680-899A-6B3DF23FF300}"/>
    <cellStyle name="Accent2 73" xfId="39970" xr:uid="{2AD26FA6-1EA3-44A1-AA86-16898B53BC74}"/>
    <cellStyle name="Accent2 74" xfId="39971" xr:uid="{4152B4B0-37E1-4BF0-B9D7-93B1CAA8F6C4}"/>
    <cellStyle name="Accent2 75" xfId="39972" xr:uid="{1C6ED927-B1DA-47E4-B8D8-664222717FB4}"/>
    <cellStyle name="Accent2 76" xfId="39973" xr:uid="{8221B264-45FB-4778-81B7-E0BC4C836127}"/>
    <cellStyle name="Accent2 77" xfId="39974" xr:uid="{A03C6730-7612-425E-90EA-7AFCA29ABC72}"/>
    <cellStyle name="Accent2 78" xfId="39975" xr:uid="{4924D608-F75E-4511-A3A7-1CE388620562}"/>
    <cellStyle name="Accent2 79" xfId="39976" xr:uid="{70B70702-73D8-4065-BA5C-7265EDE23120}"/>
    <cellStyle name="Accent2 8" xfId="4431" xr:uid="{CD119C06-2DD8-4BDB-B621-5F20F1649161}"/>
    <cellStyle name="Accent2 8 2" xfId="4432" xr:uid="{8669BBD8-E318-46A6-A706-0454F6BB557C}"/>
    <cellStyle name="Accent2 8 3" xfId="4433" xr:uid="{9AA00BAF-C548-4021-84FF-34CC30B9C229}"/>
    <cellStyle name="Accent2 80" xfId="39977" xr:uid="{99DC1F0A-F696-4435-BE91-A6324515C081}"/>
    <cellStyle name="Accent2 81" xfId="39978" xr:uid="{CEDF8D11-CE36-4409-AEA0-DB5EAC72BCB6}"/>
    <cellStyle name="Accent2 82" xfId="39979" xr:uid="{AF1CE2C4-234F-4D36-8208-754B933D1078}"/>
    <cellStyle name="Accent2 83" xfId="39980" xr:uid="{9ABF9885-A62C-48F9-A37E-99CF6C604505}"/>
    <cellStyle name="Accent2 84" xfId="39981" xr:uid="{A869494C-9E8E-4428-996D-B08BAB24386F}"/>
    <cellStyle name="Accent2 85" xfId="39982" xr:uid="{98FF19CF-D894-48BB-A7E6-7CEBB80AFA8F}"/>
    <cellStyle name="Accent2 86" xfId="39983" xr:uid="{01EBEEEC-37CD-4254-91B9-CF08142EADD7}"/>
    <cellStyle name="Accent2 87" xfId="39984" xr:uid="{5C0C4A91-3027-4D80-B4A9-93ABBAC25FE4}"/>
    <cellStyle name="Accent2 88" xfId="39985" xr:uid="{C3EABC73-5971-4114-A824-29E271DEB0A6}"/>
    <cellStyle name="Accent2 89" xfId="39986" xr:uid="{4EC0736A-D963-4C2D-98D5-398F74D50675}"/>
    <cellStyle name="Accent2 9" xfId="4434" xr:uid="{29499D7B-CA51-4B05-9BD1-2F76C364926C}"/>
    <cellStyle name="Accent2 9 2" xfId="4435" xr:uid="{1D8FBF2A-C79A-4416-9B8F-C7842B8EFD7D}"/>
    <cellStyle name="Accent2 9 3" xfId="4436" xr:uid="{8B48FCC0-9B07-47AD-8823-11EC694ABADD}"/>
    <cellStyle name="Accent2 90" xfId="39987" xr:uid="{65E914F5-C873-43C3-B99C-B5DE52140FAA}"/>
    <cellStyle name="Accent2 91" xfId="39988" xr:uid="{917333C5-C443-4B5A-A7AC-4F9D2671BD3F}"/>
    <cellStyle name="Accent2 92" xfId="39989" xr:uid="{578D768E-E079-4823-8992-95349B2B81A4}"/>
    <cellStyle name="Accent2 93" xfId="39990" xr:uid="{AC27CF78-16CE-46AB-84AA-44643736F1FB}"/>
    <cellStyle name="Accent2 94" xfId="39991" xr:uid="{6EAB8EAC-D024-4548-BCF7-6B8A8038F9A3}"/>
    <cellStyle name="Accent2 95" xfId="39992" xr:uid="{5F7EEA4A-230E-4030-BC29-58633B02C33D}"/>
    <cellStyle name="Accent2 96" xfId="39993" xr:uid="{C37D7DA2-A624-40B9-BDA1-052046D4AD5E}"/>
    <cellStyle name="Accent2 97" xfId="39994" xr:uid="{71DFF2A2-5DE6-4BB9-B1E3-F2F040989F72}"/>
    <cellStyle name="Accent2 98" xfId="39995" xr:uid="{C1DFCB13-A2C2-41EA-9D75-833B72D78D8C}"/>
    <cellStyle name="Accent2 99" xfId="39996" xr:uid="{0F5B1861-AC07-475E-A2DD-30BD0A1BDED7}"/>
    <cellStyle name="Accent3 - 20%" xfId="4437" xr:uid="{7592A354-71AE-45A5-AEC0-BD8B66EC1662}"/>
    <cellStyle name="Accent3 - 20% 2" xfId="39997" xr:uid="{D814431C-878A-474C-9C2E-67507344640B}"/>
    <cellStyle name="Accent3 - 40%" xfId="4438" xr:uid="{18EF2DFD-3A70-4F77-AE61-FF530814B522}"/>
    <cellStyle name="Accent3 - 40% 2" xfId="39998" xr:uid="{8B7FCC89-DAF8-4615-88E3-9A433E4B5C28}"/>
    <cellStyle name="Accent3 - 60%" xfId="4439" xr:uid="{BBDFB163-06CC-4A32-851A-0547BD11E217}"/>
    <cellStyle name="Accent3 10" xfId="4440" xr:uid="{73253EA0-FD1F-4622-95D9-E713CE569AE6}"/>
    <cellStyle name="Accent3 10 2" xfId="4441" xr:uid="{0CCB4A39-5F4D-4680-AEC0-77D62C7D6367}"/>
    <cellStyle name="Accent3 10 3" xfId="4442" xr:uid="{9A8D4E8B-BC6D-4A4E-B1FA-42F54B7F5583}"/>
    <cellStyle name="Accent3 100" xfId="39999" xr:uid="{8F6D7E63-DA91-4B13-8583-63E9104C0293}"/>
    <cellStyle name="Accent3 101" xfId="40000" xr:uid="{C7B27E40-E428-4D2C-8ECE-D9A02057DB7C}"/>
    <cellStyle name="Accent3 102" xfId="40001" xr:uid="{AFAAA4E5-D164-469A-BEFC-A522F3910E91}"/>
    <cellStyle name="Accent3 103" xfId="40002" xr:uid="{4BFC25BC-6C44-415F-B17E-3A89CAB208FC}"/>
    <cellStyle name="Accent3 104" xfId="40003" xr:uid="{A2A4028C-46D7-445D-8A1A-7D3980AC494A}"/>
    <cellStyle name="Accent3 105" xfId="40004" xr:uid="{B00BD666-0D28-4FE7-985D-AFBE150C41DF}"/>
    <cellStyle name="Accent3 106" xfId="40005" xr:uid="{35135394-0606-4F34-B1FD-9864F2BAE734}"/>
    <cellStyle name="Accent3 107" xfId="40006" xr:uid="{7341C6A6-714E-455E-84ED-25C4F8CE80E7}"/>
    <cellStyle name="Accent3 108" xfId="40007" xr:uid="{7BD0972D-AA64-445F-90B3-B92CAD70FAC9}"/>
    <cellStyle name="Accent3 109" xfId="40008" xr:uid="{A7D20818-8CF5-440E-B0EA-1A09BCCC9909}"/>
    <cellStyle name="Accent3 11" xfId="4443" xr:uid="{C2461B76-AED2-4002-BA8A-1D394539BBF4}"/>
    <cellStyle name="Accent3 11 2" xfId="4444" xr:uid="{5A5AE2B2-A719-442E-8BC8-AD66C78EC831}"/>
    <cellStyle name="Accent3 11 3" xfId="4445" xr:uid="{0934B6F4-9644-4B9D-A1EF-E18B1EF04985}"/>
    <cellStyle name="Accent3 110" xfId="40009" xr:uid="{C4C387BE-77F2-46F6-BE9A-4C80D0BF7CB6}"/>
    <cellStyle name="Accent3 111" xfId="40010" xr:uid="{27A5164C-EC25-462C-A664-071A300D4A73}"/>
    <cellStyle name="Accent3 112" xfId="40011" xr:uid="{3573BF13-77B5-4EFF-84F8-CEE486F50B61}"/>
    <cellStyle name="Accent3 113" xfId="40012" xr:uid="{65D44E87-7D51-4317-AA2A-4B931569EFB5}"/>
    <cellStyle name="Accent3 114" xfId="40013" xr:uid="{07B77DC3-C6DA-463E-8806-C02E2F4DC471}"/>
    <cellStyle name="Accent3 115" xfId="40014" xr:uid="{0485D15C-8C2B-4A88-A966-E8EBA47E8B00}"/>
    <cellStyle name="Accent3 116" xfId="40015" xr:uid="{A4D7B6DD-62FF-4774-9D67-896686CB1338}"/>
    <cellStyle name="Accent3 117" xfId="40016" xr:uid="{AD07EC79-97C8-4B1F-9C8A-0AAC44D713C5}"/>
    <cellStyle name="Accent3 118" xfId="40017" xr:uid="{AF45F55D-14B4-44A3-9C30-1A3FD1613F24}"/>
    <cellStyle name="Accent3 119" xfId="40018" xr:uid="{3FCE16C0-479F-4736-886C-883695DEFD29}"/>
    <cellStyle name="Accent3 12" xfId="4446" xr:uid="{FAB5F057-4664-4B2E-83BA-745EB764AC43}"/>
    <cellStyle name="Accent3 12 2" xfId="4447" xr:uid="{BE085037-ACC6-4314-90B7-9D6FF5CF089A}"/>
    <cellStyle name="Accent3 120" xfId="40019" xr:uid="{B5C729BB-68E7-411A-AF08-875FD41F4D89}"/>
    <cellStyle name="Accent3 121" xfId="40020" xr:uid="{FA578D5E-2AE3-431E-9816-4A346003A72D}"/>
    <cellStyle name="Accent3 122" xfId="40021" xr:uid="{70B85924-1CED-4F8F-9915-74C30B0682C9}"/>
    <cellStyle name="Accent3 123" xfId="40022" xr:uid="{A59062E6-F1EA-479B-BEA0-6B115C6353DE}"/>
    <cellStyle name="Accent3 124" xfId="40023" xr:uid="{A4E2A62E-9C28-4677-B301-924CE30F7E92}"/>
    <cellStyle name="Accent3 125" xfId="40024" xr:uid="{8287E0C7-27C5-4103-8D6E-76DA1629E46F}"/>
    <cellStyle name="Accent3 126" xfId="40025" xr:uid="{C270C0ED-B1DC-4408-981A-A8403E803541}"/>
    <cellStyle name="Accent3 127" xfId="40026" xr:uid="{A74628B4-6909-4E70-AB6C-84A6F097E661}"/>
    <cellStyle name="Accent3 128" xfId="40027" xr:uid="{6701500A-3EFB-459D-9704-628CCA776883}"/>
    <cellStyle name="Accent3 129" xfId="40028" xr:uid="{7E249573-909F-4D57-A427-50E843CA810D}"/>
    <cellStyle name="Accent3 13" xfId="4448" xr:uid="{EB47F77C-DAEC-4F03-8A54-8220CAB408B4}"/>
    <cellStyle name="Accent3 13 2" xfId="4449" xr:uid="{D64FBD04-7C0F-46BD-BCA3-D9B4922B1652}"/>
    <cellStyle name="Accent3 130" xfId="40029" xr:uid="{7E3A8681-BDBC-40E4-933C-CE4324AE6212}"/>
    <cellStyle name="Accent3 131" xfId="40030" xr:uid="{1EF6F288-8E24-46F3-B909-C0D79D18B556}"/>
    <cellStyle name="Accent3 132" xfId="40031" xr:uid="{987259DA-91CA-4FA0-BDB6-3E86CDAFF4D9}"/>
    <cellStyle name="Accent3 133" xfId="40032" xr:uid="{B36A70E1-B533-4D4F-B0CF-E84F1469627B}"/>
    <cellStyle name="Accent3 134" xfId="40033" xr:uid="{67EDE3AF-6097-46FA-A769-34F2C70F4C3D}"/>
    <cellStyle name="Accent3 135" xfId="40034" xr:uid="{70C7B9E1-98AC-42D2-8D8B-ECBDC45641EA}"/>
    <cellStyle name="Accent3 136" xfId="40035" xr:uid="{0B24A69D-EA67-426E-8FB8-AF94751C67A2}"/>
    <cellStyle name="Accent3 137" xfId="40036" xr:uid="{8312C035-7791-4969-B59F-29080873ECFC}"/>
    <cellStyle name="Accent3 138" xfId="40037" xr:uid="{AE2AA687-03F3-4102-A0DB-C8AA583F6F0F}"/>
    <cellStyle name="Accent3 139" xfId="40038" xr:uid="{47B6A2E6-C488-4249-BB6D-489F45350325}"/>
    <cellStyle name="Accent3 14" xfId="4450" xr:uid="{8DFC4E40-F4F0-4E06-89F3-0827CABF624E}"/>
    <cellStyle name="Accent3 14 2" xfId="4451" xr:uid="{82430DA3-63F3-4858-BACC-71AF895912E6}"/>
    <cellStyle name="Accent3 140" xfId="40039" xr:uid="{ED308412-E647-4E5C-B2D2-603FC8C2C295}"/>
    <cellStyle name="Accent3 141" xfId="40040" xr:uid="{02542983-F65D-47B9-BC84-92F332CDCDD7}"/>
    <cellStyle name="Accent3 142" xfId="40041" xr:uid="{78D62C50-DC62-441E-8447-50CB4280ACB4}"/>
    <cellStyle name="Accent3 143" xfId="40042" xr:uid="{5AFF31D7-398E-4E59-B40D-7E3680E738BF}"/>
    <cellStyle name="Accent3 144" xfId="40043" xr:uid="{BAF90678-6458-429D-B644-337B2CB15EA0}"/>
    <cellStyle name="Accent3 145" xfId="40044" xr:uid="{BE93081C-AD66-4978-BCCE-FC20124BD0D9}"/>
    <cellStyle name="Accent3 146" xfId="40045" xr:uid="{1B2DEF01-2BE4-4EA5-A3D6-DB091423B427}"/>
    <cellStyle name="Accent3 147" xfId="40046" xr:uid="{7D320B59-A6D4-4D8A-8C52-28B4215448B2}"/>
    <cellStyle name="Accent3 148" xfId="40047" xr:uid="{94A94992-051E-4ABA-946D-5BFDCACBAC49}"/>
    <cellStyle name="Accent3 149" xfId="40048" xr:uid="{5957624B-D315-4EEA-B6F1-CC9A9301D7EF}"/>
    <cellStyle name="Accent3 15" xfId="4452" xr:uid="{387C43F8-4C83-43FC-BB6C-3D70FBF428C9}"/>
    <cellStyle name="Accent3 15 2" xfId="4453" xr:uid="{7228D46B-C343-4B32-83EF-83552FBA78C4}"/>
    <cellStyle name="Accent3 150" xfId="40049" xr:uid="{251261BB-4E7F-4A58-9E86-DD170554045D}"/>
    <cellStyle name="Accent3 151" xfId="40050" xr:uid="{32A0ED8D-FA69-4F7C-85B4-82AC08E2B8B3}"/>
    <cellStyle name="Accent3 152" xfId="40051" xr:uid="{C937C375-3BE0-41B1-91D2-A323BBD343E8}"/>
    <cellStyle name="Accent3 153" xfId="40052" xr:uid="{3CA93473-C9F2-4710-BD12-1BA343905304}"/>
    <cellStyle name="Accent3 154" xfId="40053" xr:uid="{3E8FD203-4DDE-4558-96A4-5C6525644717}"/>
    <cellStyle name="Accent3 155" xfId="40054" xr:uid="{6C349461-97A1-4685-88E3-7E0F10871139}"/>
    <cellStyle name="Accent3 156" xfId="40055" xr:uid="{B7F0BD44-B165-4A5C-8A1A-8A3AA357179D}"/>
    <cellStyle name="Accent3 157" xfId="40056" xr:uid="{6F053EEA-ACDE-46DA-84EC-2C67D36B33CF}"/>
    <cellStyle name="Accent3 158" xfId="40057" xr:uid="{8C30AF89-A53A-4FC8-B1C7-386F32192A1D}"/>
    <cellStyle name="Accent3 159" xfId="40058" xr:uid="{BEB1AC6B-0AEB-4AE7-99E4-37F8B228692A}"/>
    <cellStyle name="Accent3 16" xfId="4454" xr:uid="{1B014AF7-FF6A-4C5D-B341-30E2E22E0CF4}"/>
    <cellStyle name="Accent3 16 2" xfId="4455" xr:uid="{8C4110DC-6133-4CE2-9F3C-25FD74C15017}"/>
    <cellStyle name="Accent3 160" xfId="40059" xr:uid="{44E9FB5E-D617-4CCF-8D15-BE9B42087434}"/>
    <cellStyle name="Accent3 161" xfId="40060" xr:uid="{2D9F2167-CE06-46CD-9E0F-A792BC5B85E6}"/>
    <cellStyle name="Accent3 162" xfId="40061" xr:uid="{E4327AB7-8313-48FE-9FFD-EEECF0299B12}"/>
    <cellStyle name="Accent3 163" xfId="40062" xr:uid="{9A3A667F-1E92-41FE-8D13-65C8BCB82161}"/>
    <cellStyle name="Accent3 164" xfId="40063" xr:uid="{E891F3C7-C76C-463F-BF6D-210CFAF83A03}"/>
    <cellStyle name="Accent3 165" xfId="40064" xr:uid="{9510C317-A9D5-4484-AF60-3BBD8BA7B83F}"/>
    <cellStyle name="Accent3 166" xfId="40065" xr:uid="{78E375DB-C87E-4079-8835-D3CC5FF1047D}"/>
    <cellStyle name="Accent3 167" xfId="40066" xr:uid="{B29BF0FB-FB02-40B9-92B0-A447E43D4872}"/>
    <cellStyle name="Accent3 168" xfId="40067" xr:uid="{1DEE11BA-5572-4011-9BBD-846D87A16CA2}"/>
    <cellStyle name="Accent3 169" xfId="40068" xr:uid="{4370383B-7AE7-4996-9D78-7581E576A150}"/>
    <cellStyle name="Accent3 17" xfId="4456" xr:uid="{4AF99171-EE98-43AB-A1C5-C195902F98C6}"/>
    <cellStyle name="Accent3 17 2" xfId="4457" xr:uid="{21C0EE44-D909-46E0-AA6B-277B4EBCD7A1}"/>
    <cellStyle name="Accent3 170" xfId="40069" xr:uid="{1477C0BA-3BFD-472B-A52B-226EFAD446A6}"/>
    <cellStyle name="Accent3 171" xfId="40070" xr:uid="{4CC8D72D-B19B-4F98-8698-4C7192394E0B}"/>
    <cellStyle name="Accent3 172" xfId="40071" xr:uid="{90D5FAA9-0FCB-41DA-976F-26A2AF03E45A}"/>
    <cellStyle name="Accent3 173" xfId="40072" xr:uid="{1E413D00-6C40-4E7C-B90B-5ADBC0BD632D}"/>
    <cellStyle name="Accent3 174" xfId="40073" xr:uid="{C5E60EB0-1C06-4E4B-AC25-0E494B6EF701}"/>
    <cellStyle name="Accent3 175" xfId="40074" xr:uid="{55479BED-1C04-4558-B2A6-2A9E3D9C73A0}"/>
    <cellStyle name="Accent3 176" xfId="40075" xr:uid="{F0BE4AAB-5CF7-4032-B5BD-1578873048A9}"/>
    <cellStyle name="Accent3 177" xfId="43471" xr:uid="{11B7DEDD-B7C5-4683-BD17-7449272D3F2E}"/>
    <cellStyle name="Accent3 178" xfId="43484" xr:uid="{7B2B7A3C-26F6-4CA0-B4F0-A273470AD05A}"/>
    <cellStyle name="Accent3 179" xfId="43568" xr:uid="{B106267D-5CCA-4656-87CF-FCAFF3A6A83D}"/>
    <cellStyle name="Accent3 18" xfId="4458" xr:uid="{BC00CFA0-68A6-41FA-9782-86DE339ECCF1}"/>
    <cellStyle name="Accent3 18 2" xfId="4459" xr:uid="{E4406974-1DAD-4F08-AB54-724283F26DE2}"/>
    <cellStyle name="Accent3 180" xfId="43573" xr:uid="{16677ED1-DF8A-427C-98C8-E4A2504249D1}"/>
    <cellStyle name="Accent3 181" xfId="43591" xr:uid="{310F71DC-043A-43CD-8EAA-BB7CEDC61424}"/>
    <cellStyle name="Accent3 182" xfId="182" xr:uid="{0791484A-0A93-4A1C-A4B3-44D524F000FE}"/>
    <cellStyle name="Accent3 19" xfId="4460" xr:uid="{BE900299-9FA6-4076-9971-897DCB184EE3}"/>
    <cellStyle name="Accent3 19 2" xfId="4461" xr:uid="{5EF0E61A-3CF4-4E73-99AE-109E22711898}"/>
    <cellStyle name="Accent3 2" xfId="4462" xr:uid="{583C34F0-677C-45C3-A716-1B3F7A8906AF}"/>
    <cellStyle name="Accent3 2 2" xfId="4463" xr:uid="{F88D85E4-723B-4BD5-88C7-8BC4DB798A71}"/>
    <cellStyle name="Accent3 2 3" xfId="4464" xr:uid="{4109427F-1764-4BC6-B268-5946FCDF6E50}"/>
    <cellStyle name="Accent3 2 3 2" xfId="4465" xr:uid="{2FB061BC-2645-4005-923E-D49B4047360C}"/>
    <cellStyle name="Accent3 2 3 3" xfId="4466" xr:uid="{32E14916-0FFC-4F29-95CC-648957BF47E7}"/>
    <cellStyle name="Accent3 2 4" xfId="40076" xr:uid="{13941C17-D5BF-4169-9C2E-A539A493FE99}"/>
    <cellStyle name="Accent3 2_PwrTax 51040" xfId="4467" xr:uid="{BEB3937F-48F8-454D-8ADB-48D00A449CE7}"/>
    <cellStyle name="Accent3 20" xfId="4468" xr:uid="{070F3CBA-C753-4A08-8A70-895B5E67142C}"/>
    <cellStyle name="Accent3 20 2" xfId="4469" xr:uid="{CCC22B98-8AA1-463C-889D-D4F8CBF05D39}"/>
    <cellStyle name="Accent3 21" xfId="4470" xr:uid="{B7FEFE3C-AB6D-4500-AE87-3FB6CB860FB8}"/>
    <cellStyle name="Accent3 21 2" xfId="4471" xr:uid="{23C27EF0-6B39-475A-BD9D-9B8D7B275D7F}"/>
    <cellStyle name="Accent3 22" xfId="4472" xr:uid="{569ED1D2-16B3-4BEF-B773-F7707D31E49E}"/>
    <cellStyle name="Accent3 22 2" xfId="4473" xr:uid="{46EF619C-504E-40D2-9855-C39B83E91098}"/>
    <cellStyle name="Accent3 23" xfId="4474" xr:uid="{6B1B928C-679B-4BCD-A94A-F4E48E5422D7}"/>
    <cellStyle name="Accent3 23 2" xfId="4475" xr:uid="{252ECE0E-FE3F-455D-9E82-AA179759FE31}"/>
    <cellStyle name="Accent3 24" xfId="4476" xr:uid="{C0F40706-5D6F-44CE-AC3C-D8F11B1979DD}"/>
    <cellStyle name="Accent3 24 2" xfId="4477" xr:uid="{4631913E-04E8-4696-8102-87232C188673}"/>
    <cellStyle name="Accent3 25" xfId="4478" xr:uid="{48BE43AB-82D7-42FE-812C-183D059CF48C}"/>
    <cellStyle name="Accent3 26" xfId="4479" xr:uid="{678CD69F-4CAD-455D-A216-484E35F9C6F4}"/>
    <cellStyle name="Accent3 27" xfId="4480" xr:uid="{35EC9C6E-2894-44C9-939D-4549042AFA9F}"/>
    <cellStyle name="Accent3 28" xfId="4481" xr:uid="{476B05E2-0F88-4BF1-9E4D-FEEA83376C75}"/>
    <cellStyle name="Accent3 29" xfId="4482" xr:uid="{79592178-3A36-49FA-8220-351784B34420}"/>
    <cellStyle name="Accent3 3" xfId="4483" xr:uid="{6D90640E-5DED-4BE2-8567-37D43E7D64D5}"/>
    <cellStyle name="Accent3 3 2" xfId="4484" xr:uid="{C603B11C-DB39-4815-AB7A-C4D75BA7068B}"/>
    <cellStyle name="Accent3 3 3" xfId="4485" xr:uid="{C4685683-4A49-4645-A7B8-0B3F9C965BA4}"/>
    <cellStyle name="Accent3 3 3 2" xfId="4486" xr:uid="{C46BCC19-12EE-406E-ABB8-23569A1ED3B1}"/>
    <cellStyle name="Accent3 3 3 3" xfId="4487" xr:uid="{0005AC1B-1065-45F6-B822-D36AB97B0A21}"/>
    <cellStyle name="Accent3 3 4" xfId="4488" xr:uid="{1DD64FBF-002B-4964-9216-967FE065168B}"/>
    <cellStyle name="Accent3 3_PwrTax 51040" xfId="4489" xr:uid="{DF41908A-9DB7-4E3D-8D5D-76A67AA5C5B4}"/>
    <cellStyle name="Accent3 30" xfId="4490" xr:uid="{6FF7759E-1B56-4AE4-980C-D8AD7D1CD9C7}"/>
    <cellStyle name="Accent3 31" xfId="4491" xr:uid="{B2976D98-413E-44D3-BE02-D88B20ACCAC1}"/>
    <cellStyle name="Accent3 32" xfId="4492" xr:uid="{E7F6B40A-B74B-4AF5-A353-2CAC6FE7B41E}"/>
    <cellStyle name="Accent3 33" xfId="4493" xr:uid="{6AEC0E16-9080-4E24-AF1A-9184C9030C52}"/>
    <cellStyle name="Accent3 34" xfId="4494" xr:uid="{C472A313-CD98-4516-BA8B-BF05040A6F48}"/>
    <cellStyle name="Accent3 35" xfId="4495" xr:uid="{3BDE1866-4B5F-4744-A065-A1B591BEEBEB}"/>
    <cellStyle name="Accent3 36" xfId="4496" xr:uid="{B054D9F6-99EE-4A03-8510-52F7608070B0}"/>
    <cellStyle name="Accent3 37" xfId="4497" xr:uid="{279DEA81-C859-4C51-9403-CDABCC380215}"/>
    <cellStyle name="Accent3 37 2" xfId="4498" xr:uid="{B6FE8D68-3444-42FF-9B5F-34B00B9DF524}"/>
    <cellStyle name="Accent3 38" xfId="4499" xr:uid="{8CD28C2E-254D-4EB2-BE22-9F4CDD9A23C6}"/>
    <cellStyle name="Accent3 38 2" xfId="4500" xr:uid="{559E8B96-9A2B-465C-A95C-3868CD110611}"/>
    <cellStyle name="Accent3 39" xfId="4501" xr:uid="{B2B42609-63FD-487F-887D-2A111E8C0AFD}"/>
    <cellStyle name="Accent3 39 2" xfId="4502" xr:uid="{750D4C3A-C5D7-4F8B-91D9-0CE5124FBE8E}"/>
    <cellStyle name="Accent3 4" xfId="4503" xr:uid="{5D54162D-3FA1-443A-B827-2F227D607579}"/>
    <cellStyle name="Accent3 4 2" xfId="4504" xr:uid="{779B06FD-8147-48A4-ADEF-53427FBF409F}"/>
    <cellStyle name="Accent3 4 3" xfId="4505" xr:uid="{1560046C-6981-4193-8559-56A82C1DF0FD}"/>
    <cellStyle name="Accent3 40" xfId="4506" xr:uid="{9C8C96A7-C48A-4292-8411-A8D37EAFED9B}"/>
    <cellStyle name="Accent3 40 2" xfId="4507" xr:uid="{924D6C34-41DA-44B8-9549-EB88F9BA773C}"/>
    <cellStyle name="Accent3 41" xfId="4508" xr:uid="{ED389159-1439-401A-BD91-F7D1ECC17C21}"/>
    <cellStyle name="Accent3 41 2" xfId="4509" xr:uid="{45EA080A-8A24-466C-A27B-96B65825FAE5}"/>
    <cellStyle name="Accent3 42" xfId="4510" xr:uid="{4274D988-FD77-4F12-8795-58F7E3812B77}"/>
    <cellStyle name="Accent3 42 2" xfId="4511" xr:uid="{C97D952B-61F2-4AE9-B456-35E7A9DF1EFB}"/>
    <cellStyle name="Accent3 43" xfId="4512" xr:uid="{6B995877-F0D4-404E-964D-082034A1BFB6}"/>
    <cellStyle name="Accent3 43 2" xfId="4513" xr:uid="{24DFF1EC-8E1E-4C10-A55D-4B6609A855F2}"/>
    <cellStyle name="Accent3 44" xfId="4514" xr:uid="{6DC34E91-468E-46D2-B10F-92368617EDC1}"/>
    <cellStyle name="Accent3 44 2" xfId="4515" xr:uid="{72BBA815-1022-4BB5-9D3E-3152683E8480}"/>
    <cellStyle name="Accent3 45" xfId="4516" xr:uid="{BF1C6A81-F7EE-493B-A5C5-1CA2B61BB197}"/>
    <cellStyle name="Accent3 45 2" xfId="4517" xr:uid="{E3DADE7C-FC80-46F6-9F36-1736B2F6D12B}"/>
    <cellStyle name="Accent3 46" xfId="4518" xr:uid="{4E9EB68E-5DCA-4A23-9C3D-D0DB40CFE830}"/>
    <cellStyle name="Accent3 46 2" xfId="4519" xr:uid="{41C64492-9D69-4FCB-8D91-DB983071089F}"/>
    <cellStyle name="Accent3 47" xfId="4520" xr:uid="{DF8B9220-6FF9-4DFC-96BB-5E3E9FB0D856}"/>
    <cellStyle name="Accent3 48" xfId="4521" xr:uid="{D45DCF44-C678-41DD-B411-C66ED7615D19}"/>
    <cellStyle name="Accent3 49" xfId="4522" xr:uid="{03B3397C-B8AE-4E84-B406-AC0CB9B5D3B3}"/>
    <cellStyle name="Accent3 49 2" xfId="40077" xr:uid="{48A3D257-81C9-4EFE-8C50-360959D8EF1C}"/>
    <cellStyle name="Accent3 5" xfId="4523" xr:uid="{CA4B16AC-8E54-4A90-87B6-50F1E46E2F67}"/>
    <cellStyle name="Accent3 5 2" xfId="4524" xr:uid="{5879AC4A-6B92-4BF3-ABA4-28A6A81BAB95}"/>
    <cellStyle name="Accent3 5 3" xfId="4525" xr:uid="{72D373DF-A2ED-4C3D-A2FF-1EC0774361C0}"/>
    <cellStyle name="Accent3 50" xfId="4526" xr:uid="{3555DC3A-B40E-436A-B7B6-D0688E5086FF}"/>
    <cellStyle name="Accent3 50 2" xfId="40078" xr:uid="{FCEC9C84-4C35-4AEC-AD54-BF74C70B3F5F}"/>
    <cellStyle name="Accent3 51" xfId="4527" xr:uid="{40533C3E-B37E-41ED-A6DA-07B152F5E9F9}"/>
    <cellStyle name="Accent3 51 2" xfId="40079" xr:uid="{3974FCAB-3D0C-4AFA-9102-27F70EC3E65D}"/>
    <cellStyle name="Accent3 52" xfId="4528" xr:uid="{872BBD7C-3F32-47C7-8811-FE10BBD6B666}"/>
    <cellStyle name="Accent3 53" xfId="4529" xr:uid="{44D843CF-219D-4173-B039-6C6A23B5EB32}"/>
    <cellStyle name="Accent3 54" xfId="4530" xr:uid="{78E6F98C-030E-432D-B3D6-1EEB0347AC4E}"/>
    <cellStyle name="Accent3 55" xfId="4531" xr:uid="{024F6743-B4D0-4226-89F9-0E8348D45F13}"/>
    <cellStyle name="Accent3 56" xfId="4532" xr:uid="{3FD564C4-FF69-4917-AB9E-71CB98FB7681}"/>
    <cellStyle name="Accent3 57" xfId="4533" xr:uid="{3E15AE55-D183-4395-A61C-14060BF7F5B1}"/>
    <cellStyle name="Accent3 58" xfId="4534" xr:uid="{5E1AE770-4625-4CBE-95BE-917578B70F11}"/>
    <cellStyle name="Accent3 59" xfId="4535" xr:uid="{12C2199C-B277-44A7-9743-46A0FDAA939C}"/>
    <cellStyle name="Accent3 6" xfId="4536" xr:uid="{33F21DDF-8098-4CF9-8ECE-7C15E99DA123}"/>
    <cellStyle name="Accent3 6 2" xfId="4537" xr:uid="{D8A59F2E-21A8-4F20-83AA-3C7E57E866AB}"/>
    <cellStyle name="Accent3 6 3" xfId="4538" xr:uid="{FF702889-6942-41DC-8F5F-3BFF95D63424}"/>
    <cellStyle name="Accent3 60" xfId="4539" xr:uid="{C994305B-497E-485A-B250-CD22A07116C6}"/>
    <cellStyle name="Accent3 60 2" xfId="4540" xr:uid="{F7D62C28-A8B9-45FF-862C-C3E4AA5863F1}"/>
    <cellStyle name="Accent3 61" xfId="4541" xr:uid="{830F7F70-5D49-4657-B289-449EC4E7F3D7}"/>
    <cellStyle name="Accent3 62" xfId="4542" xr:uid="{E713FAAE-E10A-4497-99EA-426519AB67FE}"/>
    <cellStyle name="Accent3 63" xfId="4543" xr:uid="{E587F102-B03E-4349-98CE-37CA1E9275CA}"/>
    <cellStyle name="Accent3 64" xfId="4544" xr:uid="{C95A184A-2E50-42DF-B672-0C51E5E86DE8}"/>
    <cellStyle name="Accent3 65" xfId="4545" xr:uid="{417C3E7C-4CF4-4952-AA1E-CFF80834FAED}"/>
    <cellStyle name="Accent3 66" xfId="4546" xr:uid="{DCC033F8-FD6A-4F4A-A3BF-1EAB1E729F06}"/>
    <cellStyle name="Accent3 67" xfId="4547" xr:uid="{74D5CC58-EB7C-4C1D-B24B-DE590622B640}"/>
    <cellStyle name="Accent3 68" xfId="4548" xr:uid="{4BFB60ED-3193-4B3D-8766-445947A1ADA3}"/>
    <cellStyle name="Accent3 69" xfId="4549" xr:uid="{3E6713A0-ECE6-43C5-9AB9-F85FE77DC5A7}"/>
    <cellStyle name="Accent3 7" xfId="4550" xr:uid="{1F413F16-AB2F-412A-BD17-A0A5DCA4627C}"/>
    <cellStyle name="Accent3 7 2" xfId="4551" xr:uid="{0CDBD26B-85AC-491A-9AD1-06603C07A8B0}"/>
    <cellStyle name="Accent3 7 3" xfId="4552" xr:uid="{239DC004-679F-49CE-A227-F95F2F439EB4}"/>
    <cellStyle name="Accent3 70" xfId="4553" xr:uid="{24C1C1EE-21AD-46F6-AB19-7230BD857C80}"/>
    <cellStyle name="Accent3 71" xfId="4554" xr:uid="{1EFC47A0-C194-4C88-8456-125315728BC7}"/>
    <cellStyle name="Accent3 72" xfId="4555" xr:uid="{B4115164-878B-4528-8878-2341CECC6FD7}"/>
    <cellStyle name="Accent3 73" xfId="40080" xr:uid="{768AA492-7DB8-40E1-987B-9D296A45F9D6}"/>
    <cellStyle name="Accent3 74" xfId="40081" xr:uid="{6F367013-75FC-4A5D-A36F-8B21277C2479}"/>
    <cellStyle name="Accent3 75" xfId="40082" xr:uid="{1BF3DB0C-03CE-419C-9D90-40EE537EAE7E}"/>
    <cellStyle name="Accent3 76" xfId="40083" xr:uid="{95210F77-B3E5-4A8E-9334-93CD156104BF}"/>
    <cellStyle name="Accent3 77" xfId="40084" xr:uid="{3F5ABE6E-7EE7-46B4-9677-1876BCB7AF44}"/>
    <cellStyle name="Accent3 78" xfId="40085" xr:uid="{B055077F-1E53-4DFD-BF4B-021E10479CBB}"/>
    <cellStyle name="Accent3 79" xfId="40086" xr:uid="{22A7075C-5C41-4C6A-9463-1FC4404B611D}"/>
    <cellStyle name="Accent3 8" xfId="4556" xr:uid="{D71EF6B2-B366-479A-8CE9-72092561BE76}"/>
    <cellStyle name="Accent3 8 2" xfId="4557" xr:uid="{A68EFA5E-D050-4B09-B56F-318980CC24D5}"/>
    <cellStyle name="Accent3 8 3" xfId="4558" xr:uid="{E83EFEC0-4FE4-4904-9BDF-69BF61A6B7D1}"/>
    <cellStyle name="Accent3 80" xfId="40087" xr:uid="{C94455F4-36FF-4ED9-8555-0EF3FE410424}"/>
    <cellStyle name="Accent3 81" xfId="40088" xr:uid="{0416C99A-90BB-4986-91C4-D29F234C7E9C}"/>
    <cellStyle name="Accent3 82" xfId="40089" xr:uid="{605DC9ED-EB64-40E5-BDF2-3ABC6E0C8DFC}"/>
    <cellStyle name="Accent3 83" xfId="40090" xr:uid="{F4DA0A45-5622-4D51-B930-52E72E59DF45}"/>
    <cellStyle name="Accent3 84" xfId="40091" xr:uid="{1F2AEE2D-4412-446C-8C19-52A2F9DA3AC3}"/>
    <cellStyle name="Accent3 85" xfId="40092" xr:uid="{751936FD-B11D-40B4-96BB-E8B71367D904}"/>
    <cellStyle name="Accent3 86" xfId="40093" xr:uid="{91743121-36E1-4711-AD1D-4FAED51F3191}"/>
    <cellStyle name="Accent3 87" xfId="40094" xr:uid="{C7CE4A9B-093A-46D9-8498-1AAA4184B814}"/>
    <cellStyle name="Accent3 88" xfId="40095" xr:uid="{931FD779-0D87-45F2-A723-10BEE17CF560}"/>
    <cellStyle name="Accent3 89" xfId="40096" xr:uid="{FE009079-E3D6-4FDC-96E6-889E2BAF8030}"/>
    <cellStyle name="Accent3 9" xfId="4559" xr:uid="{DA8A1D9D-49EB-49F2-8C5E-D163A58E3168}"/>
    <cellStyle name="Accent3 9 2" xfId="4560" xr:uid="{6852856E-B4FD-46FC-9288-F8EC467B44AB}"/>
    <cellStyle name="Accent3 9 3" xfId="4561" xr:uid="{94B961A0-FB23-4C87-8764-8D6D5B4E76D1}"/>
    <cellStyle name="Accent3 90" xfId="40097" xr:uid="{1FC37C3D-D3C7-4EDD-B204-38C82FD1A000}"/>
    <cellStyle name="Accent3 91" xfId="40098" xr:uid="{6BA7FEB7-B327-41AD-9AE6-19AFEABC3C40}"/>
    <cellStyle name="Accent3 92" xfId="40099" xr:uid="{EE668A9F-9DC7-4D8C-A72D-AD188044ABE9}"/>
    <cellStyle name="Accent3 93" xfId="40100" xr:uid="{F3315C7B-BC9A-4122-B043-A9719DDB2284}"/>
    <cellStyle name="Accent3 94" xfId="40101" xr:uid="{5251669D-E4FB-4FA3-AEA3-292AB6022C21}"/>
    <cellStyle name="Accent3 95" xfId="40102" xr:uid="{E1D2D538-B677-4228-8959-F996055A5615}"/>
    <cellStyle name="Accent3 96" xfId="40103" xr:uid="{65A07E7A-1112-443B-8251-AA1D7D63E68E}"/>
    <cellStyle name="Accent3 97" xfId="40104" xr:uid="{8AF585C0-FBEF-4C43-B2D4-CD907EA44F9F}"/>
    <cellStyle name="Accent3 98" xfId="40105" xr:uid="{1D209AD7-41BD-47B0-AE52-EB71499A2141}"/>
    <cellStyle name="Accent3 99" xfId="40106" xr:uid="{D54D9E57-712C-4FD4-B4D7-0C7F8E707488}"/>
    <cellStyle name="Accent4 - 20%" xfId="4562" xr:uid="{91673976-68B7-4E75-8053-3D5230A0021F}"/>
    <cellStyle name="Accent4 - 20% 2" xfId="40107" xr:uid="{76D70E32-B2EC-4D8A-9D45-D422ED2A3E25}"/>
    <cellStyle name="Accent4 - 40%" xfId="4563" xr:uid="{FC68DC6A-6728-487D-9A6C-FAE121FE189F}"/>
    <cellStyle name="Accent4 - 40% 2" xfId="40108" xr:uid="{E9E6094E-CC6C-4E5B-9B14-910370037839}"/>
    <cellStyle name="Accent4 - 60%" xfId="4564" xr:uid="{DA9765BA-5AD6-4922-910F-AC9300EBB5C7}"/>
    <cellStyle name="Accent4 10" xfId="4565" xr:uid="{B85D6F9B-5F0C-4EDD-AD39-092DAB983403}"/>
    <cellStyle name="Accent4 10 2" xfId="4566" xr:uid="{A87661B8-DC42-478E-966B-62510224079E}"/>
    <cellStyle name="Accent4 10 3" xfId="4567" xr:uid="{D59217B5-14B2-48F1-BA5F-73B12CD690CF}"/>
    <cellStyle name="Accent4 100" xfId="40109" xr:uid="{0BFC0D5B-EEA3-4CA9-8004-3356FA39E1B8}"/>
    <cellStyle name="Accent4 101" xfId="40110" xr:uid="{FE0E9A4D-8F04-49AD-B10C-664645734BD2}"/>
    <cellStyle name="Accent4 102" xfId="40111" xr:uid="{59737341-7906-434C-81C4-A501B6AACAA8}"/>
    <cellStyle name="Accent4 103" xfId="40112" xr:uid="{15175D6F-825E-45E0-A74B-869534E23666}"/>
    <cellStyle name="Accent4 104" xfId="40113" xr:uid="{8493EC0D-3649-46EA-B8EF-0ADB39E4992E}"/>
    <cellStyle name="Accent4 105" xfId="40114" xr:uid="{B33DF7ED-3630-4056-A049-162DF9E7502C}"/>
    <cellStyle name="Accent4 106" xfId="40115" xr:uid="{6EDC6021-F6BD-4802-AEF4-CD1B804CB959}"/>
    <cellStyle name="Accent4 107" xfId="40116" xr:uid="{94A9B2CB-2427-4CBE-8BB2-9010A06A8BD3}"/>
    <cellStyle name="Accent4 108" xfId="40117" xr:uid="{F7661CB6-A6F5-4380-B430-8289EA47CB85}"/>
    <cellStyle name="Accent4 109" xfId="40118" xr:uid="{A1CDA5D4-3473-4678-840B-7188BC5AA02C}"/>
    <cellStyle name="Accent4 11" xfId="4568" xr:uid="{9C97011F-348F-429D-9505-8EEEB0EFB446}"/>
    <cellStyle name="Accent4 11 2" xfId="4569" xr:uid="{FD2EBF83-42EB-4363-B84C-CE6B8A135A01}"/>
    <cellStyle name="Accent4 11 3" xfId="4570" xr:uid="{62753CF7-1B93-4D25-8089-EF3FAB84D830}"/>
    <cellStyle name="Accent4 110" xfId="40119" xr:uid="{30942239-D7C0-4E76-A0E1-9CC68FCBD7BC}"/>
    <cellStyle name="Accent4 111" xfId="40120" xr:uid="{1CB0289D-1B62-4F83-9E0C-D36FB9D3E487}"/>
    <cellStyle name="Accent4 112" xfId="40121" xr:uid="{7E6BB36E-B68D-4EA3-B24C-4CA57D3B847D}"/>
    <cellStyle name="Accent4 113" xfId="40122" xr:uid="{8522C600-7B16-410C-8913-7B3F3E59ECFA}"/>
    <cellStyle name="Accent4 114" xfId="40123" xr:uid="{26C478A0-2414-4769-B1F2-A1E499AFD1C9}"/>
    <cellStyle name="Accent4 115" xfId="40124" xr:uid="{CE8851C8-4BC6-4557-B6E2-6810779BEABF}"/>
    <cellStyle name="Accent4 116" xfId="40125" xr:uid="{66BE0C37-D20F-4160-9460-EF0A06699257}"/>
    <cellStyle name="Accent4 117" xfId="40126" xr:uid="{1025A588-DECF-4F41-83DF-292E44C04C7C}"/>
    <cellStyle name="Accent4 118" xfId="40127" xr:uid="{B65C0636-0A2E-41D0-8FAE-2CCED69FD1AC}"/>
    <cellStyle name="Accent4 119" xfId="40128" xr:uid="{6AFFCC17-8C1B-4D4C-B8DC-1825205788B0}"/>
    <cellStyle name="Accent4 12" xfId="4571" xr:uid="{2B952C85-4D96-4D87-BBB4-B3FA2E4675E0}"/>
    <cellStyle name="Accent4 12 2" xfId="4572" xr:uid="{B5401687-9244-455C-8E04-B1A8AA8B6568}"/>
    <cellStyle name="Accent4 120" xfId="40129" xr:uid="{678370AA-7BB1-461A-9080-CF4F99279A62}"/>
    <cellStyle name="Accent4 121" xfId="40130" xr:uid="{107EB9FF-535B-4997-A71C-BE83A5376ED2}"/>
    <cellStyle name="Accent4 122" xfId="40131" xr:uid="{B9EBC003-BD4D-4FD6-BE76-1C8CEF195FA9}"/>
    <cellStyle name="Accent4 123" xfId="40132" xr:uid="{DEE415D4-24EB-450A-BA7F-C7F54E9E08B1}"/>
    <cellStyle name="Accent4 124" xfId="40133" xr:uid="{5D05D1A3-A0C4-4FF9-9F04-1041C9A0AD8A}"/>
    <cellStyle name="Accent4 125" xfId="40134" xr:uid="{48438482-A835-441F-AB86-BFD8E1639973}"/>
    <cellStyle name="Accent4 126" xfId="40135" xr:uid="{219FE9D2-E683-49C6-A9B8-F4B3D548E9B3}"/>
    <cellStyle name="Accent4 127" xfId="40136" xr:uid="{40EBE6DE-746C-40DE-B0E6-CE333F6BCD96}"/>
    <cellStyle name="Accent4 128" xfId="40137" xr:uid="{5A969891-EAFD-4246-82A3-B6742533194F}"/>
    <cellStyle name="Accent4 129" xfId="40138" xr:uid="{AAEFE0EE-5AB9-472E-A3C0-42F270D62EE3}"/>
    <cellStyle name="Accent4 13" xfId="4573" xr:uid="{45D7B863-6DE2-4A53-A96C-1DA6630DD623}"/>
    <cellStyle name="Accent4 13 2" xfId="4574" xr:uid="{917CCA00-7B53-4847-B2C9-3EDAA67C0B98}"/>
    <cellStyle name="Accent4 130" xfId="40139" xr:uid="{BE5E21DA-19F5-41F0-BA7E-E16807DC69BD}"/>
    <cellStyle name="Accent4 131" xfId="40140" xr:uid="{79FDE4E3-125B-4D43-B382-CF3C7F7B58D3}"/>
    <cellStyle name="Accent4 132" xfId="40141" xr:uid="{561DAB55-88A5-4C1C-9283-897CBAFC45DE}"/>
    <cellStyle name="Accent4 133" xfId="40142" xr:uid="{D5CB0A26-AB4D-441A-8F64-C6B2EDE14047}"/>
    <cellStyle name="Accent4 134" xfId="40143" xr:uid="{95486E0A-1F80-420A-AB41-225416402276}"/>
    <cellStyle name="Accent4 135" xfId="40144" xr:uid="{2EE6CE87-9F19-40B4-B866-9E2FED8A750C}"/>
    <cellStyle name="Accent4 136" xfId="40145" xr:uid="{6F78420F-31D5-4B6C-B9D5-5EB4DA54DFDF}"/>
    <cellStyle name="Accent4 137" xfId="40146" xr:uid="{FCE79E45-62CE-4B62-AE7F-4EEC074F9597}"/>
    <cellStyle name="Accent4 138" xfId="40147" xr:uid="{EACC5637-F2EC-42CB-9123-4F26AFD30EF3}"/>
    <cellStyle name="Accent4 139" xfId="40148" xr:uid="{8463CB7F-9256-4D4A-B90E-7FE3D7A76394}"/>
    <cellStyle name="Accent4 14" xfId="4575" xr:uid="{4CCDEC87-F39F-42AA-BD5B-81243332574E}"/>
    <cellStyle name="Accent4 14 2" xfId="4576" xr:uid="{340ABD6F-F1DA-4CDA-A648-2CC660A76D86}"/>
    <cellStyle name="Accent4 140" xfId="40149" xr:uid="{4ACBE06B-E248-4AB6-85D3-6FC8A8277C86}"/>
    <cellStyle name="Accent4 141" xfId="40150" xr:uid="{42F6E38F-6DE2-4735-A193-B2315556E5B6}"/>
    <cellStyle name="Accent4 142" xfId="40151" xr:uid="{12F60964-B633-480B-8BD8-680FCD965109}"/>
    <cellStyle name="Accent4 143" xfId="40152" xr:uid="{AD9F00BA-7070-4E46-A96F-B09829615BF0}"/>
    <cellStyle name="Accent4 144" xfId="40153" xr:uid="{3D94FC4C-CEA7-4321-8BFF-4F39FD39D19F}"/>
    <cellStyle name="Accent4 145" xfId="40154" xr:uid="{1FBEB325-1A86-4B9B-B491-BBAFBCAFACA9}"/>
    <cellStyle name="Accent4 146" xfId="40155" xr:uid="{FB6CC4E2-50F4-4D6F-B96C-8568D204EC5B}"/>
    <cellStyle name="Accent4 147" xfId="40156" xr:uid="{3C9E99F7-72D1-4E42-8E10-8420CE1AC080}"/>
    <cellStyle name="Accent4 148" xfId="40157" xr:uid="{939A27B0-969A-42C8-9885-155E0DBDF0BD}"/>
    <cellStyle name="Accent4 149" xfId="40158" xr:uid="{5414D300-CD79-4FA0-AD7D-C678992FC1E4}"/>
    <cellStyle name="Accent4 15" xfId="4577" xr:uid="{86C39C95-8FF0-454C-9BB6-87C53A6FA86C}"/>
    <cellStyle name="Accent4 15 2" xfId="4578" xr:uid="{36B6D5F1-617D-4AD1-A480-894769E45C7E}"/>
    <cellStyle name="Accent4 150" xfId="40159" xr:uid="{0E307DD0-A0D0-4F43-A50C-6604BCEB6229}"/>
    <cellStyle name="Accent4 151" xfId="40160" xr:uid="{1A35DEDC-9EAE-4B15-9F7D-A407A0446230}"/>
    <cellStyle name="Accent4 152" xfId="40161" xr:uid="{7FE825E1-A29A-4784-9D29-E7DF7FB0E942}"/>
    <cellStyle name="Accent4 153" xfId="40162" xr:uid="{F2C63412-FA3D-4341-AB3A-716D9B5B1535}"/>
    <cellStyle name="Accent4 154" xfId="40163" xr:uid="{CC02AAC2-7E79-4198-9B80-689188C48BD1}"/>
    <cellStyle name="Accent4 155" xfId="40164" xr:uid="{FA6215C2-166A-4D7F-9BB2-14644FC50B35}"/>
    <cellStyle name="Accent4 156" xfId="40165" xr:uid="{C0034C94-A6F6-4063-A697-36CF493939A2}"/>
    <cellStyle name="Accent4 157" xfId="40166" xr:uid="{36022796-91D0-481B-B66E-0593AA0DE483}"/>
    <cellStyle name="Accent4 158" xfId="40167" xr:uid="{FE6EBADF-611A-4C0F-8D81-2100261F959D}"/>
    <cellStyle name="Accent4 159" xfId="40168" xr:uid="{5B36C175-EBB7-48AB-B15F-970521547ED7}"/>
    <cellStyle name="Accent4 16" xfId="4579" xr:uid="{7F40C535-88D5-4607-A26B-EACCB928DBFC}"/>
    <cellStyle name="Accent4 16 2" xfId="4580" xr:uid="{7B38CB26-674B-412D-8EE9-52A454309451}"/>
    <cellStyle name="Accent4 160" xfId="40169" xr:uid="{730B352D-AD73-4EBC-9476-73BC5EC97387}"/>
    <cellStyle name="Accent4 161" xfId="40170" xr:uid="{2CF7D6C9-DA8F-4DF3-84DB-2689EB1F42A4}"/>
    <cellStyle name="Accent4 162" xfId="40171" xr:uid="{27F33B8E-71C7-4BC5-90EC-65941DC3D70C}"/>
    <cellStyle name="Accent4 163" xfId="40172" xr:uid="{BE4B77EB-1F8B-49E3-A7A8-3EBAD8F7AC1B}"/>
    <cellStyle name="Accent4 164" xfId="40173" xr:uid="{D568C27E-F40B-41C1-8E1B-405298C7A2FD}"/>
    <cellStyle name="Accent4 165" xfId="40174" xr:uid="{D9D3B33A-FAC0-4A40-8E5A-FD05EE522B22}"/>
    <cellStyle name="Accent4 166" xfId="40175" xr:uid="{D9B8A4F8-6077-43B4-813F-33376A6999C6}"/>
    <cellStyle name="Accent4 167" xfId="40176" xr:uid="{402D8FBD-C4CB-4E55-83AF-4482234E0A08}"/>
    <cellStyle name="Accent4 168" xfId="40177" xr:uid="{D810525C-1943-4880-ACE9-AFB241C2C169}"/>
    <cellStyle name="Accent4 169" xfId="40178" xr:uid="{C4331C5F-78F4-4810-97E2-9661543BE331}"/>
    <cellStyle name="Accent4 17" xfId="4581" xr:uid="{204F674E-20CF-412A-834A-47BE404069DB}"/>
    <cellStyle name="Accent4 17 2" xfId="4582" xr:uid="{C3AF0E7D-4665-4396-BC01-87CC187458CC}"/>
    <cellStyle name="Accent4 170" xfId="40179" xr:uid="{0A2305D5-954A-48A0-89B4-4DDDC8E14CAF}"/>
    <cellStyle name="Accent4 171" xfId="40180" xr:uid="{651940B7-8DA6-403E-BB1D-EE7634D2D531}"/>
    <cellStyle name="Accent4 172" xfId="40181" xr:uid="{F3BFF6CE-4537-401C-BF04-C61E2F40388F}"/>
    <cellStyle name="Accent4 173" xfId="40182" xr:uid="{4ADD576F-169C-4CDA-AFCB-A06CE381C4E0}"/>
    <cellStyle name="Accent4 174" xfId="40183" xr:uid="{7A1B2938-1697-46C1-905B-79FFE5BC5731}"/>
    <cellStyle name="Accent4 175" xfId="40184" xr:uid="{BDDB059C-4FBD-40DA-8301-00214D2171E7}"/>
    <cellStyle name="Accent4 176" xfId="40185" xr:uid="{F6CC999B-B1F9-487D-928D-7A925E995B5F}"/>
    <cellStyle name="Accent4 177" xfId="43475" xr:uid="{C3455924-9FFB-4994-8D0A-6BB642FD28AB}"/>
    <cellStyle name="Accent4 178" xfId="43490" xr:uid="{45856CCD-A960-4A93-A88D-EE7E3B5C01E8}"/>
    <cellStyle name="Accent4 179" xfId="43474" xr:uid="{B3B11618-3CBA-48EB-AB9F-A4A389A4024E}"/>
    <cellStyle name="Accent4 18" xfId="4583" xr:uid="{FE631D61-B7DB-4F64-B78A-51C9D9B2A00B}"/>
    <cellStyle name="Accent4 18 2" xfId="4584" xr:uid="{24275FBD-EAFF-485D-AF27-C016160186C5}"/>
    <cellStyle name="Accent4 180" xfId="43570" xr:uid="{550EF07F-DA70-44CA-9059-AF5D8713681A}"/>
    <cellStyle name="Accent4 181" xfId="43594" xr:uid="{1A7E38F9-0F03-4D5F-AA25-BFB186B29771}"/>
    <cellStyle name="Accent4 182" xfId="183" xr:uid="{77444B11-EC0F-4443-8149-5938D8A9849A}"/>
    <cellStyle name="Accent4 19" xfId="4585" xr:uid="{8B4D672B-4380-4521-A5A5-9B789D1863B9}"/>
    <cellStyle name="Accent4 19 2" xfId="4586" xr:uid="{E6DF5519-F249-4C7D-A003-037686745CF7}"/>
    <cellStyle name="Accent4 2" xfId="4587" xr:uid="{B7BA6C5B-8EE1-4F6D-BFEB-40FEFEDAF87B}"/>
    <cellStyle name="Accent4 2 2" xfId="4588" xr:uid="{D156BE0B-B20D-4EDE-BEE0-E001F1CBD416}"/>
    <cellStyle name="Accent4 2 3" xfId="4589" xr:uid="{2800826F-FCD7-4BB9-AC8A-C4BD19BDC6C3}"/>
    <cellStyle name="Accent4 2 3 2" xfId="4590" xr:uid="{6805061A-DC57-4665-A4FB-20ECC08B8AF9}"/>
    <cellStyle name="Accent4 2 3 3" xfId="4591" xr:uid="{E994D896-1AE0-4A2A-B02C-4236669EE0DD}"/>
    <cellStyle name="Accent4 2 4" xfId="40186" xr:uid="{FDCE883C-2010-47A1-82F4-952458F4C569}"/>
    <cellStyle name="Accent4 2_PwrTax 51040" xfId="4592" xr:uid="{4E92DD3D-2ACF-4F12-822E-94140440D737}"/>
    <cellStyle name="Accent4 20" xfId="4593" xr:uid="{563621F8-8CC1-41CC-9B35-D4C93928942F}"/>
    <cellStyle name="Accent4 20 2" xfId="4594" xr:uid="{35683781-C5B4-49B8-8941-4B6B6829E6F8}"/>
    <cellStyle name="Accent4 21" xfId="4595" xr:uid="{E1F639D2-C964-4377-907E-1389003A2039}"/>
    <cellStyle name="Accent4 21 2" xfId="4596" xr:uid="{1D4774D7-A8A5-46B3-BE1A-8EAF8E72FDC1}"/>
    <cellStyle name="Accent4 22" xfId="4597" xr:uid="{D3FAE742-13CD-493C-81B3-BFCF1C710447}"/>
    <cellStyle name="Accent4 22 2" xfId="4598" xr:uid="{5D68E7DB-FBC9-4526-BD19-ACBC887F9427}"/>
    <cellStyle name="Accent4 23" xfId="4599" xr:uid="{0F7352AA-8EF6-4AC0-8A2C-C2724E6E9E38}"/>
    <cellStyle name="Accent4 23 2" xfId="4600" xr:uid="{3A7C4748-BF7A-4562-B180-88FB2006EE0F}"/>
    <cellStyle name="Accent4 24" xfId="4601" xr:uid="{CC64A29A-4CEE-4C68-B65B-4A46C807299B}"/>
    <cellStyle name="Accent4 24 2" xfId="4602" xr:uid="{98815BF7-6B7B-443A-9184-21E6F058E2A3}"/>
    <cellStyle name="Accent4 25" xfId="4603" xr:uid="{29470B67-13CB-4D38-A6D7-9F980B18C3B4}"/>
    <cellStyle name="Accent4 26" xfId="4604" xr:uid="{D059ED0E-591D-447F-8559-A80B346EFF36}"/>
    <cellStyle name="Accent4 27" xfId="4605" xr:uid="{A298EA13-DCF2-4A89-9FF8-471A3B55FEE9}"/>
    <cellStyle name="Accent4 28" xfId="4606" xr:uid="{274FEBED-9623-4DE2-B0F3-40D74EDAB688}"/>
    <cellStyle name="Accent4 29" xfId="4607" xr:uid="{D9032DE7-BB91-414A-A28C-5E41D52B7FEE}"/>
    <cellStyle name="Accent4 3" xfId="4608" xr:uid="{BB8B128E-F235-4062-ACBB-FCB524BAD7AE}"/>
    <cellStyle name="Accent4 3 2" xfId="4609" xr:uid="{49DB67A1-9C05-4E42-9C38-6A3BBEAEA83C}"/>
    <cellStyle name="Accent4 3 3" xfId="4610" xr:uid="{4FFF6C2D-4E95-49ED-88AB-50EB94066EA3}"/>
    <cellStyle name="Accent4 3 3 2" xfId="4611" xr:uid="{4742B095-857A-42D6-8920-6D23AEB10F34}"/>
    <cellStyle name="Accent4 3 3 3" xfId="4612" xr:uid="{99E54A29-1068-4E06-AECB-BA5C17B13740}"/>
    <cellStyle name="Accent4 3 4" xfId="4613" xr:uid="{6766C27A-D5D3-4F95-91B5-FFD80E5F463B}"/>
    <cellStyle name="Accent4 3_PwrTax 51040" xfId="4614" xr:uid="{573C1D0D-91B9-4286-835E-C776383218BF}"/>
    <cellStyle name="Accent4 30" xfId="4615" xr:uid="{94EFB7FF-9DED-427B-99E2-F4D8BA424B46}"/>
    <cellStyle name="Accent4 31" xfId="4616" xr:uid="{0FAF249D-BD96-42DF-8503-192E4DFB8E6E}"/>
    <cellStyle name="Accent4 32" xfId="4617" xr:uid="{DAE9A23C-5883-4C85-921F-DF5064BD0D41}"/>
    <cellStyle name="Accent4 33" xfId="4618" xr:uid="{47DECB70-F99A-467C-B615-F2FAB995AEB8}"/>
    <cellStyle name="Accent4 34" xfId="4619" xr:uid="{148F58A8-C595-4057-9E5B-21B842F62ED6}"/>
    <cellStyle name="Accent4 35" xfId="4620" xr:uid="{D32D94C1-7E40-4E1C-99F3-F607DF930D5B}"/>
    <cellStyle name="Accent4 36" xfId="4621" xr:uid="{B42C5DF7-5E4A-4BF9-8EC7-3895E1A09944}"/>
    <cellStyle name="Accent4 37" xfId="4622" xr:uid="{9AD37229-1CEB-465C-8228-91C3B87FBAFD}"/>
    <cellStyle name="Accent4 37 2" xfId="4623" xr:uid="{6D2A3BBF-FDCB-431A-A4A4-1B32D2E16563}"/>
    <cellStyle name="Accent4 38" xfId="4624" xr:uid="{E72E7145-7D34-4559-B606-9C200258139E}"/>
    <cellStyle name="Accent4 38 2" xfId="4625" xr:uid="{F0EFC48A-DF5D-4C57-94AF-D6501B8024D4}"/>
    <cellStyle name="Accent4 39" xfId="4626" xr:uid="{95D3562B-5903-4FC3-945D-12A12E227498}"/>
    <cellStyle name="Accent4 39 2" xfId="4627" xr:uid="{CD3A586A-DB18-4937-AB08-0B43F5CCAE4B}"/>
    <cellStyle name="Accent4 4" xfId="4628" xr:uid="{8529E4B6-731E-4051-A734-78D960976B22}"/>
    <cellStyle name="Accent4 4 2" xfId="4629" xr:uid="{260BDAE6-2ABF-4F1C-BC24-C029DD219B03}"/>
    <cellStyle name="Accent4 4 3" xfId="4630" xr:uid="{0BBCD1AD-AA26-4EB1-B319-F528C6CE3BF1}"/>
    <cellStyle name="Accent4 40" xfId="4631" xr:uid="{EC09F090-7D24-4C0B-8944-E30F5741CAB7}"/>
    <cellStyle name="Accent4 40 2" xfId="4632" xr:uid="{3C8AC92B-B59F-4CB9-BB68-AC15DA1D6473}"/>
    <cellStyle name="Accent4 41" xfId="4633" xr:uid="{D0D8F4CA-4001-4DDF-9DB7-024EAECCA8CF}"/>
    <cellStyle name="Accent4 41 2" xfId="4634" xr:uid="{EA7A6171-30C6-465C-BA09-FB3811870521}"/>
    <cellStyle name="Accent4 42" xfId="4635" xr:uid="{7C41903F-A809-45A6-86F6-66792FE16D39}"/>
    <cellStyle name="Accent4 42 2" xfId="4636" xr:uid="{BF956017-73BA-4EAB-AE5C-BA3BF24C3656}"/>
    <cellStyle name="Accent4 43" xfId="4637" xr:uid="{69CCA089-3F41-45B4-AABA-2FC4CFC7360F}"/>
    <cellStyle name="Accent4 43 2" xfId="4638" xr:uid="{1F946329-CD30-4A0E-96C4-34E8B57AE02D}"/>
    <cellStyle name="Accent4 44" xfId="4639" xr:uid="{AC1ACB74-9EEB-46B4-A840-64887CD39B15}"/>
    <cellStyle name="Accent4 44 2" xfId="4640" xr:uid="{854FD550-962D-474F-86D5-5AF78D7FB1E6}"/>
    <cellStyle name="Accent4 45" xfId="4641" xr:uid="{EFCEDB00-91A4-4A57-A5E0-5531C94A3C0D}"/>
    <cellStyle name="Accent4 45 2" xfId="4642" xr:uid="{E75DDA20-2D6C-446C-AFE5-CDC64BAAC053}"/>
    <cellStyle name="Accent4 46" xfId="4643" xr:uid="{D16D693F-F0D9-4CF7-82EF-AD9B82233946}"/>
    <cellStyle name="Accent4 46 2" xfId="4644" xr:uid="{BFD12E61-6B37-4217-94B9-F863410AD7D9}"/>
    <cellStyle name="Accent4 47" xfId="4645" xr:uid="{9B96884E-ACDD-4994-959E-F6109F2B6A13}"/>
    <cellStyle name="Accent4 48" xfId="4646" xr:uid="{3A9CD932-687A-4B1B-82DA-C8DF8221FB5F}"/>
    <cellStyle name="Accent4 49" xfId="4647" xr:uid="{B736ED14-D492-4846-B215-D2F35C60BFC4}"/>
    <cellStyle name="Accent4 49 2" xfId="40187" xr:uid="{E4543556-4956-40AD-973E-79C9CB6FCBB6}"/>
    <cellStyle name="Accent4 5" xfId="4648" xr:uid="{7D9D9485-3E18-4AF8-BD8A-03ECF0BBBA85}"/>
    <cellStyle name="Accent4 5 2" xfId="4649" xr:uid="{D95D56B4-1FFA-45B6-96D9-DB493259FB09}"/>
    <cellStyle name="Accent4 5 3" xfId="4650" xr:uid="{F64D9FAE-3FF7-4D51-941E-C87E93EC07F2}"/>
    <cellStyle name="Accent4 50" xfId="4651" xr:uid="{4181B691-5854-438B-93B0-C51B8AA9110F}"/>
    <cellStyle name="Accent4 50 2" xfId="40188" xr:uid="{86A0C8CB-A262-4177-BCB3-A78FCFCEA22F}"/>
    <cellStyle name="Accent4 51" xfId="4652" xr:uid="{212E773A-B7F4-4C0C-BE99-529E84F3EE10}"/>
    <cellStyle name="Accent4 51 2" xfId="40189" xr:uid="{765D6D72-4C04-4FAA-9983-CB15AAE98B0D}"/>
    <cellStyle name="Accent4 52" xfId="4653" xr:uid="{4BFDC1A2-B6A0-40EA-AF65-F9F9276671F8}"/>
    <cellStyle name="Accent4 53" xfId="4654" xr:uid="{B863DD6C-1CA2-4E68-A915-AEA6EEBC3131}"/>
    <cellStyle name="Accent4 54" xfId="4655" xr:uid="{8EF4DD46-E9F6-40BE-800F-26D3DADC037A}"/>
    <cellStyle name="Accent4 55" xfId="4656" xr:uid="{AA5AB602-E0C0-4F84-8A61-8480B937D2B6}"/>
    <cellStyle name="Accent4 56" xfId="4657" xr:uid="{EB423E91-BF48-4E63-A223-3A11E89AF4E4}"/>
    <cellStyle name="Accent4 57" xfId="4658" xr:uid="{EF0C35E7-9717-4267-80FB-B99FA237C759}"/>
    <cellStyle name="Accent4 58" xfId="4659" xr:uid="{4726C80B-8315-4B94-8ECA-F2FA95AAE6BC}"/>
    <cellStyle name="Accent4 59" xfId="4660" xr:uid="{3668A723-5178-4E09-87EE-3DFFB87C6844}"/>
    <cellStyle name="Accent4 6" xfId="4661" xr:uid="{9CC76547-A9B9-4C9D-BF48-7E88B7A51C6B}"/>
    <cellStyle name="Accent4 6 2" xfId="4662" xr:uid="{45A9CE72-0596-4C8D-9E1A-9CF07AB5C1EA}"/>
    <cellStyle name="Accent4 6 3" xfId="4663" xr:uid="{62DF8151-2563-47A6-9E90-2B13C9F897B1}"/>
    <cellStyle name="Accent4 60" xfId="4664" xr:uid="{726087B7-D45D-4023-A241-793FBF518A92}"/>
    <cellStyle name="Accent4 60 2" xfId="4665" xr:uid="{517990F4-7629-4C82-9044-B41975F4861A}"/>
    <cellStyle name="Accent4 61" xfId="4666" xr:uid="{253DC76F-D48F-4B33-A8EC-42C7FF38CA26}"/>
    <cellStyle name="Accent4 62" xfId="4667" xr:uid="{F37BF0B1-A6D0-4815-9E91-9C7C6AD62A63}"/>
    <cellStyle name="Accent4 63" xfId="4668" xr:uid="{F7FD6A2A-75AE-4540-9464-1DFC5A399187}"/>
    <cellStyle name="Accent4 64" xfId="4669" xr:uid="{FEFAB3FD-2848-475C-976B-39F87CD161B4}"/>
    <cellStyle name="Accent4 65" xfId="4670" xr:uid="{0E47FFB4-1C8F-4C36-9E65-FCFB3D9AB4A1}"/>
    <cellStyle name="Accent4 66" xfId="4671" xr:uid="{F3BA48D8-65BB-4251-8203-DBA879AD7729}"/>
    <cellStyle name="Accent4 67" xfId="4672" xr:uid="{0F8F512F-2605-40A7-9131-2DBDF6CE5861}"/>
    <cellStyle name="Accent4 68" xfId="4673" xr:uid="{769E41C5-6645-4ABE-9182-7F3D8F7D7E73}"/>
    <cellStyle name="Accent4 69" xfId="4674" xr:uid="{87E036EE-1CA8-46A1-A941-9F4DD7214244}"/>
    <cellStyle name="Accent4 7" xfId="4675" xr:uid="{2D44E98F-6912-4DF5-ADD5-DE285BFD98A2}"/>
    <cellStyle name="Accent4 7 2" xfId="4676" xr:uid="{147FBAC5-EDBF-4B9D-8A76-1F4AF3606B00}"/>
    <cellStyle name="Accent4 7 3" xfId="4677" xr:uid="{84F82BFE-D6D6-410B-B141-0E49558084F9}"/>
    <cellStyle name="Accent4 70" xfId="4678" xr:uid="{2FD24449-BB3E-41E4-941F-CE8D09BAF2CB}"/>
    <cellStyle name="Accent4 71" xfId="4679" xr:uid="{5CA33958-D5A2-4CC5-A3EC-EC230CAB82D9}"/>
    <cellStyle name="Accent4 72" xfId="4680" xr:uid="{E1DB58FE-076A-424D-A6AC-27B802079983}"/>
    <cellStyle name="Accent4 73" xfId="40190" xr:uid="{5737BCAD-FE3C-45F0-A2F7-6DC1161DFCAE}"/>
    <cellStyle name="Accent4 74" xfId="40191" xr:uid="{29790051-2EAF-4DF9-964E-447569C95F40}"/>
    <cellStyle name="Accent4 75" xfId="40192" xr:uid="{AB7845AD-3F57-43DD-B858-4720504C8136}"/>
    <cellStyle name="Accent4 76" xfId="40193" xr:uid="{D058E6C1-E66B-4291-B0D9-60169FBC688F}"/>
    <cellStyle name="Accent4 77" xfId="40194" xr:uid="{FA01653B-4060-4ABE-8E31-7918776ED9A8}"/>
    <cellStyle name="Accent4 78" xfId="40195" xr:uid="{5F69507B-42F9-4115-B20E-00CB29D68CC8}"/>
    <cellStyle name="Accent4 79" xfId="40196" xr:uid="{EDFCA615-98FD-4575-AEBA-FA17E7A81143}"/>
    <cellStyle name="Accent4 8" xfId="4681" xr:uid="{5ACDDDB3-314C-472F-8C94-3FD3A3FBD742}"/>
    <cellStyle name="Accent4 8 2" xfId="4682" xr:uid="{5DBD6BB7-6BBA-486A-9E17-41A88C510E91}"/>
    <cellStyle name="Accent4 8 3" xfId="4683" xr:uid="{F7852872-F231-49D8-88AA-64421DC0A16A}"/>
    <cellStyle name="Accent4 80" xfId="40197" xr:uid="{4BB3000E-7466-498C-AF13-860F2C3C4044}"/>
    <cellStyle name="Accent4 81" xfId="40198" xr:uid="{F040A25C-D367-4F4E-B209-E088528EC557}"/>
    <cellStyle name="Accent4 82" xfId="40199" xr:uid="{BF00E7E3-B0E6-4E39-B764-8D94B64B1719}"/>
    <cellStyle name="Accent4 83" xfId="40200" xr:uid="{E78C5BC2-D71A-4182-BB84-556CF3398042}"/>
    <cellStyle name="Accent4 84" xfId="40201" xr:uid="{69B0BD85-506E-4C37-9654-626DB49465B0}"/>
    <cellStyle name="Accent4 85" xfId="40202" xr:uid="{3D883513-5AEB-4295-88BB-C57FCF03F23A}"/>
    <cellStyle name="Accent4 86" xfId="40203" xr:uid="{43C3DEFE-ACBB-4DC2-B230-41153E2209DC}"/>
    <cellStyle name="Accent4 87" xfId="40204" xr:uid="{A8C79847-5AA6-4653-9426-D05D08165AC5}"/>
    <cellStyle name="Accent4 88" xfId="40205" xr:uid="{42FA535B-A61D-4D9D-B80B-28667A09FABA}"/>
    <cellStyle name="Accent4 89" xfId="40206" xr:uid="{FCFC34EF-DF76-46A4-9803-A1CFE954705F}"/>
    <cellStyle name="Accent4 9" xfId="4684" xr:uid="{1302B506-2638-4046-BFCD-EC5BEEEB4F11}"/>
    <cellStyle name="Accent4 9 2" xfId="4685" xr:uid="{C5FBE545-F8EB-4E8A-BC04-171CB8AE9BE1}"/>
    <cellStyle name="Accent4 9 3" xfId="4686" xr:uid="{37A95658-11C0-45B3-BCD5-CF080DE260B5}"/>
    <cellStyle name="Accent4 90" xfId="40207" xr:uid="{E37B9A5A-0FFD-4D51-A99F-E2034FA38658}"/>
    <cellStyle name="Accent4 91" xfId="40208" xr:uid="{F77736C8-511D-4E47-9840-572D5E416B7F}"/>
    <cellStyle name="Accent4 92" xfId="40209" xr:uid="{BC9180ED-730B-4B14-9EFC-972CFA43EFE3}"/>
    <cellStyle name="Accent4 93" xfId="40210" xr:uid="{9BDBEBFF-8CB1-4160-8C47-95355D98D446}"/>
    <cellStyle name="Accent4 94" xfId="40211" xr:uid="{D9129865-DFC5-4E45-A567-F82F4A0F999A}"/>
    <cellStyle name="Accent4 95" xfId="40212" xr:uid="{5B607046-6415-41BF-8708-CDD4B4B5A7E8}"/>
    <cellStyle name="Accent4 96" xfId="40213" xr:uid="{98F2B5FE-EBD6-452B-B1EB-2F8E72B0674A}"/>
    <cellStyle name="Accent4 97" xfId="40214" xr:uid="{D7B6F0ED-FC89-498C-903E-C2B97BC46235}"/>
    <cellStyle name="Accent4 98" xfId="40215" xr:uid="{60AFE0AA-D413-48DA-9CDB-191C1688D396}"/>
    <cellStyle name="Accent4 99" xfId="40216" xr:uid="{74CC081F-881D-4582-9C97-CFABA829AAA6}"/>
    <cellStyle name="Accent5 - 20%" xfId="4687" xr:uid="{961DA7AB-E1DA-4B40-ADF3-5F9E93D45A7B}"/>
    <cellStyle name="Accent5 - 20% 2" xfId="40217" xr:uid="{63FB71E5-61F9-4D3B-B586-D7218DAA03D1}"/>
    <cellStyle name="Accent5 - 40%" xfId="4688" xr:uid="{B112512C-F3DB-4DD4-9EC5-4EA166F48D5B}"/>
    <cellStyle name="Accent5 - 40% 2" xfId="40218" xr:uid="{7BFCA584-2839-468F-9F36-48E6402F2535}"/>
    <cellStyle name="Accent5 - 60%" xfId="4689" xr:uid="{B97BFEB9-C671-4EF8-A600-0814385D3BA6}"/>
    <cellStyle name="Accent5 10" xfId="4690" xr:uid="{AF369ED4-B4BD-45D6-908D-16B348C2AAC3}"/>
    <cellStyle name="Accent5 10 2" xfId="4691" xr:uid="{B06FA88A-9E81-448A-97DC-E3B212A7EDE6}"/>
    <cellStyle name="Accent5 10 3" xfId="4692" xr:uid="{52B2A05C-7A34-46AD-A054-F3931C913B49}"/>
    <cellStyle name="Accent5 100" xfId="40219" xr:uid="{48CF5571-244E-42DC-8E0E-4C9CE83F599C}"/>
    <cellStyle name="Accent5 101" xfId="40220" xr:uid="{E47FC15D-6283-4319-9903-E70620B7346D}"/>
    <cellStyle name="Accent5 102" xfId="40221" xr:uid="{08B4EB41-C8FC-47EA-B43A-BA50ABAF96A1}"/>
    <cellStyle name="Accent5 103" xfId="40222" xr:uid="{CDE8A96B-0B8A-4B29-9DC1-3A71549A3323}"/>
    <cellStyle name="Accent5 104" xfId="40223" xr:uid="{CDCA1236-1424-4F08-B126-00E3AA2FBAA3}"/>
    <cellStyle name="Accent5 105" xfId="40224" xr:uid="{EEF9709C-71AF-4379-826C-F9076A1F37E8}"/>
    <cellStyle name="Accent5 106" xfId="40225" xr:uid="{9F0B1ABE-0FD8-488B-9496-4EF53A6A31AF}"/>
    <cellStyle name="Accent5 107" xfId="40226" xr:uid="{98188545-5637-4AC1-A640-EED94F72F475}"/>
    <cellStyle name="Accent5 108" xfId="40227" xr:uid="{D13BC0A7-5577-4145-8371-D94EDED5BCB2}"/>
    <cellStyle name="Accent5 109" xfId="40228" xr:uid="{E13F2F25-9257-4777-B21A-7AFC07374DDC}"/>
    <cellStyle name="Accent5 11" xfId="4693" xr:uid="{35FD9212-8D8A-4B32-B4C2-A173759A3885}"/>
    <cellStyle name="Accent5 11 2" xfId="4694" xr:uid="{D2B6EA7B-3342-4CFD-93FE-BF9B5495CC29}"/>
    <cellStyle name="Accent5 11 3" xfId="4695" xr:uid="{BAE523BD-F1A7-4A0C-BF6D-E9B2ABA8B6F3}"/>
    <cellStyle name="Accent5 110" xfId="40229" xr:uid="{C93CF88D-4C20-467E-92FA-B977C5EC767A}"/>
    <cellStyle name="Accent5 111" xfId="40230" xr:uid="{1013B4D6-C71D-42B9-980C-158E42C8BF59}"/>
    <cellStyle name="Accent5 112" xfId="40231" xr:uid="{405BF4F3-7844-416C-84B9-FACE484C19AE}"/>
    <cellStyle name="Accent5 113" xfId="40232" xr:uid="{2F1407E6-C759-46BD-947C-0CC7E204E266}"/>
    <cellStyle name="Accent5 114" xfId="40233" xr:uid="{3309FFE6-BA97-4796-9168-AC2C1099189D}"/>
    <cellStyle name="Accent5 115" xfId="40234" xr:uid="{08F3F8C7-90ED-4471-8959-471C00BF912C}"/>
    <cellStyle name="Accent5 116" xfId="40235" xr:uid="{71D4A803-817F-43C8-80AF-3C8064E02F3C}"/>
    <cellStyle name="Accent5 117" xfId="40236" xr:uid="{F0036BA1-9416-422D-A787-0E870A245716}"/>
    <cellStyle name="Accent5 118" xfId="40237" xr:uid="{05C0583E-AAB2-4B8C-95EA-E29DB213E054}"/>
    <cellStyle name="Accent5 119" xfId="40238" xr:uid="{850C227A-5C32-4E07-95BB-40851B1FCC91}"/>
    <cellStyle name="Accent5 12" xfId="4696" xr:uid="{6CE14B8A-6641-4BBC-9641-F1FF37B949F6}"/>
    <cellStyle name="Accent5 12 2" xfId="4697" xr:uid="{7B0FD849-A908-4347-9584-3C89FD3A6BFC}"/>
    <cellStyle name="Accent5 120" xfId="40239" xr:uid="{FAB967CF-B7A3-4446-A160-EC1F3FC7D7AC}"/>
    <cellStyle name="Accent5 121" xfId="40240" xr:uid="{DE3E5F46-3C1C-454A-8950-5F041E5B3A33}"/>
    <cellStyle name="Accent5 122" xfId="40241" xr:uid="{36871996-3F91-409F-BEE2-4D8CBE86B338}"/>
    <cellStyle name="Accent5 123" xfId="40242" xr:uid="{AC692416-EB81-4C0F-983D-A0D7E3C7D976}"/>
    <cellStyle name="Accent5 124" xfId="40243" xr:uid="{318C1A94-69DD-4C46-91C3-D439CF7896F7}"/>
    <cellStyle name="Accent5 125" xfId="40244" xr:uid="{93A1C894-F55D-4D02-9614-9692EAB90CD7}"/>
    <cellStyle name="Accent5 126" xfId="40245" xr:uid="{E9167142-22DC-4009-8770-DBC8E88ADA9B}"/>
    <cellStyle name="Accent5 127" xfId="40246" xr:uid="{77EF2297-8E30-4D94-8726-54A90DE1D5F2}"/>
    <cellStyle name="Accent5 128" xfId="40247" xr:uid="{BBB12166-4515-4153-BF49-62079D03BE37}"/>
    <cellStyle name="Accent5 129" xfId="40248" xr:uid="{F84EBCB3-7432-4660-8B49-1C19427BF057}"/>
    <cellStyle name="Accent5 13" xfId="4698" xr:uid="{69CF4D62-3C45-4BFC-9B6D-BA3D34514502}"/>
    <cellStyle name="Accent5 13 2" xfId="4699" xr:uid="{7994A997-140B-48A9-ACD6-3A0627BB8DB9}"/>
    <cellStyle name="Accent5 130" xfId="40249" xr:uid="{F0D6ABC4-F9DE-4220-9CB5-2F88E56353A7}"/>
    <cellStyle name="Accent5 131" xfId="40250" xr:uid="{0E0361CC-7988-44DB-92EA-A700DDC95872}"/>
    <cellStyle name="Accent5 132" xfId="40251" xr:uid="{B547D72D-EA58-4C12-89D0-E2EDC40601FA}"/>
    <cellStyle name="Accent5 133" xfId="40252" xr:uid="{2DB963B5-C805-4736-8CED-CBDAC7191E34}"/>
    <cellStyle name="Accent5 134" xfId="40253" xr:uid="{51F4D3D2-4CF5-44A3-A4CF-D9368AA2DCB9}"/>
    <cellStyle name="Accent5 135" xfId="40254" xr:uid="{C03B8639-8D05-4530-8DDE-21189ABE6CDB}"/>
    <cellStyle name="Accent5 136" xfId="40255" xr:uid="{7DB3DC07-0FB4-43D8-AA8C-114DBA983FD0}"/>
    <cellStyle name="Accent5 137" xfId="40256" xr:uid="{1AFCF694-A328-4776-B242-85EF9B680FC5}"/>
    <cellStyle name="Accent5 138" xfId="40257" xr:uid="{8DFEEA50-F541-4DA1-9281-2B1B22C4232E}"/>
    <cellStyle name="Accent5 139" xfId="40258" xr:uid="{B32E4F79-9DB6-420F-8020-1AEB3974DAAE}"/>
    <cellStyle name="Accent5 14" xfId="4700" xr:uid="{7CBA3A14-F874-41F7-9C76-217923D26990}"/>
    <cellStyle name="Accent5 14 2" xfId="4701" xr:uid="{42AAFDBB-B119-4EF3-ACEF-EFEDDCDFCB25}"/>
    <cellStyle name="Accent5 140" xfId="40259" xr:uid="{39248140-D467-481E-AC08-AC8A17C176E9}"/>
    <cellStyle name="Accent5 141" xfId="40260" xr:uid="{A6A917EB-B8D3-4699-9BF6-33C722BBA61E}"/>
    <cellStyle name="Accent5 142" xfId="40261" xr:uid="{E435F808-7BA6-4A08-944F-F3704AE466A8}"/>
    <cellStyle name="Accent5 143" xfId="40262" xr:uid="{E3A7B54F-573E-4207-ADA8-49C1801519C7}"/>
    <cellStyle name="Accent5 144" xfId="40263" xr:uid="{B1D1F298-5657-41E4-85EE-E42D246918FC}"/>
    <cellStyle name="Accent5 145" xfId="40264" xr:uid="{130766FA-0075-46BF-A3A7-6E3A3BB9713A}"/>
    <cellStyle name="Accent5 146" xfId="40265" xr:uid="{BCB9BDA7-20F8-47C8-9F3A-DF0C966217C6}"/>
    <cellStyle name="Accent5 147" xfId="40266" xr:uid="{D3A83AF6-21A9-4315-8FEE-BD3ADDE5A6B9}"/>
    <cellStyle name="Accent5 148" xfId="40267" xr:uid="{D4B14397-DE59-4D2E-8F89-11CA84C188CE}"/>
    <cellStyle name="Accent5 149" xfId="40268" xr:uid="{0133BAD7-E4AB-4691-A377-EB404CD44EC9}"/>
    <cellStyle name="Accent5 15" xfId="4702" xr:uid="{44BC033E-1259-4EB3-A70F-8DFD23AD05D3}"/>
    <cellStyle name="Accent5 15 2" xfId="4703" xr:uid="{DE2B4E09-7090-4C19-B899-97128EFDB1E4}"/>
    <cellStyle name="Accent5 150" xfId="40269" xr:uid="{896ECD22-285F-4962-B83A-668AA7411F2B}"/>
    <cellStyle name="Accent5 151" xfId="40270" xr:uid="{89C98B6D-0E62-4638-9654-08A28B8AEA98}"/>
    <cellStyle name="Accent5 152" xfId="40271" xr:uid="{CE69F4C9-3427-437E-971C-BEA6BB5B7495}"/>
    <cellStyle name="Accent5 153" xfId="40272" xr:uid="{0418C51F-D9C7-4DB5-8CB9-F6261333B3B9}"/>
    <cellStyle name="Accent5 154" xfId="40273" xr:uid="{684165EE-ECCD-4A31-84B6-0031A0C1FF11}"/>
    <cellStyle name="Accent5 155" xfId="40274" xr:uid="{1609CBE0-ADB1-4D35-B5BB-21EAC750907B}"/>
    <cellStyle name="Accent5 156" xfId="40275" xr:uid="{4C102D08-A601-4379-838E-105951EF54E6}"/>
    <cellStyle name="Accent5 157" xfId="40276" xr:uid="{88E19D71-157A-4802-B1B0-AC02D5BA9684}"/>
    <cellStyle name="Accent5 158" xfId="40277" xr:uid="{5C2D992D-7177-40C8-86AE-3FD432813732}"/>
    <cellStyle name="Accent5 159" xfId="40278" xr:uid="{2B5D4C4B-89F1-4DD2-BD8C-98D545F48134}"/>
    <cellStyle name="Accent5 16" xfId="4704" xr:uid="{E7533107-B3C8-44F2-9209-21C1B08BB481}"/>
    <cellStyle name="Accent5 16 2" xfId="4705" xr:uid="{DB4A34A9-F226-4646-A2F2-85434B583E7F}"/>
    <cellStyle name="Accent5 160" xfId="40279" xr:uid="{3584CEDB-1176-4E73-AEB4-CDE50988A1A7}"/>
    <cellStyle name="Accent5 161" xfId="40280" xr:uid="{5C40F498-3657-46FF-B462-9C22B756CF5B}"/>
    <cellStyle name="Accent5 162" xfId="40281" xr:uid="{AC736117-916B-4A4C-B2B7-836569DE3AF0}"/>
    <cellStyle name="Accent5 163" xfId="40282" xr:uid="{FE48DDB1-7AC6-4A4C-B722-1A09DDD8420A}"/>
    <cellStyle name="Accent5 164" xfId="40283" xr:uid="{F3A78F5B-E72B-40E9-8AD4-D41BEDDE358F}"/>
    <cellStyle name="Accent5 165" xfId="40284" xr:uid="{F6EEB755-3589-4985-B191-C8E6C7BFBB8C}"/>
    <cellStyle name="Accent5 166" xfId="40285" xr:uid="{BF03A380-6149-43F8-A859-A866281EC6D6}"/>
    <cellStyle name="Accent5 167" xfId="40286" xr:uid="{C03F6246-C29E-4D26-8180-496606AAFA4B}"/>
    <cellStyle name="Accent5 168" xfId="40287" xr:uid="{0104161E-7AAD-41A9-8B13-918EB9E294F9}"/>
    <cellStyle name="Accent5 169" xfId="40288" xr:uid="{EF3F74EE-BD52-4FB8-B028-AEF533F84F27}"/>
    <cellStyle name="Accent5 17" xfId="4706" xr:uid="{FD092317-F053-4C9C-AF2A-56A4EB45B663}"/>
    <cellStyle name="Accent5 17 2" xfId="4707" xr:uid="{E35568AD-4E3F-4243-8CFC-5BA2E2DFF278}"/>
    <cellStyle name="Accent5 170" xfId="40289" xr:uid="{1178176F-77C0-4AAA-8A5A-0A1B2D27DCE4}"/>
    <cellStyle name="Accent5 171" xfId="40290" xr:uid="{CA79F3B8-91A0-46B2-A79C-68F1E881CBA1}"/>
    <cellStyle name="Accent5 172" xfId="40291" xr:uid="{E0FCD34C-28D4-484A-B837-C5816F8256A1}"/>
    <cellStyle name="Accent5 173" xfId="40292" xr:uid="{A58CCBDF-F1BD-4418-9464-7D1DB4332C2C}"/>
    <cellStyle name="Accent5 174" xfId="40293" xr:uid="{131071F2-28E6-49DE-ABC8-4A42DEF1E8E6}"/>
    <cellStyle name="Accent5 175" xfId="40294" xr:uid="{8F246B2A-A972-4EFE-B89E-8E21096DB702}"/>
    <cellStyle name="Accent5 176" xfId="40295" xr:uid="{F600E8AD-D0D8-4E2C-9943-6D1B3EDFDA5F}"/>
    <cellStyle name="Accent5 177" xfId="43478" xr:uid="{EEB11592-D9F9-44F0-A578-432D6706EC7B}"/>
    <cellStyle name="Accent5 178" xfId="43461" xr:uid="{1F727BEE-46DF-4E4B-88F6-9B9D31B46524}"/>
    <cellStyle name="Accent5 179" xfId="43578" xr:uid="{DA7F49D8-E709-4D48-9DB5-91594D73BB49}"/>
    <cellStyle name="Accent5 18" xfId="4708" xr:uid="{B4648E2E-BCA0-41BC-A35B-01CC4F0EAACD}"/>
    <cellStyle name="Accent5 18 2" xfId="4709" xr:uid="{3FE06295-9D80-41CC-9905-EE307A103949}"/>
    <cellStyle name="Accent5 180" xfId="43579" xr:uid="{36BF7E59-BED3-47AE-8F22-58D11649979A}"/>
    <cellStyle name="Accent5 181" xfId="43597" xr:uid="{0071F25E-A25D-47BD-916E-D3800C54070D}"/>
    <cellStyle name="Accent5 182" xfId="184" xr:uid="{818BED62-E967-4625-B0E1-FBEDB6B2D8FB}"/>
    <cellStyle name="Accent5 19" xfId="4710" xr:uid="{14CC884A-0EF1-4340-B0C7-4C46FEA5BA9C}"/>
    <cellStyle name="Accent5 19 2" xfId="4711" xr:uid="{BF441BF0-F06E-411D-9D2B-8690F0266B0D}"/>
    <cellStyle name="Accent5 2" xfId="4712" xr:uid="{FFD6B803-11F1-430B-927C-C1785C91E188}"/>
    <cellStyle name="Accent5 2 2" xfId="4713" xr:uid="{A918B1B7-506B-49DD-8F24-9BC126D29275}"/>
    <cellStyle name="Accent5 2 3" xfId="4714" xr:uid="{068EC616-F4C7-4906-8721-5A9E137C901E}"/>
    <cellStyle name="Accent5 2 3 2" xfId="4715" xr:uid="{8490A0A4-1CFF-40A3-A74C-818A3FD4BDA5}"/>
    <cellStyle name="Accent5 2 3 3" xfId="4716" xr:uid="{4FC29244-6552-457B-87B5-8A28875F9440}"/>
    <cellStyle name="Accent5 2 4" xfId="40296" xr:uid="{A3621753-F4AB-407E-953B-70FB7E7BDF6D}"/>
    <cellStyle name="Accent5 2_PwrTax 51040" xfId="4717" xr:uid="{11ECB665-6DC1-4523-AA8B-50E82FC45AF4}"/>
    <cellStyle name="Accent5 20" xfId="4718" xr:uid="{0647D393-4D32-45F8-A56D-02046943D5A9}"/>
    <cellStyle name="Accent5 20 2" xfId="4719" xr:uid="{7186FE77-F44C-41A1-953F-B350E2625F56}"/>
    <cellStyle name="Accent5 21" xfId="4720" xr:uid="{2AD2AF02-F593-4ECC-B4BC-855A72CA4ACD}"/>
    <cellStyle name="Accent5 21 2" xfId="4721" xr:uid="{171B3317-B1C0-46AD-B3F4-BA217D05BEF6}"/>
    <cellStyle name="Accent5 22" xfId="4722" xr:uid="{7101809B-4B77-4359-84AF-F434D3725035}"/>
    <cellStyle name="Accent5 22 2" xfId="4723" xr:uid="{FE9EAD49-5F8E-4E9B-8A75-505C40BDA56F}"/>
    <cellStyle name="Accent5 23" xfId="4724" xr:uid="{D5C0A79B-C4C4-48D4-967B-2FDD0E998195}"/>
    <cellStyle name="Accent5 23 2" xfId="4725" xr:uid="{BE7D703D-4D0C-4210-874B-3B19E9A3FA45}"/>
    <cellStyle name="Accent5 24" xfId="4726" xr:uid="{E5CB666D-28DC-4477-BEA2-3FC1E455D299}"/>
    <cellStyle name="Accent5 24 2" xfId="4727" xr:uid="{0FF6A822-FCFC-414D-8082-487D03CC8B16}"/>
    <cellStyle name="Accent5 25" xfId="4728" xr:uid="{069A0ED8-CDE6-4CED-8697-713E654D04BD}"/>
    <cellStyle name="Accent5 26" xfId="4729" xr:uid="{67BCB9C5-31C7-4698-93A3-10D10B2DEE9B}"/>
    <cellStyle name="Accent5 27" xfId="4730" xr:uid="{EF35EFE0-3B84-43F5-8115-01288F53B45E}"/>
    <cellStyle name="Accent5 28" xfId="4731" xr:uid="{1DE8978F-C74B-47D9-B088-9D4A5E4B9DF1}"/>
    <cellStyle name="Accent5 29" xfId="4732" xr:uid="{AF6B8373-8ED2-4628-A48A-A2DFF7BDBCF3}"/>
    <cellStyle name="Accent5 3" xfId="4733" xr:uid="{3BDB912E-BB6A-4FD2-BA9B-E709250BB4A2}"/>
    <cellStyle name="Accent5 3 2" xfId="4734" xr:uid="{99135F63-B070-42A6-8A6A-5E93E742C888}"/>
    <cellStyle name="Accent5 3 3" xfId="4735" xr:uid="{B5032247-1CD5-42B2-81AE-DB9BB9D56035}"/>
    <cellStyle name="Accent5 3 3 2" xfId="4736" xr:uid="{1222ABAA-462D-4DCE-9531-E2E30543BFB2}"/>
    <cellStyle name="Accent5 3 3 3" xfId="4737" xr:uid="{16E6CFBB-45B4-4FFE-8F5C-B2E5BC0C9727}"/>
    <cellStyle name="Accent5 3 4" xfId="4738" xr:uid="{10BF04F5-7A3D-4BA5-AC7D-236240C1DD3D}"/>
    <cellStyle name="Accent5 3_PwrTax 51040" xfId="4739" xr:uid="{DBA8F2EF-1794-4004-887B-C78B0837633C}"/>
    <cellStyle name="Accent5 30" xfId="4740" xr:uid="{CF297048-9148-4EFD-92D9-417E94BCA0C2}"/>
    <cellStyle name="Accent5 31" xfId="4741" xr:uid="{D289DDAD-AC6C-48D0-B323-D14695F5F19D}"/>
    <cellStyle name="Accent5 32" xfId="4742" xr:uid="{A590D326-93A0-4D41-9686-79DF4D9F5089}"/>
    <cellStyle name="Accent5 33" xfId="4743" xr:uid="{F8A52548-D956-455B-ACB0-8D99E2282062}"/>
    <cellStyle name="Accent5 34" xfId="4744" xr:uid="{11464774-52CC-4A00-B702-D9BA60B47636}"/>
    <cellStyle name="Accent5 35" xfId="4745" xr:uid="{D935FD43-98F3-4478-AA2A-D8DD96C57B48}"/>
    <cellStyle name="Accent5 36" xfId="4746" xr:uid="{6DB8CEB1-34CE-43CF-AA71-7C9082ED7132}"/>
    <cellStyle name="Accent5 37" xfId="4747" xr:uid="{F35E5839-DF81-4F56-BB5C-C97AA8AFFF8E}"/>
    <cellStyle name="Accent5 37 2" xfId="4748" xr:uid="{12907696-41D6-4E1C-91BB-D904EFA9F5FE}"/>
    <cellStyle name="Accent5 38" xfId="4749" xr:uid="{78F319DC-419A-48CB-836B-B02A2E3F81F6}"/>
    <cellStyle name="Accent5 38 2" xfId="4750" xr:uid="{F4B951D1-64D8-4C7A-A044-876649C2AC4E}"/>
    <cellStyle name="Accent5 39" xfId="4751" xr:uid="{E80A14DA-0BC9-4B41-B19F-30839073345C}"/>
    <cellStyle name="Accent5 39 2" xfId="4752" xr:uid="{2C6BAEED-D10D-4020-B463-0254E6824AF6}"/>
    <cellStyle name="Accent5 4" xfId="4753" xr:uid="{388C7827-D919-4787-9879-FECD66F8CF7B}"/>
    <cellStyle name="Accent5 4 2" xfId="4754" xr:uid="{144637EC-B02C-4C3F-96D8-AE71CCBB5C4F}"/>
    <cellStyle name="Accent5 4 3" xfId="4755" xr:uid="{81FDA296-C58B-4BCF-8AD6-E08621E14F2C}"/>
    <cellStyle name="Accent5 40" xfId="4756" xr:uid="{A679D190-C9D9-4C9F-A9C8-20AECF8E709B}"/>
    <cellStyle name="Accent5 40 2" xfId="4757" xr:uid="{4CA88ACE-93B6-49A8-842C-79066E3580F1}"/>
    <cellStyle name="Accent5 41" xfId="4758" xr:uid="{7A7A5A8E-8008-4159-948B-8215D64F3E00}"/>
    <cellStyle name="Accent5 41 2" xfId="4759" xr:uid="{B4FA8016-B3B0-4EE6-80E7-9D40808A427E}"/>
    <cellStyle name="Accent5 42" xfId="4760" xr:uid="{7C6DC4A4-CAAE-438D-B381-B0ADB698537C}"/>
    <cellStyle name="Accent5 42 2" xfId="4761" xr:uid="{20AD871F-88E1-4B82-93E7-F0BFF456ECA1}"/>
    <cellStyle name="Accent5 43" xfId="4762" xr:uid="{68E1A220-04BD-4E21-9760-9ACED70E017A}"/>
    <cellStyle name="Accent5 43 2" xfId="4763" xr:uid="{157C212E-0A04-44B6-BDA6-78293BE68D3A}"/>
    <cellStyle name="Accent5 44" xfId="4764" xr:uid="{7E35B37E-0BBC-4F03-A7EA-45EA21C9A37B}"/>
    <cellStyle name="Accent5 44 2" xfId="4765" xr:uid="{0F492C41-201D-42B3-9BD9-F9C070B2C529}"/>
    <cellStyle name="Accent5 45" xfId="4766" xr:uid="{1A25AA1E-6ECE-4FA8-A89F-01734F33B42E}"/>
    <cellStyle name="Accent5 45 2" xfId="4767" xr:uid="{79DB13C2-5228-4277-A536-35A8E6C890EC}"/>
    <cellStyle name="Accent5 46" xfId="4768" xr:uid="{9C9B18C0-A317-4869-9E99-35F7C0ABCBF4}"/>
    <cellStyle name="Accent5 46 2" xfId="4769" xr:uid="{8D656BCF-A669-4CA5-B06E-BD285D082950}"/>
    <cellStyle name="Accent5 47" xfId="4770" xr:uid="{E327AD30-9C4C-474F-AB9B-A9087617C601}"/>
    <cellStyle name="Accent5 48" xfId="4771" xr:uid="{0E1306CB-AD92-41EB-9E12-914ADAB0F555}"/>
    <cellStyle name="Accent5 49" xfId="4772" xr:uid="{A0977276-A2F1-4EEA-87A0-2BC1F2950789}"/>
    <cellStyle name="Accent5 49 2" xfId="40297" xr:uid="{A70EC53B-D607-429B-B830-F5B21B7E3F66}"/>
    <cellStyle name="Accent5 5" xfId="4773" xr:uid="{F6A9235D-31BA-458E-A83C-8FC41D4F1516}"/>
    <cellStyle name="Accent5 5 2" xfId="4774" xr:uid="{4C256BC5-3F8B-4B19-AF9A-23BCDB22D17E}"/>
    <cellStyle name="Accent5 5 3" xfId="4775" xr:uid="{CEE0DFC1-6123-4DEB-B8FA-DB76D01CE796}"/>
    <cellStyle name="Accent5 50" xfId="4776" xr:uid="{359C1E83-335A-4E0C-AAFD-9D8C385A3CD3}"/>
    <cellStyle name="Accent5 50 2" xfId="40298" xr:uid="{63E588B5-1053-4EA8-AC18-81951FD4CDFE}"/>
    <cellStyle name="Accent5 51" xfId="4777" xr:uid="{D271E655-3A0D-46AC-B2A1-78F76218B215}"/>
    <cellStyle name="Accent5 51 2" xfId="40299" xr:uid="{D02E6F31-02E2-4863-93D4-00533D18FAB4}"/>
    <cellStyle name="Accent5 52" xfId="4778" xr:uid="{389935B4-BF39-4326-AD80-1D7B8CEA2702}"/>
    <cellStyle name="Accent5 53" xfId="4779" xr:uid="{DD25D926-F9BD-4E97-84FE-8F1DFCB5332A}"/>
    <cellStyle name="Accent5 54" xfId="4780" xr:uid="{5D1E1D99-38C9-46E8-B12D-D3A26D65DF92}"/>
    <cellStyle name="Accent5 55" xfId="4781" xr:uid="{F87DAFA2-C2D1-4DCC-83F2-352809021A61}"/>
    <cellStyle name="Accent5 56" xfId="4782" xr:uid="{CA9E5C21-292C-493C-BB45-DA45D06D3B30}"/>
    <cellStyle name="Accent5 57" xfId="4783" xr:uid="{20D67437-4313-47C2-B8BA-AC8AC5822241}"/>
    <cellStyle name="Accent5 58" xfId="4784" xr:uid="{1E0642E5-DCF4-4BCD-901B-3E46C4DACD94}"/>
    <cellStyle name="Accent5 59" xfId="4785" xr:uid="{9EE9E9A6-0197-4413-B8B1-F4AACBC91560}"/>
    <cellStyle name="Accent5 6" xfId="4786" xr:uid="{D242464C-0D2C-408B-B4BC-93E0CA94BA1F}"/>
    <cellStyle name="Accent5 6 2" xfId="4787" xr:uid="{93906148-1562-4D91-A4B0-CF10352F0851}"/>
    <cellStyle name="Accent5 6 3" xfId="4788" xr:uid="{71047CC6-2714-4D45-9F55-B1CD949F2551}"/>
    <cellStyle name="Accent5 60" xfId="4789" xr:uid="{DCD780DE-8AFA-4187-8FFF-AA692AE35438}"/>
    <cellStyle name="Accent5 60 2" xfId="4790" xr:uid="{DD6D47C7-B38B-493A-872B-8C223EEB7264}"/>
    <cellStyle name="Accent5 61" xfId="4791" xr:uid="{C9671A17-4D99-4B2C-A0D1-8E29EA933BAC}"/>
    <cellStyle name="Accent5 62" xfId="4792" xr:uid="{7743A678-114A-40CF-995B-4FED8013F5CB}"/>
    <cellStyle name="Accent5 63" xfId="4793" xr:uid="{7030AB9B-F6EC-4087-8BD7-7CDF5CB73F7E}"/>
    <cellStyle name="Accent5 64" xfId="4794" xr:uid="{D0999A3B-55CC-4C36-8FF5-FC9D2A6ED5FD}"/>
    <cellStyle name="Accent5 65" xfId="4795" xr:uid="{E72D0F0A-69DB-4B49-8638-A3A20CE359FA}"/>
    <cellStyle name="Accent5 66" xfId="4796" xr:uid="{FB08DAE7-66F2-4CB5-AA0A-ACEE03C155D3}"/>
    <cellStyle name="Accent5 67" xfId="4797" xr:uid="{C6711667-1F87-4227-97D1-46503E1F103F}"/>
    <cellStyle name="Accent5 68" xfId="4798" xr:uid="{9D38D8A2-A328-4227-8AF9-A5153A510385}"/>
    <cellStyle name="Accent5 69" xfId="4799" xr:uid="{DDE8A15B-07F8-4316-A2AB-25EAA6264932}"/>
    <cellStyle name="Accent5 7" xfId="4800" xr:uid="{F43A0FFD-59AF-40B7-903B-E0D8280E6A7B}"/>
    <cellStyle name="Accent5 7 2" xfId="4801" xr:uid="{6C3F3CB0-2BC2-4D6B-95BC-3F8CA98AE9F9}"/>
    <cellStyle name="Accent5 7 3" xfId="4802" xr:uid="{F36E5A1C-D1A8-4F36-891D-B07EE664889A}"/>
    <cellStyle name="Accent5 70" xfId="4803" xr:uid="{5A0782DD-4CE9-43CE-9FC3-0E33D5529AB4}"/>
    <cellStyle name="Accent5 71" xfId="4804" xr:uid="{6F09783B-BD98-45A1-A352-6A55A91033B6}"/>
    <cellStyle name="Accent5 72" xfId="4805" xr:uid="{10256519-A7CF-4DB7-BECE-4039BD92704C}"/>
    <cellStyle name="Accent5 73" xfId="40300" xr:uid="{5D3E29AC-FF2D-42E6-A6D9-473A2DDCF399}"/>
    <cellStyle name="Accent5 74" xfId="40301" xr:uid="{CDD2EA52-09D0-4495-AA6D-FCF464AF54A7}"/>
    <cellStyle name="Accent5 75" xfId="40302" xr:uid="{F238B334-0366-4244-911F-3603980C9E3D}"/>
    <cellStyle name="Accent5 76" xfId="40303" xr:uid="{25E03961-4F4A-4A58-BEFE-77AE9D3BF7FC}"/>
    <cellStyle name="Accent5 77" xfId="40304" xr:uid="{2B338BF0-0B41-406B-BBE7-279697829549}"/>
    <cellStyle name="Accent5 78" xfId="40305" xr:uid="{2F5DAA72-A905-4733-9FBC-70D5E0A9CED9}"/>
    <cellStyle name="Accent5 79" xfId="40306" xr:uid="{CA95D922-FE65-4D50-8AEC-2B7B5FE8A0AF}"/>
    <cellStyle name="Accent5 8" xfId="4806" xr:uid="{165F057E-F60D-46B4-AA1A-FFC89CF1BF5C}"/>
    <cellStyle name="Accent5 8 2" xfId="4807" xr:uid="{16B1AEB2-A03A-49F3-99B4-4E92C0B27137}"/>
    <cellStyle name="Accent5 8 3" xfId="4808" xr:uid="{1583B1AB-A6EB-45DF-9A20-C7464D5D9E02}"/>
    <cellStyle name="Accent5 80" xfId="40307" xr:uid="{060ADE7F-051A-445D-895C-449AD27415E1}"/>
    <cellStyle name="Accent5 81" xfId="40308" xr:uid="{2C583AE1-A489-463E-AB8A-D2D17F7EF2DC}"/>
    <cellStyle name="Accent5 82" xfId="40309" xr:uid="{FD313531-B1EE-409B-A3FB-A39A837C596F}"/>
    <cellStyle name="Accent5 83" xfId="40310" xr:uid="{A1602B8A-A050-48F6-99BF-9E6CA217853A}"/>
    <cellStyle name="Accent5 84" xfId="40311" xr:uid="{0CD34082-0F40-49AE-B975-0F996078E0E3}"/>
    <cellStyle name="Accent5 85" xfId="40312" xr:uid="{CA36DD6C-15CE-4D05-AE1A-249CA15CC7E5}"/>
    <cellStyle name="Accent5 86" xfId="40313" xr:uid="{19B26B59-7467-4E06-8E88-0B67740EBF36}"/>
    <cellStyle name="Accent5 87" xfId="40314" xr:uid="{C8CD0086-FD7F-4E79-ADEC-0526C71C2CA7}"/>
    <cellStyle name="Accent5 88" xfId="40315" xr:uid="{7D777CB9-CF53-4F58-8151-E0960A592E02}"/>
    <cellStyle name="Accent5 89" xfId="40316" xr:uid="{9AB8D753-9ED0-4712-913E-1F411231F96A}"/>
    <cellStyle name="Accent5 9" xfId="4809" xr:uid="{5B551745-5FC4-43F0-868B-ABC61AFF22F2}"/>
    <cellStyle name="Accent5 9 2" xfId="4810" xr:uid="{CD02830D-81BB-420C-A4CB-1C2DA3E6B26C}"/>
    <cellStyle name="Accent5 9 3" xfId="4811" xr:uid="{2D39C884-1371-4911-AF10-FA2E33F706AF}"/>
    <cellStyle name="Accent5 90" xfId="40317" xr:uid="{DF9A4790-ACEC-464D-9DE6-133854740E75}"/>
    <cellStyle name="Accent5 91" xfId="40318" xr:uid="{269050A8-E449-48B6-9F25-7BD8F820A684}"/>
    <cellStyle name="Accent5 92" xfId="40319" xr:uid="{A3C2D832-C936-4E5F-BA67-DDB2831AFD4F}"/>
    <cellStyle name="Accent5 93" xfId="40320" xr:uid="{896A3B7C-6BE9-49C8-9589-E65BD44204F0}"/>
    <cellStyle name="Accent5 94" xfId="40321" xr:uid="{3FBA7B20-CD5C-44A1-B31E-883285FBE748}"/>
    <cellStyle name="Accent5 95" xfId="40322" xr:uid="{C6D29BE3-AABD-4605-8BEC-A772828E8398}"/>
    <cellStyle name="Accent5 96" xfId="40323" xr:uid="{E303880A-E47F-4A1E-91F0-DA9C2BBFDC53}"/>
    <cellStyle name="Accent5 97" xfId="40324" xr:uid="{D8AE55D5-C1B3-48FF-87CF-CA0D605383C3}"/>
    <cellStyle name="Accent5 98" xfId="40325" xr:uid="{48452B52-E264-477E-9594-79A18DAE0D27}"/>
    <cellStyle name="Accent5 99" xfId="40326" xr:uid="{F45F9E2C-3B74-4D41-9C1C-24A3A6957A75}"/>
    <cellStyle name="Accent6 - 20%" xfId="4812" xr:uid="{4C72A993-9CA4-4CC1-936C-7D5C2A160E35}"/>
    <cellStyle name="Accent6 - 20% 2" xfId="40327" xr:uid="{5B253766-3797-4562-AD4F-E561E60DD416}"/>
    <cellStyle name="Accent6 - 40%" xfId="4813" xr:uid="{FDE84A8B-5AF8-4114-BD10-6827CF20FD20}"/>
    <cellStyle name="Accent6 - 40% 2" xfId="40328" xr:uid="{A936F5FE-2B6E-4123-8DCE-4DB564A6E9B0}"/>
    <cellStyle name="Accent6 - 60%" xfId="4814" xr:uid="{8DC167CD-4D70-4B7D-9B8D-5A5EFE2A91AB}"/>
    <cellStyle name="Accent6 10" xfId="4815" xr:uid="{585A2610-03E4-4E35-972E-7D2CE1F55E52}"/>
    <cellStyle name="Accent6 10 2" xfId="4816" xr:uid="{0F7D6867-2BAF-42DF-8E92-FFF31948BC39}"/>
    <cellStyle name="Accent6 10 3" xfId="4817" xr:uid="{412851F5-9C3A-475A-972F-100738FEC3C7}"/>
    <cellStyle name="Accent6 100" xfId="40329" xr:uid="{6F42937A-777B-42CA-9411-F42D3DF7B109}"/>
    <cellStyle name="Accent6 101" xfId="40330" xr:uid="{41ABB4DC-4FF1-4135-A4A1-D84D8CA6A976}"/>
    <cellStyle name="Accent6 102" xfId="40331" xr:uid="{DE02C02B-D735-4D20-B01B-4B9C4E103EFD}"/>
    <cellStyle name="Accent6 103" xfId="40332" xr:uid="{544F4D26-6374-4512-B13B-B960C42B60F9}"/>
    <cellStyle name="Accent6 104" xfId="40333" xr:uid="{08D0A06E-5785-4C57-B5FE-6154BA7DED39}"/>
    <cellStyle name="Accent6 105" xfId="40334" xr:uid="{E8162229-24FA-4BD5-A478-F85B2773E5E9}"/>
    <cellStyle name="Accent6 106" xfId="40335" xr:uid="{4F5DF6E9-4FAF-436B-BC64-93021AEA6FFF}"/>
    <cellStyle name="Accent6 107" xfId="40336" xr:uid="{4356C82F-CB09-4082-A20D-F672967009B6}"/>
    <cellStyle name="Accent6 108" xfId="40337" xr:uid="{81625ABB-829D-4314-A1A6-890B2F341C19}"/>
    <cellStyle name="Accent6 109" xfId="40338" xr:uid="{7FD1685A-8C55-482A-932E-35EBFC8DC018}"/>
    <cellStyle name="Accent6 11" xfId="4818" xr:uid="{00F7171E-4707-4CC1-B8A9-562158604E8B}"/>
    <cellStyle name="Accent6 11 2" xfId="4819" xr:uid="{DEB20CC0-EAB4-428F-8432-90F6A1ED20C8}"/>
    <cellStyle name="Accent6 11 3" xfId="4820" xr:uid="{7AF5D054-2F7F-42AF-B6EB-D9A847964143}"/>
    <cellStyle name="Accent6 110" xfId="40339" xr:uid="{7AE0881D-6213-4155-BF10-5FA9EFF8BCA3}"/>
    <cellStyle name="Accent6 111" xfId="40340" xr:uid="{CFC132D6-E00E-4D8C-9323-55F41B892C7B}"/>
    <cellStyle name="Accent6 112" xfId="40341" xr:uid="{62A081BC-9CD6-42D1-9E00-9F398569B66C}"/>
    <cellStyle name="Accent6 113" xfId="40342" xr:uid="{01CF9FDF-2C37-4BF3-91DA-F9501BC16D22}"/>
    <cellStyle name="Accent6 114" xfId="40343" xr:uid="{6B81B303-725E-4FEE-87E1-DD2052837B07}"/>
    <cellStyle name="Accent6 115" xfId="40344" xr:uid="{BAD415BC-EC63-4000-AC4D-F297AEBE5D0A}"/>
    <cellStyle name="Accent6 116" xfId="40345" xr:uid="{49860390-DE06-4263-84F6-432F78BEB996}"/>
    <cellStyle name="Accent6 117" xfId="40346" xr:uid="{7B1652CD-C83F-472D-9C22-7340B2F53DA1}"/>
    <cellStyle name="Accent6 118" xfId="40347" xr:uid="{B157F129-2C15-4E9A-8AE5-32C27AC52347}"/>
    <cellStyle name="Accent6 119" xfId="40348" xr:uid="{6BACB417-80B3-4A86-A05E-8709B3DF10DD}"/>
    <cellStyle name="Accent6 12" xfId="4821" xr:uid="{A113637D-824F-4AAE-8C53-729E6AF02777}"/>
    <cellStyle name="Accent6 12 2" xfId="4822" xr:uid="{72B806C4-FA1C-47B1-8DC3-32EE91BA7CEB}"/>
    <cellStyle name="Accent6 120" xfId="40349" xr:uid="{D7118E8E-8EAF-409B-9F9E-F92366B15998}"/>
    <cellStyle name="Accent6 121" xfId="40350" xr:uid="{E3EC3683-4D0F-4963-B7EA-053741D9EFB1}"/>
    <cellStyle name="Accent6 122" xfId="40351" xr:uid="{284CE717-03D5-443C-85DB-371284F27529}"/>
    <cellStyle name="Accent6 123" xfId="40352" xr:uid="{C89990FC-9464-43F9-8743-8266D5EFCFB4}"/>
    <cellStyle name="Accent6 124" xfId="40353" xr:uid="{34507F59-83FE-40DA-AFD0-A9617AE75BE1}"/>
    <cellStyle name="Accent6 125" xfId="40354" xr:uid="{8663DC28-0A3E-4185-8084-3533846DC3A8}"/>
    <cellStyle name="Accent6 126" xfId="40355" xr:uid="{8EA74E4C-A581-44D7-8778-E5CCF27383A2}"/>
    <cellStyle name="Accent6 127" xfId="40356" xr:uid="{142D150B-800B-470E-8930-22C4CA7A7A94}"/>
    <cellStyle name="Accent6 128" xfId="40357" xr:uid="{972E9D05-963C-4892-B7FA-03A231CD5D59}"/>
    <cellStyle name="Accent6 129" xfId="40358" xr:uid="{6FAAB844-50BA-4759-B05B-7891A01EE2E1}"/>
    <cellStyle name="Accent6 13" xfId="4823" xr:uid="{D338B14F-447F-4C74-95BE-CD60B5724B49}"/>
    <cellStyle name="Accent6 13 2" xfId="4824" xr:uid="{2640844A-4237-425F-8FE9-1FFE26DD671A}"/>
    <cellStyle name="Accent6 130" xfId="40359" xr:uid="{CF5089CE-CA30-4F56-9560-8C9EEB3B810D}"/>
    <cellStyle name="Accent6 131" xfId="40360" xr:uid="{22D190D9-DA96-4D2B-BD95-AA7A5B88DACB}"/>
    <cellStyle name="Accent6 132" xfId="40361" xr:uid="{F44F8A44-181E-479B-9853-1F86A56CD263}"/>
    <cellStyle name="Accent6 133" xfId="40362" xr:uid="{3B9BA341-9506-4B46-8E1D-8DAE3A575B61}"/>
    <cellStyle name="Accent6 134" xfId="40363" xr:uid="{56329866-BA9B-4EEB-A96D-FE9C99D52BFC}"/>
    <cellStyle name="Accent6 135" xfId="40364" xr:uid="{B7E82135-590A-41BD-A62D-D60B14907190}"/>
    <cellStyle name="Accent6 136" xfId="40365" xr:uid="{A5706D5D-53D8-460A-B529-7F041AE738CB}"/>
    <cellStyle name="Accent6 137" xfId="40366" xr:uid="{F7009103-AF98-4FC0-822F-82F7DB409F31}"/>
    <cellStyle name="Accent6 138" xfId="40367" xr:uid="{A5688ADA-2635-4E03-A4CB-DD558066A0C7}"/>
    <cellStyle name="Accent6 139" xfId="40368" xr:uid="{95F0340F-6894-48E8-B2EC-1BD0A57600B6}"/>
    <cellStyle name="Accent6 14" xfId="4825" xr:uid="{534AC0C1-0049-4D14-89AF-A9CA5F877447}"/>
    <cellStyle name="Accent6 14 2" xfId="4826" xr:uid="{94850F29-E88F-481F-B2C4-49756285FF8E}"/>
    <cellStyle name="Accent6 140" xfId="40369" xr:uid="{AD719D2A-60A0-413C-AB3B-8D1F96211E1C}"/>
    <cellStyle name="Accent6 141" xfId="40370" xr:uid="{80F54FDF-FF0C-4ED7-B544-68F6FA671999}"/>
    <cellStyle name="Accent6 142" xfId="40371" xr:uid="{DED0AD19-F0A0-47A7-83CC-23FEC93C1018}"/>
    <cellStyle name="Accent6 143" xfId="40372" xr:uid="{C6BEAA50-D390-4DDF-8AEE-C0F80BABD80E}"/>
    <cellStyle name="Accent6 144" xfId="40373" xr:uid="{316D1F84-2C1E-4875-9A8F-BDAE0AE7CF70}"/>
    <cellStyle name="Accent6 145" xfId="40374" xr:uid="{5168948B-0EE9-467C-B350-B3285E2EA455}"/>
    <cellStyle name="Accent6 146" xfId="40375" xr:uid="{D4FC04CC-40E4-405F-B3FD-1296682CA76F}"/>
    <cellStyle name="Accent6 147" xfId="40376" xr:uid="{34844880-00C8-4BAB-9C1C-20C57279539D}"/>
    <cellStyle name="Accent6 148" xfId="40377" xr:uid="{C8B6B08F-1A13-498F-8E64-BD12971392AC}"/>
    <cellStyle name="Accent6 149" xfId="40378" xr:uid="{273EED76-3168-4AFA-8924-F2CCAAAA5868}"/>
    <cellStyle name="Accent6 15" xfId="4827" xr:uid="{7A5E5049-8517-4BD9-BD8C-4418D3966C6B}"/>
    <cellStyle name="Accent6 15 2" xfId="4828" xr:uid="{7658785B-AE1E-4FC1-80AE-841ABE1BB39C}"/>
    <cellStyle name="Accent6 150" xfId="40379" xr:uid="{97875522-B6A0-4D24-BF57-A023AC683528}"/>
    <cellStyle name="Accent6 151" xfId="40380" xr:uid="{EEB6B310-712B-47C2-BDAC-DAA7C51F8EC3}"/>
    <cellStyle name="Accent6 152" xfId="40381" xr:uid="{9C061239-FD09-4939-BC93-C8482ABB61C9}"/>
    <cellStyle name="Accent6 153" xfId="40382" xr:uid="{358C8B73-78CD-4A0E-A76D-BA888A637E79}"/>
    <cellStyle name="Accent6 154" xfId="40383" xr:uid="{3901AEE0-8554-4CC3-841A-E816B4264367}"/>
    <cellStyle name="Accent6 155" xfId="40384" xr:uid="{D00B703F-6CD1-42BB-9DBE-F04CB81FF0D4}"/>
    <cellStyle name="Accent6 156" xfId="40385" xr:uid="{FCEBF785-5EB5-44C6-B9A7-ED0FB6A64EE9}"/>
    <cellStyle name="Accent6 157" xfId="40386" xr:uid="{EF9D63BE-E715-4B64-86F9-7A6B10A9D260}"/>
    <cellStyle name="Accent6 158" xfId="40387" xr:uid="{E67F7AF1-1D28-4487-8E52-346F83C3B1E4}"/>
    <cellStyle name="Accent6 159" xfId="40388" xr:uid="{1979C1D2-4FE7-4285-8C56-F3C4CB67D008}"/>
    <cellStyle name="Accent6 16" xfId="4829" xr:uid="{4E0A3735-4ECD-4AF8-8CC2-8491B37341D0}"/>
    <cellStyle name="Accent6 16 2" xfId="4830" xr:uid="{423A4183-89D8-4954-9E7D-943B2F578F13}"/>
    <cellStyle name="Accent6 160" xfId="40389" xr:uid="{4F890AFA-76DB-4435-BB4E-05671399518E}"/>
    <cellStyle name="Accent6 161" xfId="40390" xr:uid="{5B65D38C-1441-4FB1-A1CB-998E29132846}"/>
    <cellStyle name="Accent6 162" xfId="40391" xr:uid="{6AD5C1AE-D54E-449E-8358-6FA085CA9093}"/>
    <cellStyle name="Accent6 163" xfId="40392" xr:uid="{7D675069-47E6-4B62-8D7A-CC29E9D2ADF0}"/>
    <cellStyle name="Accent6 164" xfId="40393" xr:uid="{9ED6A5AE-5323-4BD9-8DCD-A3C63CAD4EE9}"/>
    <cellStyle name="Accent6 165" xfId="40394" xr:uid="{85A76777-8A21-4A31-BA7B-EF830BF8C7E8}"/>
    <cellStyle name="Accent6 166" xfId="40395" xr:uid="{E1537031-8F0B-40C5-8E88-2016AE40A803}"/>
    <cellStyle name="Accent6 167" xfId="40396" xr:uid="{2D626ABB-C277-4B74-BE0C-FCFB8498A078}"/>
    <cellStyle name="Accent6 168" xfId="40397" xr:uid="{B6C3C164-0F08-41FF-AA97-5F10EFAEEECD}"/>
    <cellStyle name="Accent6 169" xfId="40398" xr:uid="{C6023984-0A96-449D-8641-E643512ECEA4}"/>
    <cellStyle name="Accent6 17" xfId="4831" xr:uid="{A0A053C0-2978-41DF-82A1-502D907A7A65}"/>
    <cellStyle name="Accent6 17 2" xfId="4832" xr:uid="{E9B5ABB1-C244-4A56-A9AE-C4A073AB1D4F}"/>
    <cellStyle name="Accent6 170" xfId="40399" xr:uid="{B76A32CC-A034-45EB-A063-C19A880EFAAD}"/>
    <cellStyle name="Accent6 171" xfId="40400" xr:uid="{47FA8B45-9605-4DEC-97AE-85F5C0941498}"/>
    <cellStyle name="Accent6 172" xfId="40401" xr:uid="{3C30546F-7642-40E1-8371-BC595430723C}"/>
    <cellStyle name="Accent6 173" xfId="40402" xr:uid="{415EDD1E-1E9A-47DA-93F0-7B131AB3CC54}"/>
    <cellStyle name="Accent6 174" xfId="40403" xr:uid="{1D850B8D-4C71-44A4-B550-1682945D0C1C}"/>
    <cellStyle name="Accent6 175" xfId="40404" xr:uid="{9DEB7495-68D6-4968-A1C8-AE35F7346081}"/>
    <cellStyle name="Accent6 176" xfId="40405" xr:uid="{21F7EAE0-DF3E-4994-B900-1D189FB5A18E}"/>
    <cellStyle name="Accent6 177" xfId="43481" xr:uid="{B8823B40-B8E3-4A9B-B902-5128C82AE772}"/>
    <cellStyle name="Accent6 178" xfId="43460" xr:uid="{06D5DC9D-3A9A-4A5A-8017-C2D8278C167E}"/>
    <cellStyle name="Accent6 179" xfId="43488" xr:uid="{C44E56F3-34E6-46FA-841B-E26ED4C74EFE}"/>
    <cellStyle name="Accent6 18" xfId="4833" xr:uid="{3B58AD4C-9262-4C67-92B3-896A8E00D289}"/>
    <cellStyle name="Accent6 18 2" xfId="4834" xr:uid="{5CC1F8CC-10AD-4771-B569-DAD332F46A37}"/>
    <cellStyle name="Accent6 180" xfId="43496" xr:uid="{0A06DDA9-13C7-4458-9501-A1F27DBBD127}"/>
    <cellStyle name="Accent6 181" xfId="43600" xr:uid="{C03CA335-687B-4460-B745-FB4F28510B0D}"/>
    <cellStyle name="Accent6 182" xfId="185" xr:uid="{8411D2B7-C043-4753-90DC-CC3DD59B28F0}"/>
    <cellStyle name="Accent6 19" xfId="4835" xr:uid="{8F0618EB-4388-4E6B-AC37-695F0375CC16}"/>
    <cellStyle name="Accent6 19 2" xfId="4836" xr:uid="{3850B66A-C1A1-47CB-BBA4-BAF65096D2D9}"/>
    <cellStyle name="Accent6 2" xfId="4837" xr:uid="{0917AC21-DC10-4337-81BD-548C30D9E7B5}"/>
    <cellStyle name="Accent6 2 2" xfId="4838" xr:uid="{569DDBDF-767D-410F-B222-67E3351D17C6}"/>
    <cellStyle name="Accent6 2 3" xfId="4839" xr:uid="{B86054D1-FAEC-48E4-A7C3-12AF54141D5C}"/>
    <cellStyle name="Accent6 2 3 2" xfId="4840" xr:uid="{6878076D-FA5F-45FD-ABE3-5A0760413247}"/>
    <cellStyle name="Accent6 2 3 3" xfId="4841" xr:uid="{CE8B9C17-C8D1-4BEA-B55D-936933398ABE}"/>
    <cellStyle name="Accent6 2 4" xfId="40406" xr:uid="{285A5D3B-427E-41A2-A69D-A24DB6F91B53}"/>
    <cellStyle name="Accent6 2_PwrTax 51040" xfId="4842" xr:uid="{28252606-2B74-46C2-ADA9-868A8E59AD52}"/>
    <cellStyle name="Accent6 20" xfId="4843" xr:uid="{6AD15A12-CAF7-4B10-A814-DCB5DFCBD8B4}"/>
    <cellStyle name="Accent6 20 2" xfId="4844" xr:uid="{DC6907D8-86A0-4300-BA31-32FCA1A6456D}"/>
    <cellStyle name="Accent6 21" xfId="4845" xr:uid="{C238394D-C0EC-499A-81BB-F6E60315AE3F}"/>
    <cellStyle name="Accent6 21 2" xfId="4846" xr:uid="{604DEE26-6B98-438A-994A-00D3CF0F1E1B}"/>
    <cellStyle name="Accent6 22" xfId="4847" xr:uid="{D311F742-57D0-41D9-9DF4-DE897C57A836}"/>
    <cellStyle name="Accent6 22 2" xfId="4848" xr:uid="{FC7C3C21-090C-4F9C-BDFC-89A6AC71353B}"/>
    <cellStyle name="Accent6 23" xfId="4849" xr:uid="{1C605177-F137-420B-B996-C98B715E0F07}"/>
    <cellStyle name="Accent6 23 2" xfId="4850" xr:uid="{7A0377FC-101C-4244-A650-701689A3502B}"/>
    <cellStyle name="Accent6 24" xfId="4851" xr:uid="{95513B8E-B6E2-41C7-AE1F-C888A12AFEA2}"/>
    <cellStyle name="Accent6 24 2" xfId="4852" xr:uid="{9FDF792D-7E1C-4868-B3C7-84DB93C8069A}"/>
    <cellStyle name="Accent6 25" xfId="4853" xr:uid="{0F49918D-F42E-47A7-A4D6-B7F351EA14D8}"/>
    <cellStyle name="Accent6 26" xfId="4854" xr:uid="{861EF676-2744-429F-902D-AEDB5A21311B}"/>
    <cellStyle name="Accent6 27" xfId="4855" xr:uid="{412C05E7-031E-4629-9D36-A1DE2C98E1F3}"/>
    <cellStyle name="Accent6 28" xfId="4856" xr:uid="{5D6ECDAB-9C6E-4C5B-B7CD-3FC7F096488E}"/>
    <cellStyle name="Accent6 29" xfId="4857" xr:uid="{4A8D37C7-EE29-481F-9A6D-739E72CD9850}"/>
    <cellStyle name="Accent6 3" xfId="4858" xr:uid="{D9B7BB2F-8CE0-4C9C-BF51-A9E9CE4D2ACE}"/>
    <cellStyle name="Accent6 3 2" xfId="4859" xr:uid="{135731B6-E08C-4F9A-930A-188FCD3406E1}"/>
    <cellStyle name="Accent6 3 3" xfId="4860" xr:uid="{ECB2317D-25BD-4CBD-A298-26A8D09BAF5D}"/>
    <cellStyle name="Accent6 3 3 2" xfId="4861" xr:uid="{B48C27DE-674E-461D-9F1A-01466047C6AF}"/>
    <cellStyle name="Accent6 3 3 3" xfId="4862" xr:uid="{86C4E8DC-E4C7-45C6-8440-BF9BAC33C810}"/>
    <cellStyle name="Accent6 3 4" xfId="4863" xr:uid="{8A49BA27-FA53-45B4-900E-06F38FB6739C}"/>
    <cellStyle name="Accent6 3_PwrTax 51040" xfId="4864" xr:uid="{B1919D4C-0F87-4908-815C-D375B6DD94A6}"/>
    <cellStyle name="Accent6 30" xfId="4865" xr:uid="{E8551406-7159-4CD4-8CB9-A921789FB3BA}"/>
    <cellStyle name="Accent6 31" xfId="4866" xr:uid="{D86D98ED-4147-4B3D-983A-10BE653DD11B}"/>
    <cellStyle name="Accent6 32" xfId="4867" xr:uid="{8B3DC651-1E60-4CD8-BF2D-232CB8F08688}"/>
    <cellStyle name="Accent6 33" xfId="4868" xr:uid="{7359E28C-62EE-40A2-A025-4281B80ED330}"/>
    <cellStyle name="Accent6 34" xfId="4869" xr:uid="{234274FE-7D44-4BF5-AC07-92F3FE8AEDD1}"/>
    <cellStyle name="Accent6 35" xfId="4870" xr:uid="{9AA05C06-BA09-4953-BEB8-1476EDC2AA2E}"/>
    <cellStyle name="Accent6 36" xfId="4871" xr:uid="{83D5F1E5-3C04-4E0F-A415-C7269396A90E}"/>
    <cellStyle name="Accent6 37" xfId="4872" xr:uid="{5547DF7C-BAD8-4188-9C02-630395CEA1AF}"/>
    <cellStyle name="Accent6 37 2" xfId="4873" xr:uid="{76B086AB-44F8-4F39-AC6A-B17FAA3CB5B5}"/>
    <cellStyle name="Accent6 38" xfId="4874" xr:uid="{50B5954C-9703-4FD5-9371-49320FD3E272}"/>
    <cellStyle name="Accent6 38 2" xfId="4875" xr:uid="{F4A88246-3EEF-4673-A404-EAEEA8127C29}"/>
    <cellStyle name="Accent6 39" xfId="4876" xr:uid="{DACBB821-5C73-4382-AEE8-BB13A46B18F0}"/>
    <cellStyle name="Accent6 39 2" xfId="4877" xr:uid="{7BADE886-3850-48F2-988A-6936BAD32AE7}"/>
    <cellStyle name="Accent6 4" xfId="4878" xr:uid="{D8B054BC-3EAE-4F00-9163-CA62838F9D03}"/>
    <cellStyle name="Accent6 4 2" xfId="4879" xr:uid="{B79C74B9-275F-4D7D-B4CA-D12C22E48820}"/>
    <cellStyle name="Accent6 4 3" xfId="4880" xr:uid="{CE5802BB-E895-4992-A6C2-04C997B285BD}"/>
    <cellStyle name="Accent6 40" xfId="4881" xr:uid="{482E3351-A607-443A-9B16-1F04B700C206}"/>
    <cellStyle name="Accent6 40 2" xfId="4882" xr:uid="{F27F6CE4-E643-415B-A499-35DDA25C7DC1}"/>
    <cellStyle name="Accent6 41" xfId="4883" xr:uid="{C8474555-0FB1-4965-8827-77659AA04C1F}"/>
    <cellStyle name="Accent6 41 2" xfId="4884" xr:uid="{21C1F1A6-B112-46B6-9E16-924C3F45D130}"/>
    <cellStyle name="Accent6 42" xfId="4885" xr:uid="{2FFF7679-99F5-4B4E-926B-20664EE3F37C}"/>
    <cellStyle name="Accent6 42 2" xfId="4886" xr:uid="{0CB1A44E-0065-46B6-AFFC-04964E64AB27}"/>
    <cellStyle name="Accent6 43" xfId="4887" xr:uid="{427C467D-0819-4C0E-852C-6029ADA943F9}"/>
    <cellStyle name="Accent6 43 2" xfId="4888" xr:uid="{C5D1E469-718B-477B-91BB-5EF248CD0863}"/>
    <cellStyle name="Accent6 44" xfId="4889" xr:uid="{48670529-59AA-443D-845B-A74935D88B1C}"/>
    <cellStyle name="Accent6 44 2" xfId="4890" xr:uid="{D85155DF-3811-4D3F-B6E2-698D6CD5A654}"/>
    <cellStyle name="Accent6 45" xfId="4891" xr:uid="{5F010F3E-544B-46A2-8728-6D18CCD936DE}"/>
    <cellStyle name="Accent6 45 2" xfId="4892" xr:uid="{FE1ACDAB-1904-4FEE-B111-EAB77B9D954C}"/>
    <cellStyle name="Accent6 46" xfId="4893" xr:uid="{01A475F8-849E-427B-BF9F-68C8FEDC9C04}"/>
    <cellStyle name="Accent6 46 2" xfId="4894" xr:uid="{9FC4A1CA-6973-4CEB-B8FC-E5DDBFB05457}"/>
    <cellStyle name="Accent6 47" xfId="4895" xr:uid="{8088F91B-1EE3-4391-9722-FCB64556C87B}"/>
    <cellStyle name="Accent6 48" xfId="4896" xr:uid="{67268840-2437-4B9C-918D-127EACDD75F0}"/>
    <cellStyle name="Accent6 49" xfId="4897" xr:uid="{691C86BF-661A-4F57-81F2-E364FDE2E9C4}"/>
    <cellStyle name="Accent6 49 2" xfId="40407" xr:uid="{39C50300-568F-4F00-B540-765FAAA8D2FE}"/>
    <cellStyle name="Accent6 5" xfId="4898" xr:uid="{1FBCB391-DC2E-4CD3-90A0-B0E37EE41C2E}"/>
    <cellStyle name="Accent6 5 2" xfId="4899" xr:uid="{E79DB3D6-8292-4DA2-A8CF-FB8FA0F03315}"/>
    <cellStyle name="Accent6 5 3" xfId="4900" xr:uid="{D1C85E7C-7970-47AF-A918-15A7224E5253}"/>
    <cellStyle name="Accent6 50" xfId="4901" xr:uid="{0AF76ACD-4CA9-4573-B1E7-B622270494FE}"/>
    <cellStyle name="Accent6 50 2" xfId="40408" xr:uid="{B9DDEBC8-F01E-4138-BB46-2D776B201FCE}"/>
    <cellStyle name="Accent6 51" xfId="4902" xr:uid="{DC397280-4307-4D87-9C46-BDDA4F130442}"/>
    <cellStyle name="Accent6 51 2" xfId="40409" xr:uid="{45F686F2-C894-4034-A99B-EC31150ED16C}"/>
    <cellStyle name="Accent6 52" xfId="4903" xr:uid="{9E555CC4-0BDA-421E-9DB3-64732FD43F81}"/>
    <cellStyle name="Accent6 53" xfId="4904" xr:uid="{ED31FEB7-C88F-438C-B940-97BB1FD5F24B}"/>
    <cellStyle name="Accent6 54" xfId="4905" xr:uid="{E8EEA024-9F88-4F1F-BD0B-B8EDD9C3278B}"/>
    <cellStyle name="Accent6 55" xfId="4906" xr:uid="{1F533ADB-80F7-488F-AD82-B740E9C793BC}"/>
    <cellStyle name="Accent6 56" xfId="4907" xr:uid="{ADC9B0DF-A190-4A92-A6CC-7BDD575D4D35}"/>
    <cellStyle name="Accent6 57" xfId="4908" xr:uid="{54CCDEC3-0BCC-4CB3-88E5-A0B535C5611E}"/>
    <cellStyle name="Accent6 58" xfId="4909" xr:uid="{4B64914D-3ECF-4D00-B68C-0648D8CB51FA}"/>
    <cellStyle name="Accent6 59" xfId="4910" xr:uid="{5ED1F8E1-4E73-4459-B238-4885D24406D1}"/>
    <cellStyle name="Accent6 6" xfId="4911" xr:uid="{8D281BA5-AE6A-4ACC-A0BE-351634275833}"/>
    <cellStyle name="Accent6 6 2" xfId="4912" xr:uid="{ACFAB654-D136-4360-BECE-3FA9F4C78097}"/>
    <cellStyle name="Accent6 6 3" xfId="4913" xr:uid="{EC156A7C-BFD1-4BA5-A198-43EE46EADB7A}"/>
    <cellStyle name="Accent6 60" xfId="4914" xr:uid="{29733799-E7E9-4D3C-B21A-E556D6B09134}"/>
    <cellStyle name="Accent6 60 2" xfId="4915" xr:uid="{7120ECED-8616-4B40-8B24-4C37F2B670AA}"/>
    <cellStyle name="Accent6 61" xfId="4916" xr:uid="{23F6C20A-3D13-47B0-ACBA-096D4991F390}"/>
    <cellStyle name="Accent6 62" xfId="4917" xr:uid="{526B16DC-94D9-4CFF-8747-DA82B70CBF61}"/>
    <cellStyle name="Accent6 63" xfId="4918" xr:uid="{50C0B052-EC48-450E-9BD8-180B574D5FFB}"/>
    <cellStyle name="Accent6 64" xfId="4919" xr:uid="{9CBC1050-79C6-435F-90F6-D8AA617B1C6D}"/>
    <cellStyle name="Accent6 65" xfId="4920" xr:uid="{DA0F3558-A9FC-4437-8A4F-3CA07296769A}"/>
    <cellStyle name="Accent6 66" xfId="4921" xr:uid="{03B7F377-4A77-4057-A57E-96074010FE32}"/>
    <cellStyle name="Accent6 67" xfId="4922" xr:uid="{26F87D75-7FBB-470F-95E4-1100E8022500}"/>
    <cellStyle name="Accent6 68" xfId="4923" xr:uid="{9D99DFAD-8261-4801-ADA4-B750EA9C82C6}"/>
    <cellStyle name="Accent6 69" xfId="4924" xr:uid="{51BFD5A4-6827-4043-8785-9CBC1B28A184}"/>
    <cellStyle name="Accent6 7" xfId="4925" xr:uid="{6256550B-BB32-472B-9D09-8CD3B63D5F00}"/>
    <cellStyle name="Accent6 7 2" xfId="4926" xr:uid="{B85E77FC-67E5-435A-8473-83DFB40F63D4}"/>
    <cellStyle name="Accent6 7 3" xfId="4927" xr:uid="{EA714ACC-2BB2-47EB-9652-10AABD7DB3DC}"/>
    <cellStyle name="Accent6 70" xfId="4928" xr:uid="{A5C1373C-6472-4A0A-B2ED-AC9D19D5BC95}"/>
    <cellStyle name="Accent6 71" xfId="4929" xr:uid="{598B811A-2671-4AA3-B724-2B646F85F862}"/>
    <cellStyle name="Accent6 72" xfId="4930" xr:uid="{B1C7273B-B461-4832-8DE6-2CC2087A83E7}"/>
    <cellStyle name="Accent6 73" xfId="40410" xr:uid="{86848328-3FC2-4E43-8A3E-37BB733F6132}"/>
    <cellStyle name="Accent6 74" xfId="40411" xr:uid="{64B55875-7497-47D9-969F-48756B2873F7}"/>
    <cellStyle name="Accent6 75" xfId="40412" xr:uid="{3BE4E8B2-924A-4700-A558-FCD2BAE4E19D}"/>
    <cellStyle name="Accent6 76" xfId="40413" xr:uid="{BA0E5311-243C-4FEF-AF34-4814DC09FA6D}"/>
    <cellStyle name="Accent6 77" xfId="40414" xr:uid="{2E769317-41E2-4901-BE5B-95D7A91969C4}"/>
    <cellStyle name="Accent6 78" xfId="40415" xr:uid="{E187D689-1CE1-43F7-8FEC-F45BE028ECB5}"/>
    <cellStyle name="Accent6 79" xfId="40416" xr:uid="{9182BC9A-0C32-471C-A564-1C1FF1D121FE}"/>
    <cellStyle name="Accent6 8" xfId="4931" xr:uid="{CA0B816F-FC03-4C26-BAE1-32078F4F96CC}"/>
    <cellStyle name="Accent6 8 2" xfId="4932" xr:uid="{F9504DFE-3FFD-4F65-B35A-301281F1AB99}"/>
    <cellStyle name="Accent6 8 3" xfId="4933" xr:uid="{5A86A8A4-F1ED-4851-AFC9-47077D2CF4F9}"/>
    <cellStyle name="Accent6 80" xfId="40417" xr:uid="{397E7A59-1E7C-4AC2-8D15-A5DCDA9A51EC}"/>
    <cellStyle name="Accent6 81" xfId="40418" xr:uid="{4CE664CD-C51E-40C2-BAD7-53C839087164}"/>
    <cellStyle name="Accent6 82" xfId="40419" xr:uid="{4FA6C2E0-304F-4012-8B80-C710AF38AB52}"/>
    <cellStyle name="Accent6 83" xfId="40420" xr:uid="{411BE794-0AB5-4557-93C1-3196241922FE}"/>
    <cellStyle name="Accent6 84" xfId="40421" xr:uid="{F7F7F3D7-454D-4417-B593-DE93157677B4}"/>
    <cellStyle name="Accent6 85" xfId="40422" xr:uid="{6576BA21-4C73-4F3E-B8A1-B9EA042B4442}"/>
    <cellStyle name="Accent6 86" xfId="40423" xr:uid="{7AF90893-5BE7-403F-B825-EF1E76140A11}"/>
    <cellStyle name="Accent6 87" xfId="40424" xr:uid="{22CA4E75-BEDD-4757-A549-FCF9EAEDFF72}"/>
    <cellStyle name="Accent6 88" xfId="40425" xr:uid="{1B35B94F-D546-4AFB-B6FF-C52039191CE3}"/>
    <cellStyle name="Accent6 89" xfId="40426" xr:uid="{E5AE165C-8BE4-4D74-BF24-E08AF8CFB384}"/>
    <cellStyle name="Accent6 9" xfId="4934" xr:uid="{EB80B78C-B908-470C-AA2D-2088EBA46E0B}"/>
    <cellStyle name="Accent6 9 2" xfId="4935" xr:uid="{F1FE447A-C1ED-43CE-8679-10B697BE013A}"/>
    <cellStyle name="Accent6 9 3" xfId="4936" xr:uid="{FFD0E99D-762E-459F-8016-5453816B0D65}"/>
    <cellStyle name="Accent6 90" xfId="40427" xr:uid="{7B0B3404-A895-4B9D-8647-5A127EB8E2CF}"/>
    <cellStyle name="Accent6 91" xfId="40428" xr:uid="{CEAEF4FB-BF76-4377-AC93-AC8AAFE2F295}"/>
    <cellStyle name="Accent6 92" xfId="40429" xr:uid="{8ECBB041-DC9F-483E-8465-31B23498D5DD}"/>
    <cellStyle name="Accent6 93" xfId="40430" xr:uid="{F0D82C95-6D50-44E2-8E4A-B18F81858100}"/>
    <cellStyle name="Accent6 94" xfId="40431" xr:uid="{EB4C75E3-6F04-4B8D-BC81-CB918B5230B5}"/>
    <cellStyle name="Accent6 95" xfId="40432" xr:uid="{5584A98E-12B4-496F-9F1C-1E6DCCCB0435}"/>
    <cellStyle name="Accent6 96" xfId="40433" xr:uid="{CA9F6526-1B72-4EF7-AEB3-00AD01E7C29E}"/>
    <cellStyle name="Accent6 97" xfId="40434" xr:uid="{0ABF2B39-7284-4413-AB2A-DFB6E8A93FC5}"/>
    <cellStyle name="Accent6 98" xfId="40435" xr:uid="{CBFD2583-EA95-4FD3-807B-1991EF668564}"/>
    <cellStyle name="Accent6 99" xfId="40436" xr:uid="{B1B44CC7-EFEC-4C4A-B9AF-31FDE5C6E35F}"/>
    <cellStyle name="Bad 10" xfId="4937" xr:uid="{A4BED1AA-1D7D-4E35-BF4A-D1EC851C59D3}"/>
    <cellStyle name="Bad 10 2" xfId="4938" xr:uid="{60396F9E-B0E2-4DD6-8A3B-4755C80DAA09}"/>
    <cellStyle name="Bad 10 3" xfId="4939" xr:uid="{6F8C8176-FFDB-45C9-92A4-1BDDA9A02F6E}"/>
    <cellStyle name="Bad 11" xfId="4940" xr:uid="{2FC77ACF-4069-4C6A-9B36-DBA1FFBE8A0F}"/>
    <cellStyle name="Bad 11 2" xfId="4941" xr:uid="{243143EF-75BE-4526-9DBD-00B8381F729B}"/>
    <cellStyle name="Bad 11 3" xfId="4942" xr:uid="{B2A6D90C-A347-4EBE-849D-D2DF9E174753}"/>
    <cellStyle name="Bad 12" xfId="4943" xr:uid="{5162469F-1296-4331-AFF2-2AD5F734CF86}"/>
    <cellStyle name="Bad 12 2" xfId="4944" xr:uid="{7F06853F-4A74-4FD4-A165-99573A04BFD6}"/>
    <cellStyle name="Bad 13" xfId="4945" xr:uid="{9E178CCA-969C-4B2B-841E-56C3B965AE06}"/>
    <cellStyle name="Bad 13 2" xfId="4946" xr:uid="{60983EDC-59F0-43F4-A78A-A5DB9E313A33}"/>
    <cellStyle name="Bad 14" xfId="4947" xr:uid="{7818678B-A6A1-44A1-94B2-B7FB2E2C802A}"/>
    <cellStyle name="Bad 14 2" xfId="4948" xr:uid="{6EA4A9E7-B71D-4E7E-B0F0-E20A5217799B}"/>
    <cellStyle name="Bad 15" xfId="4949" xr:uid="{B67271DD-1EB3-464B-8CC1-393C9E255ABC}"/>
    <cellStyle name="Bad 15 2" xfId="4950" xr:uid="{2319EB72-0FA8-4B6A-B2EA-25D101F8EE77}"/>
    <cellStyle name="Bad 16" xfId="4951" xr:uid="{4D2C5A55-B17E-45CB-86FC-98BF1A65D00A}"/>
    <cellStyle name="Bad 16 2" xfId="4952" xr:uid="{1B678207-4498-4586-9EFC-47322F0BE668}"/>
    <cellStyle name="Bad 17" xfId="4953" xr:uid="{99993C0F-4232-485A-B412-B534237869C0}"/>
    <cellStyle name="Bad 17 2" xfId="4954" xr:uid="{511C425C-A484-46DD-9BD3-DD4B21CECDAB}"/>
    <cellStyle name="Bad 18" xfId="4955" xr:uid="{CFC68C00-D92B-4E9C-ABF0-2ECFC276BBFC}"/>
    <cellStyle name="Bad 18 2" xfId="4956" xr:uid="{E374776F-16EB-45FF-9E92-886B26C732A1}"/>
    <cellStyle name="Bad 19" xfId="4957" xr:uid="{EDD1A102-A0A2-4E81-A747-4C485D57A469}"/>
    <cellStyle name="Bad 19 2" xfId="4958" xr:uid="{F120AF75-BE3D-419E-941D-593B9DC16C3C}"/>
    <cellStyle name="Bad 2" xfId="4959" xr:uid="{891B0A77-9757-47A0-B809-E810C6886DBA}"/>
    <cellStyle name="Bad 2 2" xfId="4960" xr:uid="{55616E20-2E44-487C-87A4-03E522296ACD}"/>
    <cellStyle name="Bad 2 3" xfId="4961" xr:uid="{1C7A0622-1DAC-4F93-9AB5-BDB828987DF2}"/>
    <cellStyle name="Bad 2 3 2" xfId="4962" xr:uid="{715CA065-4102-4158-8289-7B8CA66427C7}"/>
    <cellStyle name="Bad 2 3 3" xfId="4963" xr:uid="{22D3EBA5-7631-4F45-AD44-378AC9E53CD2}"/>
    <cellStyle name="Bad 2 4" xfId="40437" xr:uid="{1A2C22A0-13A5-4052-B587-EE230327BCAF}"/>
    <cellStyle name="Bad 2_PwrTax 51040" xfId="4964" xr:uid="{76D320DB-4F2C-42E1-8AD9-02426D8D11BE}"/>
    <cellStyle name="Bad 20" xfId="4965" xr:uid="{40227209-6138-4B48-9941-23479F743644}"/>
    <cellStyle name="Bad 21" xfId="4966" xr:uid="{10635A77-7734-4965-9B79-E2616590589F}"/>
    <cellStyle name="Bad 22" xfId="4967" xr:uid="{AD8A3F42-AAB0-40D4-88DE-23D3E090D03D}"/>
    <cellStyle name="Bad 23" xfId="4968" xr:uid="{9725E1D2-ADD4-4302-888B-9BB3BADE4A76}"/>
    <cellStyle name="Bad 24" xfId="4969" xr:uid="{7EEC81B6-9996-46B7-AE1B-8509E678151D}"/>
    <cellStyle name="Bad 25" xfId="4970" xr:uid="{13101ECF-0162-4237-A8A7-97813A49B4D6}"/>
    <cellStyle name="Bad 26" xfId="4971" xr:uid="{AD104DBD-FCF4-4E54-ACD8-35D2803E0653}"/>
    <cellStyle name="Bad 27" xfId="4972" xr:uid="{19B7A901-039E-4AE8-9445-0F40A5AE6802}"/>
    <cellStyle name="Bad 28" xfId="4973" xr:uid="{854867D1-0E42-4EF9-89B2-250127EB3A03}"/>
    <cellStyle name="Bad 29" xfId="4974" xr:uid="{1EEB9932-7DFD-42DC-95C2-FDAF9C48D438}"/>
    <cellStyle name="Bad 3" xfId="4975" xr:uid="{0CC9B825-4D2C-4E82-A702-C16A2BC45203}"/>
    <cellStyle name="Bad 3 2" xfId="4976" xr:uid="{18BADD14-B146-4715-B3C2-D1624D4ECC60}"/>
    <cellStyle name="Bad 3 3" xfId="4977" xr:uid="{92AF160F-79F9-4FD2-B786-F497237B9819}"/>
    <cellStyle name="Bad 3 3 2" xfId="4978" xr:uid="{CBD01716-1A92-4618-AD58-F96882F4451A}"/>
    <cellStyle name="Bad 3 3 3" xfId="4979" xr:uid="{C4F1F02B-E9F1-4A70-8947-E97A4D3A6811}"/>
    <cellStyle name="Bad 3 4" xfId="40438" xr:uid="{B90CFE3E-9762-40D2-A925-7B8588A54258}"/>
    <cellStyle name="Bad 30" xfId="4980" xr:uid="{B6BBE25D-8726-44F7-AA54-0EF21182AFA8}"/>
    <cellStyle name="Bad 31" xfId="4981" xr:uid="{DC8DA948-A6FA-45F6-8581-0F35BB9376A8}"/>
    <cellStyle name="Bad 32" xfId="4982" xr:uid="{298260C7-DBFF-41F7-8DAC-D1241DF357A5}"/>
    <cellStyle name="Bad 33" xfId="4983" xr:uid="{A077742E-5ACB-40A8-B7C3-7A695B6B2E22}"/>
    <cellStyle name="Bad 34" xfId="4984" xr:uid="{51C345D3-AB11-42E7-9A05-3C12369C4A42}"/>
    <cellStyle name="Bad 35" xfId="4985" xr:uid="{D4409DBE-F4BA-4356-9BC2-D316A8A2EF94}"/>
    <cellStyle name="Bad 36" xfId="4986" xr:uid="{19B501BF-88E8-4D10-B129-676B7D5A5170}"/>
    <cellStyle name="Bad 37" xfId="40439" xr:uid="{A4A2D28B-07ED-452F-849F-9B061D89E1C9}"/>
    <cellStyle name="Bad 38" xfId="186" xr:uid="{728BB7B4-14E4-42E5-AA55-D2E976D5EFBC}"/>
    <cellStyle name="Bad 4" xfId="4987" xr:uid="{CC6D6918-AB0D-414F-B651-91F2C2FAFB90}"/>
    <cellStyle name="Bad 4 2" xfId="4988" xr:uid="{A1684A20-0763-46F7-A5D2-76DC84D07303}"/>
    <cellStyle name="Bad 4 3" xfId="4989" xr:uid="{C9A8CB15-4398-44DE-9EDF-B220F9F7171F}"/>
    <cellStyle name="Bad 5" xfId="4990" xr:uid="{98E0E08A-099F-4A67-A4D0-4AE35B47B70F}"/>
    <cellStyle name="Bad 5 2" xfId="4991" xr:uid="{D158C0B4-6097-4DFA-8149-02F613393D82}"/>
    <cellStyle name="Bad 5 3" xfId="4992" xr:uid="{A6FE428B-A6F5-45E4-992F-66EC484F81AE}"/>
    <cellStyle name="Bad 6" xfId="4993" xr:uid="{5E574EF4-9C37-48BE-82FC-731515F3D9D9}"/>
    <cellStyle name="Bad 6 2" xfId="4994" xr:uid="{CDAE9743-F5A0-4F46-9AF5-27EB4657B68B}"/>
    <cellStyle name="Bad 6 3" xfId="4995" xr:uid="{2DE25E3D-D78F-47B6-91D8-ED0819E97F39}"/>
    <cellStyle name="Bad 7" xfId="4996" xr:uid="{A1F289A0-0952-4B24-A4C8-E05B2BFF3DB0}"/>
    <cellStyle name="Bad 7 2" xfId="4997" xr:uid="{00CB19D5-1BB7-4114-B3BC-605F7A6375DD}"/>
    <cellStyle name="Bad 7 3" xfId="4998" xr:uid="{89B14CD7-A820-4F01-B7B3-F3975F2E6DB1}"/>
    <cellStyle name="Bad 8" xfId="4999" xr:uid="{C03689DB-8DBC-4442-B675-1E3B472DBE1B}"/>
    <cellStyle name="Bad 8 2" xfId="5000" xr:uid="{A01B2045-E38F-4FFA-860D-C7C711DBAEE6}"/>
    <cellStyle name="Bad 8 3" xfId="5001" xr:uid="{F0548BCB-30F5-4DB9-BB6C-2E43B161768A}"/>
    <cellStyle name="Bad 9" xfId="5002" xr:uid="{B097FB23-15C9-4F5C-AF78-9680B65886F0}"/>
    <cellStyle name="Bad 9 2" xfId="5003" xr:uid="{513104AF-046F-4322-B56C-474B9698CE4A}"/>
    <cellStyle name="Bad 9 3" xfId="5004" xr:uid="{4A85EF18-41C1-4619-9CAE-DAB1AFAE1605}"/>
    <cellStyle name="Brand Align Left Text" xfId="40440" xr:uid="{E01C74CD-7423-43EE-9101-DD3BE2321CCD}"/>
    <cellStyle name="Brand Default" xfId="40441" xr:uid="{6E41FDA3-BA28-433E-8E56-478F310C63F8}"/>
    <cellStyle name="Brand Percent" xfId="40442" xr:uid="{827703AA-2EB5-44F0-90FD-890A99CD499E}"/>
    <cellStyle name="Brand Source" xfId="40443" xr:uid="{8C09AFDB-38C2-4045-842E-B0CCFB055C95}"/>
    <cellStyle name="Brand Subtitle with Underline" xfId="40444" xr:uid="{FFEB0794-2D82-444F-A9FE-2EC1C7878AC1}"/>
    <cellStyle name="Brand Subtitle with Underline 2" xfId="40445" xr:uid="{FE8C077B-DE45-47FF-B68D-BFF7BA6A67FD}"/>
    <cellStyle name="Brand Subtitle with Underline 3" xfId="40446" xr:uid="{4C5DEE60-EA3E-48E6-925B-1A351FF883C1}"/>
    <cellStyle name="Brand Subtitle with Underline 4" xfId="40447" xr:uid="{06A37AF9-B1D7-481D-B47B-C63FA12A8FBF}"/>
    <cellStyle name="Brand Subtitle without Underline" xfId="40448" xr:uid="{2F864830-8DA5-46F2-90E3-A7BA2413572C}"/>
    <cellStyle name="Brand Title" xfId="40449" xr:uid="{B1C6EADE-AA0F-43A4-9CE9-33F3E95B0F27}"/>
    <cellStyle name="Calculation 10" xfId="5005" xr:uid="{527227FE-F7F6-4911-A750-D2C0187AC440}"/>
    <cellStyle name="Calculation 10 2" xfId="5006" xr:uid="{DFA319AC-EB17-43E2-B513-5BCFDD3DA6CC}"/>
    <cellStyle name="Calculation 10 2 2" xfId="5007" xr:uid="{EDEC8F2C-5C30-4F97-B898-7F2C16E6829F}"/>
    <cellStyle name="Calculation 10 2 2 2" xfId="5008" xr:uid="{C17DD5D1-EF26-49C0-B478-8A60D9D79166}"/>
    <cellStyle name="Calculation 10 2 2 3" xfId="5009" xr:uid="{332C0F31-1377-40A3-BBB9-5A63610F44F8}"/>
    <cellStyle name="Calculation 10 2 3" xfId="5010" xr:uid="{963034D6-9CB6-4B7A-9411-D628691C2D89}"/>
    <cellStyle name="Calculation 10 2 3 2" xfId="5011" xr:uid="{2215AD3B-213B-43CE-9288-5823EFB08C32}"/>
    <cellStyle name="Calculation 10 2 3 3" xfId="5012" xr:uid="{A4C57A81-1547-4012-A146-9A5F8DEAA588}"/>
    <cellStyle name="Calculation 10 2 4" xfId="5013" xr:uid="{B4F6EBDF-C490-4D20-995A-93D9F10B0457}"/>
    <cellStyle name="Calculation 10 2 5" xfId="5014" xr:uid="{61FC1778-8C66-4D7D-A216-FEB966C5822D}"/>
    <cellStyle name="Calculation 10 2 6" xfId="5015" xr:uid="{BF5E9B0F-10F8-4F49-B5F0-3301ACD01660}"/>
    <cellStyle name="Calculation 10 2 7" xfId="5016" xr:uid="{B40EAAF6-18CD-41CD-BAC8-6BAF86B56D99}"/>
    <cellStyle name="Calculation 10 3" xfId="5017" xr:uid="{ACED2196-F22A-4654-AD2C-59B0D7A84BE1}"/>
    <cellStyle name="Calculation 10 3 2" xfId="5018" xr:uid="{E38BC6E4-C18C-4440-B730-C2CF07A8EC2C}"/>
    <cellStyle name="Calculation 10 3 2 2" xfId="5019" xr:uid="{96A5D71F-029D-48E8-BA13-EAEA3C4B29A5}"/>
    <cellStyle name="Calculation 10 3 2 3" xfId="5020" xr:uid="{3C86EA18-F052-4142-B68D-0F4049FD49D2}"/>
    <cellStyle name="Calculation 10 3 3" xfId="5021" xr:uid="{DB7A87D2-331B-41BE-B5FE-D17127CA737D}"/>
    <cellStyle name="Calculation 10 3 4" xfId="5022" xr:uid="{38D56445-75D1-4990-9D0F-B472D0C46220}"/>
    <cellStyle name="Calculation 10 4" xfId="5023" xr:uid="{0D3CA031-B894-4714-9C0A-635A68A350A4}"/>
    <cellStyle name="Calculation 10 4 2" xfId="5024" xr:uid="{BB9F4F32-39A7-4C93-8348-09022EE81810}"/>
    <cellStyle name="Calculation 10 4 3" xfId="5025" xr:uid="{81111811-19BC-45C1-AD5D-1227A849C37B}"/>
    <cellStyle name="Calculation 10 5" xfId="5026" xr:uid="{67035C9F-D59F-40B2-ADE3-304BADAB2241}"/>
    <cellStyle name="Calculation 10 6" xfId="5027" xr:uid="{9592A805-7FC1-4B4F-856A-80E8CA4CF7D0}"/>
    <cellStyle name="Calculation 10 7" xfId="5028" xr:uid="{F3587899-2AF0-4833-A423-4988404129AA}"/>
    <cellStyle name="Calculation 10 8" xfId="5029" xr:uid="{FA767351-0050-4EC6-B697-0EECB4A71134}"/>
    <cellStyle name="Calculation 11" xfId="5030" xr:uid="{92EF8D6A-9822-4AA9-8030-CAF15F501DF5}"/>
    <cellStyle name="Calculation 11 2" xfId="5031" xr:uid="{FAFD280D-7E9E-4C74-87A0-792A1D21ED57}"/>
    <cellStyle name="Calculation 11 2 2" xfId="5032" xr:uid="{1562820B-1A48-446D-B99F-6CC54797E57D}"/>
    <cellStyle name="Calculation 11 2 2 2" xfId="5033" xr:uid="{993EE2EC-99B4-4016-BDB1-E554494A2B1C}"/>
    <cellStyle name="Calculation 11 2 2 3" xfId="5034" xr:uid="{A3BFDEBF-8B28-4E7D-B223-73A00089B5E7}"/>
    <cellStyle name="Calculation 11 2 3" xfId="5035" xr:uid="{44CA937C-BB17-4470-9822-0DD536BAA280}"/>
    <cellStyle name="Calculation 11 2 3 2" xfId="5036" xr:uid="{23BABB5D-6B56-4894-9294-8FE38168769C}"/>
    <cellStyle name="Calculation 11 2 3 3" xfId="5037" xr:uid="{DC588BB6-F75E-4565-9E0E-5934D561BE35}"/>
    <cellStyle name="Calculation 11 2 4" xfId="5038" xr:uid="{8B156D90-AB54-492C-A570-C129B841A684}"/>
    <cellStyle name="Calculation 11 2 5" xfId="5039" xr:uid="{1EEA1041-EFD8-42D5-8712-1BB6F6022EFC}"/>
    <cellStyle name="Calculation 11 2 6" xfId="5040" xr:uid="{F871527B-1516-456C-B5EC-59AC2DE5F75E}"/>
    <cellStyle name="Calculation 11 2 7" xfId="5041" xr:uid="{3659430A-BB38-4998-81B4-BB8044C1AC4B}"/>
    <cellStyle name="Calculation 11 3" xfId="5042" xr:uid="{3FD8183A-EC68-4C2D-9453-29D105805523}"/>
    <cellStyle name="Calculation 11 3 2" xfId="5043" xr:uid="{F7F96C1A-0C35-4D5F-8C44-6485570DD1F3}"/>
    <cellStyle name="Calculation 11 3 2 2" xfId="5044" xr:uid="{0F773E66-7A6B-4303-B80E-855F3DBD4C9C}"/>
    <cellStyle name="Calculation 11 3 2 3" xfId="5045" xr:uid="{ACB4DCAB-6AD2-4091-8CAC-751F17DEE8A6}"/>
    <cellStyle name="Calculation 11 3 3" xfId="5046" xr:uid="{963B432E-56D5-4556-A80D-24D50A43CE5A}"/>
    <cellStyle name="Calculation 11 3 4" xfId="5047" xr:uid="{D45401D0-5704-4736-96DA-97D10FE42FB6}"/>
    <cellStyle name="Calculation 11 4" xfId="5048" xr:uid="{6D45D5A1-DD5B-491A-8608-6C00923F2FB5}"/>
    <cellStyle name="Calculation 11 4 2" xfId="5049" xr:uid="{654AD26C-9DA1-4399-9526-F12D23DF0787}"/>
    <cellStyle name="Calculation 11 4 3" xfId="5050" xr:uid="{A2BB83B9-0D48-4847-873B-0C74CAA1A0AD}"/>
    <cellStyle name="Calculation 11 5" xfId="5051" xr:uid="{04284B2E-2FB6-44B7-907A-F8B74DA18336}"/>
    <cellStyle name="Calculation 11 6" xfId="5052" xr:uid="{DE4CA559-EC14-4174-9DB6-D05ABB3F79AE}"/>
    <cellStyle name="Calculation 11 7" xfId="5053" xr:uid="{795AFACB-CC41-472E-A2CE-885B9DC4084A}"/>
    <cellStyle name="Calculation 11 8" xfId="5054" xr:uid="{81C662CA-55B2-4D41-80A1-435D32178307}"/>
    <cellStyle name="Calculation 12" xfId="5055" xr:uid="{1FF31856-789C-412A-B22F-5A9CAF89D9C8}"/>
    <cellStyle name="Calculation 12 2" xfId="5056" xr:uid="{0F7E6167-FD0F-457E-9772-568CBFF62E6C}"/>
    <cellStyle name="Calculation 12 2 2" xfId="5057" xr:uid="{64FEFA1D-5C6C-40F0-A59F-89E98D907003}"/>
    <cellStyle name="Calculation 12 2 2 2" xfId="5058" xr:uid="{BC03687C-D3FD-439B-B557-77F8735DA646}"/>
    <cellStyle name="Calculation 12 2 2 3" xfId="5059" xr:uid="{39D00CD7-59F9-47D0-AE61-15E954CD2064}"/>
    <cellStyle name="Calculation 12 2 3" xfId="5060" xr:uid="{BF0BA1F4-E297-472D-9D5D-7D4451099FF7}"/>
    <cellStyle name="Calculation 12 2 3 2" xfId="5061" xr:uid="{E338945F-2938-4A89-A466-987C671610CD}"/>
    <cellStyle name="Calculation 12 2 3 3" xfId="5062" xr:uid="{D930F779-84F4-4C96-90CF-46961AB758CB}"/>
    <cellStyle name="Calculation 12 2 4" xfId="5063" xr:uid="{68C685C9-F431-4452-984A-ADF0B2444B22}"/>
    <cellStyle name="Calculation 12 2 5" xfId="5064" xr:uid="{BC46F992-DACF-40B8-A5CE-8FD23B540323}"/>
    <cellStyle name="Calculation 12 2 6" xfId="5065" xr:uid="{FFA0DC09-0BF0-458F-ABD8-30E1E5A00BBA}"/>
    <cellStyle name="Calculation 12 2 7" xfId="5066" xr:uid="{A567AC79-DA0D-4342-BB12-AD85956E7A8E}"/>
    <cellStyle name="Calculation 12 3" xfId="5067" xr:uid="{414F3C0A-F2C5-464D-8C84-EE84BD1668A4}"/>
    <cellStyle name="Calculation 12 3 2" xfId="5068" xr:uid="{E458F20A-C43F-4E0E-8F2C-C607EF175928}"/>
    <cellStyle name="Calculation 12 3 3" xfId="5069" xr:uid="{59DEE82F-2ACA-4E9F-AAF6-0BEBA582524E}"/>
    <cellStyle name="Calculation 12 4" xfId="5070" xr:uid="{7B5D262D-DFBE-4E23-8E06-655B5B97F302}"/>
    <cellStyle name="Calculation 12 4 2" xfId="5071" xr:uid="{C8649E82-CDC4-46AA-BC52-57A6E1E50C68}"/>
    <cellStyle name="Calculation 12 4 3" xfId="5072" xr:uid="{4D514A1D-DE33-4CFB-A0C3-DBCD1129A292}"/>
    <cellStyle name="Calculation 12 5" xfId="5073" xr:uid="{B48E5D87-966D-42AF-BEC6-D9F369773465}"/>
    <cellStyle name="Calculation 12 6" xfId="5074" xr:uid="{69BDB61A-E6F3-4DC7-BD60-4199709F6EC0}"/>
    <cellStyle name="Calculation 12 7" xfId="5075" xr:uid="{B74F87DC-FCE0-4803-8EB7-F926187430D3}"/>
    <cellStyle name="Calculation 12 8" xfId="5076" xr:uid="{B93C9858-D80C-44D4-BF5E-4E150CFF8CE5}"/>
    <cellStyle name="Calculation 13" xfId="5077" xr:uid="{B6EB9E17-F78C-4808-94B6-78B8987EED33}"/>
    <cellStyle name="Calculation 13 2" xfId="5078" xr:uid="{6A83AF6B-0DD2-40E0-BCC4-5137D7A650FD}"/>
    <cellStyle name="Calculation 13 2 2" xfId="5079" xr:uid="{DE89CAC7-3797-4570-A841-3D31AF98D3F1}"/>
    <cellStyle name="Calculation 13 2 2 2" xfId="5080" xr:uid="{88DD9CB9-AD57-4C2C-9A79-B4A011D40394}"/>
    <cellStyle name="Calculation 13 2 2 3" xfId="5081" xr:uid="{CBED3D30-E57E-4A4C-93AD-8DDC7FE33ADD}"/>
    <cellStyle name="Calculation 13 2 3" xfId="5082" xr:uid="{7E0FE093-6105-4A1E-BF77-202236D8E3B3}"/>
    <cellStyle name="Calculation 13 2 3 2" xfId="5083" xr:uid="{82B47CE9-C302-4178-915C-23ED02450214}"/>
    <cellStyle name="Calculation 13 2 3 3" xfId="5084" xr:uid="{CD079C32-099F-4A0C-B433-E2BD176B98A3}"/>
    <cellStyle name="Calculation 13 2 4" xfId="5085" xr:uid="{09EE2240-C029-4767-ABB8-D0B6FED6AFB0}"/>
    <cellStyle name="Calculation 13 2 5" xfId="5086" xr:uid="{5B0D261A-09F2-4ACF-B841-C49F13A12FCC}"/>
    <cellStyle name="Calculation 13 2 6" xfId="5087" xr:uid="{4F38B73E-3C4F-439A-AF07-B186DBA71260}"/>
    <cellStyle name="Calculation 13 2 7" xfId="5088" xr:uid="{F4F49C85-4B48-469D-A699-CE52D5BB5FD5}"/>
    <cellStyle name="Calculation 13 3" xfId="5089" xr:uid="{196D0D71-7CA9-4BFD-B3AF-D4279ADD1298}"/>
    <cellStyle name="Calculation 13 3 2" xfId="5090" xr:uid="{160B8EF1-626E-4759-B322-F2AD61946ABD}"/>
    <cellStyle name="Calculation 13 3 3" xfId="5091" xr:uid="{DC81C4B8-1D5D-4DD9-9976-5ABC072B335A}"/>
    <cellStyle name="Calculation 13 4" xfId="5092" xr:uid="{3C07ACAB-A331-459B-AE3E-2E8D371B69AE}"/>
    <cellStyle name="Calculation 13 4 2" xfId="5093" xr:uid="{9413B373-42C3-47F6-991D-5EA506CD93F2}"/>
    <cellStyle name="Calculation 13 4 3" xfId="5094" xr:uid="{2EE1564F-020C-4AAE-90A1-FD7C8B2C0486}"/>
    <cellStyle name="Calculation 13 5" xfId="5095" xr:uid="{F2493020-AB1B-4448-85A4-D3B8CE351C5E}"/>
    <cellStyle name="Calculation 13 6" xfId="5096" xr:uid="{0FE242A4-07E1-483B-8308-7859C4D98054}"/>
    <cellStyle name="Calculation 13 7" xfId="5097" xr:uid="{EEBADD29-5DB0-456D-B8F6-692285D1DA22}"/>
    <cellStyle name="Calculation 13 8" xfId="5098" xr:uid="{E889AC54-93AB-470E-9F33-A10BD2CF9EF5}"/>
    <cellStyle name="Calculation 14" xfId="5099" xr:uid="{0E7F50E8-8510-46C8-9D9A-895286D9C3B8}"/>
    <cellStyle name="Calculation 14 2" xfId="5100" xr:uid="{580CF452-4BC9-403E-90CE-471720A9FB3A}"/>
    <cellStyle name="Calculation 14 2 2" xfId="5101" xr:uid="{54AE1D30-D338-4730-B8EE-AF0117402B76}"/>
    <cellStyle name="Calculation 14 2 2 2" xfId="5102" xr:uid="{8C3B4BAF-45C7-42A8-99E1-C41631DB11BF}"/>
    <cellStyle name="Calculation 14 2 2 3" xfId="5103" xr:uid="{EFBDEB5F-9585-461D-AE00-4E3A21E8AE26}"/>
    <cellStyle name="Calculation 14 2 3" xfId="5104" xr:uid="{6007A76C-E882-4A6D-B511-34D4F0D18FCE}"/>
    <cellStyle name="Calculation 14 2 3 2" xfId="5105" xr:uid="{3740951C-4513-4D5C-99B2-08517D3EE652}"/>
    <cellStyle name="Calculation 14 2 3 3" xfId="5106" xr:uid="{9882E355-1A4B-4CF7-9530-41CB2F7B7F3F}"/>
    <cellStyle name="Calculation 14 2 4" xfId="5107" xr:uid="{B81E18E3-3C09-48BC-8F0D-06BEA745E1C0}"/>
    <cellStyle name="Calculation 14 2 5" xfId="5108" xr:uid="{A69ADD5F-DB6F-4A33-90E2-E643228F5DB6}"/>
    <cellStyle name="Calculation 14 2 6" xfId="5109" xr:uid="{C9E2FBBF-AC55-412E-AD60-7A4A6319EABF}"/>
    <cellStyle name="Calculation 14 2 7" xfId="5110" xr:uid="{B78D2139-1FBB-4799-A35C-BCDFFCBA0E26}"/>
    <cellStyle name="Calculation 14 3" xfId="5111" xr:uid="{1458DCE0-B464-4BCC-B944-039D7CA6D823}"/>
    <cellStyle name="Calculation 14 3 2" xfId="5112" xr:uid="{8F71C676-19BA-4B9C-B1D2-1642357C10F2}"/>
    <cellStyle name="Calculation 14 3 3" xfId="5113" xr:uid="{2D4F35D5-3F71-4681-AACA-B22C6A05AA2C}"/>
    <cellStyle name="Calculation 14 4" xfId="5114" xr:uid="{8158D7C2-8ED6-4138-8E7C-3D8BBE357EEE}"/>
    <cellStyle name="Calculation 14 4 2" xfId="5115" xr:uid="{DD0EB7C0-8A45-4732-9A26-07A29DD1725C}"/>
    <cellStyle name="Calculation 14 4 3" xfId="5116" xr:uid="{E2C7538B-11DA-48CC-B233-88AED9AC51BC}"/>
    <cellStyle name="Calculation 14 5" xfId="5117" xr:uid="{ECD69060-3E18-46B3-A5CC-58C0C82FD4CC}"/>
    <cellStyle name="Calculation 14 6" xfId="5118" xr:uid="{53892D4F-957A-437F-B5E6-490A0140517D}"/>
    <cellStyle name="Calculation 14 7" xfId="5119" xr:uid="{9CFD3B54-81DF-4D2E-B99B-A2F846F8D4B3}"/>
    <cellStyle name="Calculation 14 8" xfId="5120" xr:uid="{77149AF8-D821-4C5D-AA46-A1D91EE45635}"/>
    <cellStyle name="Calculation 15" xfId="5121" xr:uid="{BB735A48-8059-4C14-8483-7635DB7D0A73}"/>
    <cellStyle name="Calculation 15 2" xfId="5122" xr:uid="{4FA63231-828E-4C4D-957A-9832F3C65217}"/>
    <cellStyle name="Calculation 15 2 2" xfId="5123" xr:uid="{390A4271-3214-4906-B5A0-503F11D6F959}"/>
    <cellStyle name="Calculation 15 2 2 2" xfId="5124" xr:uid="{54A751C8-A78B-4065-921E-2A6A9E066DE2}"/>
    <cellStyle name="Calculation 15 2 2 3" xfId="5125" xr:uid="{83342550-0FA5-4F2C-9E25-C47AAF507151}"/>
    <cellStyle name="Calculation 15 2 3" xfId="5126" xr:uid="{089E6264-986B-44C2-B556-411AB352EDA0}"/>
    <cellStyle name="Calculation 15 2 3 2" xfId="5127" xr:uid="{7DA70214-B28E-4969-849F-335D311EA89B}"/>
    <cellStyle name="Calculation 15 2 3 3" xfId="5128" xr:uid="{16763E76-D5C1-44E4-A511-5E56226101FC}"/>
    <cellStyle name="Calculation 15 2 4" xfId="5129" xr:uid="{4FBF2BB1-DE22-4A27-A0F0-5E85D3C15372}"/>
    <cellStyle name="Calculation 15 2 5" xfId="5130" xr:uid="{64881B18-5DCE-45C8-ADF1-543D1C5A4FE5}"/>
    <cellStyle name="Calculation 15 2 6" xfId="5131" xr:uid="{CB38869D-142B-4EDF-9D62-AA6D168CFFD6}"/>
    <cellStyle name="Calculation 15 2 7" xfId="5132" xr:uid="{6667C680-8EA6-4259-9DAB-2D19336965A6}"/>
    <cellStyle name="Calculation 15 3" xfId="5133" xr:uid="{F146F19D-65D8-4F35-8E6C-C33AC8BC9C05}"/>
    <cellStyle name="Calculation 15 3 2" xfId="5134" xr:uid="{4015153D-030D-4E65-9860-E8CAC5BC7C35}"/>
    <cellStyle name="Calculation 15 3 3" xfId="5135" xr:uid="{C3F730BF-424B-4305-B189-9E09843CB32F}"/>
    <cellStyle name="Calculation 15 4" xfId="5136" xr:uid="{42379E57-9EF3-4455-8208-34F47FD84499}"/>
    <cellStyle name="Calculation 15 4 2" xfId="5137" xr:uid="{F089D1B4-8337-4DF0-86C1-A1B2312FA600}"/>
    <cellStyle name="Calculation 15 4 3" xfId="5138" xr:uid="{4342728D-9AB3-49D9-90B7-E3036BE0C177}"/>
    <cellStyle name="Calculation 15 5" xfId="5139" xr:uid="{6A7BE650-D096-4676-AEC0-1B2462D65856}"/>
    <cellStyle name="Calculation 15 6" xfId="5140" xr:uid="{6F51F9B2-6D1E-4531-BC72-DDBACA7C8200}"/>
    <cellStyle name="Calculation 15 7" xfId="5141" xr:uid="{6B2814DB-60D1-4DB9-9FF7-A7AE74DDD295}"/>
    <cellStyle name="Calculation 15 8" xfId="5142" xr:uid="{D44E1778-CF61-4B6F-BFF9-6FDFB308BE35}"/>
    <cellStyle name="Calculation 16" xfId="5143" xr:uid="{CF6404BE-F11A-4932-88A1-B179082AEAD0}"/>
    <cellStyle name="Calculation 16 2" xfId="5144" xr:uid="{E04A74A4-AE6C-47DD-9D47-3D770AE21ECC}"/>
    <cellStyle name="Calculation 16 2 2" xfId="5145" xr:uid="{D849F01C-66F7-41F8-94A4-1281151DC7BF}"/>
    <cellStyle name="Calculation 16 2 2 2" xfId="5146" xr:uid="{56622E64-FC8A-430A-B7B1-CA6AA67D37E7}"/>
    <cellStyle name="Calculation 16 2 2 3" xfId="5147" xr:uid="{765E255D-AF5C-4E7B-9738-21BA60172697}"/>
    <cellStyle name="Calculation 16 2 3" xfId="5148" xr:uid="{D301E041-716E-4E43-B204-BEA01A05493F}"/>
    <cellStyle name="Calculation 16 2 3 2" xfId="5149" xr:uid="{650C05CF-6A89-489C-A031-E14F0ED4B770}"/>
    <cellStyle name="Calculation 16 2 3 3" xfId="5150" xr:uid="{D76D1DCB-2CAF-4ECD-976F-BE8BDB4CB87C}"/>
    <cellStyle name="Calculation 16 2 4" xfId="5151" xr:uid="{F42B86BC-F156-4EB6-AA38-B5526881AB4A}"/>
    <cellStyle name="Calculation 16 2 5" xfId="5152" xr:uid="{54928C80-D44B-4DE7-AA7C-36F80D638512}"/>
    <cellStyle name="Calculation 16 2 6" xfId="5153" xr:uid="{1EBD4507-0A78-4519-BDAF-1BD735C08C19}"/>
    <cellStyle name="Calculation 16 2 7" xfId="5154" xr:uid="{C4D2F093-CAD5-49D9-A5CB-BACCB713F7AD}"/>
    <cellStyle name="Calculation 16 3" xfId="5155" xr:uid="{CFD05D43-CDD2-4F13-A0BD-B7A4621D8ADC}"/>
    <cellStyle name="Calculation 16 3 2" xfId="5156" xr:uid="{485DB787-3CA6-4412-BFB3-F5E85870C2B0}"/>
    <cellStyle name="Calculation 16 3 3" xfId="5157" xr:uid="{00555358-E8C2-4576-9E49-2A056203393A}"/>
    <cellStyle name="Calculation 16 4" xfId="5158" xr:uid="{3EF0D0BB-5950-4E9F-B8AA-AAB202A3C957}"/>
    <cellStyle name="Calculation 16 4 2" xfId="5159" xr:uid="{8F979B62-E082-405F-A3C0-E2F5D11BCF38}"/>
    <cellStyle name="Calculation 16 4 3" xfId="5160" xr:uid="{87BDCA9C-3C8F-4E6F-9223-D3CC37922538}"/>
    <cellStyle name="Calculation 16 5" xfId="5161" xr:uid="{68A7ACE7-6A68-4798-9B20-91827AB80CD6}"/>
    <cellStyle name="Calculation 16 6" xfId="5162" xr:uid="{2A03A1DE-BF49-45F3-8953-69F3A14ABA7E}"/>
    <cellStyle name="Calculation 16 7" xfId="5163" xr:uid="{2A48FB5A-180F-46BB-AAE6-972DC2534080}"/>
    <cellStyle name="Calculation 16 8" xfId="5164" xr:uid="{0A1042C6-ABAD-4A6F-A471-5C9CB4EDF064}"/>
    <cellStyle name="Calculation 17" xfId="5165" xr:uid="{95EDC894-5CC7-4EAE-BCFB-62CA420D67F6}"/>
    <cellStyle name="Calculation 17 2" xfId="5166" xr:uid="{D5ACB6E1-13D9-4422-AB75-E0B777EC1EAA}"/>
    <cellStyle name="Calculation 17 2 2" xfId="5167" xr:uid="{BCB58394-F186-463E-AFB1-14C5C9F8B36F}"/>
    <cellStyle name="Calculation 17 2 2 2" xfId="5168" xr:uid="{C6DED6C6-259D-43C8-B427-7D68145E564F}"/>
    <cellStyle name="Calculation 17 2 2 3" xfId="5169" xr:uid="{A59157E7-C230-48F3-85E5-0D02EA9A6EAE}"/>
    <cellStyle name="Calculation 17 2 3" xfId="5170" xr:uid="{604DBC11-6ECB-4E80-8E18-87CA632DF98C}"/>
    <cellStyle name="Calculation 17 2 3 2" xfId="5171" xr:uid="{232C08E8-58BB-40EC-B1E2-B6B55823D4FE}"/>
    <cellStyle name="Calculation 17 2 3 3" xfId="5172" xr:uid="{7C47B3C5-D47C-4A04-8A79-CA26192E99BB}"/>
    <cellStyle name="Calculation 17 2 4" xfId="5173" xr:uid="{AE5D82FC-5834-49CF-839C-77A2299A8015}"/>
    <cellStyle name="Calculation 17 2 5" xfId="5174" xr:uid="{EC196A44-6B01-44DB-A3CD-C1A5CE32639B}"/>
    <cellStyle name="Calculation 17 2 6" xfId="5175" xr:uid="{D5890667-4F29-4302-9C43-3EC340D264B4}"/>
    <cellStyle name="Calculation 17 2 7" xfId="5176" xr:uid="{9D8C67B1-34C5-4571-B95F-483C2D6FB5A9}"/>
    <cellStyle name="Calculation 17 3" xfId="5177" xr:uid="{954E2B3A-0BCE-4703-B2E3-D0A8596EC920}"/>
    <cellStyle name="Calculation 17 3 2" xfId="5178" xr:uid="{6DC5E219-2B0C-42B3-B1BE-6E107B7D1C4F}"/>
    <cellStyle name="Calculation 17 3 3" xfId="5179" xr:uid="{D9394E9C-2530-44B4-9558-0356E4872DFF}"/>
    <cellStyle name="Calculation 17 4" xfId="5180" xr:uid="{6EDE5386-4828-4109-946A-8ADBC9253C57}"/>
    <cellStyle name="Calculation 17 4 2" xfId="5181" xr:uid="{B2FD3A38-AAA4-4E91-9E59-9E08F25CE2E7}"/>
    <cellStyle name="Calculation 17 4 3" xfId="5182" xr:uid="{B54A990D-E418-4CA3-9A1A-D92B9ECB4A28}"/>
    <cellStyle name="Calculation 17 5" xfId="5183" xr:uid="{2269CDE6-D53A-464D-A6EE-8ABCA17EB258}"/>
    <cellStyle name="Calculation 17 6" xfId="5184" xr:uid="{429A7D1C-0CDB-4C7F-B86F-A267F9BFD231}"/>
    <cellStyle name="Calculation 17 7" xfId="5185" xr:uid="{0C1541F3-486C-4428-BEAF-B42116E07444}"/>
    <cellStyle name="Calculation 17 8" xfId="5186" xr:uid="{DA3A1647-5B0F-476F-8C5A-EC1854ECB765}"/>
    <cellStyle name="Calculation 18" xfId="5187" xr:uid="{63BBC761-667B-46B0-8717-D6F0E050A987}"/>
    <cellStyle name="Calculation 18 2" xfId="5188" xr:uid="{28D84FA8-1ADC-48CB-BF9A-3D60E70F6ED0}"/>
    <cellStyle name="Calculation 18 2 2" xfId="5189" xr:uid="{16038AA8-C0CE-498F-BBEC-23476466A86F}"/>
    <cellStyle name="Calculation 18 2 2 2" xfId="5190" xr:uid="{F5B878E1-6B43-48A3-B116-AC475D93186B}"/>
    <cellStyle name="Calculation 18 2 2 3" xfId="5191" xr:uid="{50CA7F28-C778-4319-AF02-D752E3498747}"/>
    <cellStyle name="Calculation 18 2 3" xfId="5192" xr:uid="{7D335F81-F858-44A7-9AFA-A2D7542241E8}"/>
    <cellStyle name="Calculation 18 2 3 2" xfId="5193" xr:uid="{5664E15E-521B-41D3-AA4C-C613C9981FCB}"/>
    <cellStyle name="Calculation 18 2 3 3" xfId="5194" xr:uid="{968716CC-1ABC-4F1D-9BFF-3069B11C4CD4}"/>
    <cellStyle name="Calculation 18 2 4" xfId="5195" xr:uid="{A6A782CB-5A84-4D02-B4DE-A337CA8E204F}"/>
    <cellStyle name="Calculation 18 2 5" xfId="5196" xr:uid="{C96827FE-EE67-4ABA-A83E-76F0216A39E3}"/>
    <cellStyle name="Calculation 18 2 6" xfId="5197" xr:uid="{BA2BBD9C-38EC-4E98-AA83-3282A21F6011}"/>
    <cellStyle name="Calculation 18 2 7" xfId="5198" xr:uid="{FE7E04D5-3252-4B8D-8EC3-A11CE70DF004}"/>
    <cellStyle name="Calculation 18 3" xfId="5199" xr:uid="{C1ECFF73-CC7C-4620-8117-2E4F261E2E22}"/>
    <cellStyle name="Calculation 18 3 2" xfId="5200" xr:uid="{0970B58E-6ED9-4945-AF63-3ACD5E6E4744}"/>
    <cellStyle name="Calculation 18 3 3" xfId="5201" xr:uid="{278C944B-31A5-43DC-B1E5-C9F245649FDC}"/>
    <cellStyle name="Calculation 18 4" xfId="5202" xr:uid="{C7E6B2C8-3AC2-4E9D-8415-A710C6387C63}"/>
    <cellStyle name="Calculation 18 4 2" xfId="5203" xr:uid="{B20C1168-888F-4DC4-A372-17F6612DCE61}"/>
    <cellStyle name="Calculation 18 4 3" xfId="5204" xr:uid="{362CEBFE-2E89-4FA5-97BB-A6607760205A}"/>
    <cellStyle name="Calculation 18 5" xfId="5205" xr:uid="{CC0244A8-FF12-4DE1-9E39-850D217A4460}"/>
    <cellStyle name="Calculation 18 6" xfId="5206" xr:uid="{14A93C04-216E-4A94-86BE-5943B99C5E27}"/>
    <cellStyle name="Calculation 18 7" xfId="5207" xr:uid="{08C94AEC-676F-41EA-8655-520087F59189}"/>
    <cellStyle name="Calculation 18 8" xfId="5208" xr:uid="{FEB1C8E2-074A-4226-8E8B-34718DBE13E3}"/>
    <cellStyle name="Calculation 19" xfId="5209" xr:uid="{DD63C8BB-2B79-4F6C-8D71-21272EDF018A}"/>
    <cellStyle name="Calculation 19 2" xfId="5210" xr:uid="{A958BC77-96B4-4B97-80EE-BFD1BC3EFCFA}"/>
    <cellStyle name="Calculation 19 2 2" xfId="5211" xr:uid="{41BD8FE5-F84C-4F9D-B05A-B122D0A7F986}"/>
    <cellStyle name="Calculation 19 2 2 2" xfId="5212" xr:uid="{A6E233A7-625B-4469-96B3-1ABD6EDA087A}"/>
    <cellStyle name="Calculation 19 2 2 3" xfId="5213" xr:uid="{D277F88B-CD2F-4384-9E0F-74E92D64519C}"/>
    <cellStyle name="Calculation 19 2 3" xfId="5214" xr:uid="{58C92955-CDD0-4DB5-AC5C-A3D1F1C7E105}"/>
    <cellStyle name="Calculation 19 2 3 2" xfId="5215" xr:uid="{00374A62-1D5F-48F1-9716-EF36A0CDC6B4}"/>
    <cellStyle name="Calculation 19 2 3 3" xfId="5216" xr:uid="{C48A3A71-8FE4-4D03-86CE-0DC4004D7088}"/>
    <cellStyle name="Calculation 19 2 4" xfId="5217" xr:uid="{B2073DEE-534F-4A35-B571-BFC5008F9EB1}"/>
    <cellStyle name="Calculation 19 2 5" xfId="5218" xr:uid="{BF9744C2-E194-4BFF-AEE1-16D82875B488}"/>
    <cellStyle name="Calculation 19 2 6" xfId="5219" xr:uid="{8D1CBC11-215E-4FA0-A031-94D95E9065CD}"/>
    <cellStyle name="Calculation 19 2 7" xfId="5220" xr:uid="{2F8610F2-81B0-4F2E-ADF0-CD64E7F17350}"/>
    <cellStyle name="Calculation 19 3" xfId="5221" xr:uid="{9E11B3B5-6909-4997-8107-F3EAFB2911C9}"/>
    <cellStyle name="Calculation 19 3 2" xfId="5222" xr:uid="{161015D2-F7FF-459D-9FFD-2B893574A293}"/>
    <cellStyle name="Calculation 19 3 3" xfId="5223" xr:uid="{54BB9609-F582-448E-8F7B-BDFB1FAA8370}"/>
    <cellStyle name="Calculation 19 4" xfId="5224" xr:uid="{0E4BB22A-A8BD-44FB-BFE7-C7D7CC05923A}"/>
    <cellStyle name="Calculation 19 4 2" xfId="5225" xr:uid="{2B12F86F-8719-4193-A554-6540DF492AF3}"/>
    <cellStyle name="Calculation 19 4 3" xfId="5226" xr:uid="{03D89FEB-7892-444A-BCA0-D07E016B1D8E}"/>
    <cellStyle name="Calculation 19 5" xfId="5227" xr:uid="{E2E97F46-A1C1-4754-BDF0-162F58C1D5FA}"/>
    <cellStyle name="Calculation 19 6" xfId="5228" xr:uid="{E4E96102-69CA-4618-9A06-565DD4C01B9B}"/>
    <cellStyle name="Calculation 19 7" xfId="5229" xr:uid="{DD812946-2B13-439B-A6C6-93903CF5EFCF}"/>
    <cellStyle name="Calculation 19 8" xfId="5230" xr:uid="{2A45634C-FB05-4DF5-9170-4298E45937B5}"/>
    <cellStyle name="Calculation 2" xfId="5231" xr:uid="{241A1478-63E4-4CD1-9F7B-6325CAA0FE2D}"/>
    <cellStyle name="Calculation 2 10" xfId="5232" xr:uid="{5ADDAA30-D80A-43E7-A557-AAD769C2D92D}"/>
    <cellStyle name="Calculation 2 11" xfId="5233" xr:uid="{7B745C6E-BAEA-4673-90A2-3FFA62EF8E13}"/>
    <cellStyle name="Calculation 2 12" xfId="5234" xr:uid="{0363A3E1-C653-4370-A90D-5DCBCFFADD30}"/>
    <cellStyle name="Calculation 2 13" xfId="5235" xr:uid="{D08F81BB-A3EF-4CEC-A706-30FD117C2558}"/>
    <cellStyle name="Calculation 2 2" xfId="5236" xr:uid="{A9399E4C-6981-405B-BD69-C1AC98E9A7BC}"/>
    <cellStyle name="Calculation 2 2 2" xfId="5237" xr:uid="{423720FC-BDA5-459D-A98B-BE3834122041}"/>
    <cellStyle name="Calculation 2 2 2 2" xfId="5238" xr:uid="{1573F46E-7F31-48E5-8D49-E76807FE1A46}"/>
    <cellStyle name="Calculation 2 2 2 3" xfId="5239" xr:uid="{301D32C4-035F-4899-BEC5-340194149B47}"/>
    <cellStyle name="Calculation 2 2 3" xfId="5240" xr:uid="{02514B84-85C6-490A-92AA-A585DF0639A5}"/>
    <cellStyle name="Calculation 2 2 3 2" xfId="5241" xr:uid="{5CF20C6F-7DF6-4008-AEAA-9C5778FA8ADE}"/>
    <cellStyle name="Calculation 2 2 3 3" xfId="5242" xr:uid="{65C3AE7C-A2DF-4DE3-8EFE-A303B45E26CF}"/>
    <cellStyle name="Calculation 2 2 4" xfId="5243" xr:uid="{800C6A84-DAC0-4BBA-9183-7C38FA294160}"/>
    <cellStyle name="Calculation 2 2 5" xfId="5244" xr:uid="{627B5D05-5AE3-4187-B7F1-EBA89411E554}"/>
    <cellStyle name="Calculation 2 2 6" xfId="5245" xr:uid="{168520D7-2A3E-40B8-82F9-605A64A4A52C}"/>
    <cellStyle name="Calculation 2 2 7" xfId="5246" xr:uid="{DAA0E3BF-769E-435C-9C38-5172CBC5A1FD}"/>
    <cellStyle name="Calculation 2 2 8" xfId="5247" xr:uid="{66663149-2D80-4E92-B2F7-B6FBCD7778E4}"/>
    <cellStyle name="Calculation 2 3" xfId="5248" xr:uid="{6C13BFDB-3E45-40A0-B0CF-7AB522E6F1D3}"/>
    <cellStyle name="Calculation 2 3 2" xfId="5249" xr:uid="{FF0FA8F0-669E-4B00-9CE9-1CE5BFD5AF23}"/>
    <cellStyle name="Calculation 2 3 3" xfId="5250" xr:uid="{ECBA2579-D692-4FC3-9DB4-96A35CE4EBED}"/>
    <cellStyle name="Calculation 2 3 3 2" xfId="5251" xr:uid="{BE8171C8-331C-4F50-9FCA-47446CD93433}"/>
    <cellStyle name="Calculation 2 3 3 3" xfId="5252" xr:uid="{8C703374-4611-4E78-8D49-735ED7BCF88F}"/>
    <cellStyle name="Calculation 2 3 4" xfId="5253" xr:uid="{BC6B7F82-5DE0-4175-94EE-B7F38B03BD29}"/>
    <cellStyle name="Calculation 2 3 5" xfId="5254" xr:uid="{B3BF11B8-E291-44BB-BC91-469335FB644A}"/>
    <cellStyle name="Calculation 2 4" xfId="5255" xr:uid="{6EEBE34A-2FC0-4A9A-BE07-7F9D848E53E5}"/>
    <cellStyle name="Calculation 2 4 2" xfId="5256" xr:uid="{ABCD586A-6E91-419F-BAB2-9584E4BC4182}"/>
    <cellStyle name="Calculation 2 4 3" xfId="5257" xr:uid="{F3A0051D-4C3B-4739-94B8-0D6C769400F8}"/>
    <cellStyle name="Calculation 2 4 4" xfId="5258" xr:uid="{F88A7995-4A4F-477C-B814-F6E637ACC818}"/>
    <cellStyle name="Calculation 2 5" xfId="5259" xr:uid="{C94CFB0A-8697-4C41-A777-6D2766183E60}"/>
    <cellStyle name="Calculation 2 6" xfId="5260" xr:uid="{02F5E2DD-5458-4013-94E0-BFAB1BDB11D8}"/>
    <cellStyle name="Calculation 2 7" xfId="5261" xr:uid="{0D71ABD4-AC50-4CEB-8ECD-A074F35262C6}"/>
    <cellStyle name="Calculation 2 8" xfId="5262" xr:uid="{FF566D1E-6129-45F1-8AC3-56DF31429D3F}"/>
    <cellStyle name="Calculation 2 9" xfId="5263" xr:uid="{04E451BF-8CBB-4D3B-831B-934FA804E32A}"/>
    <cellStyle name="Calculation 2_PwrTax 51040" xfId="5264" xr:uid="{B9E2F25F-B91B-40FB-B61A-C2276E6211B3}"/>
    <cellStyle name="Calculation 20" xfId="5265" xr:uid="{89DB924B-4BAA-4DD5-94D7-E4AEAC066747}"/>
    <cellStyle name="Calculation 20 2" xfId="5266" xr:uid="{72DB40C9-2623-4971-B07B-25E28B97F693}"/>
    <cellStyle name="Calculation 20 2 2" xfId="5267" xr:uid="{D1E95B0D-947A-4A31-8272-4013245E32EB}"/>
    <cellStyle name="Calculation 20 2 3" xfId="5268" xr:uid="{643D463D-AF1C-4184-B672-A90AFE301EF3}"/>
    <cellStyle name="Calculation 20 3" xfId="5269" xr:uid="{903510A6-7688-400A-8DFA-D425FA3E53A8}"/>
    <cellStyle name="Calculation 20 3 2" xfId="5270" xr:uid="{D06CD2C2-049F-482C-B2F9-72445CE18DA9}"/>
    <cellStyle name="Calculation 20 3 3" xfId="5271" xr:uid="{CE7E1845-3760-459C-9D7C-2C0D9AAD5714}"/>
    <cellStyle name="Calculation 20 4" xfId="5272" xr:uid="{400EB3AE-7D47-4F73-B64B-387CAB9B2553}"/>
    <cellStyle name="Calculation 20 5" xfId="5273" xr:uid="{88BAFFB8-7B9B-4CD0-B86D-EA91FE69F42C}"/>
    <cellStyle name="Calculation 20 6" xfId="5274" xr:uid="{645AA8DB-FC02-4707-938B-94C106306E97}"/>
    <cellStyle name="Calculation 20 7" xfId="5275" xr:uid="{64BC9F74-AEBC-48E2-9520-65258B0460AC}"/>
    <cellStyle name="Calculation 21" xfId="5276" xr:uid="{5C2A48BC-24E6-415F-858E-2AF3FAAE6317}"/>
    <cellStyle name="Calculation 21 2" xfId="5277" xr:uid="{AD8C9F39-DD70-4DE0-B786-ADE1AB283FC5}"/>
    <cellStyle name="Calculation 21 2 2" xfId="5278" xr:uid="{70B4D010-2848-47E5-8C2B-BE64926F4F1C}"/>
    <cellStyle name="Calculation 21 2 3" xfId="5279" xr:uid="{43B6CB89-041B-4D67-BEC5-460FDAEF4AE0}"/>
    <cellStyle name="Calculation 21 3" xfId="5280" xr:uid="{17AC45AB-61FE-4F7A-8DC5-A9597DF6FE77}"/>
    <cellStyle name="Calculation 21 3 2" xfId="5281" xr:uid="{FA7404FD-A5B4-403B-B2D6-094B48A1FC8F}"/>
    <cellStyle name="Calculation 21 3 3" xfId="5282" xr:uid="{559979B8-20F9-488A-A9C9-71E4C97BF69D}"/>
    <cellStyle name="Calculation 21 4" xfId="5283" xr:uid="{9DC2D427-5FD1-4721-BBF4-FCAF043026C5}"/>
    <cellStyle name="Calculation 21 5" xfId="5284" xr:uid="{75CC1814-C11D-40A7-BABE-D5CC031C02B8}"/>
    <cellStyle name="Calculation 21 6" xfId="5285" xr:uid="{7D1CA2EE-8E9C-41B6-8256-8DEA7AC48417}"/>
    <cellStyle name="Calculation 21 7" xfId="5286" xr:uid="{E7C169B8-6E98-4C69-8DE0-AEA0661F0AD3}"/>
    <cellStyle name="Calculation 22" xfId="5287" xr:uid="{010873AF-7D8B-47E5-93B6-D0C3EB4CA2B1}"/>
    <cellStyle name="Calculation 22 2" xfId="5288" xr:uid="{1CB493ED-7B8C-4B10-A368-4F38ED485FD3}"/>
    <cellStyle name="Calculation 22 2 2" xfId="5289" xr:uid="{E6188481-DB4F-47FE-A28D-5160F0DA7788}"/>
    <cellStyle name="Calculation 22 2 3" xfId="5290" xr:uid="{AC7CC9DF-F6CA-49F0-9F74-1F74EA856F4E}"/>
    <cellStyle name="Calculation 22 3" xfId="5291" xr:uid="{DD0A85F4-18D3-45CE-879C-4C89DB4FA729}"/>
    <cellStyle name="Calculation 22 3 2" xfId="5292" xr:uid="{3B314DE4-A7EA-43FF-A55D-C39C232D246C}"/>
    <cellStyle name="Calculation 22 3 3" xfId="5293" xr:uid="{6AB62D5D-243C-4B87-9D13-3E714F9CBE7A}"/>
    <cellStyle name="Calculation 22 4" xfId="5294" xr:uid="{BA05AE0A-CDB6-4EDB-AC6E-2CD489C1288B}"/>
    <cellStyle name="Calculation 22 5" xfId="5295" xr:uid="{57985531-59AC-4338-A1FE-0A5C21A1802F}"/>
    <cellStyle name="Calculation 22 6" xfId="5296" xr:uid="{F02FE0AE-91D3-4FE3-A626-07825AD3C43B}"/>
    <cellStyle name="Calculation 22 7" xfId="5297" xr:uid="{DACDC610-98B5-47C2-97F5-76D3FAC6CEE0}"/>
    <cellStyle name="Calculation 23" xfId="5298" xr:uid="{7E640214-2D07-4D7B-8A69-4F6F7CAE3068}"/>
    <cellStyle name="Calculation 23 2" xfId="5299" xr:uid="{A51AF8A7-256B-4D22-AD06-00200C5F267E}"/>
    <cellStyle name="Calculation 23 2 2" xfId="5300" xr:uid="{31342EF4-11D8-4F76-8233-56EF0EBFE38F}"/>
    <cellStyle name="Calculation 23 2 3" xfId="5301" xr:uid="{3D15BB4D-60E7-49BD-8FDC-6735171E4326}"/>
    <cellStyle name="Calculation 23 3" xfId="5302" xr:uid="{521199D8-D942-4786-A67B-10D3530CD8C9}"/>
    <cellStyle name="Calculation 23 3 2" xfId="5303" xr:uid="{47BBAC64-0C95-4030-91D1-992837E79C7E}"/>
    <cellStyle name="Calculation 23 3 3" xfId="5304" xr:uid="{AD6B8D8E-C374-49FC-8210-AE8BFACEF0C4}"/>
    <cellStyle name="Calculation 23 4" xfId="5305" xr:uid="{197E9262-2660-4CE9-BDA6-B405799A6120}"/>
    <cellStyle name="Calculation 23 5" xfId="5306" xr:uid="{9A3B11F1-E335-424F-ADF1-8A5A72F4EEA9}"/>
    <cellStyle name="Calculation 23 6" xfId="5307" xr:uid="{9FF3566F-F27A-424C-A39F-FCAF7FAB205B}"/>
    <cellStyle name="Calculation 23 7" xfId="5308" xr:uid="{7B2C611A-6007-4689-A359-65D9553F2852}"/>
    <cellStyle name="Calculation 24" xfId="5309" xr:uid="{2C3E359E-301E-44F1-B9EA-3D083DC86025}"/>
    <cellStyle name="Calculation 24 2" xfId="5310" xr:uid="{7BF737A0-9118-4851-A925-E9E64304D8A3}"/>
    <cellStyle name="Calculation 24 2 2" xfId="5311" xr:uid="{BF2585C4-5C40-4F59-91B8-9004C5C10A13}"/>
    <cellStyle name="Calculation 24 2 3" xfId="5312" xr:uid="{BFDC50F0-5E9F-4145-A647-5A46D326E958}"/>
    <cellStyle name="Calculation 24 3" xfId="5313" xr:uid="{A550B39E-222B-4163-9D02-A89B2594ACAB}"/>
    <cellStyle name="Calculation 24 3 2" xfId="5314" xr:uid="{9001ABCA-799C-4E16-AA98-3D90C6749660}"/>
    <cellStyle name="Calculation 24 3 3" xfId="5315" xr:uid="{528F87A5-F957-44CA-ADBF-EA129AAF80DC}"/>
    <cellStyle name="Calculation 24 4" xfId="5316" xr:uid="{A315FBFD-D213-4EA8-A249-E7679CB719C0}"/>
    <cellStyle name="Calculation 24 5" xfId="5317" xr:uid="{47874132-16FF-46F4-9C4A-5B7CAC14A95D}"/>
    <cellStyle name="Calculation 24 6" xfId="5318" xr:uid="{222BE18D-F31E-4AF6-A722-BEF9A80F61FF}"/>
    <cellStyle name="Calculation 24 7" xfId="5319" xr:uid="{6AE57A8C-93C1-43FA-8D70-03CEA91E657E}"/>
    <cellStyle name="Calculation 25" xfId="5320" xr:uid="{97891000-2982-4539-9CA0-00E6B4F02C9C}"/>
    <cellStyle name="Calculation 25 2" xfId="5321" xr:uid="{0E4D08E5-745E-46E6-9DD2-9C7B41EF2456}"/>
    <cellStyle name="Calculation 25 2 2" xfId="5322" xr:uid="{A0F4712A-EE90-4E63-A322-4E78BEE1E052}"/>
    <cellStyle name="Calculation 25 2 3" xfId="5323" xr:uid="{66977312-2F58-41E7-98F7-E9BD9E3A476D}"/>
    <cellStyle name="Calculation 25 3" xfId="5324" xr:uid="{A36BFBED-32D4-4FA4-AE06-D1492F0050FA}"/>
    <cellStyle name="Calculation 25 3 2" xfId="5325" xr:uid="{A13B12C2-F0AD-4251-983A-737A700F3FF3}"/>
    <cellStyle name="Calculation 25 3 3" xfId="5326" xr:uid="{B13F89DB-2323-41D6-95FE-E211789EEF55}"/>
    <cellStyle name="Calculation 25 4" xfId="5327" xr:uid="{192DE789-2B47-40C3-807F-3F94CA3E9969}"/>
    <cellStyle name="Calculation 25 5" xfId="5328" xr:uid="{71D0BAC2-34F1-410E-80C1-98FBDECA0310}"/>
    <cellStyle name="Calculation 25 6" xfId="5329" xr:uid="{BEC1B58D-F07D-4C54-8B1D-AD997732DE6D}"/>
    <cellStyle name="Calculation 25 7" xfId="5330" xr:uid="{E2C93FB4-03F8-447C-B0B3-B395DD07FFBA}"/>
    <cellStyle name="Calculation 26" xfId="5331" xr:uid="{14F40276-855E-4A6D-9EDF-BC6E68A39336}"/>
    <cellStyle name="Calculation 26 2" xfId="5332" xr:uid="{603FC3DF-E47D-46A3-97F1-97544BD4DF8E}"/>
    <cellStyle name="Calculation 26 2 2" xfId="5333" xr:uid="{6CA2D3D1-E32B-4AB7-948F-DE0811388F38}"/>
    <cellStyle name="Calculation 26 2 3" xfId="5334" xr:uid="{21496A30-4EE7-4D05-9975-E84BBBF3D19C}"/>
    <cellStyle name="Calculation 26 3" xfId="5335" xr:uid="{ED1DA8F7-7CCD-4CA1-9C11-3295CE9E62C2}"/>
    <cellStyle name="Calculation 26 3 2" xfId="5336" xr:uid="{FEA189E1-5773-4D0A-B7E2-CB206D5FF650}"/>
    <cellStyle name="Calculation 26 3 3" xfId="5337" xr:uid="{296F741F-89CC-4CC2-BED0-C52A2A2A0618}"/>
    <cellStyle name="Calculation 26 4" xfId="5338" xr:uid="{68AEC3A7-5B16-48BD-A361-0D70841C7CA6}"/>
    <cellStyle name="Calculation 26 5" xfId="5339" xr:uid="{DEC86720-42A4-49CD-A5B4-8FD61E13BD85}"/>
    <cellStyle name="Calculation 26 6" xfId="5340" xr:uid="{A105F385-8861-432D-BB85-AD6F275213E0}"/>
    <cellStyle name="Calculation 26 7" xfId="5341" xr:uid="{8747AF43-6AAD-4A73-9051-7EC4FF49A12E}"/>
    <cellStyle name="Calculation 27" xfId="5342" xr:uid="{164F9D5B-606B-4FA7-974E-475407053B28}"/>
    <cellStyle name="Calculation 27 2" xfId="5343" xr:uid="{0326D24F-D807-44BD-A9D0-0875ADCE1852}"/>
    <cellStyle name="Calculation 27 2 2" xfId="5344" xr:uid="{352A8ED0-7380-4FD5-BD82-62F425FA5EB0}"/>
    <cellStyle name="Calculation 27 2 3" xfId="5345" xr:uid="{72310016-ABC2-4F58-A346-4DCBD18D3EDB}"/>
    <cellStyle name="Calculation 27 3" xfId="5346" xr:uid="{FAD8F3A0-3D3B-4B54-9269-2F7C402BED37}"/>
    <cellStyle name="Calculation 27 3 2" xfId="5347" xr:uid="{9A0B97B1-8C59-40CD-B1D4-5139C3886A2B}"/>
    <cellStyle name="Calculation 27 3 3" xfId="5348" xr:uid="{487E0857-F0AD-4412-8C15-233A3E0860B2}"/>
    <cellStyle name="Calculation 27 4" xfId="5349" xr:uid="{91C5FC61-EA91-4214-89BE-BCC1EDA5EF14}"/>
    <cellStyle name="Calculation 27 5" xfId="5350" xr:uid="{1900D2CD-F123-4B08-9451-265B1279ECBB}"/>
    <cellStyle name="Calculation 27 6" xfId="5351" xr:uid="{29E7BABF-AA3D-47C7-9D5A-D7C554762963}"/>
    <cellStyle name="Calculation 27 7" xfId="5352" xr:uid="{B1AC99D2-B319-4051-9E98-40B7BCCD4308}"/>
    <cellStyle name="Calculation 28" xfId="5353" xr:uid="{A64D9FF2-C357-4314-9F00-FC59BEE4D6AE}"/>
    <cellStyle name="Calculation 28 2" xfId="5354" xr:uid="{BE463F04-364A-483E-953B-4D76C87252A7}"/>
    <cellStyle name="Calculation 28 2 2" xfId="5355" xr:uid="{B7E9E3C5-0B82-4009-8000-AE58A49A5EFC}"/>
    <cellStyle name="Calculation 28 2 3" xfId="5356" xr:uid="{7CE78100-8D62-4A80-9C7B-8A44A38289FD}"/>
    <cellStyle name="Calculation 28 3" xfId="5357" xr:uid="{61B182D0-C15F-4A1E-A8A1-0ACF5BBC385F}"/>
    <cellStyle name="Calculation 28 3 2" xfId="5358" xr:uid="{F90606FD-5498-4465-9EFB-93A04B41914F}"/>
    <cellStyle name="Calculation 28 3 3" xfId="5359" xr:uid="{CBF42FC7-9F47-42E2-B96F-9B4A452A8CFF}"/>
    <cellStyle name="Calculation 28 4" xfId="5360" xr:uid="{B2E12369-BA15-46F4-9FDA-9455968AD151}"/>
    <cellStyle name="Calculation 28 5" xfId="5361" xr:uid="{F3B0F794-6410-46F6-ACD2-78BFE5CB345F}"/>
    <cellStyle name="Calculation 28 6" xfId="5362" xr:uid="{505AAE92-622F-418C-A5E3-36B1E36070FF}"/>
    <cellStyle name="Calculation 28 7" xfId="5363" xr:uid="{FA3E1E61-2270-47CF-BD1B-3748C251B297}"/>
    <cellStyle name="Calculation 29" xfId="5364" xr:uid="{4C844515-CA12-414C-8BA9-9FBF7F48A733}"/>
    <cellStyle name="Calculation 29 2" xfId="5365" xr:uid="{FB37D0F8-16C0-4F44-9300-7DB89999BF7D}"/>
    <cellStyle name="Calculation 29 2 2" xfId="5366" xr:uid="{04EB08EF-4D43-4DC8-89FB-409EF9EAABC7}"/>
    <cellStyle name="Calculation 29 2 3" xfId="5367" xr:uid="{E2042B8D-CE88-493D-84E6-5919C646DA7F}"/>
    <cellStyle name="Calculation 29 3" xfId="5368" xr:uid="{2CA9B3D6-5C81-4EF2-9C30-56E9C0C186D0}"/>
    <cellStyle name="Calculation 29 3 2" xfId="5369" xr:uid="{DD69CB2A-7D06-4F61-90A4-E27F9C4D616B}"/>
    <cellStyle name="Calculation 29 3 3" xfId="5370" xr:uid="{F94E6235-42A8-4B44-8136-4C3EA793FE5E}"/>
    <cellStyle name="Calculation 29 4" xfId="5371" xr:uid="{B098E688-3897-4DFE-B9DC-3EDF0ED99521}"/>
    <cellStyle name="Calculation 29 5" xfId="5372" xr:uid="{21EE847E-BACD-4556-B3C3-9FD060CBACBA}"/>
    <cellStyle name="Calculation 29 6" xfId="5373" xr:uid="{41E69909-9FA6-4783-94A3-07187B76D8E0}"/>
    <cellStyle name="Calculation 29 7" xfId="5374" xr:uid="{31B5AEEE-26F5-4BDC-9A58-03C9C8F39EA7}"/>
    <cellStyle name="Calculation 3" xfId="5375" xr:uid="{5349101C-8BDE-4810-A8B8-8A6920144B54}"/>
    <cellStyle name="Calculation 3 2" xfId="5376" xr:uid="{95D0C5C0-E2B1-4374-8BB6-C14C0398AB38}"/>
    <cellStyle name="Calculation 3 2 2" xfId="5377" xr:uid="{25B762BB-7BEA-4C47-8A5D-E165B6896945}"/>
    <cellStyle name="Calculation 3 2 2 2" xfId="5378" xr:uid="{9EF0CCA6-5AB1-4EBD-A84A-73F83702F5C4}"/>
    <cellStyle name="Calculation 3 2 2 3" xfId="5379" xr:uid="{1F31AE84-EE05-4DE8-A324-09B2EDCD9948}"/>
    <cellStyle name="Calculation 3 2 3" xfId="5380" xr:uid="{F964E16A-D955-4077-8EFB-AFDB2CCCC470}"/>
    <cellStyle name="Calculation 3 2 3 2" xfId="5381" xr:uid="{8A718708-9B26-48D6-BB70-1DCF743CF814}"/>
    <cellStyle name="Calculation 3 2 3 3" xfId="5382" xr:uid="{CBC0B519-7C9B-4A91-9C9C-3BC429AFE413}"/>
    <cellStyle name="Calculation 3 2 4" xfId="5383" xr:uid="{74BA52FB-6B5C-46C6-961E-9ED1D99B7EC0}"/>
    <cellStyle name="Calculation 3 2 5" xfId="5384" xr:uid="{7F8E30F4-2D60-4E27-99BE-26F379FB10AA}"/>
    <cellStyle name="Calculation 3 2 6" xfId="5385" xr:uid="{5022BFA2-127C-4413-914E-9FD6842C57F9}"/>
    <cellStyle name="Calculation 3 2 7" xfId="5386" xr:uid="{FE226608-B0C2-4977-80B0-3872ECF3E65E}"/>
    <cellStyle name="Calculation 3 3" xfId="5387" xr:uid="{5DEA6024-3FEA-4BC0-8779-232E3619BED9}"/>
    <cellStyle name="Calculation 3 3 2" xfId="5388" xr:uid="{48D2A561-D93D-4882-AB60-0063FB5238F2}"/>
    <cellStyle name="Calculation 3 3 2 2" xfId="5389" xr:uid="{9D9F0FDB-2ACC-4696-893F-50B2039F4F1F}"/>
    <cellStyle name="Calculation 3 3 2 3" xfId="5390" xr:uid="{35867F9E-6D92-4F69-842A-10715E9A57CD}"/>
    <cellStyle name="Calculation 3 3 3" xfId="5391" xr:uid="{E4377DBF-1016-4575-A7E2-0FA1F083A7F5}"/>
    <cellStyle name="Calculation 3 3 4" xfId="5392" xr:uid="{711A661E-3590-4E28-A9EC-52FBBA33DFEC}"/>
    <cellStyle name="Calculation 3 3 5" xfId="5393" xr:uid="{5DCCB206-137E-450F-A489-BF6A795DB228}"/>
    <cellStyle name="Calculation 3 3 6" xfId="5394" xr:uid="{EB4BA196-E149-4123-990F-00BCEDC30F0C}"/>
    <cellStyle name="Calculation 3 4" xfId="5395" xr:uid="{EA28DBC4-4420-4902-9F50-56F4E7389533}"/>
    <cellStyle name="Calculation 3 4 2" xfId="5396" xr:uid="{11156A34-80EC-40E8-9C77-435FA59B8373}"/>
    <cellStyle name="Calculation 3 4 3" xfId="5397" xr:uid="{7158DC8F-01D9-4162-8B7D-58447791189D}"/>
    <cellStyle name="Calculation 3 5" xfId="5398" xr:uid="{2A373A37-0A0D-4B2C-9D6E-7FDA1CE7C657}"/>
    <cellStyle name="Calculation 3 6" xfId="5399" xr:uid="{ACF8BDB2-544A-4002-833D-8B3B5BB229EC}"/>
    <cellStyle name="Calculation 3 7" xfId="5400" xr:uid="{7B0818A1-AD64-4A0B-BE1E-C06711946D12}"/>
    <cellStyle name="Calculation 3 8" xfId="5401" xr:uid="{99AA84BB-468F-4B3D-9237-76726A3A76DE}"/>
    <cellStyle name="Calculation 30" xfId="5402" xr:uid="{5E3DE501-77FA-44D6-877B-8567B6364CDA}"/>
    <cellStyle name="Calculation 30 2" xfId="5403" xr:uid="{20185BB1-79D2-45F2-BF41-2647C5362263}"/>
    <cellStyle name="Calculation 30 2 2" xfId="5404" xr:uid="{B2C0E889-8F65-4A9F-B803-08EF46D5FDDF}"/>
    <cellStyle name="Calculation 30 2 3" xfId="5405" xr:uid="{9B91090C-F4D0-4966-A7E8-66F0560A75F5}"/>
    <cellStyle name="Calculation 30 3" xfId="5406" xr:uid="{14B327F1-9BF5-47F6-8023-0AEAD6F1563C}"/>
    <cellStyle name="Calculation 30 3 2" xfId="5407" xr:uid="{266B5FAE-7FD8-44E8-B60C-93534F500FB4}"/>
    <cellStyle name="Calculation 30 3 3" xfId="5408" xr:uid="{7B689C28-688A-47CF-AF1D-5C8BD66A0EF9}"/>
    <cellStyle name="Calculation 30 4" xfId="5409" xr:uid="{85603F18-822E-4CE0-A162-C334947D5BAF}"/>
    <cellStyle name="Calculation 30 5" xfId="5410" xr:uid="{6F294C18-0002-47C4-B36D-2800E7D8215B}"/>
    <cellStyle name="Calculation 30 6" xfId="5411" xr:uid="{55FB9B5B-C093-4E1A-99B2-854EE6086EFD}"/>
    <cellStyle name="Calculation 30 7" xfId="5412" xr:uid="{CA8D5056-908A-486D-AFA8-A887C0F47CDE}"/>
    <cellStyle name="Calculation 31" xfId="5413" xr:uid="{4FC63887-8CF0-4835-8C28-8DA1F114871F}"/>
    <cellStyle name="Calculation 31 2" xfId="5414" xr:uid="{47BF2941-A378-471B-8299-E5128A5F913E}"/>
    <cellStyle name="Calculation 31 2 2" xfId="5415" xr:uid="{B6E9B0D8-4C12-4962-9F60-58E5483A3536}"/>
    <cellStyle name="Calculation 31 2 3" xfId="5416" xr:uid="{DDAC2BF4-1CDE-4FF6-A712-DF9D35A87C76}"/>
    <cellStyle name="Calculation 31 3" xfId="5417" xr:uid="{A713A275-0F21-47DC-9D20-56A3CF5C2C59}"/>
    <cellStyle name="Calculation 31 3 2" xfId="5418" xr:uid="{24A1B3C1-9DCD-4338-8555-C74DEC3C6CD4}"/>
    <cellStyle name="Calculation 31 3 3" xfId="5419" xr:uid="{BB105E54-AA39-4577-9721-755003B5C31D}"/>
    <cellStyle name="Calculation 31 4" xfId="5420" xr:uid="{59F2286B-64B3-4B0E-A54C-DBB3948FA2F8}"/>
    <cellStyle name="Calculation 31 5" xfId="5421" xr:uid="{682F7512-3CE0-4EC4-9DC2-C72B54D05536}"/>
    <cellStyle name="Calculation 31 6" xfId="5422" xr:uid="{273D5CFF-319E-4F49-AE04-AAAF16BEF447}"/>
    <cellStyle name="Calculation 31 7" xfId="5423" xr:uid="{53FBC9C7-2A90-41A0-A6B1-95020A5EB3D5}"/>
    <cellStyle name="Calculation 32" xfId="5424" xr:uid="{938F393D-0073-475A-86D7-E657F655D3F2}"/>
    <cellStyle name="Calculation 32 2" xfId="5425" xr:uid="{CF53C453-3CCA-49AE-A887-ACEE996200F1}"/>
    <cellStyle name="Calculation 32 2 2" xfId="5426" xr:uid="{1492E8E7-16F5-45A2-AFC8-A8006370AE4F}"/>
    <cellStyle name="Calculation 32 2 3" xfId="5427" xr:uid="{086388AA-1EF0-4818-84CB-43672D585D7B}"/>
    <cellStyle name="Calculation 32 3" xfId="5428" xr:uid="{3A848284-9875-4B26-A82A-E5D75DAFF9C8}"/>
    <cellStyle name="Calculation 32 3 2" xfId="5429" xr:uid="{FDCF9E6F-F990-4806-8999-73403EC431C1}"/>
    <cellStyle name="Calculation 32 3 3" xfId="5430" xr:uid="{9723E1A8-1F4A-45A5-88CF-B24386CEF3F4}"/>
    <cellStyle name="Calculation 32 4" xfId="5431" xr:uid="{17BFDF3F-42C3-40D4-AD56-D935DA5D1A2A}"/>
    <cellStyle name="Calculation 32 5" xfId="5432" xr:uid="{6CB92C6C-E451-4E4C-9CAA-494ADB7DFAAF}"/>
    <cellStyle name="Calculation 32 6" xfId="5433" xr:uid="{61221BD2-F1B0-4B5B-8922-EF2937C5F091}"/>
    <cellStyle name="Calculation 32 7" xfId="5434" xr:uid="{14B1C30C-B436-4F15-8FFD-FF80FD189B5B}"/>
    <cellStyle name="Calculation 33" xfId="5435" xr:uid="{F2B167D1-E5F5-4EE1-8BB3-06F34292DA3B}"/>
    <cellStyle name="Calculation 33 2" xfId="5436" xr:uid="{43DDD5D0-CFA5-4BDF-964B-AF3D4F57886C}"/>
    <cellStyle name="Calculation 33 2 2" xfId="5437" xr:uid="{3D9026A0-C330-4730-AC71-8162F945F448}"/>
    <cellStyle name="Calculation 33 2 3" xfId="5438" xr:uid="{7638C520-F407-47BE-A15D-A27B8F9E7BFC}"/>
    <cellStyle name="Calculation 33 3" xfId="5439" xr:uid="{923DFE2F-4FCC-4551-8173-1638B05F2351}"/>
    <cellStyle name="Calculation 33 3 2" xfId="5440" xr:uid="{32C29A19-76D3-493C-8C8C-4809C30A7413}"/>
    <cellStyle name="Calculation 33 3 3" xfId="5441" xr:uid="{A8A13F94-82E8-46D7-8323-3FF4AC82F7BE}"/>
    <cellStyle name="Calculation 33 4" xfId="5442" xr:uid="{C31419A5-75FA-41EE-B432-7B967A4D93AF}"/>
    <cellStyle name="Calculation 33 5" xfId="5443" xr:uid="{E8C6ED0A-3BAE-4D38-9416-58D629E44460}"/>
    <cellStyle name="Calculation 33 6" xfId="5444" xr:uid="{B734E48E-CB45-4B7A-BCB0-4C6ED18AE2FB}"/>
    <cellStyle name="Calculation 33 7" xfId="5445" xr:uid="{8A31A095-57E1-4503-AF24-49DE03240738}"/>
    <cellStyle name="Calculation 34" xfId="5446" xr:uid="{EE74B7BE-A315-466B-8671-213E1337FB30}"/>
    <cellStyle name="Calculation 34 2" xfId="5447" xr:uid="{8C6499ED-C829-458F-8624-41B38262CF99}"/>
    <cellStyle name="Calculation 34 2 2" xfId="5448" xr:uid="{E4D366FC-D613-4ABA-831C-52FB7BF25628}"/>
    <cellStyle name="Calculation 34 2 3" xfId="5449" xr:uid="{8E23C894-1B42-49E7-8D2B-629525E68F06}"/>
    <cellStyle name="Calculation 34 3" xfId="5450" xr:uid="{36DA80D8-9AAE-436E-ABAC-33D9A73DF83B}"/>
    <cellStyle name="Calculation 34 3 2" xfId="5451" xr:uid="{26FD694B-7B5C-4D9F-A011-60DE645AC77B}"/>
    <cellStyle name="Calculation 34 3 3" xfId="5452" xr:uid="{ABC91FA2-2927-40B4-8357-CBED43ECAF3D}"/>
    <cellStyle name="Calculation 34 4" xfId="5453" xr:uid="{F88DEA84-EB8D-46C8-8208-C0742A31A4BF}"/>
    <cellStyle name="Calculation 34 5" xfId="5454" xr:uid="{0C44B9B7-FCAF-478B-B87C-5AB4F6D3E331}"/>
    <cellStyle name="Calculation 34 6" xfId="5455" xr:uid="{8CBACBB9-8EF7-4BB7-AE5E-F882368EF14A}"/>
    <cellStyle name="Calculation 34 7" xfId="5456" xr:uid="{50EC7DBB-4C06-4331-9200-E553D1436882}"/>
    <cellStyle name="Calculation 35" xfId="5457" xr:uid="{EFA570F8-7D36-4E0F-A6B6-8F1E44EE9F56}"/>
    <cellStyle name="Calculation 35 2" xfId="5458" xr:uid="{BCF77A78-C7AE-46ED-B227-C10AE73AB3FB}"/>
    <cellStyle name="Calculation 35 2 2" xfId="5459" xr:uid="{B6BFE2DF-136D-449C-ADC1-8CAC4623AAED}"/>
    <cellStyle name="Calculation 35 2 3" xfId="5460" xr:uid="{1079B1FD-0E88-4771-933E-40C875514A05}"/>
    <cellStyle name="Calculation 35 3" xfId="5461" xr:uid="{608E7CD1-BFF4-4548-8A72-249FD7266180}"/>
    <cellStyle name="Calculation 35 3 2" xfId="5462" xr:uid="{E05A7D14-3314-440E-9804-6B8787E42150}"/>
    <cellStyle name="Calculation 35 3 3" xfId="5463" xr:uid="{0422B8F2-257A-4D4F-9C41-DCCD8CA49454}"/>
    <cellStyle name="Calculation 35 4" xfId="5464" xr:uid="{EDD92AD3-078C-47C3-8E5A-FCDECB5C8E7E}"/>
    <cellStyle name="Calculation 35 5" xfId="5465" xr:uid="{33E61BBC-8D85-4677-853B-6A9A3C3D40C3}"/>
    <cellStyle name="Calculation 35 6" xfId="5466" xr:uid="{EDE29E8E-6953-4865-A44D-C05547FE0F93}"/>
    <cellStyle name="Calculation 35 7" xfId="5467" xr:uid="{778F11E0-3D81-43AE-8E52-DFE82A12D983}"/>
    <cellStyle name="Calculation 36" xfId="5468" xr:uid="{707F0FDC-9425-403E-BF6E-CB5132DC029C}"/>
    <cellStyle name="Calculation 36 2" xfId="5469" xr:uid="{E2FC9635-10F6-4BF3-B850-E1380947E22B}"/>
    <cellStyle name="Calculation 36 2 2" xfId="5470" xr:uid="{141045CB-F0F2-4E15-B176-629720D3796E}"/>
    <cellStyle name="Calculation 36 2 3" xfId="5471" xr:uid="{DEB3B755-41C0-4656-A627-CACF8638FA71}"/>
    <cellStyle name="Calculation 36 3" xfId="5472" xr:uid="{BCE468F3-6C56-4B3F-B71D-80785E557942}"/>
    <cellStyle name="Calculation 36 4" xfId="5473" xr:uid="{944B7A2E-0F8A-423F-992E-5C1CFE0C191D}"/>
    <cellStyle name="Calculation 36 5" xfId="5474" xr:uid="{9DC63B1F-CD04-481C-BBC5-BE94B1F2B838}"/>
    <cellStyle name="Calculation 36 6" xfId="5475" xr:uid="{5BAE4728-6030-4C5B-9F9B-3A278A688D2B}"/>
    <cellStyle name="Calculation 37" xfId="5476" xr:uid="{6D88B7B4-1C63-4787-884A-D4EB3A326B85}"/>
    <cellStyle name="Calculation 38" xfId="187" xr:uid="{9EF3B39E-CFFF-4B76-ADCE-1558233E0AB2}"/>
    <cellStyle name="Calculation 4" xfId="5477" xr:uid="{9234946E-110B-44F5-AAA4-84C3859DDB8D}"/>
    <cellStyle name="Calculation 4 2" xfId="5478" xr:uid="{433209DD-B56D-4482-8725-6FFA714C3AD6}"/>
    <cellStyle name="Calculation 4 2 2" xfId="5479" xr:uid="{5382A12A-A17C-4C94-A0C7-D46290450D7E}"/>
    <cellStyle name="Calculation 4 2 2 2" xfId="5480" xr:uid="{F8E3435D-8365-4256-96C5-0011CB483980}"/>
    <cellStyle name="Calculation 4 2 2 3" xfId="5481" xr:uid="{D72BA9DE-180D-463B-9A0E-333DB9122A69}"/>
    <cellStyle name="Calculation 4 2 3" xfId="5482" xr:uid="{AF80284C-D820-455E-8D12-1FDB58175912}"/>
    <cellStyle name="Calculation 4 2 3 2" xfId="5483" xr:uid="{ED9AD9F5-3172-4B72-82FB-4210E0BD5DF6}"/>
    <cellStyle name="Calculation 4 2 3 3" xfId="5484" xr:uid="{5DFE6D47-3B09-42DB-9A92-6C3E8646B125}"/>
    <cellStyle name="Calculation 4 2 4" xfId="5485" xr:uid="{5CE7A955-6B94-4A38-875B-2EEE20A73866}"/>
    <cellStyle name="Calculation 4 2 5" xfId="5486" xr:uid="{AD47438C-CB35-4428-B3D8-51EAB61B252A}"/>
    <cellStyle name="Calculation 4 2 6" xfId="5487" xr:uid="{5FD8D209-1D18-467B-9584-94D075AEAC0B}"/>
    <cellStyle name="Calculation 4 2 7" xfId="5488" xr:uid="{F85FC8FF-321A-4AF6-ACC8-FCDC9BDCCC98}"/>
    <cellStyle name="Calculation 4 3" xfId="5489" xr:uid="{FFFFEB2D-2105-4CDE-BB14-7CB081C8BA02}"/>
    <cellStyle name="Calculation 4 3 2" xfId="5490" xr:uid="{483326E6-2F86-4ADD-B0E2-91FB17E88961}"/>
    <cellStyle name="Calculation 4 3 2 2" xfId="5491" xr:uid="{3AAE6C89-911F-4E59-B8B1-C22849A7CF2D}"/>
    <cellStyle name="Calculation 4 3 2 3" xfId="5492" xr:uid="{D51A5E84-D905-4FBD-8C87-FC60EAAF9C2B}"/>
    <cellStyle name="Calculation 4 3 3" xfId="5493" xr:uid="{7B4D45A0-4FAB-4F7C-BE08-BE65C3ECFB9C}"/>
    <cellStyle name="Calculation 4 3 4" xfId="5494" xr:uid="{0A215EE5-21E1-4944-B4E1-8F461F2A56FD}"/>
    <cellStyle name="Calculation 4 4" xfId="5495" xr:uid="{96A3DA07-5485-4466-A7C0-477CB3C204E1}"/>
    <cellStyle name="Calculation 4 4 2" xfId="5496" xr:uid="{C4F508C6-BDF0-4AD0-B5F8-EE0E0713F976}"/>
    <cellStyle name="Calculation 4 4 3" xfId="5497" xr:uid="{6E2B86A6-3C4B-4318-984F-60EC5BEBD149}"/>
    <cellStyle name="Calculation 4 5" xfId="5498" xr:uid="{5246A962-43EB-4A52-ACF7-E30BCD492A34}"/>
    <cellStyle name="Calculation 4 6" xfId="5499" xr:uid="{2B33315B-DDFF-40FA-B16D-A163F5176F79}"/>
    <cellStyle name="Calculation 4 7" xfId="5500" xr:uid="{2D983126-736A-4041-8908-5AB283E5D9D7}"/>
    <cellStyle name="Calculation 4 8" xfId="5501" xr:uid="{C075EB4C-17C1-4DAC-B402-A1D97CB955E4}"/>
    <cellStyle name="Calculation 5" xfId="5502" xr:uid="{0D291D1C-A4AC-4D23-B6B7-7678770DE8F4}"/>
    <cellStyle name="Calculation 5 2" xfId="5503" xr:uid="{B9A303CB-71FE-46DE-997E-2F438EA60315}"/>
    <cellStyle name="Calculation 5 2 2" xfId="5504" xr:uid="{0E748539-45C3-4DAB-AF06-2E24199E0C99}"/>
    <cellStyle name="Calculation 5 2 2 2" xfId="5505" xr:uid="{E21026BA-2925-4BAE-BB11-DEE047891575}"/>
    <cellStyle name="Calculation 5 2 2 3" xfId="5506" xr:uid="{ED16F863-38AB-4213-9A16-7590614043B5}"/>
    <cellStyle name="Calculation 5 2 3" xfId="5507" xr:uid="{77A8D43E-8508-4C67-AF40-68D2EF40134B}"/>
    <cellStyle name="Calculation 5 2 3 2" xfId="5508" xr:uid="{9D3DB764-0598-44E9-B7C8-5B49BF239C7E}"/>
    <cellStyle name="Calculation 5 2 3 3" xfId="5509" xr:uid="{1138DF58-C4C9-492A-A974-6807D6466263}"/>
    <cellStyle name="Calculation 5 2 4" xfId="5510" xr:uid="{00CE4B4B-2149-4927-9D2C-971D165956B3}"/>
    <cellStyle name="Calculation 5 2 5" xfId="5511" xr:uid="{4111323E-7444-4A2C-A3EB-E2EBD71ECDBA}"/>
    <cellStyle name="Calculation 5 2 6" xfId="5512" xr:uid="{F3BFC232-6061-4EE0-A65D-0D9EDD045D51}"/>
    <cellStyle name="Calculation 5 2 7" xfId="5513" xr:uid="{3B8B4F9A-2AF9-49FA-AAAA-C20639052DAE}"/>
    <cellStyle name="Calculation 5 3" xfId="5514" xr:uid="{14804F7A-36E8-4DF8-9588-4DA5783A0CBA}"/>
    <cellStyle name="Calculation 5 3 2" xfId="5515" xr:uid="{1723C302-84DC-439B-B7B8-9C6B96E88369}"/>
    <cellStyle name="Calculation 5 3 2 2" xfId="5516" xr:uid="{BF9B6076-3E6E-44FF-9FA1-481BEE878523}"/>
    <cellStyle name="Calculation 5 3 2 3" xfId="5517" xr:uid="{2C698780-32DE-45D1-9758-0825A97BE081}"/>
    <cellStyle name="Calculation 5 3 3" xfId="5518" xr:uid="{734D61D2-2491-4B21-9872-13FDB350F750}"/>
    <cellStyle name="Calculation 5 3 4" xfId="5519" xr:uid="{F6223D6D-DC08-4FE8-BD5F-B9EC33E9C1DA}"/>
    <cellStyle name="Calculation 5 4" xfId="5520" xr:uid="{206E2229-3D4A-48B4-B2B2-ABF9FAFD6F60}"/>
    <cellStyle name="Calculation 5 4 2" xfId="5521" xr:uid="{D88FB3B9-45EE-40A1-96E0-209BD9676584}"/>
    <cellStyle name="Calculation 5 4 3" xfId="5522" xr:uid="{E78F3FDF-F724-4ECF-B130-6C3AB78C980E}"/>
    <cellStyle name="Calculation 5 5" xfId="5523" xr:uid="{F5A7ECB3-08E6-4396-B49B-1C0511716681}"/>
    <cellStyle name="Calculation 5 6" xfId="5524" xr:uid="{9E6E5984-0CDA-459C-BC58-8DE5176A98AF}"/>
    <cellStyle name="Calculation 5 7" xfId="5525" xr:uid="{51BAE482-B2E4-4851-9D61-246CD4D30E05}"/>
    <cellStyle name="Calculation 5 8" xfId="5526" xr:uid="{9793CF70-AD37-4B2D-AE1C-5B839CBBC641}"/>
    <cellStyle name="Calculation 6" xfId="5527" xr:uid="{ED7BD4F9-34E6-4EAE-B7AE-F63B81337985}"/>
    <cellStyle name="Calculation 6 2" xfId="5528" xr:uid="{F181A1DD-2B7F-4395-8C50-1F16A5483689}"/>
    <cellStyle name="Calculation 6 2 2" xfId="5529" xr:uid="{12BC12CF-8B4F-4743-83D3-273892A4D476}"/>
    <cellStyle name="Calculation 6 2 2 2" xfId="5530" xr:uid="{D4F2294A-EDF1-4608-A8AA-96402C9FDE6E}"/>
    <cellStyle name="Calculation 6 2 2 3" xfId="5531" xr:uid="{C7B21398-9FAF-4402-8CE8-7DA0BD22C430}"/>
    <cellStyle name="Calculation 6 2 3" xfId="5532" xr:uid="{70883203-1344-491B-8921-CC456AB5ED2C}"/>
    <cellStyle name="Calculation 6 2 3 2" xfId="5533" xr:uid="{93D0B82C-6E4E-4AB7-8FB9-08CD90D10580}"/>
    <cellStyle name="Calculation 6 2 3 3" xfId="5534" xr:uid="{B7148CDA-F1FA-4B85-BC67-952FE0EB2376}"/>
    <cellStyle name="Calculation 6 2 4" xfId="5535" xr:uid="{E8093A14-6272-4BAD-A58B-DAB8F6AE5BA1}"/>
    <cellStyle name="Calculation 6 2 5" xfId="5536" xr:uid="{61C50157-6F36-4B45-B2C3-97DAFC90F42C}"/>
    <cellStyle name="Calculation 6 2 6" xfId="5537" xr:uid="{1B5EC477-7DF9-4E1A-9EC1-616657E6CE64}"/>
    <cellStyle name="Calculation 6 2 7" xfId="5538" xr:uid="{B1E822D8-FBE0-4D55-A266-B853ED684CB1}"/>
    <cellStyle name="Calculation 6 3" xfId="5539" xr:uid="{85D57B29-D168-4DC4-9C14-313BBEACDA83}"/>
    <cellStyle name="Calculation 6 3 2" xfId="5540" xr:uid="{D0112475-0330-483E-8F8B-A0738D0C49A6}"/>
    <cellStyle name="Calculation 6 3 2 2" xfId="5541" xr:uid="{3DD23E58-08D6-4D26-A26A-D79E28687065}"/>
    <cellStyle name="Calculation 6 3 2 3" xfId="5542" xr:uid="{26C1D04B-4CDB-4AF3-8F53-428AB60DA659}"/>
    <cellStyle name="Calculation 6 3 3" xfId="5543" xr:uid="{ECACC2B7-1875-469C-A8D0-AB6099A16595}"/>
    <cellStyle name="Calculation 6 3 4" xfId="5544" xr:uid="{64EFDA41-D349-44A7-B06F-1671408CD39A}"/>
    <cellStyle name="Calculation 6 4" xfId="5545" xr:uid="{B74B86CC-58D4-45E9-880C-95F090EC8F91}"/>
    <cellStyle name="Calculation 6 4 2" xfId="5546" xr:uid="{B5A6574A-59E4-4235-8CFF-E18EF905EA0A}"/>
    <cellStyle name="Calculation 6 4 3" xfId="5547" xr:uid="{B9B497D8-A7F0-4445-889B-9C23BE00C0D7}"/>
    <cellStyle name="Calculation 6 5" xfId="5548" xr:uid="{722EB732-9F12-42BB-9144-C6DFAB309C16}"/>
    <cellStyle name="Calculation 6 6" xfId="5549" xr:uid="{C428E863-42DB-4D6E-86E1-9664258BB1A7}"/>
    <cellStyle name="Calculation 6 7" xfId="5550" xr:uid="{1856687A-9BDF-4715-9F9A-4D0EE9446142}"/>
    <cellStyle name="Calculation 6 8" xfId="5551" xr:uid="{B13ED22A-94C4-4EA7-8901-904BC7A377C9}"/>
    <cellStyle name="Calculation 7" xfId="5552" xr:uid="{6A6BC11D-1CD2-4D7B-8A33-482C7F002929}"/>
    <cellStyle name="Calculation 7 2" xfId="5553" xr:uid="{42CD656F-EF04-4700-B904-7C6D2DCC00ED}"/>
    <cellStyle name="Calculation 7 2 2" xfId="5554" xr:uid="{E25979AE-D7BF-437D-B9E3-546C1549F319}"/>
    <cellStyle name="Calculation 7 2 2 2" xfId="5555" xr:uid="{CBE0E68E-ECD2-487B-BC10-56D2C5014D33}"/>
    <cellStyle name="Calculation 7 2 2 3" xfId="5556" xr:uid="{38CA229D-0F64-4B3F-A0ED-2A168EEDB376}"/>
    <cellStyle name="Calculation 7 2 3" xfId="5557" xr:uid="{3FF5AAD0-554D-49DA-81CF-B98638C4D3ED}"/>
    <cellStyle name="Calculation 7 2 3 2" xfId="5558" xr:uid="{C5D8C176-119E-45A6-A4AD-F5E1A48B896A}"/>
    <cellStyle name="Calculation 7 2 3 3" xfId="5559" xr:uid="{43E13458-2349-4401-AA05-10C6F89176AE}"/>
    <cellStyle name="Calculation 7 2 4" xfId="5560" xr:uid="{881782F8-0B5A-4E3E-8CA5-02E0616FAF7D}"/>
    <cellStyle name="Calculation 7 2 5" xfId="5561" xr:uid="{8B6474C1-0F88-4E11-951B-194561CCE7E4}"/>
    <cellStyle name="Calculation 7 2 6" xfId="5562" xr:uid="{C8B77A8E-4E15-4AB7-8E63-F77F4C8C0540}"/>
    <cellStyle name="Calculation 7 2 7" xfId="5563" xr:uid="{E6D5E007-FFB9-4D4C-AB60-8CA146DD5626}"/>
    <cellStyle name="Calculation 7 3" xfId="5564" xr:uid="{D2342384-441D-4591-B4F9-AEFC36F171F8}"/>
    <cellStyle name="Calculation 7 3 2" xfId="5565" xr:uid="{B5B675E1-E0D3-4AF2-B632-40890838A331}"/>
    <cellStyle name="Calculation 7 3 2 2" xfId="5566" xr:uid="{BF95E83E-D6C8-431A-9703-AA5A14C4D04F}"/>
    <cellStyle name="Calculation 7 3 2 3" xfId="5567" xr:uid="{D2D0E2F6-BD70-4927-8E77-D96DE34517C2}"/>
    <cellStyle name="Calculation 7 3 3" xfId="5568" xr:uid="{280617DA-A0AD-431D-891A-79E1FDA22DA7}"/>
    <cellStyle name="Calculation 7 3 4" xfId="5569" xr:uid="{B1CF48DC-8B7F-4232-B30D-E579F7AB4B85}"/>
    <cellStyle name="Calculation 7 4" xfId="5570" xr:uid="{0917D1EB-7917-44CF-AEA7-02C326E3629B}"/>
    <cellStyle name="Calculation 7 4 2" xfId="5571" xr:uid="{87F42ACF-C650-47B3-96D5-22CE0479376A}"/>
    <cellStyle name="Calculation 7 4 3" xfId="5572" xr:uid="{227EAEBB-CD4D-42B8-B6EB-802AD99A4A3E}"/>
    <cellStyle name="Calculation 7 5" xfId="5573" xr:uid="{85797021-AA89-4902-B975-B5F97C6EF7D4}"/>
    <cellStyle name="Calculation 7 6" xfId="5574" xr:uid="{C6A7233E-3ADB-4428-A3F6-067D7ABFF696}"/>
    <cellStyle name="Calculation 7 7" xfId="5575" xr:uid="{36A66D05-6C6A-4D8B-86E7-69052E5723DD}"/>
    <cellStyle name="Calculation 7 8" xfId="5576" xr:uid="{CB6D1ACE-00E1-4D19-B46F-5A4ABCDEFD2E}"/>
    <cellStyle name="Calculation 8" xfId="5577" xr:uid="{263FD5C0-BDFF-4266-BD8C-CA561DA04E42}"/>
    <cellStyle name="Calculation 8 2" xfId="5578" xr:uid="{D2615E29-430F-4501-8855-5D5763573DB2}"/>
    <cellStyle name="Calculation 8 2 2" xfId="5579" xr:uid="{8452814B-8531-485E-84AF-9217D77CEA74}"/>
    <cellStyle name="Calculation 8 2 2 2" xfId="5580" xr:uid="{F2C813C2-333C-4DB4-8B17-CF0DD1FDA284}"/>
    <cellStyle name="Calculation 8 2 2 3" xfId="5581" xr:uid="{216BB87D-FF4B-491E-89DF-212E95021EBE}"/>
    <cellStyle name="Calculation 8 2 3" xfId="5582" xr:uid="{E7D49A27-E17D-4DE2-931A-E9C2DB145742}"/>
    <cellStyle name="Calculation 8 2 3 2" xfId="5583" xr:uid="{40045015-0C58-48DF-850E-E19C4F7F6279}"/>
    <cellStyle name="Calculation 8 2 3 3" xfId="5584" xr:uid="{93AA9FF7-EDFD-4924-884A-1E89282B0E5B}"/>
    <cellStyle name="Calculation 8 2 4" xfId="5585" xr:uid="{3DC4B80A-5CDE-420B-AA20-46EF56B05B16}"/>
    <cellStyle name="Calculation 8 2 5" xfId="5586" xr:uid="{0BE092CA-899E-4DE0-868E-3B2D845CE096}"/>
    <cellStyle name="Calculation 8 2 6" xfId="5587" xr:uid="{BBA4874A-E09A-46F0-9B0D-30382F542E5A}"/>
    <cellStyle name="Calculation 8 2 7" xfId="5588" xr:uid="{1C1E4EAD-5B7A-45AF-B113-22374C55554C}"/>
    <cellStyle name="Calculation 8 3" xfId="5589" xr:uid="{F710CD32-147D-4136-9DC6-9CB100732AB6}"/>
    <cellStyle name="Calculation 8 3 2" xfId="5590" xr:uid="{C5A4AA92-27CF-4ADE-A784-D82A4CDAE560}"/>
    <cellStyle name="Calculation 8 3 2 2" xfId="5591" xr:uid="{E0E3DB6F-753F-4820-A412-A9AEFE9F55E2}"/>
    <cellStyle name="Calculation 8 3 2 3" xfId="5592" xr:uid="{06A04FF4-6B65-48BC-BB67-53E35396DF02}"/>
    <cellStyle name="Calculation 8 3 3" xfId="5593" xr:uid="{680335D0-5E5D-4475-A6DA-9CF1AE3CF898}"/>
    <cellStyle name="Calculation 8 3 4" xfId="5594" xr:uid="{74951886-3F23-44CA-8700-ADF7BA67D059}"/>
    <cellStyle name="Calculation 8 4" xfId="5595" xr:uid="{0178B0EC-DBB7-4B50-8F00-50F2F49E7B43}"/>
    <cellStyle name="Calculation 8 4 2" xfId="5596" xr:uid="{ABBBB985-233A-453C-ABB8-F44B0FA7B5B7}"/>
    <cellStyle name="Calculation 8 4 3" xfId="5597" xr:uid="{1C8C1A77-47CB-4009-BB6E-CF3B9A270114}"/>
    <cellStyle name="Calculation 8 5" xfId="5598" xr:uid="{75B984B5-942D-4DD2-9A4C-314389AE30C7}"/>
    <cellStyle name="Calculation 8 6" xfId="5599" xr:uid="{EAD853B3-776E-48FE-902B-CF7B39ED0366}"/>
    <cellStyle name="Calculation 8 7" xfId="5600" xr:uid="{CD9F8465-C6B6-44D7-AFBE-92D221911427}"/>
    <cellStyle name="Calculation 8 8" xfId="5601" xr:uid="{69D0D5A9-3C53-4B15-9C2B-6FAF177DC92B}"/>
    <cellStyle name="Calculation 9" xfId="5602" xr:uid="{673AE354-A18C-463D-B675-D0B667DF378F}"/>
    <cellStyle name="Calculation 9 2" xfId="5603" xr:uid="{E8F8BDBF-596E-4C4C-B6A2-8A79DE876CA9}"/>
    <cellStyle name="Calculation 9 2 2" xfId="5604" xr:uid="{AA9F4873-7F5D-4BD6-AE9F-E7F04BFC934B}"/>
    <cellStyle name="Calculation 9 2 2 2" xfId="5605" xr:uid="{3AE4214C-E1FF-4819-9F57-598AD9CE02B5}"/>
    <cellStyle name="Calculation 9 2 2 3" xfId="5606" xr:uid="{647E5FA1-41BA-4496-BDA5-73E78745610D}"/>
    <cellStyle name="Calculation 9 2 3" xfId="5607" xr:uid="{7A423CAD-D457-464F-AD41-65BD5673E82C}"/>
    <cellStyle name="Calculation 9 2 3 2" xfId="5608" xr:uid="{8B02020E-F4A9-42AD-9468-77B99C539B2E}"/>
    <cellStyle name="Calculation 9 2 3 3" xfId="5609" xr:uid="{5F731890-4091-46CD-AA80-4CDA83BC8C25}"/>
    <cellStyle name="Calculation 9 2 4" xfId="5610" xr:uid="{D6B0C712-5FC2-4EBA-BD35-D4685094FE6D}"/>
    <cellStyle name="Calculation 9 2 5" xfId="5611" xr:uid="{086A757B-F1C3-43B8-9D7E-AA6E0ADA65C3}"/>
    <cellStyle name="Calculation 9 2 6" xfId="5612" xr:uid="{6286E3AF-58ED-46FC-B529-50663BF888C4}"/>
    <cellStyle name="Calculation 9 2 7" xfId="5613" xr:uid="{00B4AC90-9659-4871-BC71-6F735905FD92}"/>
    <cellStyle name="Calculation 9 3" xfId="5614" xr:uid="{6CD5B8D1-C087-4599-98DA-C51FFD222563}"/>
    <cellStyle name="Calculation 9 3 2" xfId="5615" xr:uid="{76BFF099-ED15-498A-A09D-8DE46A38BA37}"/>
    <cellStyle name="Calculation 9 3 2 2" xfId="5616" xr:uid="{FD623070-2F2C-4CDF-BBF9-33C49E3389E2}"/>
    <cellStyle name="Calculation 9 3 2 3" xfId="5617" xr:uid="{218611D8-6709-4BB3-8EF7-604B044ADF58}"/>
    <cellStyle name="Calculation 9 3 3" xfId="5618" xr:uid="{D5D0A04B-2010-4364-8C4D-0424735FBE4A}"/>
    <cellStyle name="Calculation 9 3 4" xfId="5619" xr:uid="{EC90415E-4C4C-4379-906A-23C7072AB17B}"/>
    <cellStyle name="Calculation 9 4" xfId="5620" xr:uid="{E3A08A27-8081-4B4F-995B-6980F1439C9D}"/>
    <cellStyle name="Calculation 9 4 2" xfId="5621" xr:uid="{D791C313-2B9A-41F1-A457-723DBB948066}"/>
    <cellStyle name="Calculation 9 4 3" xfId="5622" xr:uid="{83D395E7-69F2-4596-BB52-AE06410D968E}"/>
    <cellStyle name="Calculation 9 5" xfId="5623" xr:uid="{8C038786-DC84-40C2-9E1E-2A47EB32AEA3}"/>
    <cellStyle name="Calculation 9 6" xfId="5624" xr:uid="{8A14251A-9868-4700-B546-D436B56781D9}"/>
    <cellStyle name="Calculation 9 7" xfId="5625" xr:uid="{B0A73019-04B8-4B8F-9E46-1C3E4D447333}"/>
    <cellStyle name="Calculation 9 8" xfId="5626" xr:uid="{C7533E78-FA30-4F84-9E59-E38764DCD408}"/>
    <cellStyle name="Cancel" xfId="40450" xr:uid="{BA244F0E-4020-4C6A-8FC7-9CFF74DFD384}"/>
    <cellStyle name="Check Cell 10" xfId="5627" xr:uid="{19B462D1-50E1-4D97-AD62-768F13F075A9}"/>
    <cellStyle name="Check Cell 10 2" xfId="5628" xr:uid="{4DA1C3A7-025B-43CC-A9BE-636097BF8AD0}"/>
    <cellStyle name="Check Cell 10 3" xfId="5629" xr:uid="{7728A364-9ED8-495F-9763-311128D2CC10}"/>
    <cellStyle name="Check Cell 11" xfId="5630" xr:uid="{F8D5659C-FB81-4860-881C-D364705F2ED0}"/>
    <cellStyle name="Check Cell 11 2" xfId="5631" xr:uid="{41B3CBC6-C923-4D8E-805B-2C030BB13631}"/>
    <cellStyle name="Check Cell 11 3" xfId="5632" xr:uid="{73DC8F76-AFC0-46E1-A054-C1A22F7926DF}"/>
    <cellStyle name="Check Cell 12" xfId="5633" xr:uid="{ACCAF1CA-087A-4A1B-9FC3-F068A66FC113}"/>
    <cellStyle name="Check Cell 12 2" xfId="5634" xr:uid="{33D10C9A-8991-4BEB-89A8-0BA122614162}"/>
    <cellStyle name="Check Cell 13" xfId="5635" xr:uid="{5F9EE619-2D1A-4FF1-A2E5-D872B058CF8C}"/>
    <cellStyle name="Check Cell 13 2" xfId="5636" xr:uid="{C39B5AAB-C811-42CE-ACAB-F4B7F020AB06}"/>
    <cellStyle name="Check Cell 14" xfId="5637" xr:uid="{D4FD8F3E-0C40-47D0-BE85-D9435466E9CF}"/>
    <cellStyle name="Check Cell 14 2" xfId="5638" xr:uid="{8B283E25-59F9-4B2A-9DBC-CF63389ED2A1}"/>
    <cellStyle name="Check Cell 15" xfId="5639" xr:uid="{96564261-60BB-447D-8B19-987AB3D1C5B8}"/>
    <cellStyle name="Check Cell 15 2" xfId="5640" xr:uid="{1E9B564F-C91B-4D87-AFF0-A38C9D878903}"/>
    <cellStyle name="Check Cell 16" xfId="5641" xr:uid="{1EA7C075-E40E-462E-AE6C-5E25EA644DF9}"/>
    <cellStyle name="Check Cell 16 2" xfId="5642" xr:uid="{80F2E2A6-8DD8-4180-8B9D-7037AD67971C}"/>
    <cellStyle name="Check Cell 17" xfId="5643" xr:uid="{91D4740E-7DFD-499B-8C7E-6796A532D5EB}"/>
    <cellStyle name="Check Cell 17 2" xfId="5644" xr:uid="{6C39BDAE-E1D7-41F9-A5A8-6695C8869E46}"/>
    <cellStyle name="Check Cell 18" xfId="5645" xr:uid="{039E3DBD-E697-4C20-B158-3CB3D5BAB8E5}"/>
    <cellStyle name="Check Cell 18 2" xfId="5646" xr:uid="{C0466870-9043-4E63-9E38-D966D32368ED}"/>
    <cellStyle name="Check Cell 19" xfId="5647" xr:uid="{B2F87C3F-42DA-419D-BE95-34B55804EF62}"/>
    <cellStyle name="Check Cell 19 2" xfId="5648" xr:uid="{FFE4C1B3-5AB5-45C2-B145-68F371DEB23F}"/>
    <cellStyle name="Check Cell 2" xfId="5649" xr:uid="{41280516-E02C-4B38-BDC1-9B10E16FD7AD}"/>
    <cellStyle name="Check Cell 2 2" xfId="5650" xr:uid="{7AC02AB5-E6F8-4E35-8F4F-4DF8BA21152F}"/>
    <cellStyle name="Check Cell 2 3" xfId="5651" xr:uid="{934398B3-338C-4DB0-9239-785A794C7462}"/>
    <cellStyle name="Check Cell 2 3 2" xfId="5652" xr:uid="{DDD7253D-14C4-461F-BB3E-F6248994E725}"/>
    <cellStyle name="Check Cell 2 3 3" xfId="5653" xr:uid="{FBFCFF21-FE08-43D6-81C2-12DD1A3C5706}"/>
    <cellStyle name="Check Cell 2 4" xfId="40451" xr:uid="{8B6B5723-59B3-4F96-9CD8-0660373E5C42}"/>
    <cellStyle name="Check Cell 2_PwrTax 51040" xfId="5654" xr:uid="{EAA58C52-3587-42D7-BF1A-330628D53AA1}"/>
    <cellStyle name="Check Cell 20" xfId="5655" xr:uid="{D0BA2012-3484-49D3-8763-A0D31F41BD62}"/>
    <cellStyle name="Check Cell 21" xfId="5656" xr:uid="{397332A1-6226-4D37-AB79-328742CE4106}"/>
    <cellStyle name="Check Cell 22" xfId="5657" xr:uid="{3700BD68-1F64-401C-BB2A-D8B98DC63F9E}"/>
    <cellStyle name="Check Cell 23" xfId="5658" xr:uid="{2DD3963B-BA61-4B00-8F3B-7716B012DF2B}"/>
    <cellStyle name="Check Cell 24" xfId="5659" xr:uid="{9397EAE1-FBDB-46CD-9520-6F7062C5A2A9}"/>
    <cellStyle name="Check Cell 25" xfId="5660" xr:uid="{DD4DC86A-74EE-4BD3-A763-C6E4DC8870D4}"/>
    <cellStyle name="Check Cell 26" xfId="5661" xr:uid="{5954E6EE-5310-4264-8EB5-A0CFED105ACF}"/>
    <cellStyle name="Check Cell 27" xfId="5662" xr:uid="{56D63362-C95C-4A6A-B9B8-98FB4D8DA778}"/>
    <cellStyle name="Check Cell 28" xfId="5663" xr:uid="{D3FBA44E-88B7-496A-8EBB-059227200F7A}"/>
    <cellStyle name="Check Cell 29" xfId="5664" xr:uid="{8F941690-8D19-44B6-BC90-7F037107CA18}"/>
    <cellStyle name="Check Cell 3" xfId="5665" xr:uid="{A298799A-2078-412D-B142-90E49CFC4072}"/>
    <cellStyle name="Check Cell 3 2" xfId="5666" xr:uid="{C7206C5B-489E-4C9C-9FB4-3E0EAFB82792}"/>
    <cellStyle name="Check Cell 3 3" xfId="5667" xr:uid="{6F0A2C8D-61FA-41BE-A137-F9CA77ABA933}"/>
    <cellStyle name="Check Cell 3 3 2" xfId="5668" xr:uid="{9B60B8EA-5068-4909-8ADC-9678005844B2}"/>
    <cellStyle name="Check Cell 3 3 3" xfId="5669" xr:uid="{C87BFB69-4D06-4005-BC0E-609CBADDD11A}"/>
    <cellStyle name="Check Cell 3 4" xfId="40452" xr:uid="{FE539EA0-CCEC-4855-A913-17FACBB61340}"/>
    <cellStyle name="Check Cell 30" xfId="5670" xr:uid="{6F10C6BB-F9C6-4796-B03C-05ECDDA59DD8}"/>
    <cellStyle name="Check Cell 31" xfId="5671" xr:uid="{779FD8E4-A3B9-4305-8898-8E2A4DC0C835}"/>
    <cellStyle name="Check Cell 32" xfId="5672" xr:uid="{CA6B3CA9-6A71-4753-9718-63229522CA2E}"/>
    <cellStyle name="Check Cell 33" xfId="5673" xr:uid="{ADEA3334-2452-4B52-8748-559A47FB47AA}"/>
    <cellStyle name="Check Cell 34" xfId="5674" xr:uid="{B8799F6F-A715-41A0-9FE0-50C042BFB037}"/>
    <cellStyle name="Check Cell 35" xfId="5675" xr:uid="{5138B058-14E0-4B5D-8AED-D4ECDEE8D804}"/>
    <cellStyle name="Check Cell 36" xfId="5676" xr:uid="{0B727E6B-0685-4E3C-978C-31060B42A885}"/>
    <cellStyle name="Check Cell 37" xfId="40453" xr:uid="{73A43A88-89DF-4359-8741-8DA1DB94AB0B}"/>
    <cellStyle name="Check Cell 38" xfId="188" xr:uid="{097FCA90-700F-4792-B8BF-48C1037C48E9}"/>
    <cellStyle name="Check Cell 4" xfId="5677" xr:uid="{983C0DBC-E43E-432E-9B63-27217EAC4982}"/>
    <cellStyle name="Check Cell 4 2" xfId="5678" xr:uid="{3E8C0E87-D82A-4C3E-9A42-CBACCEBDD191}"/>
    <cellStyle name="Check Cell 4 3" xfId="5679" xr:uid="{8F0AF645-4DD2-48FA-A295-DE8345C91B93}"/>
    <cellStyle name="Check Cell 5" xfId="5680" xr:uid="{75CD3382-9AB8-4C72-A3B4-924C532FCFED}"/>
    <cellStyle name="Check Cell 5 2" xfId="5681" xr:uid="{57191DE0-CC1C-4719-BAEE-0CB1E4ADC6BC}"/>
    <cellStyle name="Check Cell 5 3" xfId="5682" xr:uid="{685B14F5-8F26-4943-94FD-2CF6E3AF43A8}"/>
    <cellStyle name="Check Cell 6" xfId="5683" xr:uid="{3F67ECA8-1346-4D1A-9BA0-A6A372EA346C}"/>
    <cellStyle name="Check Cell 6 2" xfId="5684" xr:uid="{B3BC7469-AFF5-45C2-B632-2ABC5C1D9551}"/>
    <cellStyle name="Check Cell 6 3" xfId="5685" xr:uid="{4930564E-34D8-4013-A7B5-F8B6DEF8AA88}"/>
    <cellStyle name="Check Cell 7" xfId="5686" xr:uid="{B0822CF7-6669-47A3-BDC3-722F1A835C7D}"/>
    <cellStyle name="Check Cell 7 2" xfId="5687" xr:uid="{226FBCE9-085A-4EFC-AB1E-FD771DDC92FA}"/>
    <cellStyle name="Check Cell 7 3" xfId="5688" xr:uid="{9F1D4325-FBF7-4485-A1BE-E23C5026F002}"/>
    <cellStyle name="Check Cell 8" xfId="5689" xr:uid="{9E759C16-BE5F-4307-B7FC-DF4D3492894D}"/>
    <cellStyle name="Check Cell 8 2" xfId="5690" xr:uid="{E880766E-7AA8-4A3A-A04A-9C3D7E04A762}"/>
    <cellStyle name="Check Cell 8 3" xfId="5691" xr:uid="{7EDACF30-17DF-4CB2-860D-4F49299EB2DD}"/>
    <cellStyle name="Check Cell 9" xfId="5692" xr:uid="{C95FDD67-0DCA-499D-A948-A94333B7F9F8}"/>
    <cellStyle name="Check Cell 9 2" xfId="5693" xr:uid="{BB526BEF-5505-4FDB-8A77-0C569F112FAC}"/>
    <cellStyle name="Check Cell 9 3" xfId="5694" xr:uid="{9F5A07F9-6812-4700-BC02-155009E9CD9C}"/>
    <cellStyle name="Comma" xfId="48" builtinId="3"/>
    <cellStyle name="Comma  - Style1" xfId="40454" xr:uid="{5C149FF0-14C9-4694-8FB1-6B4780CD5158}"/>
    <cellStyle name="Comma  - Style2" xfId="40455" xr:uid="{97C0C4D9-DC8B-493D-BEE3-52441CDCF763}"/>
    <cellStyle name="Comma  - Style3" xfId="40456" xr:uid="{A0B1642F-B97D-462F-A4DA-2B718A29D299}"/>
    <cellStyle name="Comma  - Style4" xfId="40457" xr:uid="{C01377D1-800E-4C06-BAEE-BBDFF915D98E}"/>
    <cellStyle name="Comma  - Style5" xfId="40458" xr:uid="{5DE277C2-3ED1-4D2E-B1CB-13ABED70E26C}"/>
    <cellStyle name="Comma  - Style6" xfId="40459" xr:uid="{68AB5FA0-0601-495C-BDEE-80DE1B671DB1}"/>
    <cellStyle name="Comma  - Style7" xfId="40460" xr:uid="{6F7B6C54-CD88-4E97-815A-01C3A210D25D}"/>
    <cellStyle name="Comma  - Style8" xfId="40461" xr:uid="{E63B18C0-1433-4CF9-8BAC-851BE44E0A8C}"/>
    <cellStyle name="Comma [0] 10" xfId="5695" xr:uid="{6F5C1074-EA1E-4C9F-B95A-4139417F42E1}"/>
    <cellStyle name="Comma [0] 10 2" xfId="33029" xr:uid="{101F5B25-CDD6-4DB3-BDA9-90CE57E291AE}"/>
    <cellStyle name="Comma [0] 10 2 2" xfId="40462" xr:uid="{BD6864DB-FB7D-4586-A282-1EDF95F14B3E}"/>
    <cellStyle name="Comma [0] 10 2 3" xfId="40463" xr:uid="{943A8BC6-CC4C-4F57-972F-E67C014394AD}"/>
    <cellStyle name="Comma [0] 10 3" xfId="40464" xr:uid="{A15BFEFA-E8FE-45E4-8A2D-EB174F7F281C}"/>
    <cellStyle name="Comma [0] 10 4" xfId="40465" xr:uid="{8D11AA45-66BA-4040-8EC4-133D867B9118}"/>
    <cellStyle name="Comma [0] 10 5" xfId="40466" xr:uid="{3F3568CC-B343-44A0-B31D-595ED3E31BA5}"/>
    <cellStyle name="Comma [0] 10 6" xfId="40467" xr:uid="{99C6D82B-F48C-4BCA-8852-52796101422C}"/>
    <cellStyle name="Comma [0] 11" xfId="33040" xr:uid="{246EE7B2-C7DD-4F6A-985D-4128C7DB8C20}"/>
    <cellStyle name="Comma [0] 11 2" xfId="40468" xr:uid="{42BA1D4B-3AEB-46B3-8EFE-4178DAD84D81}"/>
    <cellStyle name="Comma [0] 11 3" xfId="40469" xr:uid="{BA487452-721E-4491-84BE-B94168C69238}"/>
    <cellStyle name="Comma [0] 12" xfId="40470" xr:uid="{58E91652-F592-45DD-B84D-0581A9861ACB}"/>
    <cellStyle name="Comma [0] 12 2" xfId="40471" xr:uid="{5C0EABEB-7475-48CE-A3FC-E7E6F5A3C581}"/>
    <cellStyle name="Comma [0] 12 2 2" xfId="40472" xr:uid="{9D18AA47-1F55-497C-81F5-EDA20C33B413}"/>
    <cellStyle name="Comma [0] 13" xfId="40473" xr:uid="{9EF41BFF-4900-454C-B840-DA40DB54F0A7}"/>
    <cellStyle name="Comma [0] 14" xfId="40474" xr:uid="{AF05A91B-7B19-430B-8C50-EF051EE9DC4A}"/>
    <cellStyle name="Comma [0] 15" xfId="40475" xr:uid="{40344385-CBE3-4DED-8A90-688A6345DB10}"/>
    <cellStyle name="Comma [0] 2" xfId="5696" xr:uid="{23CC5CFC-BC1C-42AF-B0BD-8E531AC450F7}"/>
    <cellStyle name="Comma [0] 2 10" xfId="5697" xr:uid="{8A2B528C-B6D8-4473-BCC9-96D77953FE80}"/>
    <cellStyle name="Comma [0] 2 11" xfId="5698" xr:uid="{4629B9DC-04B8-4ACC-8ADD-976CBC1F2338}"/>
    <cellStyle name="Comma [0] 2 12" xfId="5699" xr:uid="{D8DB75A2-F870-40ED-99CD-F53F15BAA0F2}"/>
    <cellStyle name="Comma [0] 2 13" xfId="5700" xr:uid="{B70360A1-D258-4151-BDA1-7FE2625CC1F4}"/>
    <cellStyle name="Comma [0] 2 14" xfId="5701" xr:uid="{08C754CE-8F32-4E84-B410-9B92C4D76E38}"/>
    <cellStyle name="Comma [0] 2 15" xfId="5702" xr:uid="{1996572A-D6DF-4F6D-B49A-65FB3EFA4DC3}"/>
    <cellStyle name="Comma [0] 2 16" xfId="5703" xr:uid="{B44B000B-996E-4177-9A00-4E13293CD44F}"/>
    <cellStyle name="Comma [0] 2 17" xfId="5704" xr:uid="{2D55E78F-C274-46D9-8850-BF05D2618E95}"/>
    <cellStyle name="Comma [0] 2 2" xfId="5705" xr:uid="{4718356C-F8E9-40CE-B630-BFB604E579D6}"/>
    <cellStyle name="Comma [0] 2 2 2" xfId="5706" xr:uid="{3A03C003-CB20-40B5-BC14-B334D923BD8A}"/>
    <cellStyle name="Comma [0] 2 3" xfId="5707" xr:uid="{A9B056B8-8F05-422F-B2BD-7844EB06B2DA}"/>
    <cellStyle name="Comma [0] 2 3 2" xfId="40476" xr:uid="{2286F52A-4A28-459A-BC08-F36DA733FC79}"/>
    <cellStyle name="Comma [0] 2 4" xfId="5708" xr:uid="{9FACE9DA-72D8-48A4-85B6-6FF66F887A37}"/>
    <cellStyle name="Comma [0] 2 5" xfId="5709" xr:uid="{6EA4C5A2-E34F-4808-9D13-61EF2CDAE471}"/>
    <cellStyle name="Comma [0] 2 6" xfId="5710" xr:uid="{7001901D-E919-47AA-8E6B-D9383E99AF82}"/>
    <cellStyle name="Comma [0] 2 7" xfId="5711" xr:uid="{55A70F5F-EF50-4ADC-9DBB-17AC049A3294}"/>
    <cellStyle name="Comma [0] 2 8" xfId="5712" xr:uid="{6ABC8C48-69CA-4B3C-A4F5-9073E8855283}"/>
    <cellStyle name="Comma [0] 2 9" xfId="5713" xr:uid="{D0BA7AC8-DED6-4FF5-9DD5-00A4B46A7E49}"/>
    <cellStyle name="Comma [0] 20" xfId="40477" xr:uid="{340AE5ED-9501-4F79-9DDA-5864498F1703}"/>
    <cellStyle name="Comma [0] 20 2" xfId="40478" xr:uid="{724A2E22-9BD2-45D2-889E-E6AF089A873A}"/>
    <cellStyle name="Comma [0] 20 3" xfId="40479" xr:uid="{8FEFEF3A-D8EA-4758-A984-84B584099D16}"/>
    <cellStyle name="Comma [0] 3" xfId="5714" xr:uid="{C613305B-C882-4054-911E-F861C43A1C49}"/>
    <cellStyle name="Comma [0] 3 2" xfId="40" xr:uid="{EC5EA9AE-B745-47C8-AFE6-56FBEE149A5C}"/>
    <cellStyle name="Comma [0] 3 2 2" xfId="43" xr:uid="{36FED332-A54D-4C01-AB73-D6D936DA350F}"/>
    <cellStyle name="Comma [0] 3 2 2 2" xfId="40480" xr:uid="{62356FEA-1EA6-4609-B3DC-1DBD0CF86A73}"/>
    <cellStyle name="Comma [0] 3 2 2 3" xfId="43629" xr:uid="{E172F6C1-80BB-4087-B691-3E96D11E5004}"/>
    <cellStyle name="Comma [0] 3 2 2 4" xfId="5716" xr:uid="{3E2AAEC4-BF56-456D-8806-F64F7A75CA38}"/>
    <cellStyle name="Comma [0] 3 2 3" xfId="5717" xr:uid="{91AD5E0D-CC3F-4DE6-9549-5F964E29629D}"/>
    <cellStyle name="Comma [0] 3 2 4" xfId="40481" xr:uid="{22BFA52D-02E5-4A00-9188-353DF37D11E5}"/>
    <cellStyle name="Comma [0] 3 2 5" xfId="43626" xr:uid="{7300F391-F120-45EA-A334-4341CEAA7ADD}"/>
    <cellStyle name="Comma [0] 3 2 6" xfId="5715" xr:uid="{5559C465-3ACB-44C2-B267-E7985DD0B6A5}"/>
    <cellStyle name="Comma [0] 3 3" xfId="5718" xr:uid="{6DF001D3-E972-41F8-AAB1-11ACB7CD600A}"/>
    <cellStyle name="Comma [0] 3 3 2" xfId="40482" xr:uid="{A711F136-16E9-493B-B0F8-583B93CDDF83}"/>
    <cellStyle name="Comma [0] 3 4" xfId="5719" xr:uid="{16672D21-BAF0-4009-87F4-A65B524E5252}"/>
    <cellStyle name="Comma [0] 3 5" xfId="40483" xr:uid="{35A909BD-70FC-4FB9-BC15-970AB7EC50F6}"/>
    <cellStyle name="Comma [0] 4" xfId="5720" xr:uid="{488985F6-CD5B-4876-A602-C9DFEF94065A}"/>
    <cellStyle name="Comma [0] 4 2" xfId="5721" xr:uid="{79AE5B64-6974-4EE2-99BE-8E6190020F61}"/>
    <cellStyle name="Comma [0] 4 2 2" xfId="5722" xr:uid="{E33A48AD-30AE-4830-B440-C2C5765C04A6}"/>
    <cellStyle name="Comma [0] 4 2 2 2" xfId="5723" xr:uid="{1752EE10-0918-46E2-9875-2EB83050D309}"/>
    <cellStyle name="Comma [0] 4 2 2 2 2" xfId="40484" xr:uid="{E8A6EE51-2C71-405D-B5C1-4D1E0464AA1C}"/>
    <cellStyle name="Comma [0] 4 2 2 2 3" xfId="40485" xr:uid="{45B78701-6990-4764-B7AF-8BA413B73B78}"/>
    <cellStyle name="Comma [0] 4 2 2 3" xfId="5724" xr:uid="{B01E5511-DC75-42D6-A7C0-F681A4784EF5}"/>
    <cellStyle name="Comma [0] 4 2 2 3 2" xfId="40486" xr:uid="{D4E6B5D3-075D-41B4-9DAD-84C124E9E1AF}"/>
    <cellStyle name="Comma [0] 4 2 2 4" xfId="40487" xr:uid="{F75C6686-5324-4B5E-9D12-7DDCB6F6D765}"/>
    <cellStyle name="Comma [0] 4 2 3" xfId="40488" xr:uid="{7F8B6008-B575-4250-BC05-9EBF0DC946E9}"/>
    <cellStyle name="Comma [0] 4 2 3 2" xfId="40489" xr:uid="{D165B865-970A-47BC-B924-D003C15DB6B0}"/>
    <cellStyle name="Comma [0] 4 2 4" xfId="40490" xr:uid="{A402E535-CCFB-4B30-AC7B-1DB10B88A948}"/>
    <cellStyle name="Comma [0] 4 3" xfId="5725" xr:uid="{67189081-2DB9-4C1A-945D-7BFC215483AA}"/>
    <cellStyle name="Comma [0] 4 3 2" xfId="5726" xr:uid="{5DDB992D-83F2-4D5C-ACDC-88CE34D7F3AA}"/>
    <cellStyle name="Comma [0] 4 3 2 2" xfId="5727" xr:uid="{DB74AED6-9CFF-4C3F-B346-390BA2E1178F}"/>
    <cellStyle name="Comma [0] 4 3 2 3" xfId="5728" xr:uid="{590D378D-F2ED-4736-B556-AD0126CAC6EE}"/>
    <cellStyle name="Comma [0] 4 3 3" xfId="40491" xr:uid="{99598B67-0B10-42B5-A7EA-1DBAAA6EDD07}"/>
    <cellStyle name="Comma [0] 4 3 3 2" xfId="40492" xr:uid="{41A10B40-5619-4C3B-9FEE-10A92F6E52E7}"/>
    <cellStyle name="Comma [0] 4 3 4" xfId="40493" xr:uid="{44AAF8F3-668E-418B-B715-01CE91D5F132}"/>
    <cellStyle name="Comma [0] 4 3 5" xfId="40494" xr:uid="{3AB6D969-EFC5-4ACD-8DC9-1A18C7DDD1B3}"/>
    <cellStyle name="Comma [0] 4 4" xfId="5729" xr:uid="{5CFB7E54-C75A-46A5-BB00-343337645432}"/>
    <cellStyle name="Comma [0] 4 4 2" xfId="40495" xr:uid="{2C888080-C62D-4417-9804-85F95011ED07}"/>
    <cellStyle name="Comma [0] 4 5" xfId="40496" xr:uid="{556FFFEF-88B5-4562-A17C-FAC1F0538EC6}"/>
    <cellStyle name="Comma [0] 4 6" xfId="40497" xr:uid="{3C54123E-A19A-4CA8-B3C0-1E4C0C7F1E6A}"/>
    <cellStyle name="Comma [0] 5" xfId="5730" xr:uid="{763FFEE9-429E-49D2-BF35-13C2C82E9E6E}"/>
    <cellStyle name="Comma [0] 5 2" xfId="5731" xr:uid="{2B4E73B7-C0EB-4500-B3BC-D62E17C0ECB0}"/>
    <cellStyle name="Comma [0] 5 2 2" xfId="5732" xr:uid="{71E51CF2-2763-4F92-A59C-A496D9EBF5C2}"/>
    <cellStyle name="Comma [0] 5 2 3" xfId="5733" xr:uid="{6A13E69A-5EE0-452F-AE6F-907C3373D198}"/>
    <cellStyle name="Comma [0] 5 2 4" xfId="5734" xr:uid="{E43B871E-04F1-4466-93E8-555AC6BA6E13}"/>
    <cellStyle name="Comma [0] 5 3" xfId="5735" xr:uid="{BBE7CBAB-97B1-4432-AD64-598C10F3C420}"/>
    <cellStyle name="Comma [0] 5 4" xfId="5736" xr:uid="{1AA784B4-3404-4C47-9B3A-5F69A2FB4771}"/>
    <cellStyle name="Comma [0] 5 5" xfId="5737" xr:uid="{6DC092FD-D792-4A1E-97C8-C6C5276198D7}"/>
    <cellStyle name="Comma [0] 5 6" xfId="40498" xr:uid="{4F560992-0982-40EA-A12E-2D4A1D0DB606}"/>
    <cellStyle name="Comma [0] 5 7" xfId="40499" xr:uid="{A9EB6DBB-9F41-4F42-894B-54206820015B}"/>
    <cellStyle name="Comma [0] 6" xfId="5738" xr:uid="{C04EDEED-B93E-4BA2-A1B2-650E4EDD34DB}"/>
    <cellStyle name="Comma [0] 6 2" xfId="5739" xr:uid="{9ACA60B9-D18E-45DE-A16F-6CE09C268E06}"/>
    <cellStyle name="Comma [0] 6 2 2" xfId="5740" xr:uid="{0FB4BC90-468A-4FC7-94AF-34D8A8AA8883}"/>
    <cellStyle name="Comma [0] 6 2 3" xfId="40500" xr:uid="{4B55161B-9E4C-49C4-8761-988F51A09D9B}"/>
    <cellStyle name="Comma [0] 6 3" xfId="5741" xr:uid="{01CA58A1-A26E-46F1-87DB-AF1F93AD4294}"/>
    <cellStyle name="Comma [0] 6 4" xfId="40501" xr:uid="{3242B3C1-4D97-4B3E-A741-332E9BB71BBE}"/>
    <cellStyle name="Comma [0] 6 5" xfId="40502" xr:uid="{863D4B68-D1AD-44FC-9457-342D03518CBD}"/>
    <cellStyle name="Comma [0] 6 6" xfId="40503" xr:uid="{56E59A6A-9A0D-4ED5-A649-7A2BAAF963CA}"/>
    <cellStyle name="Comma [0] 7" xfId="5742" xr:uid="{1136A90E-433B-4073-8B81-9F9839E07876}"/>
    <cellStyle name="Comma [0] 7 2" xfId="5743" xr:uid="{35017255-D19E-462A-BDF8-67D6EEF44B2C}"/>
    <cellStyle name="Comma [0] 7 2 2" xfId="40504" xr:uid="{334F85C3-F190-49B4-A3DE-2AA4FB6CC008}"/>
    <cellStyle name="Comma [0] 7 2 3" xfId="40505" xr:uid="{A9F96D6F-FAF4-483A-B566-829E161984EE}"/>
    <cellStyle name="Comma [0] 7 3" xfId="40506" xr:uid="{72617070-D647-40E8-9CC2-4EA90C3B5896}"/>
    <cellStyle name="Comma [0] 7 4" xfId="40507" xr:uid="{EB0A4E1C-1E58-4926-B547-03CA50D0720E}"/>
    <cellStyle name="Comma [0] 7 5" xfId="40508" xr:uid="{BF9D88A0-3DCB-4BB8-A966-65BEC8D4BFE3}"/>
    <cellStyle name="Comma [0] 7 6" xfId="40509" xr:uid="{0D1D96B7-387F-4FD1-B14B-39B7A1EEDFFB}"/>
    <cellStyle name="Comma [0] 8" xfId="5744" xr:uid="{8325D02F-8CF1-41D9-9A8C-5D27EA4F7797}"/>
    <cellStyle name="Comma [0] 8 2" xfId="40510" xr:uid="{4F98D78F-08FE-4056-95A1-402C1889060E}"/>
    <cellStyle name="Comma [0] 8 2 2" xfId="40511" xr:uid="{06159665-903E-4E67-9DF1-AF0494DC752C}"/>
    <cellStyle name="Comma [0] 8 2 3" xfId="40512" xr:uid="{164A38D8-FFA9-4311-B5F9-3B4FC4F53BEF}"/>
    <cellStyle name="Comma [0] 8 3" xfId="40513" xr:uid="{27A057CF-ABBC-459F-AB1E-6CF698164299}"/>
    <cellStyle name="Comma [0] 8 4" xfId="40514" xr:uid="{55EB8358-4630-42B9-AA80-990E840991C0}"/>
    <cellStyle name="Comma [0] 8 5" xfId="40515" xr:uid="{77FC0A4F-544D-4377-8F91-0021513CDC22}"/>
    <cellStyle name="Comma [0] 8 6" xfId="40516" xr:uid="{FB3655B0-7D77-413D-8BE2-45275A275B4D}"/>
    <cellStyle name="Comma [0] 9" xfId="5745" xr:uid="{09581645-FA01-4FB6-8085-3ACDDE875AF2}"/>
    <cellStyle name="Comma [0] 9 2" xfId="40517" xr:uid="{969078D8-C18E-4411-AC6E-146E8776BA7E}"/>
    <cellStyle name="Comma [0] 9 2 2" xfId="40518" xr:uid="{4E9EFA05-5869-4012-A3B0-EA545F050E57}"/>
    <cellStyle name="Comma [0] 9 2 3" xfId="40519" xr:uid="{848D1C59-8A86-4B9A-9F0F-94D8916769CE}"/>
    <cellStyle name="Comma [0] 9 3" xfId="40520" xr:uid="{1D8E8826-73E6-4CD6-98FE-7B26143CA797}"/>
    <cellStyle name="Comma [0] 9 4" xfId="40521" xr:uid="{FC895323-FDB1-4FB5-A050-75672C42BABF}"/>
    <cellStyle name="Comma [0] 9 5" xfId="40522" xr:uid="{FACC794E-FDB3-4C8C-AD4B-56780E9696E7}"/>
    <cellStyle name="Comma [0] 9 6" xfId="40523" xr:uid="{FDFBC787-2842-41AF-BA71-F86FE08AE5D7}"/>
    <cellStyle name="Comma [1]" xfId="215" xr:uid="{714EDA30-8292-4B84-91A3-DC55DFB7C1A6}"/>
    <cellStyle name="Comma [1] 10" xfId="5746" xr:uid="{AFF05BB5-294F-451D-B3BB-910962336DD7}"/>
    <cellStyle name="Comma [1] 10 10" xfId="5747" xr:uid="{E3AEB3F4-7356-4F77-9D99-3D91C3FFB25B}"/>
    <cellStyle name="Comma [1] 10 11" xfId="5748" xr:uid="{9D3A4936-044C-48AC-8514-07308B763E68}"/>
    <cellStyle name="Comma [1] 10 12" xfId="5749" xr:uid="{7A1C7F49-51CE-47D6-8654-0007FDA05096}"/>
    <cellStyle name="Comma [1] 10 13" xfId="5750" xr:uid="{F4F14250-184F-4423-BD41-3D8595B93455}"/>
    <cellStyle name="Comma [1] 10 14" xfId="5751" xr:uid="{F0740196-6F85-4DD0-8B66-D06798224358}"/>
    <cellStyle name="Comma [1] 10 15" xfId="5752" xr:uid="{0407F1EA-7B39-4EAB-95B6-B41EB1B961C9}"/>
    <cellStyle name="Comma [1] 10 16" xfId="5753" xr:uid="{603FEF74-C469-4C58-80E6-E3642A03F437}"/>
    <cellStyle name="Comma [1] 10 17" xfId="5754" xr:uid="{B03EB382-1F33-4D29-B85B-93EBC590DB40}"/>
    <cellStyle name="Comma [1] 10 18" xfId="5755" xr:uid="{589B6F7D-E9F2-4CE1-993C-F39581AC6896}"/>
    <cellStyle name="Comma [1] 10 19" xfId="5756" xr:uid="{C7308582-E573-4B14-B5C1-13641C056F9A}"/>
    <cellStyle name="Comma [1] 10 2" xfId="5757" xr:uid="{36288D5F-31BF-4B06-BB24-0BB2411563BE}"/>
    <cellStyle name="Comma [1] 10 20" xfId="5758" xr:uid="{1C871691-06C0-4D33-93A4-9A3D3568EDDF}"/>
    <cellStyle name="Comma [1] 10 21" xfId="5759" xr:uid="{924E324B-1410-45E8-A688-F45C4D8672DF}"/>
    <cellStyle name="Comma [1] 10 22" xfId="5760" xr:uid="{0ABAAFBA-B12B-45EB-A683-69AE0BC7F4D5}"/>
    <cellStyle name="Comma [1] 10 23" xfId="5761" xr:uid="{9BA66213-57CD-49C5-BE7C-37E1F52A97CB}"/>
    <cellStyle name="Comma [1] 10 3" xfId="5762" xr:uid="{684FB955-FB5E-4310-A9F7-345A6CDB1CC3}"/>
    <cellStyle name="Comma [1] 10 4" xfId="5763" xr:uid="{F6F0743B-20E3-4271-824E-5C31956590B3}"/>
    <cellStyle name="Comma [1] 10 5" xfId="5764" xr:uid="{7803428B-B3AA-4922-8D1F-6F7272F95A60}"/>
    <cellStyle name="Comma [1] 10 6" xfId="5765" xr:uid="{09F3AA2F-36D6-4255-A627-4E91DEAFF84B}"/>
    <cellStyle name="Comma [1] 10 7" xfId="5766" xr:uid="{EFABDAF6-CC3E-471E-B0DB-26589FA0695B}"/>
    <cellStyle name="Comma [1] 10 8" xfId="5767" xr:uid="{4F1523FD-4826-4906-AD8E-46E432E25D5D}"/>
    <cellStyle name="Comma [1] 10 9" xfId="5768" xr:uid="{6A21575F-0D92-4539-AE09-82083F4143AA}"/>
    <cellStyle name="Comma [1] 11" xfId="5769" xr:uid="{78440BFB-1D1E-48B9-ADCF-1B6816FFC404}"/>
    <cellStyle name="Comma [1] 11 10" xfId="5770" xr:uid="{38925B6B-70E2-4D36-A114-2FDCB17019F9}"/>
    <cellStyle name="Comma [1] 11 11" xfId="5771" xr:uid="{E3179E24-B466-40FE-9151-4FE37303CC12}"/>
    <cellStyle name="Comma [1] 11 12" xfId="5772" xr:uid="{999572D7-E5E8-4D3E-A6D5-7F6ACB22F194}"/>
    <cellStyle name="Comma [1] 11 13" xfId="5773" xr:uid="{9691B17D-7295-48C2-AB84-A1F43D068B7E}"/>
    <cellStyle name="Comma [1] 11 14" xfId="5774" xr:uid="{47BB8578-82A1-4631-953B-E7513A26668E}"/>
    <cellStyle name="Comma [1] 11 15" xfId="5775" xr:uid="{09E8ABDC-7500-4336-A70F-3B2A23E2A1AF}"/>
    <cellStyle name="Comma [1] 11 16" xfId="5776" xr:uid="{8B8DDEC8-B597-4EAB-BE6F-B0E9B909BF4A}"/>
    <cellStyle name="Comma [1] 11 17" xfId="5777" xr:uid="{F97E01D6-CFAC-4D4F-8588-E86415513080}"/>
    <cellStyle name="Comma [1] 11 18" xfId="5778" xr:uid="{35E34EC1-B391-429F-ABED-466B2DA446E2}"/>
    <cellStyle name="Comma [1] 11 19" xfId="5779" xr:uid="{E3AC8ADF-CD29-426A-A8EE-482CA82E36C7}"/>
    <cellStyle name="Comma [1] 11 2" xfId="5780" xr:uid="{F7F305CE-C059-422B-B623-80D0589BFDD2}"/>
    <cellStyle name="Comma [1] 11 20" xfId="5781" xr:uid="{FD2EC9EE-284C-44DF-A488-13F3FAB8FA00}"/>
    <cellStyle name="Comma [1] 11 21" xfId="5782" xr:uid="{27A9C235-C8F1-476E-9007-B36730AD3F89}"/>
    <cellStyle name="Comma [1] 11 22" xfId="5783" xr:uid="{B42AFFA5-4767-472B-A806-1086BB7D11DB}"/>
    <cellStyle name="Comma [1] 11 23" xfId="5784" xr:uid="{17326457-9228-45E6-9368-EC8D25C6472C}"/>
    <cellStyle name="Comma [1] 11 3" xfId="5785" xr:uid="{2D09E2DC-ED2D-4EB9-A875-8C98EDDADD96}"/>
    <cellStyle name="Comma [1] 11 4" xfId="5786" xr:uid="{49C728AE-62AA-4B8F-A0C2-67E779F7C385}"/>
    <cellStyle name="Comma [1] 11 5" xfId="5787" xr:uid="{DA3099F3-6D51-4905-8D73-476E5FADEE77}"/>
    <cellStyle name="Comma [1] 11 6" xfId="5788" xr:uid="{A505FDB6-D996-4C61-A728-F6C3C8676E88}"/>
    <cellStyle name="Comma [1] 11 7" xfId="5789" xr:uid="{0861A935-AF6D-4C16-871F-578FB708681C}"/>
    <cellStyle name="Comma [1] 11 8" xfId="5790" xr:uid="{B12D334A-2C95-4091-BB8D-1757A9B3CC0E}"/>
    <cellStyle name="Comma [1] 11 9" xfId="5791" xr:uid="{526DCE1B-30BE-43DF-A6DE-B7CF79167CE2}"/>
    <cellStyle name="Comma [1] 12" xfId="5792" xr:uid="{C157780B-FCD1-4504-9193-2976A436332F}"/>
    <cellStyle name="Comma [1] 12 2" xfId="5793" xr:uid="{FE980312-D529-4DF2-853C-58E6D10EE751}"/>
    <cellStyle name="Comma [1] 12 3" xfId="5794" xr:uid="{B7AF17C3-2D8F-4F60-89B6-F235DD8BB986}"/>
    <cellStyle name="Comma [1] 12 4" xfId="5795" xr:uid="{578F8BF2-8B4A-4A90-B245-1A2470C652B3}"/>
    <cellStyle name="Comma [1] 13" xfId="5796" xr:uid="{67554FA1-EB78-48E9-9ACA-613EF97E2452}"/>
    <cellStyle name="Comma [1] 14" xfId="5797" xr:uid="{7FBE851B-8626-4F57-913D-4AA2887D4002}"/>
    <cellStyle name="Comma [1] 15" xfId="5798" xr:uid="{5CD379C0-77C6-4374-909F-FCE0AF9125A8}"/>
    <cellStyle name="Comma [1] 16" xfId="5799" xr:uid="{0AF0BE34-E460-47F2-8088-795A2E17FEA8}"/>
    <cellStyle name="Comma [1] 2" xfId="5800" xr:uid="{0B893AFE-E390-4743-9B50-8FD82387083D}"/>
    <cellStyle name="Comma [1] 2 10" xfId="5801" xr:uid="{D0554480-4EBC-4821-9C48-7E886996F416}"/>
    <cellStyle name="Comma [1] 2 11" xfId="5802" xr:uid="{87AC753F-21EA-451F-A60D-059D0B06FCF2}"/>
    <cellStyle name="Comma [1] 2 12" xfId="5803" xr:uid="{47CE401F-F39D-460C-B108-5C817EF5CF6A}"/>
    <cellStyle name="Comma [1] 2 13" xfId="5804" xr:uid="{9C5F11B0-E094-4F5E-8C48-29113F5A5580}"/>
    <cellStyle name="Comma [1] 2 14" xfId="5805" xr:uid="{2F0737F6-1D3D-48D7-AA3F-73CC4614A247}"/>
    <cellStyle name="Comma [1] 2 15" xfId="5806" xr:uid="{EAE2EB89-CFA7-46C5-9A8A-0C371C8F8D07}"/>
    <cellStyle name="Comma [1] 2 16" xfId="5807" xr:uid="{E96956D7-440C-4BB1-9198-48AFE215AF0C}"/>
    <cellStyle name="Comma [1] 2 17" xfId="5808" xr:uid="{1510CA09-4DA1-4AB6-8534-74B32B39A71B}"/>
    <cellStyle name="Comma [1] 2 18" xfId="5809" xr:uid="{38154495-B95C-4D1A-96E7-1B00803DBB00}"/>
    <cellStyle name="Comma [1] 2 19" xfId="5810" xr:uid="{21A62184-962A-4E6B-8FB7-12771F1BCF72}"/>
    <cellStyle name="Comma [1] 2 2" xfId="5811" xr:uid="{B1B9FD1E-10DD-497D-BBC7-7189615D830C}"/>
    <cellStyle name="Comma [1] 2 2 10" xfId="5812" xr:uid="{5797B919-FD76-4560-B92A-FF30B886D37E}"/>
    <cellStyle name="Comma [1] 2 2 11" xfId="5813" xr:uid="{D8EC7D75-9508-4CE7-A3C8-A5058725B555}"/>
    <cellStyle name="Comma [1] 2 2 12" xfId="5814" xr:uid="{0424CEB7-163E-4557-BF85-995A34A2DF44}"/>
    <cellStyle name="Comma [1] 2 2 13" xfId="5815" xr:uid="{9374ABEE-F999-4D67-B26F-82C7AFA77353}"/>
    <cellStyle name="Comma [1] 2 2 14" xfId="5816" xr:uid="{2A294DE1-5B5A-4952-8360-DA9BED2E85D8}"/>
    <cellStyle name="Comma [1] 2 2 15" xfId="5817" xr:uid="{2536F18E-83C5-4B9E-8117-4277D1B5E368}"/>
    <cellStyle name="Comma [1] 2 2 16" xfId="5818" xr:uid="{7F0E9ED4-A157-434C-9CB9-9A8180964DA4}"/>
    <cellStyle name="Comma [1] 2 2 17" xfId="5819" xr:uid="{9AF64794-3462-4E65-9BC2-4C87DDE91DAB}"/>
    <cellStyle name="Comma [1] 2 2 18" xfId="5820" xr:uid="{4367162C-594E-4EC4-B9CB-05342C3D3161}"/>
    <cellStyle name="Comma [1] 2 2 19" xfId="5821" xr:uid="{86A3DDFB-931E-4BAE-80E3-EB76F627AEBC}"/>
    <cellStyle name="Comma [1] 2 2 2" xfId="5822" xr:uid="{610F6988-A8C5-4382-897A-83D0BD188643}"/>
    <cellStyle name="Comma [1] 2 2 2 2" xfId="40524" xr:uid="{3BF1E989-A7BA-4CDC-853A-BB80992A3F7F}"/>
    <cellStyle name="Comma [1] 2 2 20" xfId="5823" xr:uid="{1B5ABA10-73B1-4473-B251-A203D37EF792}"/>
    <cellStyle name="Comma [1] 2 2 21" xfId="5824" xr:uid="{CDA487FE-C9EB-4F25-8559-8615506A1D22}"/>
    <cellStyle name="Comma [1] 2 2 22" xfId="5825" xr:uid="{E75A5146-C2F2-42D7-9FB8-13D90827AC3C}"/>
    <cellStyle name="Comma [1] 2 2 23" xfId="5826" xr:uid="{7235F37A-0ED1-4302-BF82-07A465E21760}"/>
    <cellStyle name="Comma [1] 2 2 24" xfId="5827" xr:uid="{E3218480-15AF-452F-B97E-BFC3C1348E1D}"/>
    <cellStyle name="Comma [1] 2 2 25" xfId="40525" xr:uid="{2D9B9B5B-BE05-4ECA-BE73-5F4F397DA110}"/>
    <cellStyle name="Comma [1] 2 2 3" xfId="5828" xr:uid="{9541E9C3-BA7E-4575-8D76-46E6DC38B0D4}"/>
    <cellStyle name="Comma [1] 2 2 4" xfId="5829" xr:uid="{1E39DB3F-3D86-452B-944D-53628CCC33B5}"/>
    <cellStyle name="Comma [1] 2 2 5" xfId="5830" xr:uid="{1E2FDBA9-023F-41A5-9174-8AAC1F6F2A6C}"/>
    <cellStyle name="Comma [1] 2 2 6" xfId="5831" xr:uid="{2799EF66-2D98-4BC8-B35E-378B2D7969BB}"/>
    <cellStyle name="Comma [1] 2 2 7" xfId="5832" xr:uid="{3AD05942-9D57-40A2-AAF3-6C700E4CC742}"/>
    <cellStyle name="Comma [1] 2 2 8" xfId="5833" xr:uid="{0D85BDEE-91AA-4F80-A7C2-2C0CF7A154FE}"/>
    <cellStyle name="Comma [1] 2 2 9" xfId="5834" xr:uid="{564E1F68-ED01-431E-A43C-4074C51ED48B}"/>
    <cellStyle name="Comma [1] 2 20" xfId="5835" xr:uid="{10B7BF9B-C430-40D7-9186-5114607A3C7C}"/>
    <cellStyle name="Comma [1] 2 21" xfId="5836" xr:uid="{DF47EBB9-31CE-4F7F-919E-54FA1858F60E}"/>
    <cellStyle name="Comma [1] 2 22" xfId="5837" xr:uid="{A26D038E-0A5C-4C3F-A0E3-532A30D28EE6}"/>
    <cellStyle name="Comma [1] 2 23" xfId="5838" xr:uid="{D0875E1B-ECED-451B-84CC-F407A31E7189}"/>
    <cellStyle name="Comma [1] 2 24" xfId="5839" xr:uid="{428D8489-FFF5-4A0A-9C46-4494E20FD6A3}"/>
    <cellStyle name="Comma [1] 2 25" xfId="5840" xr:uid="{2E749734-D99E-4534-94A1-7D8C6A7BFA97}"/>
    <cellStyle name="Comma [1] 2 26" xfId="5841" xr:uid="{5E35C578-A3B9-47CA-BAA1-8BA010151329}"/>
    <cellStyle name="Comma [1] 2 27" xfId="5842" xr:uid="{555F396A-1EFA-4496-A07E-E8D33EF8461E}"/>
    <cellStyle name="Comma [1] 2 28" xfId="40526" xr:uid="{4E9D5A59-30BD-4F69-95CB-885D8E4B0F7D}"/>
    <cellStyle name="Comma [1] 2 3" xfId="5843" xr:uid="{B464559D-E9C5-4CE5-B314-7212A78872AA}"/>
    <cellStyle name="Comma [1] 2 3 10" xfId="5844" xr:uid="{19BC375A-E9EC-4ABF-907F-EDB7E64C0CFC}"/>
    <cellStyle name="Comma [1] 2 3 11" xfId="5845" xr:uid="{30DC6F51-34B9-469C-AFD7-C1766C3DEF31}"/>
    <cellStyle name="Comma [1] 2 3 12" xfId="5846" xr:uid="{E29A611B-0A4F-4B88-AB88-4B4B3B5E6CB9}"/>
    <cellStyle name="Comma [1] 2 3 13" xfId="5847" xr:uid="{77DC14C6-D142-42D9-A396-0C85EBDA1848}"/>
    <cellStyle name="Comma [1] 2 3 14" xfId="5848" xr:uid="{1CF59D5E-7970-4211-9F2B-D7CF0547BEAA}"/>
    <cellStyle name="Comma [1] 2 3 15" xfId="5849" xr:uid="{255FDE93-76C8-436D-96F9-1B0F96A8FB2D}"/>
    <cellStyle name="Comma [1] 2 3 16" xfId="5850" xr:uid="{D6C3A040-BD91-4341-A244-8A6988179D42}"/>
    <cellStyle name="Comma [1] 2 3 17" xfId="5851" xr:uid="{A88F0D98-E64C-421C-9221-5D1C9B1079D9}"/>
    <cellStyle name="Comma [1] 2 3 18" xfId="5852" xr:uid="{56D2833C-8BA6-46E5-AD5A-318E4148EC8A}"/>
    <cellStyle name="Comma [1] 2 3 19" xfId="5853" xr:uid="{5EB963C5-2541-4AE2-A2E6-BA880A538A38}"/>
    <cellStyle name="Comma [1] 2 3 2" xfId="5854" xr:uid="{ACCBD396-86FD-4B60-898C-26EAD36E8B33}"/>
    <cellStyle name="Comma [1] 2 3 20" xfId="5855" xr:uid="{5BF16503-4436-42BE-B979-42B8A552CC90}"/>
    <cellStyle name="Comma [1] 2 3 21" xfId="5856" xr:uid="{DFA1C562-9B48-4FDD-B7C7-052C6116E7AA}"/>
    <cellStyle name="Comma [1] 2 3 22" xfId="5857" xr:uid="{1442B14B-EE1D-4B8F-8BF4-052330BBCE5F}"/>
    <cellStyle name="Comma [1] 2 3 23" xfId="5858" xr:uid="{6685D194-5A5B-401C-90D4-46C588411DD9}"/>
    <cellStyle name="Comma [1] 2 3 24" xfId="40527" xr:uid="{9D287E61-F1EA-454E-904B-AD6FCED7C3D5}"/>
    <cellStyle name="Comma [1] 2 3 3" xfId="5859" xr:uid="{0F145407-109E-41F5-AAE6-04503D9C0F50}"/>
    <cellStyle name="Comma [1] 2 3 4" xfId="5860" xr:uid="{9479B126-CD4A-46CD-B634-BB4C94832CF2}"/>
    <cellStyle name="Comma [1] 2 3 5" xfId="5861" xr:uid="{AC6873B8-2ED3-4C70-AA8D-D9ED1F07E9B7}"/>
    <cellStyle name="Comma [1] 2 3 6" xfId="5862" xr:uid="{684CE75E-409A-4D9C-8973-DA185423460A}"/>
    <cellStyle name="Comma [1] 2 3 7" xfId="5863" xr:uid="{FC19160B-E7C9-4C37-875A-36B7E131B821}"/>
    <cellStyle name="Comma [1] 2 3 8" xfId="5864" xr:uid="{8491CA49-4F40-4244-A751-0A0332363AA4}"/>
    <cellStyle name="Comma [1] 2 3 9" xfId="5865" xr:uid="{866450BD-0577-49F9-A960-CE680020B6B4}"/>
    <cellStyle name="Comma [1] 2 4" xfId="5866" xr:uid="{E075D178-7DC7-49CD-809A-7FA8E24A1758}"/>
    <cellStyle name="Comma [1] 2 4 10" xfId="5867" xr:uid="{F72FBC4F-ED33-41ED-9337-EB2ED568FEC7}"/>
    <cellStyle name="Comma [1] 2 4 11" xfId="5868" xr:uid="{AC7A9D4D-F352-46BC-AB6C-DB2D2EACAB8E}"/>
    <cellStyle name="Comma [1] 2 4 12" xfId="5869" xr:uid="{EA2275A7-4809-4F5F-BF62-0160949F9A25}"/>
    <cellStyle name="Comma [1] 2 4 13" xfId="5870" xr:uid="{42093482-ED63-48AC-BE7E-D6C3006D1028}"/>
    <cellStyle name="Comma [1] 2 4 14" xfId="5871" xr:uid="{703C6DE8-B054-42CB-BD5F-CC829D834BCE}"/>
    <cellStyle name="Comma [1] 2 4 15" xfId="5872" xr:uid="{02F10537-87F2-45A9-A209-4798089C36C3}"/>
    <cellStyle name="Comma [1] 2 4 16" xfId="5873" xr:uid="{7B129D14-5A58-4CE6-9A22-7A308683E2DC}"/>
    <cellStyle name="Comma [1] 2 4 17" xfId="5874" xr:uid="{6FB458C2-8BDF-4FEF-A4D6-42E955146D1D}"/>
    <cellStyle name="Comma [1] 2 4 18" xfId="5875" xr:uid="{35468AC1-EDDE-4D63-974C-560E4C4986F6}"/>
    <cellStyle name="Comma [1] 2 4 19" xfId="5876" xr:uid="{6B3E9CEB-0907-44AC-B30F-F03B7B6D1FB8}"/>
    <cellStyle name="Comma [1] 2 4 2" xfId="5877" xr:uid="{921116BB-9101-4B30-81F7-F3BD1B3815E0}"/>
    <cellStyle name="Comma [1] 2 4 20" xfId="5878" xr:uid="{770BF451-D261-4E45-996A-0108E1AE84C3}"/>
    <cellStyle name="Comma [1] 2 4 21" xfId="5879" xr:uid="{01FD4856-60A9-40A9-80DE-64D94B584204}"/>
    <cellStyle name="Comma [1] 2 4 22" xfId="5880" xr:uid="{D58AF8FB-A70C-490B-B13D-B08AF2CD030B}"/>
    <cellStyle name="Comma [1] 2 4 23" xfId="5881" xr:uid="{619A62DD-9E79-450F-BF39-FA516B73CAB8}"/>
    <cellStyle name="Comma [1] 2 4 3" xfId="5882" xr:uid="{9FA2BB87-D9B3-4002-8743-AFC2DDB0086F}"/>
    <cellStyle name="Comma [1] 2 4 4" xfId="5883" xr:uid="{8368A53D-F9E8-4753-A13D-BBCCADE30F1E}"/>
    <cellStyle name="Comma [1] 2 4 5" xfId="5884" xr:uid="{06ED7787-D320-4499-8051-FA4D0EA1157A}"/>
    <cellStyle name="Comma [1] 2 4 6" xfId="5885" xr:uid="{79FDFC33-DACB-4247-8BC8-7EC8395C2F7A}"/>
    <cellStyle name="Comma [1] 2 4 7" xfId="5886" xr:uid="{1B40EC14-FD32-4AE8-B1FC-5BC77EAB1840}"/>
    <cellStyle name="Comma [1] 2 4 8" xfId="5887" xr:uid="{AEE543B2-DB3A-432E-A699-3A959D5BA12E}"/>
    <cellStyle name="Comma [1] 2 4 9" xfId="5888" xr:uid="{1D3FC640-2505-41A5-AAE5-CBAA2DD5AC41}"/>
    <cellStyle name="Comma [1] 2 5" xfId="5889" xr:uid="{E6223AEE-A925-413E-B5D5-D8835C66FF2A}"/>
    <cellStyle name="Comma [1] 2 5 10" xfId="5890" xr:uid="{6BD83397-8512-4947-B9EB-8079460E4086}"/>
    <cellStyle name="Comma [1] 2 5 11" xfId="5891" xr:uid="{DF5896BE-C090-4FAA-8965-6C085727CBDE}"/>
    <cellStyle name="Comma [1] 2 5 12" xfId="5892" xr:uid="{D2404CA7-EB9A-4BD7-A067-1BB4A01D4AD3}"/>
    <cellStyle name="Comma [1] 2 5 13" xfId="5893" xr:uid="{02591855-A8FB-4B4F-BAD9-A3F27E8F6273}"/>
    <cellStyle name="Comma [1] 2 5 14" xfId="5894" xr:uid="{0AC5D606-878C-47B3-96BA-3B9DF9F8C0A7}"/>
    <cellStyle name="Comma [1] 2 5 15" xfId="5895" xr:uid="{5FCB1D43-5035-4AC9-B146-E135063EBBC0}"/>
    <cellStyle name="Comma [1] 2 5 16" xfId="5896" xr:uid="{BABADC16-D47D-4796-9D63-290C98BEAA71}"/>
    <cellStyle name="Comma [1] 2 5 17" xfId="5897" xr:uid="{C9542F20-2920-4F29-AC59-C19E397F4800}"/>
    <cellStyle name="Comma [1] 2 5 18" xfId="5898" xr:uid="{C19D96E6-F149-4764-B6C5-C5830534E90D}"/>
    <cellStyle name="Comma [1] 2 5 19" xfId="5899" xr:uid="{F7F24B64-40C5-4EB3-8675-839B5A78FD5B}"/>
    <cellStyle name="Comma [1] 2 5 2" xfId="5900" xr:uid="{5E1DC5F7-F698-4AC2-B5B7-2E84A955AB77}"/>
    <cellStyle name="Comma [1] 2 5 20" xfId="5901" xr:uid="{07F503FE-E177-478B-BDF0-90E103C7C3B7}"/>
    <cellStyle name="Comma [1] 2 5 21" xfId="5902" xr:uid="{FFDAD20B-E7C0-40B2-9FD7-39750B3D135C}"/>
    <cellStyle name="Comma [1] 2 5 22" xfId="5903" xr:uid="{6CAF13E6-489E-4AF3-B677-636B1CBC4E5F}"/>
    <cellStyle name="Comma [1] 2 5 23" xfId="5904" xr:uid="{AF159EB5-C78D-4C60-86F5-DE375DBF385B}"/>
    <cellStyle name="Comma [1] 2 5 3" xfId="5905" xr:uid="{5D918C37-C38D-4267-B727-D697CB4A208B}"/>
    <cellStyle name="Comma [1] 2 5 4" xfId="5906" xr:uid="{A7690592-DB23-4D81-AF9A-C3EC7341BF5F}"/>
    <cellStyle name="Comma [1] 2 5 5" xfId="5907" xr:uid="{BE4678D9-F6F0-4C0A-8B50-0624C64D148D}"/>
    <cellStyle name="Comma [1] 2 5 6" xfId="5908" xr:uid="{EE181C93-1C69-4D7B-8958-0BE9C2AC53D8}"/>
    <cellStyle name="Comma [1] 2 5 7" xfId="5909" xr:uid="{47FC4EEB-9146-4E56-8C0F-3CEDE66C6C5B}"/>
    <cellStyle name="Comma [1] 2 5 8" xfId="5910" xr:uid="{F9A5F5BB-5AB9-47F4-B7EA-63FEF0E955F9}"/>
    <cellStyle name="Comma [1] 2 5 9" xfId="5911" xr:uid="{EF52EA0C-2AC3-4FA6-AF4F-A63B015A4207}"/>
    <cellStyle name="Comma [1] 2 6" xfId="5912" xr:uid="{E98C06A6-C7BA-41E9-B57A-FB3450A7291C}"/>
    <cellStyle name="Comma [1] 2 7" xfId="5913" xr:uid="{B94F8F0F-1B0B-4942-94CC-9FBB6ED845E0}"/>
    <cellStyle name="Comma [1] 2 8" xfId="5914" xr:uid="{8C089CD7-FFAC-4A6B-857D-8363DE60F062}"/>
    <cellStyle name="Comma [1] 2 9" xfId="5915" xr:uid="{F290B0CB-4F13-41BB-8E6C-C1F958C5E911}"/>
    <cellStyle name="Comma [1] 3" xfId="5916" xr:uid="{659C5C3F-6900-4063-A53D-8278C6F765D2}"/>
    <cellStyle name="Comma [1] 3 10" xfId="5917" xr:uid="{AE08127A-8A07-42D2-9439-32BD93F500EC}"/>
    <cellStyle name="Comma [1] 3 11" xfId="5918" xr:uid="{CDB245A2-3A4B-47CF-BF9C-C1258C348505}"/>
    <cellStyle name="Comma [1] 3 12" xfId="5919" xr:uid="{94C73640-B107-4317-91AA-629EBB695014}"/>
    <cellStyle name="Comma [1] 3 13" xfId="5920" xr:uid="{64F72323-B5E3-49E4-9D96-13250527F7EA}"/>
    <cellStyle name="Comma [1] 3 14" xfId="5921" xr:uid="{E1BD2E6E-747C-4AA9-98A2-C2CA445A6FBB}"/>
    <cellStyle name="Comma [1] 3 15" xfId="5922" xr:uid="{68311E82-043D-4EB0-8620-7E567D735998}"/>
    <cellStyle name="Comma [1] 3 16" xfId="5923" xr:uid="{1438EB84-DBAD-4C92-A258-56E302B77323}"/>
    <cellStyle name="Comma [1] 3 17" xfId="5924" xr:uid="{8DEA8111-DE6E-43B8-B232-03F35C0EFAC6}"/>
    <cellStyle name="Comma [1] 3 18" xfId="5925" xr:uid="{0732DC89-76FA-4304-9799-871ECC3B3DF7}"/>
    <cellStyle name="Comma [1] 3 19" xfId="5926" xr:uid="{56CD14D0-C4C4-4E9A-936F-DF213A85F772}"/>
    <cellStyle name="Comma [1] 3 2" xfId="5927" xr:uid="{96197CE2-4452-4661-850B-E7D3D6B58CB0}"/>
    <cellStyle name="Comma [1] 3 20" xfId="5928" xr:uid="{8169B16F-290E-4DE7-94BA-AF644C65CA0A}"/>
    <cellStyle name="Comma [1] 3 21" xfId="5929" xr:uid="{911FF0FF-5F9D-410A-B00D-EF166BAC80DF}"/>
    <cellStyle name="Comma [1] 3 22" xfId="5930" xr:uid="{4A714066-F1A1-40C0-B872-37BEC186E687}"/>
    <cellStyle name="Comma [1] 3 23" xfId="5931" xr:uid="{4456E3C2-889E-4CC5-939E-984B9767270F}"/>
    <cellStyle name="Comma [1] 3 24" xfId="5932" xr:uid="{0123EC91-5659-4B26-9D49-0AA7487C3E57}"/>
    <cellStyle name="Comma [1] 3 25" xfId="40528" xr:uid="{D34222C6-2F94-4152-8315-AF022A3598EE}"/>
    <cellStyle name="Comma [1] 3 3" xfId="5933" xr:uid="{67772BCB-2261-4601-B288-67FAEE72481C}"/>
    <cellStyle name="Comma [1] 3 4" xfId="5934" xr:uid="{D08A1E40-CD18-463F-9C77-DF4A08964C05}"/>
    <cellStyle name="Comma [1] 3 5" xfId="5935" xr:uid="{E5B6909C-5945-4DD2-97AA-6DB11FB3AADC}"/>
    <cellStyle name="Comma [1] 3 6" xfId="5936" xr:uid="{32882B28-9D20-4AEB-89F0-98B555462474}"/>
    <cellStyle name="Comma [1] 3 7" xfId="5937" xr:uid="{70061E58-3C18-458D-88A2-78E78B0CF5A1}"/>
    <cellStyle name="Comma [1] 3 8" xfId="5938" xr:uid="{2B464FE6-3F6E-4ABB-9FF9-FEE2F829924D}"/>
    <cellStyle name="Comma [1] 3 9" xfId="5939" xr:uid="{442EFF19-B3AB-4837-A9CA-1BADE4D2AC1D}"/>
    <cellStyle name="Comma [1] 4" xfId="5940" xr:uid="{2160CA33-CD06-45BB-85AD-F37E6D3A9BB1}"/>
    <cellStyle name="Comma [1] 4 10" xfId="5941" xr:uid="{8016399D-EF0D-447C-AF6E-007F6B1E5D27}"/>
    <cellStyle name="Comma [1] 4 11" xfId="5942" xr:uid="{DF7B62E5-38B5-443F-9FE0-9E2B8119FE2F}"/>
    <cellStyle name="Comma [1] 4 12" xfId="5943" xr:uid="{F236A2CF-3D21-4161-BAF2-07AC41A13F0B}"/>
    <cellStyle name="Comma [1] 4 13" xfId="5944" xr:uid="{B94E53E5-69BB-4386-83D8-F940669DE7E0}"/>
    <cellStyle name="Comma [1] 4 14" xfId="5945" xr:uid="{539D6107-B296-4C7C-BF15-094AD3B2DA81}"/>
    <cellStyle name="Comma [1] 4 15" xfId="5946" xr:uid="{C2E92BA8-6EC5-40C0-B870-43702D9DC245}"/>
    <cellStyle name="Comma [1] 4 16" xfId="5947" xr:uid="{4F2B24DB-FD7D-4711-9186-024A2300EE9B}"/>
    <cellStyle name="Comma [1] 4 17" xfId="5948" xr:uid="{948D7764-B2ED-4B43-95B4-753985BAAB73}"/>
    <cellStyle name="Comma [1] 4 18" xfId="5949" xr:uid="{C1BE7546-4D70-4D8D-A3B0-3E1412AC56AF}"/>
    <cellStyle name="Comma [1] 4 19" xfId="5950" xr:uid="{7C90EEC4-465F-419B-B637-99DD3E15573C}"/>
    <cellStyle name="Comma [1] 4 2" xfId="5951" xr:uid="{52F77C41-5D89-4CB2-9BC2-D1422951F538}"/>
    <cellStyle name="Comma [1] 4 20" xfId="5952" xr:uid="{718E4870-CAEB-45B9-A8E6-1F8E96CD0060}"/>
    <cellStyle name="Comma [1] 4 21" xfId="5953" xr:uid="{A94073ED-E0B9-40DE-A48A-D8985FB9C275}"/>
    <cellStyle name="Comma [1] 4 22" xfId="5954" xr:uid="{69FC241C-B118-41DB-BDF1-1EEAA837CF97}"/>
    <cellStyle name="Comma [1] 4 23" xfId="5955" xr:uid="{08A2618D-D001-4FAD-B4D7-7CBFBF1BA584}"/>
    <cellStyle name="Comma [1] 4 3" xfId="5956" xr:uid="{A000EC32-AC00-419A-8410-05765EF4C5FF}"/>
    <cellStyle name="Comma [1] 4 4" xfId="5957" xr:uid="{D7E6B9A6-3D91-46CE-8EC4-438CB9552609}"/>
    <cellStyle name="Comma [1] 4 5" xfId="5958" xr:uid="{27A064D6-AFB2-42E4-BE39-A9AA8AF340C6}"/>
    <cellStyle name="Comma [1] 4 6" xfId="5959" xr:uid="{2A650B9C-45CA-4911-A378-DC9A97D39610}"/>
    <cellStyle name="Comma [1] 4 7" xfId="5960" xr:uid="{A79AF9E7-F8E4-4B0D-B236-888842939A77}"/>
    <cellStyle name="Comma [1] 4 8" xfId="5961" xr:uid="{1289ACAB-D01D-4CAC-84E3-EBCCF92260E4}"/>
    <cellStyle name="Comma [1] 4 9" xfId="5962" xr:uid="{44EA24AD-24C3-469A-92C2-CDEEAA5C129E}"/>
    <cellStyle name="Comma [1] 5" xfId="5963" xr:uid="{09AB8C6B-0E14-4430-8E19-41DB3D2E14A4}"/>
    <cellStyle name="Comma [1] 5 10" xfId="5964" xr:uid="{D3BA3CFC-AEC4-4290-B8DA-E073FF3D0B26}"/>
    <cellStyle name="Comma [1] 5 11" xfId="5965" xr:uid="{6C5C5B50-226D-420D-87EA-9659C6B93040}"/>
    <cellStyle name="Comma [1] 5 12" xfId="5966" xr:uid="{EF786433-635D-4C19-A27E-F4283E66DDB3}"/>
    <cellStyle name="Comma [1] 5 13" xfId="5967" xr:uid="{7AB9CC63-AC5B-456D-8CC8-5106B0DB691B}"/>
    <cellStyle name="Comma [1] 5 14" xfId="5968" xr:uid="{D18F5095-5731-4D76-9BF0-7520F5621E13}"/>
    <cellStyle name="Comma [1] 5 15" xfId="5969" xr:uid="{C4ADE270-6F76-4E80-B47B-87A48EE9706E}"/>
    <cellStyle name="Comma [1] 5 16" xfId="5970" xr:uid="{1236FE56-1A46-4A9A-B360-D51BA5886AFC}"/>
    <cellStyle name="Comma [1] 5 17" xfId="5971" xr:uid="{75D22FDC-7559-4A41-B220-907B8AC90A4F}"/>
    <cellStyle name="Comma [1] 5 18" xfId="5972" xr:uid="{7AD3423E-AACE-4374-B9CA-A71D0EC95F3A}"/>
    <cellStyle name="Comma [1] 5 19" xfId="5973" xr:uid="{2D9376F9-1EA4-4D3F-AAE5-3B6D805F36A8}"/>
    <cellStyle name="Comma [1] 5 2" xfId="5974" xr:uid="{B0FE6320-99C7-4FF0-8A54-2FE1703B4EB7}"/>
    <cellStyle name="Comma [1] 5 20" xfId="5975" xr:uid="{687D3E99-A0D5-4AF7-A1C3-83FB6F818D66}"/>
    <cellStyle name="Comma [1] 5 21" xfId="5976" xr:uid="{D8C4A48C-25DC-40FC-A385-E13B6E72E390}"/>
    <cellStyle name="Comma [1] 5 22" xfId="5977" xr:uid="{686FEBDA-F301-4F57-9D0D-281287B8D7F2}"/>
    <cellStyle name="Comma [1] 5 23" xfId="5978" xr:uid="{901F6814-8FBF-45A3-919C-980F84002790}"/>
    <cellStyle name="Comma [1] 5 3" xfId="5979" xr:uid="{E8EAD5FF-C947-474A-8E75-A058170330B3}"/>
    <cellStyle name="Comma [1] 5 4" xfId="5980" xr:uid="{93B32699-130D-4FAD-86CB-CB9302F66FB6}"/>
    <cellStyle name="Comma [1] 5 5" xfId="5981" xr:uid="{799EBC62-0109-4A4E-AF8C-4DE294E12CCA}"/>
    <cellStyle name="Comma [1] 5 6" xfId="5982" xr:uid="{44F2DBDD-5E37-48D6-9A90-4D5C46EE0F93}"/>
    <cellStyle name="Comma [1] 5 7" xfId="5983" xr:uid="{2CB95B42-246E-46D9-AB7A-32048711C8E3}"/>
    <cellStyle name="Comma [1] 5 8" xfId="5984" xr:uid="{4ADC9F38-246A-4574-93A9-6846F5F3B386}"/>
    <cellStyle name="Comma [1] 5 9" xfId="5985" xr:uid="{76026E6D-D1CA-4D36-B761-9A9624369FED}"/>
    <cellStyle name="Comma [1] 6" xfId="5986" xr:uid="{5B4F16B9-5F32-499D-97BC-7CFF9CBC4057}"/>
    <cellStyle name="Comma [1] 6 10" xfId="5987" xr:uid="{02CEF35C-1D52-4930-9053-AD454FAAFC77}"/>
    <cellStyle name="Comma [1] 6 11" xfId="5988" xr:uid="{A129FEDA-A129-4D15-9058-FB43B0C4E47A}"/>
    <cellStyle name="Comma [1] 6 12" xfId="5989" xr:uid="{4326EC72-0AA4-4CCC-B122-6C4E707414F5}"/>
    <cellStyle name="Comma [1] 6 13" xfId="5990" xr:uid="{E2ED2A9E-A918-4D71-8DC0-07E23D6D5A1F}"/>
    <cellStyle name="Comma [1] 6 14" xfId="5991" xr:uid="{C4EFFB77-3C71-4F50-B514-3AC1693501B6}"/>
    <cellStyle name="Comma [1] 6 15" xfId="5992" xr:uid="{D030B4F2-BABB-43BF-9655-CCC47100B95F}"/>
    <cellStyle name="Comma [1] 6 16" xfId="5993" xr:uid="{F9A891DE-A779-4676-B23C-7786B83BF9E3}"/>
    <cellStyle name="Comma [1] 6 17" xfId="5994" xr:uid="{C2F67073-E71C-41FF-A6AA-93BA569D92BD}"/>
    <cellStyle name="Comma [1] 6 18" xfId="5995" xr:uid="{6B7EBDCA-DFBC-4F59-A42A-34980903DA31}"/>
    <cellStyle name="Comma [1] 6 19" xfId="5996" xr:uid="{17A9F5E4-6A19-43F3-A0F3-B8314F66C1EB}"/>
    <cellStyle name="Comma [1] 6 2" xfId="5997" xr:uid="{7616747D-1523-4BD6-A7B0-819A0F2542EB}"/>
    <cellStyle name="Comma [1] 6 20" xfId="5998" xr:uid="{6722AAD1-45F0-4C70-9848-A73D7B4DEF7A}"/>
    <cellStyle name="Comma [1] 6 21" xfId="5999" xr:uid="{080EEDBE-F103-4BF5-8113-9E476C878640}"/>
    <cellStyle name="Comma [1] 6 22" xfId="6000" xr:uid="{3F095885-9990-4943-99DF-5972D41E2E36}"/>
    <cellStyle name="Comma [1] 6 23" xfId="6001" xr:uid="{8061261C-9E29-4007-A94A-774D0EA884D9}"/>
    <cellStyle name="Comma [1] 6 3" xfId="6002" xr:uid="{8611F061-2A5D-4456-BBA5-9BC10A88CB26}"/>
    <cellStyle name="Comma [1] 6 4" xfId="6003" xr:uid="{C4CEBC73-27A1-48F1-8DD9-FD5E924F4D0B}"/>
    <cellStyle name="Comma [1] 6 5" xfId="6004" xr:uid="{B110BCA0-2D8B-4D94-8D06-626B8102C679}"/>
    <cellStyle name="Comma [1] 6 6" xfId="6005" xr:uid="{AAB92C7C-AE86-4988-8A3E-90CF78F0567C}"/>
    <cellStyle name="Comma [1] 6 7" xfId="6006" xr:uid="{130B7E80-FBCA-4CA6-859C-444739C05C6E}"/>
    <cellStyle name="Comma [1] 6 8" xfId="6007" xr:uid="{7656400E-CC97-4197-9385-29A0AB6D48A8}"/>
    <cellStyle name="Comma [1] 6 9" xfId="6008" xr:uid="{9765069A-732D-4505-ADA7-45D2DAA0B288}"/>
    <cellStyle name="Comma [1] 7" xfId="6009" xr:uid="{744A4C3B-E83A-4A51-A012-1F52DFCC8F9D}"/>
    <cellStyle name="Comma [1] 7 10" xfId="6010" xr:uid="{71D81B42-EBDE-4187-80C7-1B3A0D0F8013}"/>
    <cellStyle name="Comma [1] 7 11" xfId="6011" xr:uid="{EA1444E7-50CB-41FE-90D3-DDD0BAC6D99A}"/>
    <cellStyle name="Comma [1] 7 12" xfId="6012" xr:uid="{72052D69-E5A4-4ACA-8562-9B57F481A3D1}"/>
    <cellStyle name="Comma [1] 7 13" xfId="6013" xr:uid="{F10DFED9-5C1B-4A30-90B5-0CE497C8F8B2}"/>
    <cellStyle name="Comma [1] 7 14" xfId="6014" xr:uid="{009F8A38-CB24-42E8-A563-617B82A31A0B}"/>
    <cellStyle name="Comma [1] 7 15" xfId="6015" xr:uid="{886B69B0-875C-44E6-8580-6D7A804D715E}"/>
    <cellStyle name="Comma [1] 7 16" xfId="6016" xr:uid="{9E867F5B-3A3B-4508-929D-3FC90B9F0BFD}"/>
    <cellStyle name="Comma [1] 7 17" xfId="6017" xr:uid="{95B910CB-56E4-46D9-A303-7BA2375CEAE9}"/>
    <cellStyle name="Comma [1] 7 18" xfId="6018" xr:uid="{871C9CD7-55A9-4830-B463-61BAB5B9CD07}"/>
    <cellStyle name="Comma [1] 7 19" xfId="6019" xr:uid="{72EAF896-0860-423D-A138-BCA2283E21E8}"/>
    <cellStyle name="Comma [1] 7 2" xfId="6020" xr:uid="{A17B5ED4-5680-46F3-9353-42BA775E6315}"/>
    <cellStyle name="Comma [1] 7 20" xfId="6021" xr:uid="{AC9FA434-DF13-4928-ABE4-1DE44DE6A2ED}"/>
    <cellStyle name="Comma [1] 7 21" xfId="6022" xr:uid="{4AA53F78-C340-49AF-BC0A-0DDEB56C5D71}"/>
    <cellStyle name="Comma [1] 7 22" xfId="6023" xr:uid="{DDA35D42-B327-4588-AEA5-16763C1189EF}"/>
    <cellStyle name="Comma [1] 7 23" xfId="6024" xr:uid="{E5B91E8F-F891-4065-80B1-4C5D994ED49C}"/>
    <cellStyle name="Comma [1] 7 3" xfId="6025" xr:uid="{144511F6-4911-47BE-970E-AB72983B8CDF}"/>
    <cellStyle name="Comma [1] 7 4" xfId="6026" xr:uid="{617E6EA2-3E86-4435-B2FC-BA91018D0E19}"/>
    <cellStyle name="Comma [1] 7 5" xfId="6027" xr:uid="{54043F32-E6D5-43FB-B3E4-00AF0A6DC1C4}"/>
    <cellStyle name="Comma [1] 7 6" xfId="6028" xr:uid="{C9B047CD-D773-43D7-963D-755FD47B368A}"/>
    <cellStyle name="Comma [1] 7 7" xfId="6029" xr:uid="{3AFFCBEF-0618-46CC-8249-8AD12B3DDB1D}"/>
    <cellStyle name="Comma [1] 7 8" xfId="6030" xr:uid="{542AF43B-8AB5-4C8E-899D-9FF3A46FB381}"/>
    <cellStyle name="Comma [1] 7 9" xfId="6031" xr:uid="{E4AC8E49-38E6-4D49-8933-6E8390C0DAB9}"/>
    <cellStyle name="Comma [1] 8" xfId="6032" xr:uid="{764029E0-49AE-4CB2-A23C-752C05D8EC90}"/>
    <cellStyle name="Comma [1] 8 10" xfId="6033" xr:uid="{5945EE7C-94C4-4A2D-A1D7-55BD6F89A3BF}"/>
    <cellStyle name="Comma [1] 8 11" xfId="6034" xr:uid="{3EC7FECC-F10D-4C76-9324-664BEC7E3484}"/>
    <cellStyle name="Comma [1] 8 12" xfId="6035" xr:uid="{DA1AB7AB-EB63-43C5-B7BD-CE1CB7F53621}"/>
    <cellStyle name="Comma [1] 8 13" xfId="6036" xr:uid="{18B56093-8337-48F6-9CF8-B65BEB588778}"/>
    <cellStyle name="Comma [1] 8 14" xfId="6037" xr:uid="{B041D813-8FB9-4FD7-A2A6-4DBF71B9062C}"/>
    <cellStyle name="Comma [1] 8 15" xfId="6038" xr:uid="{6CEE68B9-98F6-4717-BC01-31AA43D741A2}"/>
    <cellStyle name="Comma [1] 8 16" xfId="6039" xr:uid="{B9FDB15C-70A3-4AFB-B2D5-1CC574C3E525}"/>
    <cellStyle name="Comma [1] 8 17" xfId="6040" xr:uid="{30CB5CC3-D5D0-4E27-95E6-0795F1783E6E}"/>
    <cellStyle name="Comma [1] 8 18" xfId="6041" xr:uid="{6BA0E7F2-C5B9-449D-879C-192FE6D123F3}"/>
    <cellStyle name="Comma [1] 8 19" xfId="6042" xr:uid="{5F970783-BE80-4C8B-9B39-292B70B63A6C}"/>
    <cellStyle name="Comma [1] 8 2" xfId="6043" xr:uid="{A4C97AF9-E6EF-4DA9-AE97-73F20862E3DE}"/>
    <cellStyle name="Comma [1] 8 20" xfId="6044" xr:uid="{7C12DD26-2CEE-4FA3-9FC0-9B43FB7EB3F9}"/>
    <cellStyle name="Comma [1] 8 21" xfId="6045" xr:uid="{1C0F25FC-305E-4F38-AAD5-D367C6C67580}"/>
    <cellStyle name="Comma [1] 8 22" xfId="6046" xr:uid="{352E5768-DE3C-4F49-B127-8BB7015C776D}"/>
    <cellStyle name="Comma [1] 8 23" xfId="6047" xr:uid="{1A95FA31-972C-40C6-B3C0-3AF38CBFB26D}"/>
    <cellStyle name="Comma [1] 8 3" xfId="6048" xr:uid="{1A7B7798-44C0-4B08-A33C-EF0EA22906DE}"/>
    <cellStyle name="Comma [1] 8 4" xfId="6049" xr:uid="{F04E2E95-5F75-4131-88FC-ACCCB3410818}"/>
    <cellStyle name="Comma [1] 8 5" xfId="6050" xr:uid="{C56E0601-CDC3-4475-B59E-6748F8743054}"/>
    <cellStyle name="Comma [1] 8 6" xfId="6051" xr:uid="{32A2370C-C79F-436B-9829-43B29CE445A1}"/>
    <cellStyle name="Comma [1] 8 7" xfId="6052" xr:uid="{94E6AFAA-F20F-4616-B9BD-3F43276BDC10}"/>
    <cellStyle name="Comma [1] 8 8" xfId="6053" xr:uid="{526AFD15-3B2E-4CF8-B903-0F124B4D9D56}"/>
    <cellStyle name="Comma [1] 8 9" xfId="6054" xr:uid="{866D768F-C2A3-4E5E-AB4F-303D2A1BA36E}"/>
    <cellStyle name="Comma [1] 9" xfId="6055" xr:uid="{3C8C70BF-9730-4278-B43D-3D879D22BE6C}"/>
    <cellStyle name="Comma [1] 9 10" xfId="6056" xr:uid="{40ED551C-B090-4C47-8C3B-D8B53ECBFFEC}"/>
    <cellStyle name="Comma [1] 9 11" xfId="6057" xr:uid="{2A45E24E-2B6C-46D1-A953-E7D9A88620A4}"/>
    <cellStyle name="Comma [1] 9 12" xfId="6058" xr:uid="{0DF2584E-EF75-408D-91BD-FDF057A4DA55}"/>
    <cellStyle name="Comma [1] 9 13" xfId="6059" xr:uid="{72DCF050-3EAF-4E94-A4B0-2EDE285A1B5A}"/>
    <cellStyle name="Comma [1] 9 14" xfId="6060" xr:uid="{D499B0E4-618E-44FD-A80E-DF007BA95695}"/>
    <cellStyle name="Comma [1] 9 15" xfId="6061" xr:uid="{CF867D9E-F273-4965-BCB9-B82728411B78}"/>
    <cellStyle name="Comma [1] 9 16" xfId="6062" xr:uid="{F8311ECB-67A9-49EF-83E9-8B6AD18032EE}"/>
    <cellStyle name="Comma [1] 9 17" xfId="6063" xr:uid="{346217FE-C928-4F90-A1D2-EEE5EA2317E1}"/>
    <cellStyle name="Comma [1] 9 18" xfId="6064" xr:uid="{C86578DA-2313-44B7-AA43-638D002F54A1}"/>
    <cellStyle name="Comma [1] 9 19" xfId="6065" xr:uid="{CBAB8B89-75EC-4DFE-9F8F-4147A9BB039A}"/>
    <cellStyle name="Comma [1] 9 2" xfId="6066" xr:uid="{DB0A5841-F972-4AF7-97A3-A8A5F53420A9}"/>
    <cellStyle name="Comma [1] 9 20" xfId="6067" xr:uid="{B4FD444C-F0A2-483D-B7C9-2436AF5D6D97}"/>
    <cellStyle name="Comma [1] 9 21" xfId="6068" xr:uid="{874F5F5D-C6E6-441F-9B4C-AE71CB01CA64}"/>
    <cellStyle name="Comma [1] 9 22" xfId="6069" xr:uid="{F9EF249F-AF23-4C22-9E28-8BB5B64EA6E9}"/>
    <cellStyle name="Comma [1] 9 23" xfId="6070" xr:uid="{0B8C6C70-DD8F-4841-B5CC-BB3341BC93A6}"/>
    <cellStyle name="Comma [1] 9 3" xfId="6071" xr:uid="{EBC10F0B-27FC-4548-9417-CB0288DB921A}"/>
    <cellStyle name="Comma [1] 9 4" xfId="6072" xr:uid="{679F5FAD-3ABB-406C-966E-FB3CA7555993}"/>
    <cellStyle name="Comma [1] 9 5" xfId="6073" xr:uid="{19F65AAD-11DB-4C43-859F-C9E6145F25F7}"/>
    <cellStyle name="Comma [1] 9 6" xfId="6074" xr:uid="{FAF6479B-F987-4E18-8F2D-16D67AC0DBF4}"/>
    <cellStyle name="Comma [1] 9 7" xfId="6075" xr:uid="{2D14ED4C-274D-4D63-997C-FC75C286BE08}"/>
    <cellStyle name="Comma [1] 9 8" xfId="6076" xr:uid="{460C4584-27A1-4667-9713-C202DBBEAFBE}"/>
    <cellStyle name="Comma [1] 9 9" xfId="6077" xr:uid="{6BF5FA26-AECA-42F2-B8B3-079D682F6B93}"/>
    <cellStyle name="Comma [2]" xfId="6078" xr:uid="{A2B5540E-0407-4FFC-83B6-E0A0C6065CC9}"/>
    <cellStyle name="Comma [2] 10" xfId="6079" xr:uid="{23A67770-0D36-4260-A7FB-4BCDEB4FBD56}"/>
    <cellStyle name="Comma [2] 10 10" xfId="6080" xr:uid="{0CE94FC5-C4A3-43EE-8E46-7FED7FE35527}"/>
    <cellStyle name="Comma [2] 10 11" xfId="6081" xr:uid="{B1DE55C6-103C-4174-90C5-DE7FB0CCC64D}"/>
    <cellStyle name="Comma [2] 10 12" xfId="6082" xr:uid="{E282A383-F8EA-456D-9C9A-FEF2CA8BC597}"/>
    <cellStyle name="Comma [2] 10 13" xfId="6083" xr:uid="{C498D892-2901-4940-A886-747E0CED8C89}"/>
    <cellStyle name="Comma [2] 10 14" xfId="6084" xr:uid="{336C4A52-629B-4DE3-A352-165775A83B7F}"/>
    <cellStyle name="Comma [2] 10 15" xfId="6085" xr:uid="{BC580B57-3A19-4212-90C0-AD65D5A6B377}"/>
    <cellStyle name="Comma [2] 10 16" xfId="6086" xr:uid="{AA732C8C-A567-40AA-A73B-C369284415FB}"/>
    <cellStyle name="Comma [2] 10 17" xfId="6087" xr:uid="{7D4CB1BC-45E3-4CA8-B760-00FD6E8F567E}"/>
    <cellStyle name="Comma [2] 10 18" xfId="6088" xr:uid="{7BA060A0-7ABA-41EE-A795-27A574C0B3E1}"/>
    <cellStyle name="Comma [2] 10 19" xfId="6089" xr:uid="{1C7A4618-BD99-4EDA-A685-06A4F148D19B}"/>
    <cellStyle name="Comma [2] 10 2" xfId="6090" xr:uid="{1AED32EB-10FB-4A2E-9622-B6D3B09D8D83}"/>
    <cellStyle name="Comma [2] 10 20" xfId="6091" xr:uid="{08D8A9DA-6B34-4A48-96FD-33D9BF56BA73}"/>
    <cellStyle name="Comma [2] 10 21" xfId="6092" xr:uid="{1D4210C7-2E81-4DC7-9AB4-A772F2928D12}"/>
    <cellStyle name="Comma [2] 10 22" xfId="6093" xr:uid="{B722DEEF-71B2-47DD-95F7-9572C8CECC00}"/>
    <cellStyle name="Comma [2] 10 23" xfId="6094" xr:uid="{47E5FF27-B4E8-42D3-AC75-FDB301126E33}"/>
    <cellStyle name="Comma [2] 10 3" xfId="6095" xr:uid="{66770849-DCAC-4FC3-93D6-13EC52CE33F8}"/>
    <cellStyle name="Comma [2] 10 4" xfId="6096" xr:uid="{01D46CBB-8D4D-46E3-90F8-6DECA7DE7D10}"/>
    <cellStyle name="Comma [2] 10 5" xfId="6097" xr:uid="{4C063A55-82B9-41E8-AB43-8177CB2C0EA4}"/>
    <cellStyle name="Comma [2] 10 6" xfId="6098" xr:uid="{4D7F2255-A5C5-4660-9773-8E757DF49F88}"/>
    <cellStyle name="Comma [2] 10 7" xfId="6099" xr:uid="{E06A82A6-AF19-49B9-BA3E-8D5FDDC5A683}"/>
    <cellStyle name="Comma [2] 10 8" xfId="6100" xr:uid="{D5FEE59F-EC38-4D4D-93E0-7DA310E68CEB}"/>
    <cellStyle name="Comma [2] 10 9" xfId="6101" xr:uid="{93C31911-DB9F-49B3-A31F-4FAC55F6FD15}"/>
    <cellStyle name="Comma [2] 11" xfId="6102" xr:uid="{DF1DA7C1-FF95-4FF2-B60E-EEEA924DA1EF}"/>
    <cellStyle name="Comma [2] 11 10" xfId="6103" xr:uid="{A9B606E6-1135-49AF-A03E-7C8FC09064E7}"/>
    <cellStyle name="Comma [2] 11 11" xfId="6104" xr:uid="{BA57C68E-9576-437D-BA26-B2F1FF3E97F9}"/>
    <cellStyle name="Comma [2] 11 12" xfId="6105" xr:uid="{2C637622-A960-4520-A23D-FE16564B334D}"/>
    <cellStyle name="Comma [2] 11 13" xfId="6106" xr:uid="{6FA3953B-A484-4728-90D3-1FB85796A55E}"/>
    <cellStyle name="Comma [2] 11 14" xfId="6107" xr:uid="{CF847526-F661-4314-9C2C-06F3EDB75DBE}"/>
    <cellStyle name="Comma [2] 11 15" xfId="6108" xr:uid="{839FEF43-5D2D-43EC-867A-E6792691B521}"/>
    <cellStyle name="Comma [2] 11 16" xfId="6109" xr:uid="{618F5501-86FE-4C2A-9566-CF88DAC5E71B}"/>
    <cellStyle name="Comma [2] 11 17" xfId="6110" xr:uid="{C092ABD6-3D96-418E-8531-D2F1610F2323}"/>
    <cellStyle name="Comma [2] 11 18" xfId="6111" xr:uid="{468A016D-40A9-42BD-8023-2A14CF17B875}"/>
    <cellStyle name="Comma [2] 11 19" xfId="6112" xr:uid="{3AD41666-92CE-402C-817B-2303F7CEA885}"/>
    <cellStyle name="Comma [2] 11 2" xfId="6113" xr:uid="{30C6BDF8-8C59-4D3E-8283-6EADF77F4CE1}"/>
    <cellStyle name="Comma [2] 11 20" xfId="6114" xr:uid="{45DC039A-C403-4C84-B5D6-1C6E1475850F}"/>
    <cellStyle name="Comma [2] 11 21" xfId="6115" xr:uid="{5DC37586-F3B8-4946-B8D2-865F3EB93B73}"/>
    <cellStyle name="Comma [2] 11 22" xfId="6116" xr:uid="{972149E4-376F-43C8-AC35-9B88F4E738CA}"/>
    <cellStyle name="Comma [2] 11 23" xfId="6117" xr:uid="{C7A9BD64-2C8E-4925-8E76-C3D5FD8D7A05}"/>
    <cellStyle name="Comma [2] 11 3" xfId="6118" xr:uid="{3975916B-0D8F-4372-924A-4BAD7208A5BD}"/>
    <cellStyle name="Comma [2] 11 4" xfId="6119" xr:uid="{37633FFF-1F7A-42A9-8860-C78B915EA3C7}"/>
    <cellStyle name="Comma [2] 11 5" xfId="6120" xr:uid="{78FA8FCB-CA9A-4536-A329-9FB56C922719}"/>
    <cellStyle name="Comma [2] 11 6" xfId="6121" xr:uid="{E960DD9E-102D-42D2-B6A7-9D7BDA303D9C}"/>
    <cellStyle name="Comma [2] 11 7" xfId="6122" xr:uid="{A9659DD5-A301-4549-9CF3-AA2AC1A36E8D}"/>
    <cellStyle name="Comma [2] 11 8" xfId="6123" xr:uid="{5B3A4BB8-C4DB-4A07-8C0A-11E6CC1F61CD}"/>
    <cellStyle name="Comma [2] 11 9" xfId="6124" xr:uid="{783520F2-36D6-4603-BA8B-EE79511DE331}"/>
    <cellStyle name="Comma [2] 12" xfId="6125" xr:uid="{6AB3AC3E-458A-4DC3-941C-F5C08D181094}"/>
    <cellStyle name="Comma [2] 12 2" xfId="6126" xr:uid="{63C2A54B-90B8-44F6-B048-177F9F29310A}"/>
    <cellStyle name="Comma [2] 12 3" xfId="6127" xr:uid="{A3EF017D-E183-4A83-94E4-342E29F1F426}"/>
    <cellStyle name="Comma [2] 12 4" xfId="6128" xr:uid="{9363A42F-F9F6-43FF-BE9E-0C77201128B9}"/>
    <cellStyle name="Comma [2] 13" xfId="6129" xr:uid="{DE7CBB61-1154-44CB-94B7-B01956D6C010}"/>
    <cellStyle name="Comma [2] 14" xfId="6130" xr:uid="{91D71236-B560-44A0-90B8-9FFFE66948E9}"/>
    <cellStyle name="Comma [2] 15" xfId="6131" xr:uid="{EAE0D056-CC05-4C2D-BE61-6F9B933DBC29}"/>
    <cellStyle name="Comma [2] 16" xfId="6132" xr:uid="{225A9C60-43DA-42D8-8F9F-DB08D6C3EDDA}"/>
    <cellStyle name="Comma [2] 2" xfId="6133" xr:uid="{F680894D-E3C3-48F0-B331-7414748162A2}"/>
    <cellStyle name="Comma [2] 2 10" xfId="6134" xr:uid="{523F6532-7E10-4680-9E44-1F60C33E12C7}"/>
    <cellStyle name="Comma [2] 2 11" xfId="6135" xr:uid="{92B6CEF7-254C-476D-B93B-7C1A3E97F25E}"/>
    <cellStyle name="Comma [2] 2 12" xfId="6136" xr:uid="{F0E40B62-0728-471E-83FB-9BE95049AA9D}"/>
    <cellStyle name="Comma [2] 2 13" xfId="6137" xr:uid="{0B8187EA-8090-4561-8B96-0876F159AF54}"/>
    <cellStyle name="Comma [2] 2 14" xfId="6138" xr:uid="{0910DE18-1004-4BFE-8801-E4B2EBC9A385}"/>
    <cellStyle name="Comma [2] 2 15" xfId="6139" xr:uid="{E04A4360-51E3-4289-92A4-8DA8B271D758}"/>
    <cellStyle name="Comma [2] 2 16" xfId="6140" xr:uid="{FF32E449-2403-49B5-AB9E-9C2A6F20A7D3}"/>
    <cellStyle name="Comma [2] 2 17" xfId="6141" xr:uid="{8B03EA61-E648-4C4F-B7B6-86A9B5076D87}"/>
    <cellStyle name="Comma [2] 2 18" xfId="6142" xr:uid="{4320F472-D11B-4FC3-ADEF-77F6B4671C0E}"/>
    <cellStyle name="Comma [2] 2 19" xfId="6143" xr:uid="{D3EEE8C5-B6A5-4B3A-8A18-1B0D225B9E99}"/>
    <cellStyle name="Comma [2] 2 2" xfId="6144" xr:uid="{25EF68C8-01F9-4544-9702-8BC495E6577D}"/>
    <cellStyle name="Comma [2] 2 2 10" xfId="6145" xr:uid="{2920694F-2E23-49EC-AC69-E15D02EA4AF6}"/>
    <cellStyle name="Comma [2] 2 2 11" xfId="6146" xr:uid="{70F1F079-EB16-49B7-B387-FF79FECE1E6E}"/>
    <cellStyle name="Comma [2] 2 2 12" xfId="6147" xr:uid="{D68CAFBB-8CEA-4E2C-8069-C173FE524F85}"/>
    <cellStyle name="Comma [2] 2 2 13" xfId="6148" xr:uid="{A96260E5-6AD9-4CDD-9F9F-18A8CF05DA5F}"/>
    <cellStyle name="Comma [2] 2 2 14" xfId="6149" xr:uid="{6CC641D5-C33F-43DF-9542-53D79AFD7D50}"/>
    <cellStyle name="Comma [2] 2 2 15" xfId="6150" xr:uid="{CEADA00C-9E9E-470A-BED4-DD3EF0FD5BDF}"/>
    <cellStyle name="Comma [2] 2 2 16" xfId="6151" xr:uid="{C3C7EF07-83FF-4881-B249-92C29F21DA2A}"/>
    <cellStyle name="Comma [2] 2 2 17" xfId="6152" xr:uid="{7A8B0042-5DF4-494B-9C72-AEE8AFBBDB8E}"/>
    <cellStyle name="Comma [2] 2 2 18" xfId="6153" xr:uid="{23176898-753E-49BA-A1C4-795AF21D09CC}"/>
    <cellStyle name="Comma [2] 2 2 19" xfId="6154" xr:uid="{B3CF5DDD-D6BB-46D2-ABC9-4A8463CE2405}"/>
    <cellStyle name="Comma [2] 2 2 2" xfId="6155" xr:uid="{B962EDBC-4042-4F30-AC08-388587258EF2}"/>
    <cellStyle name="Comma [2] 2 2 20" xfId="6156" xr:uid="{2D2EC126-01AC-4D2F-930E-5C2D36F431B5}"/>
    <cellStyle name="Comma [2] 2 2 21" xfId="6157" xr:uid="{4D57D053-AF95-416C-83F8-AB9166955F7D}"/>
    <cellStyle name="Comma [2] 2 2 22" xfId="6158" xr:uid="{AC188E8E-EB28-41E2-9E2B-7F04F74B0D75}"/>
    <cellStyle name="Comma [2] 2 2 23" xfId="6159" xr:uid="{1258E550-F540-4068-B620-24B854FA6F32}"/>
    <cellStyle name="Comma [2] 2 2 3" xfId="6160" xr:uid="{860A26E4-2CAB-4D22-B59E-F32642C8CE98}"/>
    <cellStyle name="Comma [2] 2 2 4" xfId="6161" xr:uid="{A3CAD5B5-CA79-453B-908F-E6C330C6D0F9}"/>
    <cellStyle name="Comma [2] 2 2 5" xfId="6162" xr:uid="{93B79C18-0946-47EA-9802-387552EF1306}"/>
    <cellStyle name="Comma [2] 2 2 6" xfId="6163" xr:uid="{DCAFB683-A669-49BE-826B-88F3BD0355CE}"/>
    <cellStyle name="Comma [2] 2 2 7" xfId="6164" xr:uid="{82571350-6A79-48FB-8D8F-EBFD837ECFCC}"/>
    <cellStyle name="Comma [2] 2 2 8" xfId="6165" xr:uid="{21F60F1D-9253-40B9-9AD5-F608FC431AA6}"/>
    <cellStyle name="Comma [2] 2 2 9" xfId="6166" xr:uid="{9A5BA301-FEEA-4A87-9B00-61103446CF8B}"/>
    <cellStyle name="Comma [2] 2 20" xfId="6167" xr:uid="{E8C91648-1431-4598-AC5B-59A71030CD15}"/>
    <cellStyle name="Comma [2] 2 21" xfId="6168" xr:uid="{59CEEF44-D421-4C1F-888A-658BE31A5B6D}"/>
    <cellStyle name="Comma [2] 2 22" xfId="6169" xr:uid="{4C5F3C25-88C8-42BA-ACDA-6D2F0FA3D3B2}"/>
    <cellStyle name="Comma [2] 2 23" xfId="6170" xr:uid="{0B78B650-50EF-4684-8F10-A76B74995D52}"/>
    <cellStyle name="Comma [2] 2 24" xfId="6171" xr:uid="{5C94D5AF-1F5C-4112-A36D-5103F37C8E64}"/>
    <cellStyle name="Comma [2] 2 25" xfId="6172" xr:uid="{9F01C5CE-E257-4BA4-A747-C94DD0D488E1}"/>
    <cellStyle name="Comma [2] 2 26" xfId="6173" xr:uid="{64EFA779-D4FC-4A4F-AC0D-3336C9721D1D}"/>
    <cellStyle name="Comma [2] 2 27" xfId="6174" xr:uid="{A0EC3BDD-F605-4A8F-9A6A-030C4333C40B}"/>
    <cellStyle name="Comma [2] 2 3" xfId="6175" xr:uid="{E90388F6-EC79-4049-9B28-CE224968E87E}"/>
    <cellStyle name="Comma [2] 2 3 10" xfId="6176" xr:uid="{ACC1867B-C6EF-4CBD-AFA6-7071A37F0316}"/>
    <cellStyle name="Comma [2] 2 3 11" xfId="6177" xr:uid="{821308A2-EC2A-4898-8796-9977E73E7412}"/>
    <cellStyle name="Comma [2] 2 3 12" xfId="6178" xr:uid="{BEAD5BAD-94A9-4528-AAF7-A0752155F342}"/>
    <cellStyle name="Comma [2] 2 3 13" xfId="6179" xr:uid="{A9EFB768-7BF6-4386-8E67-5FFA7B894284}"/>
    <cellStyle name="Comma [2] 2 3 14" xfId="6180" xr:uid="{C73F15A9-8E92-47E9-8EF3-215F650AA613}"/>
    <cellStyle name="Comma [2] 2 3 15" xfId="6181" xr:uid="{4C0B77CC-6238-44E1-93D9-D5CB2D07B712}"/>
    <cellStyle name="Comma [2] 2 3 16" xfId="6182" xr:uid="{BAC76A83-9A53-4162-862C-FFCCD647B54E}"/>
    <cellStyle name="Comma [2] 2 3 17" xfId="6183" xr:uid="{A56D48FC-2EE4-4012-BB90-E32FA4D59811}"/>
    <cellStyle name="Comma [2] 2 3 18" xfId="6184" xr:uid="{0EF5EF32-2A02-46FA-86B5-600112A4279F}"/>
    <cellStyle name="Comma [2] 2 3 19" xfId="6185" xr:uid="{BDAC7C0C-C393-4ADE-93C4-499E681A74CA}"/>
    <cellStyle name="Comma [2] 2 3 2" xfId="6186" xr:uid="{9867E7ED-DA0D-4D32-BC8C-23A24EABF73B}"/>
    <cellStyle name="Comma [2] 2 3 20" xfId="6187" xr:uid="{5F12C779-B7B8-4C60-9B47-FD59144B20B8}"/>
    <cellStyle name="Comma [2] 2 3 21" xfId="6188" xr:uid="{EA74157D-EE3D-403E-AD09-AE72B6C8659F}"/>
    <cellStyle name="Comma [2] 2 3 22" xfId="6189" xr:uid="{F4C998F8-9892-4B81-9972-51B318255BDB}"/>
    <cellStyle name="Comma [2] 2 3 23" xfId="6190" xr:uid="{7F071644-06A4-4CB8-B8CB-1FDD715F6469}"/>
    <cellStyle name="Comma [2] 2 3 3" xfId="6191" xr:uid="{BB208AA1-3ED5-4601-9219-BC2F766E537D}"/>
    <cellStyle name="Comma [2] 2 3 4" xfId="6192" xr:uid="{0BA878A3-78DE-419C-A4CF-C34FC8BE51D8}"/>
    <cellStyle name="Comma [2] 2 3 5" xfId="6193" xr:uid="{D0E9C0F1-B598-452F-B9E6-213222CAB2BF}"/>
    <cellStyle name="Comma [2] 2 3 6" xfId="6194" xr:uid="{9D0DB382-B160-4430-A015-33EEA74C6FC5}"/>
    <cellStyle name="Comma [2] 2 3 7" xfId="6195" xr:uid="{D0E24210-C7A4-4394-891D-3F45D9C59E31}"/>
    <cellStyle name="Comma [2] 2 3 8" xfId="6196" xr:uid="{BF00BCB6-FBD9-40D3-84DC-44D95E4FE006}"/>
    <cellStyle name="Comma [2] 2 3 9" xfId="6197" xr:uid="{A4C32311-067B-46D1-9174-CB4CCF69C4D4}"/>
    <cellStyle name="Comma [2] 2 4" xfId="6198" xr:uid="{FDE13F3F-930E-4034-80A8-1DEE25B1684B}"/>
    <cellStyle name="Comma [2] 2 4 10" xfId="6199" xr:uid="{821ECC67-F847-4BAF-8EFD-9AE1416E9019}"/>
    <cellStyle name="Comma [2] 2 4 11" xfId="6200" xr:uid="{9C172EDA-3EBB-4B4A-8D2B-3348EDDFC268}"/>
    <cellStyle name="Comma [2] 2 4 12" xfId="6201" xr:uid="{5B76BA24-D517-47CA-B1FE-91553F35513A}"/>
    <cellStyle name="Comma [2] 2 4 13" xfId="6202" xr:uid="{0BCD6FB7-CD9F-4014-86CF-EDF088549515}"/>
    <cellStyle name="Comma [2] 2 4 14" xfId="6203" xr:uid="{41F73BCF-77BC-4A6F-B381-0C6CCB472A34}"/>
    <cellStyle name="Comma [2] 2 4 15" xfId="6204" xr:uid="{4A0896D9-E80C-4180-BFD1-40E8FD2937BA}"/>
    <cellStyle name="Comma [2] 2 4 16" xfId="6205" xr:uid="{C278F745-0D00-47C1-AAF5-631E246DFBF3}"/>
    <cellStyle name="Comma [2] 2 4 17" xfId="6206" xr:uid="{A80C993F-AA5E-4A2E-857E-E5E3C2E98AF0}"/>
    <cellStyle name="Comma [2] 2 4 18" xfId="6207" xr:uid="{FCCB7787-6A43-4E8B-9E91-BE14A1AC963B}"/>
    <cellStyle name="Comma [2] 2 4 19" xfId="6208" xr:uid="{E06564E5-CE5D-408D-8FCE-AA830CFD9EAD}"/>
    <cellStyle name="Comma [2] 2 4 2" xfId="6209" xr:uid="{8DFF599D-8D0F-46E4-BECB-08CE1C2ABB06}"/>
    <cellStyle name="Comma [2] 2 4 20" xfId="6210" xr:uid="{432E360F-1209-476D-808D-942E9155F0D0}"/>
    <cellStyle name="Comma [2] 2 4 21" xfId="6211" xr:uid="{F2408A9F-41A1-48B5-B1EF-485AB4DC8A3F}"/>
    <cellStyle name="Comma [2] 2 4 22" xfId="6212" xr:uid="{1DB74372-1B99-4620-8139-93829F57C34A}"/>
    <cellStyle name="Comma [2] 2 4 23" xfId="6213" xr:uid="{A693CFE8-E12F-4D3A-8F2B-A50929CC908D}"/>
    <cellStyle name="Comma [2] 2 4 3" xfId="6214" xr:uid="{D6239927-33D9-4259-BCE7-8B259C362D19}"/>
    <cellStyle name="Comma [2] 2 4 4" xfId="6215" xr:uid="{DC4C23A3-6325-4D20-929A-A72C79265F2D}"/>
    <cellStyle name="Comma [2] 2 4 5" xfId="6216" xr:uid="{32FD63D7-BA4C-4E88-942D-CFAE9B648E98}"/>
    <cellStyle name="Comma [2] 2 4 6" xfId="6217" xr:uid="{9651F38D-9A4F-4454-A7DD-4A191C18EBB4}"/>
    <cellStyle name="Comma [2] 2 4 7" xfId="6218" xr:uid="{A1F634F6-B681-4078-8448-B84023A4616F}"/>
    <cellStyle name="Comma [2] 2 4 8" xfId="6219" xr:uid="{BF9FB6DD-A27D-4914-846C-1968C984D2FF}"/>
    <cellStyle name="Comma [2] 2 4 9" xfId="6220" xr:uid="{90685EB2-18FB-4FC3-8FA7-1C484F25BA12}"/>
    <cellStyle name="Comma [2] 2 5" xfId="6221" xr:uid="{AE0E7B94-CE40-477B-9C38-D776AA1B29B9}"/>
    <cellStyle name="Comma [2] 2 5 10" xfId="6222" xr:uid="{1FBBB041-D690-43E0-A1CD-06655740C6E6}"/>
    <cellStyle name="Comma [2] 2 5 11" xfId="6223" xr:uid="{43B165E5-FED1-41F3-BBC8-2028C41C2B5E}"/>
    <cellStyle name="Comma [2] 2 5 12" xfId="6224" xr:uid="{20C5B30B-0046-47EC-9E5C-97BA3794E395}"/>
    <cellStyle name="Comma [2] 2 5 13" xfId="6225" xr:uid="{2B8D27E9-2927-41B6-9C67-3581555CD401}"/>
    <cellStyle name="Comma [2] 2 5 14" xfId="6226" xr:uid="{4835B0DF-54BB-451E-9BC9-9C99706FC47C}"/>
    <cellStyle name="Comma [2] 2 5 15" xfId="6227" xr:uid="{8BF7A3A1-A116-4A92-89DB-092CD76C905D}"/>
    <cellStyle name="Comma [2] 2 5 16" xfId="6228" xr:uid="{6DE5FED0-AB6C-4E90-A454-22D1E3B7DC0A}"/>
    <cellStyle name="Comma [2] 2 5 17" xfId="6229" xr:uid="{140C6D29-FA9D-4D30-A925-20DCADE6A571}"/>
    <cellStyle name="Comma [2] 2 5 18" xfId="6230" xr:uid="{0190195C-74A4-4C9D-8AFE-B0E017389765}"/>
    <cellStyle name="Comma [2] 2 5 19" xfId="6231" xr:uid="{152960F1-6942-4237-BE37-B5DDBABE5520}"/>
    <cellStyle name="Comma [2] 2 5 2" xfId="6232" xr:uid="{237F8AB9-A67D-42D0-B0F1-441E380AC55E}"/>
    <cellStyle name="Comma [2] 2 5 20" xfId="6233" xr:uid="{28707D5C-CC6E-4A37-B0AF-897686B803B4}"/>
    <cellStyle name="Comma [2] 2 5 21" xfId="6234" xr:uid="{CF09F144-79D8-4822-9E4F-0675948A30D6}"/>
    <cellStyle name="Comma [2] 2 5 22" xfId="6235" xr:uid="{64DAB4CA-CAFB-4584-BA0E-5FA79D4B8666}"/>
    <cellStyle name="Comma [2] 2 5 23" xfId="6236" xr:uid="{79E96353-594C-4E29-95A7-16D6E4F2EE51}"/>
    <cellStyle name="Comma [2] 2 5 3" xfId="6237" xr:uid="{A815BA93-1EDC-46A8-B2D7-FDD80B7BD67B}"/>
    <cellStyle name="Comma [2] 2 5 4" xfId="6238" xr:uid="{40BB022C-6DC6-4723-A65D-C946FBF8605B}"/>
    <cellStyle name="Comma [2] 2 5 5" xfId="6239" xr:uid="{3C054275-6673-405B-A18F-9A072BD541C9}"/>
    <cellStyle name="Comma [2] 2 5 6" xfId="6240" xr:uid="{E694D6CF-74AF-4666-B380-180F2C785884}"/>
    <cellStyle name="Comma [2] 2 5 7" xfId="6241" xr:uid="{4AC5F631-98D4-45E6-9A71-C8A6FDB5DA58}"/>
    <cellStyle name="Comma [2] 2 5 8" xfId="6242" xr:uid="{B87E6781-A750-4360-81D8-FCA8F13E6DA3}"/>
    <cellStyle name="Comma [2] 2 5 9" xfId="6243" xr:uid="{C133B40C-4C4B-4AF6-92DB-D652EDECFD11}"/>
    <cellStyle name="Comma [2] 2 6" xfId="6244" xr:uid="{FC200642-A438-4A99-9B17-7AAD99BB5A38}"/>
    <cellStyle name="Comma [2] 2 7" xfId="6245" xr:uid="{ED7305FA-21CE-4DD9-BFEA-61EA70ED2DB8}"/>
    <cellStyle name="Comma [2] 2 8" xfId="6246" xr:uid="{4A64073A-8AC7-43D7-A9D2-4638B809D31D}"/>
    <cellStyle name="Comma [2] 2 9" xfId="6247" xr:uid="{DB17EC1A-F48C-4BFE-8B66-0A18A3051B06}"/>
    <cellStyle name="Comma [2] 3" xfId="6248" xr:uid="{3ABE5D3E-D543-4258-9E84-204DEFA811CA}"/>
    <cellStyle name="Comma [2] 3 10" xfId="6249" xr:uid="{17DC838E-99BA-41D1-9622-5D6208BFF3ED}"/>
    <cellStyle name="Comma [2] 3 11" xfId="6250" xr:uid="{D509EB9B-487D-4A4D-B96F-FD7115DE6104}"/>
    <cellStyle name="Comma [2] 3 12" xfId="6251" xr:uid="{4EB58987-3C5D-4A3D-AFC9-D02AA041F769}"/>
    <cellStyle name="Comma [2] 3 13" xfId="6252" xr:uid="{896BA5A4-C469-479E-89C2-4948024DE0C9}"/>
    <cellStyle name="Comma [2] 3 14" xfId="6253" xr:uid="{225236C8-D1E5-48DF-AD9E-3ADCC2212789}"/>
    <cellStyle name="Comma [2] 3 15" xfId="6254" xr:uid="{CDB27232-141E-413D-858F-746B62B74F96}"/>
    <cellStyle name="Comma [2] 3 16" xfId="6255" xr:uid="{222040FF-83A3-4D4C-9DF3-B9CD8BA8009F}"/>
    <cellStyle name="Comma [2] 3 17" xfId="6256" xr:uid="{1B69909E-9359-4A74-87BE-A3250559B527}"/>
    <cellStyle name="Comma [2] 3 18" xfId="6257" xr:uid="{5DB967AE-ED2B-4776-9B08-EE59FF7A493D}"/>
    <cellStyle name="Comma [2] 3 19" xfId="6258" xr:uid="{3ED529F1-9A0A-4236-B981-5D1DF8BEC73F}"/>
    <cellStyle name="Comma [2] 3 2" xfId="6259" xr:uid="{B952DDAD-097F-4577-B536-8F7DB05C0140}"/>
    <cellStyle name="Comma [2] 3 20" xfId="6260" xr:uid="{C178F05F-1CDF-48C5-9875-F7840A2EF49F}"/>
    <cellStyle name="Comma [2] 3 21" xfId="6261" xr:uid="{09CE3C63-452F-439B-9014-309BEF3829C3}"/>
    <cellStyle name="Comma [2] 3 22" xfId="6262" xr:uid="{4ABA53F4-14B8-4E72-84F0-9A86DA800730}"/>
    <cellStyle name="Comma [2] 3 23" xfId="6263" xr:uid="{1FFCBE33-4355-41F5-A555-0B4BE552E83D}"/>
    <cellStyle name="Comma [2] 3 3" xfId="6264" xr:uid="{58FCDD94-67EE-4718-AD8A-18B60A8185F2}"/>
    <cellStyle name="Comma [2] 3 4" xfId="6265" xr:uid="{A4B3F064-DCA9-4F45-9C17-87C63771DEB2}"/>
    <cellStyle name="Comma [2] 3 5" xfId="6266" xr:uid="{AE0CF9FE-17F6-4444-91F7-537DF151458C}"/>
    <cellStyle name="Comma [2] 3 6" xfId="6267" xr:uid="{02046FEE-5B57-4371-903E-3DE46F8276C8}"/>
    <cellStyle name="Comma [2] 3 7" xfId="6268" xr:uid="{D51BCF92-DA97-4016-822D-FE6B63BE12EA}"/>
    <cellStyle name="Comma [2] 3 8" xfId="6269" xr:uid="{F5EA3449-22D4-4EA9-81C4-B73D73F3DE4C}"/>
    <cellStyle name="Comma [2] 3 9" xfId="6270" xr:uid="{0071E8BD-1F7B-4EF4-BDB4-2897F3BB30BC}"/>
    <cellStyle name="Comma [2] 4" xfId="6271" xr:uid="{F5611918-4AA1-4C8F-8291-0DC8DDD4F61E}"/>
    <cellStyle name="Comma [2] 4 10" xfId="6272" xr:uid="{7F2AF7F6-A1B7-4D2B-9128-8565FAB153FA}"/>
    <cellStyle name="Comma [2] 4 11" xfId="6273" xr:uid="{77B7E77C-1509-4774-90C3-6602C673276E}"/>
    <cellStyle name="Comma [2] 4 12" xfId="6274" xr:uid="{FC9E7499-339B-44D3-8CFF-C62E95A24914}"/>
    <cellStyle name="Comma [2] 4 13" xfId="6275" xr:uid="{4A5F7FBE-6608-469D-B3BC-79EC4E2D7B55}"/>
    <cellStyle name="Comma [2] 4 14" xfId="6276" xr:uid="{C46B6C2E-00CF-4E9C-8EE3-F736ADF01BEA}"/>
    <cellStyle name="Comma [2] 4 15" xfId="6277" xr:uid="{3A75AB24-0AEC-4B22-9FD4-9C4A42FD46A5}"/>
    <cellStyle name="Comma [2] 4 16" xfId="6278" xr:uid="{DDE74730-2829-4C5D-8000-7109B95D1534}"/>
    <cellStyle name="Comma [2] 4 17" xfId="6279" xr:uid="{43AB1A7F-623E-4D4D-BE1D-DDC0182B766B}"/>
    <cellStyle name="Comma [2] 4 18" xfId="6280" xr:uid="{40FD5BAA-337E-4DB2-A063-29F95B0E2B78}"/>
    <cellStyle name="Comma [2] 4 19" xfId="6281" xr:uid="{1904A9FE-E8FA-403C-BAAD-1FF8B94EF6EA}"/>
    <cellStyle name="Comma [2] 4 2" xfId="6282" xr:uid="{3D4741AB-25DC-473B-86A9-0ED8C0CAD9E2}"/>
    <cellStyle name="Comma [2] 4 20" xfId="6283" xr:uid="{84CD9DF8-72CB-4E3D-8015-4C266C56A5F9}"/>
    <cellStyle name="Comma [2] 4 21" xfId="6284" xr:uid="{32BA707B-4BC1-4658-8740-7FCE6D76E481}"/>
    <cellStyle name="Comma [2] 4 22" xfId="6285" xr:uid="{A8EF0743-B1C6-4FC0-A05D-4D3DFBD7C785}"/>
    <cellStyle name="Comma [2] 4 23" xfId="6286" xr:uid="{ABD4CE08-7003-41C8-A6A3-C6E2D3DC727E}"/>
    <cellStyle name="Comma [2] 4 3" xfId="6287" xr:uid="{0889EC15-C860-44F3-9086-D35A31849FC0}"/>
    <cellStyle name="Comma [2] 4 4" xfId="6288" xr:uid="{54EDCE5C-6ABD-45B9-9B8A-E2DE3057DE08}"/>
    <cellStyle name="Comma [2] 4 5" xfId="6289" xr:uid="{F83EB2C8-5AB9-481C-9DAB-923EEB4C5A2C}"/>
    <cellStyle name="Comma [2] 4 6" xfId="6290" xr:uid="{0381F341-9C67-4D55-B409-3B1B47BB87E2}"/>
    <cellStyle name="Comma [2] 4 7" xfId="6291" xr:uid="{BAF41733-36F1-4FF0-B539-7A0FB675313E}"/>
    <cellStyle name="Comma [2] 4 8" xfId="6292" xr:uid="{684BD8D0-4FE4-4C7D-A062-A7178D5019AB}"/>
    <cellStyle name="Comma [2] 4 9" xfId="6293" xr:uid="{73AE19E3-309F-4BB5-B588-BDDC7B1563BE}"/>
    <cellStyle name="Comma [2] 5" xfId="6294" xr:uid="{FB50383A-24F5-414C-8429-A8B8996CA355}"/>
    <cellStyle name="Comma [2] 5 10" xfId="6295" xr:uid="{EE29C07D-6CC6-49A0-8527-976B58B16B64}"/>
    <cellStyle name="Comma [2] 5 11" xfId="6296" xr:uid="{54F33CBB-D86F-4210-8399-3E3BA6927E11}"/>
    <cellStyle name="Comma [2] 5 12" xfId="6297" xr:uid="{C24708E3-8EF1-43B2-BFE6-E6F59A1C34A5}"/>
    <cellStyle name="Comma [2] 5 13" xfId="6298" xr:uid="{0875AE13-4BCB-4301-981D-F7BB2A1726BA}"/>
    <cellStyle name="Comma [2] 5 14" xfId="6299" xr:uid="{556EA8A0-9076-41B4-A456-E90A0CE3F069}"/>
    <cellStyle name="Comma [2] 5 15" xfId="6300" xr:uid="{2DFDE4D9-9D7B-4EDA-841A-00B2F8207674}"/>
    <cellStyle name="Comma [2] 5 16" xfId="6301" xr:uid="{E14BA49F-E7E1-4332-AFFA-DCB3343D1C7D}"/>
    <cellStyle name="Comma [2] 5 17" xfId="6302" xr:uid="{F52C0870-6DBF-42FA-81AA-C8A7D7C83C85}"/>
    <cellStyle name="Comma [2] 5 18" xfId="6303" xr:uid="{E1BAC2EC-354B-41CB-B4D3-1C924112ABE3}"/>
    <cellStyle name="Comma [2] 5 19" xfId="6304" xr:uid="{8972EF2A-D91A-4431-BF7C-C565498645D7}"/>
    <cellStyle name="Comma [2] 5 2" xfId="6305" xr:uid="{FB4F085B-81AC-4D3D-9537-AA6F8A67F9E0}"/>
    <cellStyle name="Comma [2] 5 20" xfId="6306" xr:uid="{405D9912-33FF-43B8-868B-9A8BBBB40DF2}"/>
    <cellStyle name="Comma [2] 5 21" xfId="6307" xr:uid="{EACFBD29-1C06-4C4F-BF6A-8A42F421E515}"/>
    <cellStyle name="Comma [2] 5 22" xfId="6308" xr:uid="{574438F8-1BE9-46D6-8C1C-CAEEF7E6F464}"/>
    <cellStyle name="Comma [2] 5 23" xfId="6309" xr:uid="{8999559B-54A5-465B-B2FF-D1B10517A00C}"/>
    <cellStyle name="Comma [2] 5 3" xfId="6310" xr:uid="{11296E2E-3893-4831-AB7E-74B4A4DFA82C}"/>
    <cellStyle name="Comma [2] 5 4" xfId="6311" xr:uid="{CC03D3D7-0959-46ED-B272-CC287EDD5751}"/>
    <cellStyle name="Comma [2] 5 5" xfId="6312" xr:uid="{7C7BA300-F86A-47F1-A2D8-931B0518C60D}"/>
    <cellStyle name="Comma [2] 5 6" xfId="6313" xr:uid="{0EFCE308-E808-4D7A-883F-F8E204B8B39A}"/>
    <cellStyle name="Comma [2] 5 7" xfId="6314" xr:uid="{39143C0F-E30B-4703-8B06-323493ABB5FF}"/>
    <cellStyle name="Comma [2] 5 8" xfId="6315" xr:uid="{A32C9B8A-85EF-46BA-BD21-B87BC2D6A98E}"/>
    <cellStyle name="Comma [2] 5 9" xfId="6316" xr:uid="{F7E4BE0F-BAC1-494C-B396-8355112255C9}"/>
    <cellStyle name="Comma [2] 6" xfId="6317" xr:uid="{56F728CA-88C9-4218-A034-1127632F6902}"/>
    <cellStyle name="Comma [2] 6 10" xfId="6318" xr:uid="{2210D93A-D6B4-4282-B7EB-69FDF1D61778}"/>
    <cellStyle name="Comma [2] 6 11" xfId="6319" xr:uid="{FF4E65E8-F589-4F00-B51A-0282F0E775B5}"/>
    <cellStyle name="Comma [2] 6 12" xfId="6320" xr:uid="{9F873089-923B-4F60-9DFC-6A11D02C8BCF}"/>
    <cellStyle name="Comma [2] 6 13" xfId="6321" xr:uid="{BD6F3DA1-2977-48B7-B68D-89FE3C79CE8A}"/>
    <cellStyle name="Comma [2] 6 14" xfId="6322" xr:uid="{D69CAEC5-ACE0-4E36-B0B7-37FA6DB3745F}"/>
    <cellStyle name="Comma [2] 6 15" xfId="6323" xr:uid="{A558AA44-E5CE-4E10-AA2A-D1E2E2450AEE}"/>
    <cellStyle name="Comma [2] 6 16" xfId="6324" xr:uid="{91D19DF0-FD17-4734-9109-4BB1DF933225}"/>
    <cellStyle name="Comma [2] 6 17" xfId="6325" xr:uid="{A5DFE103-D76D-4773-9306-95FA037BFBA9}"/>
    <cellStyle name="Comma [2] 6 18" xfId="6326" xr:uid="{CA8C6EED-43B1-4EE1-9664-700588F555C2}"/>
    <cellStyle name="Comma [2] 6 19" xfId="6327" xr:uid="{9B7C2DD9-67F0-4896-B75D-E18FC2B9BC9A}"/>
    <cellStyle name="Comma [2] 6 2" xfId="6328" xr:uid="{B613AC55-357E-49BF-A533-4BA000D456FC}"/>
    <cellStyle name="Comma [2] 6 20" xfId="6329" xr:uid="{B48F7F8B-A564-40E9-8AF2-8E7EC7ECADAF}"/>
    <cellStyle name="Comma [2] 6 21" xfId="6330" xr:uid="{5406829F-ACA3-4B15-8E2A-AFA5B56B5201}"/>
    <cellStyle name="Comma [2] 6 22" xfId="6331" xr:uid="{F534799F-DDE7-489A-A1D6-36C9CA47E512}"/>
    <cellStyle name="Comma [2] 6 23" xfId="6332" xr:uid="{220B2D94-9A18-457D-9324-43100B99DE9C}"/>
    <cellStyle name="Comma [2] 6 3" xfId="6333" xr:uid="{00D7EA82-1531-4FFD-AF23-2BF7885AB6EF}"/>
    <cellStyle name="Comma [2] 6 4" xfId="6334" xr:uid="{CCF046B0-D587-418F-9715-3E4C955BC3DE}"/>
    <cellStyle name="Comma [2] 6 5" xfId="6335" xr:uid="{81C8FC7C-77E9-4973-B1E6-CC07565C1078}"/>
    <cellStyle name="Comma [2] 6 6" xfId="6336" xr:uid="{21C60DFE-3171-4AB8-8001-22DCBC61F802}"/>
    <cellStyle name="Comma [2] 6 7" xfId="6337" xr:uid="{4B96BAEE-6AB9-4188-BAC2-A8609BF07221}"/>
    <cellStyle name="Comma [2] 6 8" xfId="6338" xr:uid="{30952964-EC8B-4865-BD25-44FE30224409}"/>
    <cellStyle name="Comma [2] 6 9" xfId="6339" xr:uid="{2D0578C0-5237-4BB2-AE91-3AB1C0630EDC}"/>
    <cellStyle name="Comma [2] 7" xfId="6340" xr:uid="{73EF7FE5-B783-421B-B85C-4F5C194B4781}"/>
    <cellStyle name="Comma [2] 7 10" xfId="6341" xr:uid="{B6CA4C13-3F48-432D-8105-2BC5A90A2490}"/>
    <cellStyle name="Comma [2] 7 11" xfId="6342" xr:uid="{75C21E31-1429-452A-B5B9-B2EF6611E4EF}"/>
    <cellStyle name="Comma [2] 7 12" xfId="6343" xr:uid="{389029B5-0725-4A23-B383-7B084355BBDF}"/>
    <cellStyle name="Comma [2] 7 13" xfId="6344" xr:uid="{865170E3-D495-411B-83F2-4BD0CA1FCA69}"/>
    <cellStyle name="Comma [2] 7 14" xfId="6345" xr:uid="{73B11F7C-D1E7-498A-9ACA-7B974A9C1236}"/>
    <cellStyle name="Comma [2] 7 15" xfId="6346" xr:uid="{8ADFA15E-063F-4369-A0AA-A0308DBA96DA}"/>
    <cellStyle name="Comma [2] 7 16" xfId="6347" xr:uid="{2945B6BA-A58A-44B2-A9D6-BD63FE8DF2E7}"/>
    <cellStyle name="Comma [2] 7 17" xfId="6348" xr:uid="{7B444066-0172-43A4-BDCA-62D67F76B459}"/>
    <cellStyle name="Comma [2] 7 18" xfId="6349" xr:uid="{819CF4D3-25C5-45E7-A1CC-036B20C33F4E}"/>
    <cellStyle name="Comma [2] 7 19" xfId="6350" xr:uid="{B65F2877-2EC0-45FE-B6E3-E4DCEF5A9EB0}"/>
    <cellStyle name="Comma [2] 7 2" xfId="6351" xr:uid="{09DB357A-784C-4F38-BEF7-EF351A885196}"/>
    <cellStyle name="Comma [2] 7 20" xfId="6352" xr:uid="{CB4CA8FF-85D9-48F2-8F79-4EB4A6051653}"/>
    <cellStyle name="Comma [2] 7 21" xfId="6353" xr:uid="{35CC4A07-845C-43B3-83C5-3F739675CBA4}"/>
    <cellStyle name="Comma [2] 7 22" xfId="6354" xr:uid="{40A221A0-CB9F-45E4-88E1-7A63524FDEFE}"/>
    <cellStyle name="Comma [2] 7 23" xfId="6355" xr:uid="{6EE111C5-509B-4945-8A03-381694D09E7B}"/>
    <cellStyle name="Comma [2] 7 3" xfId="6356" xr:uid="{526B0B6B-B576-490E-89CD-57A3C12953EA}"/>
    <cellStyle name="Comma [2] 7 4" xfId="6357" xr:uid="{D4F36A55-2715-45DB-9A2E-16D07B87460A}"/>
    <cellStyle name="Comma [2] 7 5" xfId="6358" xr:uid="{DC943A5C-7796-4F19-B8C1-E8E752C65B4D}"/>
    <cellStyle name="Comma [2] 7 6" xfId="6359" xr:uid="{9181F3DF-24BC-45B0-BB22-8907EE817116}"/>
    <cellStyle name="Comma [2] 7 7" xfId="6360" xr:uid="{2E317C56-E064-47BA-A4F8-23F4762F23EB}"/>
    <cellStyle name="Comma [2] 7 8" xfId="6361" xr:uid="{0B92A5C5-4CBD-4035-8228-7747CB19CC1E}"/>
    <cellStyle name="Comma [2] 7 9" xfId="6362" xr:uid="{F3A3FB61-7A69-4B42-9D78-F8384E6C6386}"/>
    <cellStyle name="Comma [2] 8" xfId="6363" xr:uid="{C36EF823-4EB7-42FB-B36D-8FF71D1306E7}"/>
    <cellStyle name="Comma [2] 8 10" xfId="6364" xr:uid="{3FFAE820-E78B-4BCA-AE51-32BB50ACE6C0}"/>
    <cellStyle name="Comma [2] 8 11" xfId="6365" xr:uid="{30598317-2FB1-4855-9D86-92D25A8F4F8A}"/>
    <cellStyle name="Comma [2] 8 12" xfId="6366" xr:uid="{3E01A600-5C06-4B1A-BA05-A7BE25242FD5}"/>
    <cellStyle name="Comma [2] 8 13" xfId="6367" xr:uid="{7E89FC49-1E6A-4038-94AD-5DC473CEB7ED}"/>
    <cellStyle name="Comma [2] 8 14" xfId="6368" xr:uid="{4A2BADE8-8444-4C4A-9AAA-ED09CF905D7A}"/>
    <cellStyle name="Comma [2] 8 15" xfId="6369" xr:uid="{7CC4E686-6694-41C9-BCB6-DB9BE8629364}"/>
    <cellStyle name="Comma [2] 8 16" xfId="6370" xr:uid="{9E418BBA-2109-41EF-9182-514019E7DCDA}"/>
    <cellStyle name="Comma [2] 8 17" xfId="6371" xr:uid="{652CE0AD-7B9D-4667-811B-05BE902FFD42}"/>
    <cellStyle name="Comma [2] 8 18" xfId="6372" xr:uid="{A8D3B650-EFE5-460F-9D1B-EEE074596850}"/>
    <cellStyle name="Comma [2] 8 19" xfId="6373" xr:uid="{E04E1BFE-D6A0-4944-80DE-A10AE331AFFF}"/>
    <cellStyle name="Comma [2] 8 2" xfId="6374" xr:uid="{8103A15E-3EE0-4E6D-9709-D9F352B19976}"/>
    <cellStyle name="Comma [2] 8 20" xfId="6375" xr:uid="{4582392E-C14B-46BB-A127-07B703CF9E4E}"/>
    <cellStyle name="Comma [2] 8 21" xfId="6376" xr:uid="{5F075228-973F-4A64-9CF8-D97FC664BB56}"/>
    <cellStyle name="Comma [2] 8 22" xfId="6377" xr:uid="{0F3E8FA6-F514-4326-83BC-A49BC4C33D62}"/>
    <cellStyle name="Comma [2] 8 23" xfId="6378" xr:uid="{3E334F30-7D70-4EA8-9D03-DB33ED230240}"/>
    <cellStyle name="Comma [2] 8 3" xfId="6379" xr:uid="{FF4EA95B-5869-47DE-89CA-7DCED434530F}"/>
    <cellStyle name="Comma [2] 8 4" xfId="6380" xr:uid="{A02D6BF4-3F71-46ED-B84E-15BB296C93DF}"/>
    <cellStyle name="Comma [2] 8 5" xfId="6381" xr:uid="{1198C6D3-AC7D-4C87-9FAE-78DB976EDFCD}"/>
    <cellStyle name="Comma [2] 8 6" xfId="6382" xr:uid="{64041D17-7025-4FB4-8031-FC6CAAB6E7A3}"/>
    <cellStyle name="Comma [2] 8 7" xfId="6383" xr:uid="{F0EE15CB-971B-4DDC-9A40-108023BD6240}"/>
    <cellStyle name="Comma [2] 8 8" xfId="6384" xr:uid="{076A3B57-65D6-4DEA-BC45-7A02BE30A516}"/>
    <cellStyle name="Comma [2] 8 9" xfId="6385" xr:uid="{6FDB2A43-5E87-45B4-A524-735DDE8FEB77}"/>
    <cellStyle name="Comma [2] 9" xfId="6386" xr:uid="{F83449A6-5E00-4851-B922-3131F865088F}"/>
    <cellStyle name="Comma [2] 9 10" xfId="6387" xr:uid="{F8EE19CB-6C66-43CA-9630-E4F8562B14D3}"/>
    <cellStyle name="Comma [2] 9 11" xfId="6388" xr:uid="{F72DBB5A-0858-48DA-AC5A-E4CCBBC8D706}"/>
    <cellStyle name="Comma [2] 9 12" xfId="6389" xr:uid="{B35A3D03-312F-4598-8344-24595B5086E2}"/>
    <cellStyle name="Comma [2] 9 13" xfId="6390" xr:uid="{A8C41A0B-EB18-4815-83E6-2A947D62DDA6}"/>
    <cellStyle name="Comma [2] 9 14" xfId="6391" xr:uid="{3465CA8F-00A5-49DC-B25D-FEBD5D6893A3}"/>
    <cellStyle name="Comma [2] 9 15" xfId="6392" xr:uid="{4810F84E-4810-4CEC-A24A-94BACFFF0281}"/>
    <cellStyle name="Comma [2] 9 16" xfId="6393" xr:uid="{AF34FB8F-8FAA-4DED-942B-6E2AE0B19ABB}"/>
    <cellStyle name="Comma [2] 9 17" xfId="6394" xr:uid="{536616D0-CA57-4FF4-8A75-E6464FCD9E94}"/>
    <cellStyle name="Comma [2] 9 18" xfId="6395" xr:uid="{BD9641E1-CF64-4B98-A8AF-625782C53BDC}"/>
    <cellStyle name="Comma [2] 9 19" xfId="6396" xr:uid="{C4E7E2DE-4100-4C31-86AE-0FC664580250}"/>
    <cellStyle name="Comma [2] 9 2" xfId="6397" xr:uid="{DE7BEAC0-55FB-4875-86C3-34F14A599523}"/>
    <cellStyle name="Comma [2] 9 20" xfId="6398" xr:uid="{1E552C3B-C30C-4604-8F87-4502F72239E1}"/>
    <cellStyle name="Comma [2] 9 21" xfId="6399" xr:uid="{92D10955-3631-422B-A234-FC8FF03B5399}"/>
    <cellStyle name="Comma [2] 9 22" xfId="6400" xr:uid="{A54777D2-E3A5-49CB-8641-D4B64F502315}"/>
    <cellStyle name="Comma [2] 9 23" xfId="6401" xr:uid="{31F3BF37-8701-4578-8329-C2B18F33F0C6}"/>
    <cellStyle name="Comma [2] 9 3" xfId="6402" xr:uid="{D749A349-0952-47E9-A542-74E751FF15A2}"/>
    <cellStyle name="Comma [2] 9 4" xfId="6403" xr:uid="{834A499A-A220-40ED-9463-84F970E7F9A3}"/>
    <cellStyle name="Comma [2] 9 5" xfId="6404" xr:uid="{AB408840-BF21-4884-9665-1100D54D4B75}"/>
    <cellStyle name="Comma [2] 9 6" xfId="6405" xr:uid="{DBB7BD89-FB1F-4D18-94E2-1F7986E421C3}"/>
    <cellStyle name="Comma [2] 9 7" xfId="6406" xr:uid="{51A3724B-1227-4866-85A7-F79025EF5B3B}"/>
    <cellStyle name="Comma [2] 9 8" xfId="6407" xr:uid="{080C29AE-38CE-4726-AC9A-15ABF5529C06}"/>
    <cellStyle name="Comma [2] 9 9" xfId="6408" xr:uid="{83BE550C-2D9C-4074-B7B9-100081149EF5}"/>
    <cellStyle name="Comma [3]" xfId="216" xr:uid="{15863A6D-74D9-4E75-A4CC-FA55F5054248}"/>
    <cellStyle name="Comma [3] 10" xfId="6409" xr:uid="{AE2D2FB9-55C0-4BCF-BDC9-DE3F805B570B}"/>
    <cellStyle name="Comma [3] 10 10" xfId="6410" xr:uid="{D44DFDFB-7E0F-43C1-878B-AAF0E25404E5}"/>
    <cellStyle name="Comma [3] 10 11" xfId="6411" xr:uid="{11F8F2A0-7001-4F48-957C-BAFDCE00E600}"/>
    <cellStyle name="Comma [3] 10 12" xfId="6412" xr:uid="{C937A662-A53F-4EBC-A0B8-79C9D800B827}"/>
    <cellStyle name="Comma [3] 10 13" xfId="6413" xr:uid="{6AAB1211-EBE2-4353-828F-4B524BAB817A}"/>
    <cellStyle name="Comma [3] 10 14" xfId="6414" xr:uid="{41F94878-D9D2-4F79-9E10-B82EA9111B8F}"/>
    <cellStyle name="Comma [3] 10 15" xfId="6415" xr:uid="{6C296114-A372-454E-9D31-2253F401EACF}"/>
    <cellStyle name="Comma [3] 10 16" xfId="6416" xr:uid="{A5ED1553-3E26-4B69-949A-C1A48EE0F435}"/>
    <cellStyle name="Comma [3] 10 17" xfId="6417" xr:uid="{D919D8DD-78E1-4C27-93BB-C3A56E28D9A2}"/>
    <cellStyle name="Comma [3] 10 18" xfId="6418" xr:uid="{AA2A32DF-D07B-4CEC-9347-E40E7A7A994F}"/>
    <cellStyle name="Comma [3] 10 19" xfId="6419" xr:uid="{0E9C7E5E-354A-4B6A-82FF-F16FE45DD0B6}"/>
    <cellStyle name="Comma [3] 10 2" xfId="6420" xr:uid="{BC676549-D428-4C96-B6A4-401AB9F27E83}"/>
    <cellStyle name="Comma [3] 10 20" xfId="6421" xr:uid="{DF2CF6BE-1BB5-4503-B707-619AAF3A3369}"/>
    <cellStyle name="Comma [3] 10 21" xfId="6422" xr:uid="{C289325A-F25F-4D8C-AB49-373F8C01B61C}"/>
    <cellStyle name="Comma [3] 10 22" xfId="6423" xr:uid="{16EC09E5-9763-4AA4-913A-1BEC28455C94}"/>
    <cellStyle name="Comma [3] 10 23" xfId="6424" xr:uid="{D38B9F74-E36A-4C51-8A8B-7D0A255C5827}"/>
    <cellStyle name="Comma [3] 10 3" xfId="6425" xr:uid="{F3A65F53-191A-41A3-AC9F-CEAADF767418}"/>
    <cellStyle name="Comma [3] 10 4" xfId="6426" xr:uid="{9DDD9902-9142-412E-A7C0-66ADA99E7B18}"/>
    <cellStyle name="Comma [3] 10 5" xfId="6427" xr:uid="{FA5AE387-B0FE-41EB-93D1-EE153E3C30EC}"/>
    <cellStyle name="Comma [3] 10 6" xfId="6428" xr:uid="{D4B804D9-0C1F-487A-9A7C-3676CD143BBF}"/>
    <cellStyle name="Comma [3] 10 7" xfId="6429" xr:uid="{098495DC-3437-485C-9F74-BB47305589BF}"/>
    <cellStyle name="Comma [3] 10 8" xfId="6430" xr:uid="{D38D2CCF-E161-4746-91FF-49FFAAC76626}"/>
    <cellStyle name="Comma [3] 10 9" xfId="6431" xr:uid="{57956B92-CE46-4D3B-B8CD-19D189279F65}"/>
    <cellStyle name="Comma [3] 11" xfId="6432" xr:uid="{42840360-932A-46FC-9D9B-95A5242EC16D}"/>
    <cellStyle name="Comma [3] 11 10" xfId="6433" xr:uid="{109BDD67-DA90-44C8-B10F-3DD650F9FFE2}"/>
    <cellStyle name="Comma [3] 11 11" xfId="6434" xr:uid="{CF1157DE-0866-4A66-A514-29A1CBF63EC4}"/>
    <cellStyle name="Comma [3] 11 12" xfId="6435" xr:uid="{A675C724-8444-413B-9A81-765D287B3745}"/>
    <cellStyle name="Comma [3] 11 13" xfId="6436" xr:uid="{E18505A5-8A8D-465F-8EC8-FB48419A4826}"/>
    <cellStyle name="Comma [3] 11 14" xfId="6437" xr:uid="{4715F2EE-788D-40EA-8305-EB96AF68791E}"/>
    <cellStyle name="Comma [3] 11 15" xfId="6438" xr:uid="{54AEF2B6-B05D-4F6F-AB12-979530319F5D}"/>
    <cellStyle name="Comma [3] 11 16" xfId="6439" xr:uid="{0C4ECC26-95C9-42C8-85B3-72E1C9F338D2}"/>
    <cellStyle name="Comma [3] 11 17" xfId="6440" xr:uid="{1EDAFD7C-CF36-4DEF-8D2C-48ED61E201E2}"/>
    <cellStyle name="Comma [3] 11 18" xfId="6441" xr:uid="{BF1F820F-C50A-4433-8D2C-14DE63240F2E}"/>
    <cellStyle name="Comma [3] 11 19" xfId="6442" xr:uid="{CF52B828-6D3E-4034-8103-AE78DF0406C0}"/>
    <cellStyle name="Comma [3] 11 2" xfId="6443" xr:uid="{72915F4A-D954-4984-90DC-17D22D626EF2}"/>
    <cellStyle name="Comma [3] 11 20" xfId="6444" xr:uid="{F92CE902-D6CB-48F7-8D5D-168590E8B5E9}"/>
    <cellStyle name="Comma [3] 11 21" xfId="6445" xr:uid="{C2AC992B-17D3-4CA4-B920-E5DC3E725959}"/>
    <cellStyle name="Comma [3] 11 22" xfId="6446" xr:uid="{30C6C221-DC7A-49B4-A2C7-3F4782E3013E}"/>
    <cellStyle name="Comma [3] 11 23" xfId="6447" xr:uid="{69EB889C-3D7E-4BDB-8E94-B79CD4AA935D}"/>
    <cellStyle name="Comma [3] 11 3" xfId="6448" xr:uid="{D588BDB2-3F8D-4F00-ACBF-81F9EEA7B1AD}"/>
    <cellStyle name="Comma [3] 11 4" xfId="6449" xr:uid="{70A3649D-B0C7-4038-A3AD-EA8F41998AE2}"/>
    <cellStyle name="Comma [3] 11 5" xfId="6450" xr:uid="{BDB52AF3-93FF-4E41-BEA2-0D283020115F}"/>
    <cellStyle name="Comma [3] 11 6" xfId="6451" xr:uid="{3711A09A-60F0-46BF-940F-B43E82A42DFE}"/>
    <cellStyle name="Comma [3] 11 7" xfId="6452" xr:uid="{6D7CF08A-1C2C-4710-BB0B-1F0E5998AA3F}"/>
    <cellStyle name="Comma [3] 11 8" xfId="6453" xr:uid="{94160EE3-4AB7-4BB9-B56D-305F534CC7C3}"/>
    <cellStyle name="Comma [3] 11 9" xfId="6454" xr:uid="{3BCD1F65-41A4-4F38-A8DC-566801A546CA}"/>
    <cellStyle name="Comma [3] 12" xfId="6455" xr:uid="{FD10AE15-DA08-4BD5-ABEB-EE5DC2F12CB6}"/>
    <cellStyle name="Comma [3] 12 2" xfId="6456" xr:uid="{7F838B7A-20E3-45FF-955A-95939BE1B9BC}"/>
    <cellStyle name="Comma [3] 12 3" xfId="6457" xr:uid="{A90AB1A7-44A8-43CB-86EB-9471332F07DD}"/>
    <cellStyle name="Comma [3] 12 4" xfId="6458" xr:uid="{47A1A4F1-4EE9-4964-BEC8-748762965CD9}"/>
    <cellStyle name="Comma [3] 13" xfId="6459" xr:uid="{F865D381-BD42-46AF-8F0D-9F5F38E83FA9}"/>
    <cellStyle name="Comma [3] 14" xfId="6460" xr:uid="{5E0A09B2-1CE9-4AC3-9291-D6732FBA2C8E}"/>
    <cellStyle name="Comma [3] 15" xfId="6461" xr:uid="{1A36CEC3-3C0A-445E-B376-76822A8FBA6E}"/>
    <cellStyle name="Comma [3] 16" xfId="6462" xr:uid="{4876730F-DBCD-4CCC-9BB7-529031EA052C}"/>
    <cellStyle name="Comma [3] 2" xfId="6463" xr:uid="{18BFB662-94D2-49D8-977D-1F725D5398F6}"/>
    <cellStyle name="Comma [3] 2 10" xfId="6464" xr:uid="{232DCB0C-017B-45AB-B340-572F0F799F3B}"/>
    <cellStyle name="Comma [3] 2 11" xfId="6465" xr:uid="{B75A38E1-807A-4505-AE44-404CA5448228}"/>
    <cellStyle name="Comma [3] 2 12" xfId="6466" xr:uid="{0590E355-68CB-40D1-B30B-CDD69025528D}"/>
    <cellStyle name="Comma [3] 2 13" xfId="6467" xr:uid="{813AECFA-0453-4F26-8383-19FC4B5AC291}"/>
    <cellStyle name="Comma [3] 2 14" xfId="6468" xr:uid="{72361AFB-6B23-437A-A357-3FB67F5CD3FB}"/>
    <cellStyle name="Comma [3] 2 15" xfId="6469" xr:uid="{96A0C2DE-D526-4B1A-ACF6-03959F4CE55E}"/>
    <cellStyle name="Comma [3] 2 16" xfId="6470" xr:uid="{F001C3B3-010C-4592-9F0C-222FF8744261}"/>
    <cellStyle name="Comma [3] 2 17" xfId="6471" xr:uid="{72F8BE1F-A62A-414D-B275-5560CCC1BE33}"/>
    <cellStyle name="Comma [3] 2 18" xfId="6472" xr:uid="{B60A5415-B980-4775-B6DA-1B94E175A942}"/>
    <cellStyle name="Comma [3] 2 19" xfId="6473" xr:uid="{39D8CFB8-4EF8-42DF-9DDB-7AEDF4ACF83D}"/>
    <cellStyle name="Comma [3] 2 2" xfId="6474" xr:uid="{2F0B3207-7E37-495C-B71F-76F57E4B69CF}"/>
    <cellStyle name="Comma [3] 2 2 10" xfId="6475" xr:uid="{0BFCB223-01B4-41B4-9970-888266AE95E7}"/>
    <cellStyle name="Comma [3] 2 2 11" xfId="6476" xr:uid="{634B23B4-E171-4A4B-8CB9-277ED7CF0FA2}"/>
    <cellStyle name="Comma [3] 2 2 12" xfId="6477" xr:uid="{F26B9ADD-61D8-4A78-A6CA-B9304C9C1A90}"/>
    <cellStyle name="Comma [3] 2 2 13" xfId="6478" xr:uid="{99D4DE6F-23F0-43DB-A9DD-0EB8C55199A6}"/>
    <cellStyle name="Comma [3] 2 2 14" xfId="6479" xr:uid="{027D7A53-5EC4-4909-A12D-58ED0980C258}"/>
    <cellStyle name="Comma [3] 2 2 15" xfId="6480" xr:uid="{83CA85E3-D28F-4E12-A996-527F6AB1C44B}"/>
    <cellStyle name="Comma [3] 2 2 16" xfId="6481" xr:uid="{63ACF9E4-325F-4088-9045-8EB015D8E8B9}"/>
    <cellStyle name="Comma [3] 2 2 17" xfId="6482" xr:uid="{1651B2B3-9323-4DA4-9844-D68E24BF2D1B}"/>
    <cellStyle name="Comma [3] 2 2 18" xfId="6483" xr:uid="{988A3830-D2FB-4B5E-9B63-7D026B3B8005}"/>
    <cellStyle name="Comma [3] 2 2 19" xfId="6484" xr:uid="{555DD268-9616-42CD-A56B-EC56E1BB8AB9}"/>
    <cellStyle name="Comma [3] 2 2 2" xfId="6485" xr:uid="{2CA53E5E-1834-4D4F-84CC-CE00E85F6828}"/>
    <cellStyle name="Comma [3] 2 2 2 2" xfId="40529" xr:uid="{34194C27-1184-46EC-8690-35F0339D8DE2}"/>
    <cellStyle name="Comma [3] 2 2 20" xfId="6486" xr:uid="{8B1067A5-EFD4-4E5B-A32E-D22DE7F72E80}"/>
    <cellStyle name="Comma [3] 2 2 21" xfId="6487" xr:uid="{F1EB25AA-8ECA-4580-AB84-874B1691B5D5}"/>
    <cellStyle name="Comma [3] 2 2 22" xfId="6488" xr:uid="{EF3675A9-50EA-47D9-9A18-CE2402C8E38B}"/>
    <cellStyle name="Comma [3] 2 2 23" xfId="6489" xr:uid="{79ECC103-B1F2-42EB-9F17-59BA6416CFFE}"/>
    <cellStyle name="Comma [3] 2 2 24" xfId="6490" xr:uid="{FFEAEFDE-C81B-4FCC-ABF9-16F0ACDF35AC}"/>
    <cellStyle name="Comma [3] 2 2 25" xfId="40530" xr:uid="{D586DA82-DB3E-45CE-A409-136528A9FE8D}"/>
    <cellStyle name="Comma [3] 2 2 3" xfId="6491" xr:uid="{4A71DE03-307A-448B-A942-20272AE5D0FD}"/>
    <cellStyle name="Comma [3] 2 2 4" xfId="6492" xr:uid="{60B5E691-C13E-4194-983B-8BDB22D4C4CD}"/>
    <cellStyle name="Comma [3] 2 2 5" xfId="6493" xr:uid="{F9B9E4E9-6CE4-43DB-98AC-FCCF7826F59F}"/>
    <cellStyle name="Comma [3] 2 2 6" xfId="6494" xr:uid="{3070B179-1536-4461-BD7E-0ECAD53DD7DD}"/>
    <cellStyle name="Comma [3] 2 2 7" xfId="6495" xr:uid="{2E7CEB1F-5200-4FB3-8A81-C54AADC3EF59}"/>
    <cellStyle name="Comma [3] 2 2 8" xfId="6496" xr:uid="{15736D68-C067-48B5-8BD6-7084427178A2}"/>
    <cellStyle name="Comma [3] 2 2 9" xfId="6497" xr:uid="{03A8D060-DAF7-45D1-9E4F-514AF3D1DD04}"/>
    <cellStyle name="Comma [3] 2 20" xfId="6498" xr:uid="{A3A83047-F68F-4181-9A03-41D53DA123E2}"/>
    <cellStyle name="Comma [3] 2 21" xfId="6499" xr:uid="{2B22F903-24B8-44FA-B098-6D6E94F04928}"/>
    <cellStyle name="Comma [3] 2 22" xfId="6500" xr:uid="{65422887-CFA0-423C-A518-422545C2F0ED}"/>
    <cellStyle name="Comma [3] 2 23" xfId="6501" xr:uid="{0BF48150-B7D3-4142-AB45-159904F95FC9}"/>
    <cellStyle name="Comma [3] 2 24" xfId="6502" xr:uid="{33C3865E-58B9-4AE8-A489-843F04BE2254}"/>
    <cellStyle name="Comma [3] 2 25" xfId="6503" xr:uid="{6F4D211E-6453-4FAE-9E3A-6DE915E28978}"/>
    <cellStyle name="Comma [3] 2 26" xfId="6504" xr:uid="{C631231A-8201-4D38-AFB4-3EC84BF5D71F}"/>
    <cellStyle name="Comma [3] 2 27" xfId="6505" xr:uid="{DBEE0A14-4FE1-42B9-B48C-A3FD0FE78C21}"/>
    <cellStyle name="Comma [3] 2 28" xfId="40531" xr:uid="{854646EA-8E0D-43B0-89FD-1A80D53DFE26}"/>
    <cellStyle name="Comma [3] 2 3" xfId="6506" xr:uid="{AC4B153E-44D0-4F2A-8E36-9173D050E50E}"/>
    <cellStyle name="Comma [3] 2 3 10" xfId="6507" xr:uid="{A1BFB17C-1F4C-40CE-8AC5-4C08CEF13543}"/>
    <cellStyle name="Comma [3] 2 3 11" xfId="6508" xr:uid="{6EC35903-6145-4183-A650-4462D7706A8F}"/>
    <cellStyle name="Comma [3] 2 3 12" xfId="6509" xr:uid="{FB20BA0A-6C23-44DA-9B34-548A0D8ADBBC}"/>
    <cellStyle name="Comma [3] 2 3 13" xfId="6510" xr:uid="{E7019401-648D-4A54-B5F1-5D76EB49F997}"/>
    <cellStyle name="Comma [3] 2 3 14" xfId="6511" xr:uid="{4824E905-E3E7-4A38-BE92-44A60011C2E2}"/>
    <cellStyle name="Comma [3] 2 3 15" xfId="6512" xr:uid="{707059A5-F042-4141-B996-1D017E3C96D0}"/>
    <cellStyle name="Comma [3] 2 3 16" xfId="6513" xr:uid="{244CA5A7-C9A6-4E9C-86FD-176B09AD4CBB}"/>
    <cellStyle name="Comma [3] 2 3 17" xfId="6514" xr:uid="{78EC1C83-902E-41B3-A009-952399AF1C74}"/>
    <cellStyle name="Comma [3] 2 3 18" xfId="6515" xr:uid="{59F1136E-FB64-4383-BA59-0A37F8D751E7}"/>
    <cellStyle name="Comma [3] 2 3 19" xfId="6516" xr:uid="{D072B5B9-095C-4E8F-B7C3-89ABA366B455}"/>
    <cellStyle name="Comma [3] 2 3 2" xfId="6517" xr:uid="{AD439864-5705-4671-BA94-FD9497C74B89}"/>
    <cellStyle name="Comma [3] 2 3 20" xfId="6518" xr:uid="{BA0AEB68-D58E-412E-851F-0A06FA92CA70}"/>
    <cellStyle name="Comma [3] 2 3 21" xfId="6519" xr:uid="{C26C327E-D1C3-4529-8DE1-515381C98939}"/>
    <cellStyle name="Comma [3] 2 3 22" xfId="6520" xr:uid="{718F7199-8298-4E73-82BC-81A83FB8D862}"/>
    <cellStyle name="Comma [3] 2 3 23" xfId="6521" xr:uid="{33B9253A-A829-4050-9601-0AB89E5A3907}"/>
    <cellStyle name="Comma [3] 2 3 24" xfId="40532" xr:uid="{9D24C238-260A-4D9D-83F0-A6BCFAD2EE45}"/>
    <cellStyle name="Comma [3] 2 3 3" xfId="6522" xr:uid="{2E0EA5DF-161D-40CC-A881-A9C12B8AC321}"/>
    <cellStyle name="Comma [3] 2 3 4" xfId="6523" xr:uid="{35B2AE8C-DA7D-4204-9FCB-C9B9E1FAEF1B}"/>
    <cellStyle name="Comma [3] 2 3 5" xfId="6524" xr:uid="{333CBDD6-359A-4812-8FC2-6D365AAF1615}"/>
    <cellStyle name="Comma [3] 2 3 6" xfId="6525" xr:uid="{CE34B59D-293D-47F5-A9C5-EBFD9FFF54DB}"/>
    <cellStyle name="Comma [3] 2 3 7" xfId="6526" xr:uid="{FE2E3BB8-ADD4-4D8D-B0D6-2C611A0CBE3B}"/>
    <cellStyle name="Comma [3] 2 3 8" xfId="6527" xr:uid="{CD68D50B-5E82-422E-8596-89A2EB6EE14E}"/>
    <cellStyle name="Comma [3] 2 3 9" xfId="6528" xr:uid="{2ECF2740-BD3E-4F25-B350-FBD7689CC47B}"/>
    <cellStyle name="Comma [3] 2 4" xfId="6529" xr:uid="{0155553D-8BDA-409C-8F34-77EF630240BA}"/>
    <cellStyle name="Comma [3] 2 4 10" xfId="6530" xr:uid="{0C40DAE7-0B8E-460E-8B24-D6EB7731377D}"/>
    <cellStyle name="Comma [3] 2 4 11" xfId="6531" xr:uid="{A88F1C58-6FD0-4BE0-9DC0-270380C5F59F}"/>
    <cellStyle name="Comma [3] 2 4 12" xfId="6532" xr:uid="{6328544F-B1AB-4662-9B74-189EC721093A}"/>
    <cellStyle name="Comma [3] 2 4 13" xfId="6533" xr:uid="{DCF64957-A298-4258-9359-8C57651B7CA5}"/>
    <cellStyle name="Comma [3] 2 4 14" xfId="6534" xr:uid="{3E099141-E907-45D9-8C0F-B214ABC73A7C}"/>
    <cellStyle name="Comma [3] 2 4 15" xfId="6535" xr:uid="{70FCA554-5EC5-434C-B24F-4961248884CB}"/>
    <cellStyle name="Comma [3] 2 4 16" xfId="6536" xr:uid="{0338B587-68B0-4E12-9E02-DB126067754E}"/>
    <cellStyle name="Comma [3] 2 4 17" xfId="6537" xr:uid="{F7B8D024-B7ED-473E-846B-A5F7CC910C06}"/>
    <cellStyle name="Comma [3] 2 4 18" xfId="6538" xr:uid="{9E5584DB-9AE5-4BD2-928E-DB9867C6F21E}"/>
    <cellStyle name="Comma [3] 2 4 19" xfId="6539" xr:uid="{42AC9C2B-C853-45C2-8065-382F69756960}"/>
    <cellStyle name="Comma [3] 2 4 2" xfId="6540" xr:uid="{8DB804F4-218C-4671-8E8D-D1CB89D7CA80}"/>
    <cellStyle name="Comma [3] 2 4 20" xfId="6541" xr:uid="{5C9F380A-D357-4BF1-9F0E-38C0FCF971D2}"/>
    <cellStyle name="Comma [3] 2 4 21" xfId="6542" xr:uid="{D5757833-6592-47DE-8515-6FE0411273AD}"/>
    <cellStyle name="Comma [3] 2 4 22" xfId="6543" xr:uid="{6546C251-CEAD-4060-9B2D-AFFA7544941D}"/>
    <cellStyle name="Comma [3] 2 4 23" xfId="6544" xr:uid="{0F62EF26-1AA1-4119-B702-9D44CF9AE7C8}"/>
    <cellStyle name="Comma [3] 2 4 3" xfId="6545" xr:uid="{B783E72A-E7CA-4FC5-89AA-25C351805621}"/>
    <cellStyle name="Comma [3] 2 4 4" xfId="6546" xr:uid="{D0DC6AEA-BB34-466C-A2C6-E06471098627}"/>
    <cellStyle name="Comma [3] 2 4 5" xfId="6547" xr:uid="{B64CC60C-2A43-4B4F-9CE0-E4F168F76CF9}"/>
    <cellStyle name="Comma [3] 2 4 6" xfId="6548" xr:uid="{FEEDA261-02B3-4F45-81D8-E0CF97AF3014}"/>
    <cellStyle name="Comma [3] 2 4 7" xfId="6549" xr:uid="{E9F234FF-54C5-433C-97EA-5A098C4301BE}"/>
    <cellStyle name="Comma [3] 2 4 8" xfId="6550" xr:uid="{E41C39BD-0859-4EB9-B724-F8AF010FBBF3}"/>
    <cellStyle name="Comma [3] 2 4 9" xfId="6551" xr:uid="{5F6256DC-10CE-4CA0-B5B3-CA3BD704C2CA}"/>
    <cellStyle name="Comma [3] 2 5" xfId="6552" xr:uid="{B052510D-1589-4BBB-A51C-FD8C2B3127B6}"/>
    <cellStyle name="Comma [3] 2 5 10" xfId="6553" xr:uid="{B20DF030-4382-4115-98A7-103E80CF77FB}"/>
    <cellStyle name="Comma [3] 2 5 11" xfId="6554" xr:uid="{7954DC9E-B2AB-4AB5-9809-92195995B44B}"/>
    <cellStyle name="Comma [3] 2 5 12" xfId="6555" xr:uid="{565A0AC8-A638-4076-AF3A-F1A7CBC871CE}"/>
    <cellStyle name="Comma [3] 2 5 13" xfId="6556" xr:uid="{37CB3DA9-0D56-40BB-9BF9-F616598A193F}"/>
    <cellStyle name="Comma [3] 2 5 14" xfId="6557" xr:uid="{8001D57A-7262-45E6-B072-9CB6C0E7FE91}"/>
    <cellStyle name="Comma [3] 2 5 15" xfId="6558" xr:uid="{6BACC4BC-280F-4477-835C-D8CE6ACD6BF1}"/>
    <cellStyle name="Comma [3] 2 5 16" xfId="6559" xr:uid="{F495499C-0E07-49E3-97FE-027194208ECF}"/>
    <cellStyle name="Comma [3] 2 5 17" xfId="6560" xr:uid="{3EDBE4D0-230D-41C4-B3CD-494AC6E18683}"/>
    <cellStyle name="Comma [3] 2 5 18" xfId="6561" xr:uid="{12129AB1-AD8F-4A98-96D7-C55B32058007}"/>
    <cellStyle name="Comma [3] 2 5 19" xfId="6562" xr:uid="{B13ED6AE-D5F5-4CA4-A8E3-0AB5BD2CCAA9}"/>
    <cellStyle name="Comma [3] 2 5 2" xfId="6563" xr:uid="{40995103-B7D4-4D3A-959E-BA974B3256A3}"/>
    <cellStyle name="Comma [3] 2 5 20" xfId="6564" xr:uid="{D492E27A-6829-4646-A908-BB9801C55454}"/>
    <cellStyle name="Comma [3] 2 5 21" xfId="6565" xr:uid="{6AB84963-26ED-48C8-82DC-04B42FF39E9C}"/>
    <cellStyle name="Comma [3] 2 5 22" xfId="6566" xr:uid="{E7D5C81F-1DC4-45B0-A3AD-CDDEBCB14E48}"/>
    <cellStyle name="Comma [3] 2 5 23" xfId="6567" xr:uid="{456DA9AE-B064-46DA-B8DA-9F2789F0B5BB}"/>
    <cellStyle name="Comma [3] 2 5 3" xfId="6568" xr:uid="{CD37EE3F-793C-4496-A4F0-854D8B33AD0A}"/>
    <cellStyle name="Comma [3] 2 5 4" xfId="6569" xr:uid="{CEDF30AD-ABED-4E90-86EC-A6743F118938}"/>
    <cellStyle name="Comma [3] 2 5 5" xfId="6570" xr:uid="{247329E8-0890-432F-9BED-914FA37BC63C}"/>
    <cellStyle name="Comma [3] 2 5 6" xfId="6571" xr:uid="{BC87E0B8-383B-4509-8FE2-79FED32A42BA}"/>
    <cellStyle name="Comma [3] 2 5 7" xfId="6572" xr:uid="{A38E31BC-31D9-4588-AEB0-A2012BCDA578}"/>
    <cellStyle name="Comma [3] 2 5 8" xfId="6573" xr:uid="{A4820E14-B350-4F39-BCE1-06FE4DD4F014}"/>
    <cellStyle name="Comma [3] 2 5 9" xfId="6574" xr:uid="{F723BB45-78F7-40E8-8B9D-95A80B411D36}"/>
    <cellStyle name="Comma [3] 2 6" xfId="6575" xr:uid="{DFD35DD1-76D5-476B-B8BE-55CF9A1E8C44}"/>
    <cellStyle name="Comma [3] 2 7" xfId="6576" xr:uid="{C1E99481-A3AF-4398-9DF4-80A131E1EEA0}"/>
    <cellStyle name="Comma [3] 2 8" xfId="6577" xr:uid="{9FAAB4ED-101E-4D8D-8296-5F866358F594}"/>
    <cellStyle name="Comma [3] 2 9" xfId="6578" xr:uid="{EAFF1BC0-7704-44D3-9189-3FC5F835E85E}"/>
    <cellStyle name="Comma [3] 3" xfId="6579" xr:uid="{E75DC3FF-B107-44FB-9755-BAB9BD29463B}"/>
    <cellStyle name="Comma [3] 3 10" xfId="6580" xr:uid="{C5A98BAF-9E75-4D29-93F5-1744DF6D9BE7}"/>
    <cellStyle name="Comma [3] 3 11" xfId="6581" xr:uid="{94658B4A-8B9D-47A1-8909-7D6212AD9999}"/>
    <cellStyle name="Comma [3] 3 12" xfId="6582" xr:uid="{091B7D48-C5A0-4A3D-B5B8-58B80C2F142A}"/>
    <cellStyle name="Comma [3] 3 13" xfId="6583" xr:uid="{7FDAA487-C126-4F30-B335-DEF31D8B5045}"/>
    <cellStyle name="Comma [3] 3 14" xfId="6584" xr:uid="{716A31DB-AA5F-4CA5-9DB4-557F924BEA07}"/>
    <cellStyle name="Comma [3] 3 15" xfId="6585" xr:uid="{6BF63741-9EFC-4DA2-8C81-92B98D55EEDA}"/>
    <cellStyle name="Comma [3] 3 16" xfId="6586" xr:uid="{2B89E1FD-33CB-412A-B2E0-AFCDF91E76FB}"/>
    <cellStyle name="Comma [3] 3 17" xfId="6587" xr:uid="{966A2B5C-D320-42C8-9704-AC5AF36AF1FD}"/>
    <cellStyle name="Comma [3] 3 18" xfId="6588" xr:uid="{35DC67F4-FF1E-411F-8AD0-F419DD2703FD}"/>
    <cellStyle name="Comma [3] 3 19" xfId="6589" xr:uid="{90EAA9CC-416A-4BF8-8F88-7260EA0239E1}"/>
    <cellStyle name="Comma [3] 3 2" xfId="6590" xr:uid="{0BD20F55-0FAD-4210-B663-B34FD7853596}"/>
    <cellStyle name="Comma [3] 3 20" xfId="6591" xr:uid="{30D227DA-A746-4271-9C0E-9C4EC05A1AF2}"/>
    <cellStyle name="Comma [3] 3 21" xfId="6592" xr:uid="{3C8A57A3-F129-4774-B0F6-E7569C440FC5}"/>
    <cellStyle name="Comma [3] 3 22" xfId="6593" xr:uid="{5A14A9B3-CDA3-4B54-B475-50C10676188C}"/>
    <cellStyle name="Comma [3] 3 23" xfId="6594" xr:uid="{6D19512E-2F7B-42F8-B8C0-2A1DDE7897A5}"/>
    <cellStyle name="Comma [3] 3 24" xfId="6595" xr:uid="{C7B98A36-84B0-4151-81ED-B34ADEB14239}"/>
    <cellStyle name="Comma [3] 3 25" xfId="40533" xr:uid="{B08A7F0B-6111-4025-A1B4-A647BBEA7FD7}"/>
    <cellStyle name="Comma [3] 3 3" xfId="6596" xr:uid="{CF1378BF-CB1F-4288-B143-818434CF4E34}"/>
    <cellStyle name="Comma [3] 3 4" xfId="6597" xr:uid="{D28B29BB-F58D-494B-83CD-DED6656E512A}"/>
    <cellStyle name="Comma [3] 3 5" xfId="6598" xr:uid="{5FAD4439-9EB4-406D-8F80-7B037B87941C}"/>
    <cellStyle name="Comma [3] 3 6" xfId="6599" xr:uid="{9E6EC128-B9EA-4C94-8D42-D141DF26331E}"/>
    <cellStyle name="Comma [3] 3 7" xfId="6600" xr:uid="{573FDFB2-DFEB-40FE-A914-A8583BCD97A2}"/>
    <cellStyle name="Comma [3] 3 8" xfId="6601" xr:uid="{443E979A-4673-4791-8907-7EC1DE48A242}"/>
    <cellStyle name="Comma [3] 3 9" xfId="6602" xr:uid="{A3FA9C57-32FB-4045-A268-AD490EC8E046}"/>
    <cellStyle name="Comma [3] 4" xfId="6603" xr:uid="{1C2FC8CA-E23F-4E1A-B9C7-AB655BA0F598}"/>
    <cellStyle name="Comma [3] 4 10" xfId="6604" xr:uid="{838C7847-D8A2-4053-A5CF-52FCE8918816}"/>
    <cellStyle name="Comma [3] 4 11" xfId="6605" xr:uid="{1DF3DBD7-BDB0-4CE6-99CB-F41B1EB7A011}"/>
    <cellStyle name="Comma [3] 4 12" xfId="6606" xr:uid="{4AAD8F36-4059-490B-BD53-8F991A15EAE7}"/>
    <cellStyle name="Comma [3] 4 13" xfId="6607" xr:uid="{7DDE5642-FC2D-4A14-9D6F-1E6EFE605DCA}"/>
    <cellStyle name="Comma [3] 4 14" xfId="6608" xr:uid="{21B9CF77-95EA-46FA-8C34-9C9959A932F0}"/>
    <cellStyle name="Comma [3] 4 15" xfId="6609" xr:uid="{15BD3E4E-B296-457C-AB6A-D1C6E132EE51}"/>
    <cellStyle name="Comma [3] 4 16" xfId="6610" xr:uid="{06BE9518-2A9B-4262-B55B-6262A4896BF1}"/>
    <cellStyle name="Comma [3] 4 17" xfId="6611" xr:uid="{82440AED-FBAA-4926-BE2F-984917D3E167}"/>
    <cellStyle name="Comma [3] 4 18" xfId="6612" xr:uid="{52CDDCD1-894E-4D5F-846F-EA8362CB0EDF}"/>
    <cellStyle name="Comma [3] 4 19" xfId="6613" xr:uid="{ED5FBBE5-491F-49EB-9606-A61F07526D6C}"/>
    <cellStyle name="Comma [3] 4 2" xfId="6614" xr:uid="{889C22E8-0A17-4EEC-B974-60B937E5C614}"/>
    <cellStyle name="Comma [3] 4 20" xfId="6615" xr:uid="{A8D7526C-09B9-496C-B2A9-5C07498C7C08}"/>
    <cellStyle name="Comma [3] 4 21" xfId="6616" xr:uid="{BDC55320-886B-4B75-82DF-3F527DA876A4}"/>
    <cellStyle name="Comma [3] 4 22" xfId="6617" xr:uid="{916064B6-29D7-4FAD-BEA7-4DD18716358E}"/>
    <cellStyle name="Comma [3] 4 23" xfId="6618" xr:uid="{DC08BDB2-8737-4EA4-941B-02DCC95A6E19}"/>
    <cellStyle name="Comma [3] 4 3" xfId="6619" xr:uid="{45B2AC42-F000-4A8E-B8D4-F9016A2B0A26}"/>
    <cellStyle name="Comma [3] 4 4" xfId="6620" xr:uid="{B6772E08-1E9A-4D54-9D19-39960A98BBE2}"/>
    <cellStyle name="Comma [3] 4 5" xfId="6621" xr:uid="{C1C052B0-5728-4296-9D30-F05B00933FB1}"/>
    <cellStyle name="Comma [3] 4 6" xfId="6622" xr:uid="{9A71A3E6-6770-47D8-8141-A3AA19B133E8}"/>
    <cellStyle name="Comma [3] 4 7" xfId="6623" xr:uid="{C9FF4BFA-A94B-4D6D-8EB2-C0CF920B46C7}"/>
    <cellStyle name="Comma [3] 4 8" xfId="6624" xr:uid="{7AB5C95E-AAF3-4373-BD2C-E47632A438D0}"/>
    <cellStyle name="Comma [3] 4 9" xfId="6625" xr:uid="{0CA2748D-A701-48AF-8DAF-15EABFB13BFE}"/>
    <cellStyle name="Comma [3] 5" xfId="6626" xr:uid="{32222F56-DEF8-4660-9840-2DACD4AA52DA}"/>
    <cellStyle name="Comma [3] 5 10" xfId="6627" xr:uid="{35362B1F-D0E2-4039-A960-D9811CAC863F}"/>
    <cellStyle name="Comma [3] 5 11" xfId="6628" xr:uid="{86614DCC-5895-4349-BE83-7C52A22A6666}"/>
    <cellStyle name="Comma [3] 5 12" xfId="6629" xr:uid="{977F4F7D-5A9B-46F6-85A0-77C89318BA9A}"/>
    <cellStyle name="Comma [3] 5 13" xfId="6630" xr:uid="{A0816F74-6A29-4DC9-9BB6-F00AC4E2458F}"/>
    <cellStyle name="Comma [3] 5 14" xfId="6631" xr:uid="{EBAA903D-3D5F-4F87-A6B2-1B032E64085D}"/>
    <cellStyle name="Comma [3] 5 15" xfId="6632" xr:uid="{C754A062-F8CA-46EF-927B-D04E882429CF}"/>
    <cellStyle name="Comma [3] 5 16" xfId="6633" xr:uid="{979C6C51-E9CF-4D69-B0B0-8A853943B39C}"/>
    <cellStyle name="Comma [3] 5 17" xfId="6634" xr:uid="{4BCDB8E4-D552-40A1-A391-AF450EECDB48}"/>
    <cellStyle name="Comma [3] 5 18" xfId="6635" xr:uid="{39459FD8-0293-4744-B413-BBFAA95FEB9C}"/>
    <cellStyle name="Comma [3] 5 19" xfId="6636" xr:uid="{8EE196EE-D91B-4F1D-9089-468CC04E3883}"/>
    <cellStyle name="Comma [3] 5 2" xfId="6637" xr:uid="{6E895B0F-C9BB-48F5-93D8-BB1B1F1463D3}"/>
    <cellStyle name="Comma [3] 5 20" xfId="6638" xr:uid="{DACA18BC-ED7B-4D47-B464-2C9C7186EC3A}"/>
    <cellStyle name="Comma [3] 5 21" xfId="6639" xr:uid="{4BDFDFBD-C94E-458F-99BB-B7FB362A5A70}"/>
    <cellStyle name="Comma [3] 5 22" xfId="6640" xr:uid="{B2A36B11-3E39-41B1-8FBA-28518A68DFFF}"/>
    <cellStyle name="Comma [3] 5 23" xfId="6641" xr:uid="{09E95CB5-5DDF-4B95-95D9-0712957815BE}"/>
    <cellStyle name="Comma [3] 5 3" xfId="6642" xr:uid="{BC6FC672-DC03-411B-BD90-449DE88BCC6E}"/>
    <cellStyle name="Comma [3] 5 4" xfId="6643" xr:uid="{E6098415-5FBB-41E1-A1F0-EA62351B3F6F}"/>
    <cellStyle name="Comma [3] 5 5" xfId="6644" xr:uid="{20BD19A7-28CD-4DEA-A02B-79549CC794B4}"/>
    <cellStyle name="Comma [3] 5 6" xfId="6645" xr:uid="{BCADC1D0-34AD-4440-BC51-2DEE20F51611}"/>
    <cellStyle name="Comma [3] 5 7" xfId="6646" xr:uid="{9F6A372B-2AC6-49CD-9E73-937B8D954EAE}"/>
    <cellStyle name="Comma [3] 5 8" xfId="6647" xr:uid="{0FB44328-DBD3-4EA0-A0B0-D29EA2CF911F}"/>
    <cellStyle name="Comma [3] 5 9" xfId="6648" xr:uid="{CD796552-EE6D-48D0-AAFA-68D0DB93D042}"/>
    <cellStyle name="Comma [3] 6" xfId="6649" xr:uid="{5CC5EFCD-0274-4727-B68F-D55D3B824810}"/>
    <cellStyle name="Comma [3] 6 10" xfId="6650" xr:uid="{9D3D9923-F6CC-4489-8451-9A2E35FC2F40}"/>
    <cellStyle name="Comma [3] 6 11" xfId="6651" xr:uid="{E90B3C92-40CB-4251-8982-D3E31F38B2D1}"/>
    <cellStyle name="Comma [3] 6 12" xfId="6652" xr:uid="{E64FFEB3-ACC0-4292-85FB-E0D6B30151BA}"/>
    <cellStyle name="Comma [3] 6 13" xfId="6653" xr:uid="{1A2FDBE1-7630-4C4D-BA75-000AA9E4AC20}"/>
    <cellStyle name="Comma [3] 6 14" xfId="6654" xr:uid="{45F1BA4F-C0D5-4559-849E-010DB3F3C3C1}"/>
    <cellStyle name="Comma [3] 6 15" xfId="6655" xr:uid="{B234A5CA-6AFD-4D63-A88C-CEF76340310D}"/>
    <cellStyle name="Comma [3] 6 16" xfId="6656" xr:uid="{86FACC5D-480D-4531-9910-FFA196A142FF}"/>
    <cellStyle name="Comma [3] 6 17" xfId="6657" xr:uid="{34729B23-D105-4FA5-979B-FA84A4072A0C}"/>
    <cellStyle name="Comma [3] 6 18" xfId="6658" xr:uid="{A047019D-3786-4DC9-A188-2E2EC665B595}"/>
    <cellStyle name="Comma [3] 6 19" xfId="6659" xr:uid="{D8EEB111-2751-4814-92FB-5D49A95552F5}"/>
    <cellStyle name="Comma [3] 6 2" xfId="6660" xr:uid="{0A732B02-4E92-4FFF-BEBA-27D7534486A8}"/>
    <cellStyle name="Comma [3] 6 20" xfId="6661" xr:uid="{8648BCA6-4183-4E0A-A1A1-BDA380D58FB5}"/>
    <cellStyle name="Comma [3] 6 21" xfId="6662" xr:uid="{F5168AA0-345A-400B-94B6-A7719C2A6557}"/>
    <cellStyle name="Comma [3] 6 22" xfId="6663" xr:uid="{79B9D23E-79BC-4F00-B1FF-A3B756BCF4D1}"/>
    <cellStyle name="Comma [3] 6 23" xfId="6664" xr:uid="{2FB05213-26DF-4524-8A6B-901830615E43}"/>
    <cellStyle name="Comma [3] 6 3" xfId="6665" xr:uid="{5E845504-AD06-4D47-8035-990880655A48}"/>
    <cellStyle name="Comma [3] 6 4" xfId="6666" xr:uid="{83DB7D35-21C3-4961-AE7E-9C6B7C8F89E2}"/>
    <cellStyle name="Comma [3] 6 5" xfId="6667" xr:uid="{E918661A-D30E-4F08-B07A-6C32129698DF}"/>
    <cellStyle name="Comma [3] 6 6" xfId="6668" xr:uid="{EECD7BD0-AA71-40FB-9D5C-8B916A744A8F}"/>
    <cellStyle name="Comma [3] 6 7" xfId="6669" xr:uid="{E19C1AE8-4F10-4A0D-9680-5AE6ACA3EABC}"/>
    <cellStyle name="Comma [3] 6 8" xfId="6670" xr:uid="{4D4682D6-3E73-4C24-9850-B279A45382E9}"/>
    <cellStyle name="Comma [3] 6 9" xfId="6671" xr:uid="{C7EAD381-6899-46BB-A377-69EBCE08EECA}"/>
    <cellStyle name="Comma [3] 7" xfId="6672" xr:uid="{03356432-E806-4876-BB33-6B5AF34BB710}"/>
    <cellStyle name="Comma [3] 7 10" xfId="6673" xr:uid="{C5819AA1-D276-4869-A04F-67E589882FF8}"/>
    <cellStyle name="Comma [3] 7 11" xfId="6674" xr:uid="{252401DB-95D8-40C3-921F-53900511FB34}"/>
    <cellStyle name="Comma [3] 7 12" xfId="6675" xr:uid="{37EABEC4-54FA-4CFC-B581-E1F9A91E713F}"/>
    <cellStyle name="Comma [3] 7 13" xfId="6676" xr:uid="{01AFF5E5-2E49-4D36-A76C-6148BAB69A50}"/>
    <cellStyle name="Comma [3] 7 14" xfId="6677" xr:uid="{04CFC0FC-C7B4-4DFB-9C56-56948B17828A}"/>
    <cellStyle name="Comma [3] 7 15" xfId="6678" xr:uid="{C299857F-84A9-4234-B35A-606EF466588C}"/>
    <cellStyle name="Comma [3] 7 16" xfId="6679" xr:uid="{6641BA3E-BD6E-4E1B-9953-AF5C054FB942}"/>
    <cellStyle name="Comma [3] 7 17" xfId="6680" xr:uid="{3ACE3840-10F5-498A-818A-05309E1EE2C0}"/>
    <cellStyle name="Comma [3] 7 18" xfId="6681" xr:uid="{2F4C22F6-112E-46E2-9F79-38602E1BC471}"/>
    <cellStyle name="Comma [3] 7 19" xfId="6682" xr:uid="{55560FEF-FBD9-4686-BA0E-B7EB47E658CA}"/>
    <cellStyle name="Comma [3] 7 2" xfId="6683" xr:uid="{60A88DD6-E98A-4427-B19F-19C9FFCC629D}"/>
    <cellStyle name="Comma [3] 7 20" xfId="6684" xr:uid="{748AD6EB-5743-44C2-A72B-73F6AFF12006}"/>
    <cellStyle name="Comma [3] 7 21" xfId="6685" xr:uid="{FC5F08BE-CE3C-4C9B-AA2D-0283CF07B694}"/>
    <cellStyle name="Comma [3] 7 22" xfId="6686" xr:uid="{06F6EB42-30AF-4B0C-BFE2-5330DDDB3AE9}"/>
    <cellStyle name="Comma [3] 7 23" xfId="6687" xr:uid="{8FD4DE4D-4B65-4F2F-B151-8BFCCB1F71EA}"/>
    <cellStyle name="Comma [3] 7 3" xfId="6688" xr:uid="{BC3720AE-196A-4F07-A0EC-A4E1CBF4B86A}"/>
    <cellStyle name="Comma [3] 7 4" xfId="6689" xr:uid="{8234CC0A-FE96-4CB3-9084-57E1E1CA4595}"/>
    <cellStyle name="Comma [3] 7 5" xfId="6690" xr:uid="{DB2402E6-EC04-49D7-931A-D3BC92DF02D2}"/>
    <cellStyle name="Comma [3] 7 6" xfId="6691" xr:uid="{C84D8AED-A1C1-48A7-B23E-F73EEEEB31F0}"/>
    <cellStyle name="Comma [3] 7 7" xfId="6692" xr:uid="{9918F4A5-8806-4769-B150-79F9CEB79472}"/>
    <cellStyle name="Comma [3] 7 8" xfId="6693" xr:uid="{29557BD3-5025-4673-97E3-3EBDD640BFC0}"/>
    <cellStyle name="Comma [3] 7 9" xfId="6694" xr:uid="{9E55BA01-B91C-4B9D-8716-BA4C590FC9C4}"/>
    <cellStyle name="Comma [3] 8" xfId="6695" xr:uid="{2989E6A7-CB6A-4B04-94A3-B7F1C49E82BC}"/>
    <cellStyle name="Comma [3] 8 10" xfId="6696" xr:uid="{13483281-CEA2-4C1E-AEBC-B8A2778222BE}"/>
    <cellStyle name="Comma [3] 8 11" xfId="6697" xr:uid="{1C8275D7-3337-45EB-9AE5-5B5709601718}"/>
    <cellStyle name="Comma [3] 8 12" xfId="6698" xr:uid="{BEEA282D-41D5-49EA-8A76-44824AA595E6}"/>
    <cellStyle name="Comma [3] 8 13" xfId="6699" xr:uid="{FB91FFC7-928F-4A17-A805-C45AFCD869E6}"/>
    <cellStyle name="Comma [3] 8 14" xfId="6700" xr:uid="{818FA755-16A5-4E61-8DDB-A3F542FE5C93}"/>
    <cellStyle name="Comma [3] 8 15" xfId="6701" xr:uid="{32BE3332-EB16-4D55-8CD9-05439066787D}"/>
    <cellStyle name="Comma [3] 8 16" xfId="6702" xr:uid="{D7264F9D-B717-4C87-98CB-09EC5FF6637C}"/>
    <cellStyle name="Comma [3] 8 17" xfId="6703" xr:uid="{9F2A2CAF-86F0-4C47-847D-57327CEB34D4}"/>
    <cellStyle name="Comma [3] 8 18" xfId="6704" xr:uid="{3DDB2D4D-6B85-4218-AF31-36D2B723ADE0}"/>
    <cellStyle name="Comma [3] 8 19" xfId="6705" xr:uid="{BC7A90A2-71F3-4AA1-8D8F-AFBD0243C255}"/>
    <cellStyle name="Comma [3] 8 2" xfId="6706" xr:uid="{53980A9F-A1C6-4CDE-B89F-B363111D2B1A}"/>
    <cellStyle name="Comma [3] 8 20" xfId="6707" xr:uid="{F4A8F9CB-6B50-4037-8A84-1794B4975C15}"/>
    <cellStyle name="Comma [3] 8 21" xfId="6708" xr:uid="{06B362AC-F2D4-4115-84EB-531B2467635D}"/>
    <cellStyle name="Comma [3] 8 22" xfId="6709" xr:uid="{18DEE49A-DB27-4DF8-9BF1-9946EEEA0111}"/>
    <cellStyle name="Comma [3] 8 23" xfId="6710" xr:uid="{79BA7F7D-A668-4C37-8894-ED3FDA01FC20}"/>
    <cellStyle name="Comma [3] 8 3" xfId="6711" xr:uid="{D59452A1-D553-447D-B1BA-3FA0FF5E38FF}"/>
    <cellStyle name="Comma [3] 8 4" xfId="6712" xr:uid="{28AEAE3A-A02A-4F66-8317-E0099EBDC4BB}"/>
    <cellStyle name="Comma [3] 8 5" xfId="6713" xr:uid="{720360A9-8C8B-43D5-91F4-9C198279A836}"/>
    <cellStyle name="Comma [3] 8 6" xfId="6714" xr:uid="{C938213E-6927-4CFB-9B90-998E327B7EA7}"/>
    <cellStyle name="Comma [3] 8 7" xfId="6715" xr:uid="{567B8FDF-831D-4265-B377-AB3D6783812C}"/>
    <cellStyle name="Comma [3] 8 8" xfId="6716" xr:uid="{1387F178-B3B5-4E6E-B8DF-2C0F6C22B8A1}"/>
    <cellStyle name="Comma [3] 8 9" xfId="6717" xr:uid="{DBDFCD70-A5DA-49DD-9AA8-CD071EBB7A3E}"/>
    <cellStyle name="Comma [3] 9" xfId="6718" xr:uid="{AC6ECE44-527D-4B08-A1DC-860DCD8C9E1E}"/>
    <cellStyle name="Comma [3] 9 10" xfId="6719" xr:uid="{84A49E8D-3381-44F9-9184-3A85B7E6003C}"/>
    <cellStyle name="Comma [3] 9 11" xfId="6720" xr:uid="{64F002F3-8C6A-4E05-BE1F-66E4153F8F80}"/>
    <cellStyle name="Comma [3] 9 12" xfId="6721" xr:uid="{C89903FC-50CE-4A9D-8B04-2D82D8EB1505}"/>
    <cellStyle name="Comma [3] 9 13" xfId="6722" xr:uid="{51430F2B-4F80-4E33-966E-B5B63A044846}"/>
    <cellStyle name="Comma [3] 9 14" xfId="6723" xr:uid="{DDBB7442-4069-4A9F-821F-7AE497B9FDD4}"/>
    <cellStyle name="Comma [3] 9 15" xfId="6724" xr:uid="{D8BC9043-0DA7-4A54-94C5-20AA1908D269}"/>
    <cellStyle name="Comma [3] 9 16" xfId="6725" xr:uid="{62F14723-A94D-42FF-9C38-924D75B794AE}"/>
    <cellStyle name="Comma [3] 9 17" xfId="6726" xr:uid="{BD797A2C-76A5-4920-A85D-25596799795E}"/>
    <cellStyle name="Comma [3] 9 18" xfId="6727" xr:uid="{79B72B65-13DF-41D3-A86D-D471E5FB93E9}"/>
    <cellStyle name="Comma [3] 9 19" xfId="6728" xr:uid="{08524524-C38E-4A08-B992-3C70F5B963AD}"/>
    <cellStyle name="Comma [3] 9 2" xfId="6729" xr:uid="{EA2E90A1-F3B0-4857-8578-FAD8E7B1F638}"/>
    <cellStyle name="Comma [3] 9 20" xfId="6730" xr:uid="{6000FEF4-A636-4EC7-8D6E-84CAB250057C}"/>
    <cellStyle name="Comma [3] 9 21" xfId="6731" xr:uid="{DCF307D6-ED12-4E3D-9756-3809D314647E}"/>
    <cellStyle name="Comma [3] 9 22" xfId="6732" xr:uid="{89769B3A-AE00-4F42-8D5A-75489ED03E0C}"/>
    <cellStyle name="Comma [3] 9 23" xfId="6733" xr:uid="{9CBAAA9B-E4AA-4398-88AD-7EFEC332EF2C}"/>
    <cellStyle name="Comma [3] 9 3" xfId="6734" xr:uid="{1B361104-4269-4DF5-9E7E-6C79F923F82E}"/>
    <cellStyle name="Comma [3] 9 4" xfId="6735" xr:uid="{0B9ACD30-235D-404A-B7EB-0B7AED4B5401}"/>
    <cellStyle name="Comma [3] 9 5" xfId="6736" xr:uid="{182E83E7-4C54-4B2C-ABD3-E47ED006C237}"/>
    <cellStyle name="Comma [3] 9 6" xfId="6737" xr:uid="{4CA718EF-ECE9-487D-A3C2-10D194DBDCC1}"/>
    <cellStyle name="Comma [3] 9 7" xfId="6738" xr:uid="{DCA3E7FA-0A2B-41AA-9665-5A39AE425ECA}"/>
    <cellStyle name="Comma [3] 9 8" xfId="6739" xr:uid="{6E1C754C-6636-4CB9-9CF2-FC8F9C239CF0}"/>
    <cellStyle name="Comma [3] 9 9" xfId="6740" xr:uid="{10FFDBD1-C512-46DE-81A8-2EE35E551EDF}"/>
    <cellStyle name="Comma [4]" xfId="6741" xr:uid="{F8CD3E15-C4B2-40D6-9C77-4CF02EC60C9D}"/>
    <cellStyle name="Comma [4] 10" xfId="6742" xr:uid="{A19A116D-93DE-4D09-901A-DF4CD6322EE9}"/>
    <cellStyle name="Comma [4] 10 10" xfId="6743" xr:uid="{30CCDD96-88E4-4F05-B088-DBE79DF089F5}"/>
    <cellStyle name="Comma [4] 10 11" xfId="6744" xr:uid="{826E256B-24D0-4DBF-B31C-EE03D7271FA2}"/>
    <cellStyle name="Comma [4] 10 12" xfId="6745" xr:uid="{57CA0389-B7C1-4754-80FE-5E73B1D3240E}"/>
    <cellStyle name="Comma [4] 10 13" xfId="6746" xr:uid="{12C9D76F-04C5-4237-8552-6C5587819BCF}"/>
    <cellStyle name="Comma [4] 10 14" xfId="6747" xr:uid="{5150BF50-6BB7-4484-9C01-7567D166263D}"/>
    <cellStyle name="Comma [4] 10 15" xfId="6748" xr:uid="{31AE28B7-9E5F-4211-9684-85F7BEDA57E0}"/>
    <cellStyle name="Comma [4] 10 16" xfId="6749" xr:uid="{E6BADC21-DC47-4DC8-9BE2-38CB6B38224E}"/>
    <cellStyle name="Comma [4] 10 17" xfId="6750" xr:uid="{D6ABC380-3698-4355-BA93-69BDFE77869B}"/>
    <cellStyle name="Comma [4] 10 18" xfId="6751" xr:uid="{AA95724E-7126-45E4-B709-B5898FDDEA31}"/>
    <cellStyle name="Comma [4] 10 19" xfId="6752" xr:uid="{E7E2773A-E095-44C0-ABC1-81DEA2C634B9}"/>
    <cellStyle name="Comma [4] 10 2" xfId="6753" xr:uid="{A82D474C-CAB7-41D4-820F-909D404003F4}"/>
    <cellStyle name="Comma [4] 10 20" xfId="6754" xr:uid="{7A02E758-5982-4842-AA10-DF205AAFA679}"/>
    <cellStyle name="Comma [4] 10 21" xfId="6755" xr:uid="{6CF56CC6-030A-40E8-A992-48B4838600D1}"/>
    <cellStyle name="Comma [4] 10 22" xfId="6756" xr:uid="{DCFF3FBB-B281-420F-AAB1-80C8E6779CAD}"/>
    <cellStyle name="Comma [4] 10 23" xfId="6757" xr:uid="{1C2BC741-6875-4A65-A8E2-222154D19DFC}"/>
    <cellStyle name="Comma [4] 10 3" xfId="6758" xr:uid="{D37A4890-F6DC-49C3-8DB4-10AF7FEB4DCC}"/>
    <cellStyle name="Comma [4] 10 4" xfId="6759" xr:uid="{B6D95BBB-1182-4FC7-A368-CC474D5A0664}"/>
    <cellStyle name="Comma [4] 10 5" xfId="6760" xr:uid="{D4E31E4D-5B0C-480C-BB09-09AD6857B0C8}"/>
    <cellStyle name="Comma [4] 10 6" xfId="6761" xr:uid="{9522C6C6-3BE3-4000-92DC-A636851691A8}"/>
    <cellStyle name="Comma [4] 10 7" xfId="6762" xr:uid="{19290607-E09E-44EB-8AA3-96C3FD265DCB}"/>
    <cellStyle name="Comma [4] 10 8" xfId="6763" xr:uid="{D2D0E928-B3A1-48AE-B9B1-E88BCD0ADDE1}"/>
    <cellStyle name="Comma [4] 10 9" xfId="6764" xr:uid="{B481C5C4-ED62-4931-932F-672EED4B5A03}"/>
    <cellStyle name="Comma [4] 11" xfId="6765" xr:uid="{C1B1FDB2-C954-46D0-8441-620A7F6C12B2}"/>
    <cellStyle name="Comma [4] 11 10" xfId="6766" xr:uid="{9ADC1B95-816B-4674-B748-BE9D437B79A8}"/>
    <cellStyle name="Comma [4] 11 11" xfId="6767" xr:uid="{BB691FBE-7616-41CD-8594-BE9395FDAB27}"/>
    <cellStyle name="Comma [4] 11 12" xfId="6768" xr:uid="{66E1A2F3-74B1-4683-94D9-76FA6BB63172}"/>
    <cellStyle name="Comma [4] 11 13" xfId="6769" xr:uid="{F333EB0E-62A4-4814-8F9D-A2E8B079961F}"/>
    <cellStyle name="Comma [4] 11 14" xfId="6770" xr:uid="{D0BF1DBE-F32B-4D0C-B018-667F15EEFF0C}"/>
    <cellStyle name="Comma [4] 11 15" xfId="6771" xr:uid="{9A9618E1-0BD0-45CE-9782-15C8E8A84B68}"/>
    <cellStyle name="Comma [4] 11 16" xfId="6772" xr:uid="{27E1F242-8105-4442-87A4-7403B8333270}"/>
    <cellStyle name="Comma [4] 11 17" xfId="6773" xr:uid="{4262638E-6198-4DF7-9CAC-DE9B86BC1084}"/>
    <cellStyle name="Comma [4] 11 18" xfId="6774" xr:uid="{38FA9275-CBA4-4C07-8963-3B98CE469E37}"/>
    <cellStyle name="Comma [4] 11 19" xfId="6775" xr:uid="{0DE20B76-FBF0-440B-94BB-26D92AB9BBB5}"/>
    <cellStyle name="Comma [4] 11 2" xfId="6776" xr:uid="{4E7F4BAE-BDB6-43AF-AB9B-88E77FC1F9F3}"/>
    <cellStyle name="Comma [4] 11 20" xfId="6777" xr:uid="{A0A260C7-DCFA-4E35-A809-F483CAE5C209}"/>
    <cellStyle name="Comma [4] 11 21" xfId="6778" xr:uid="{8CD42A54-D03E-4683-AEA6-477C4305485B}"/>
    <cellStyle name="Comma [4] 11 22" xfId="6779" xr:uid="{0D1864B2-BA1A-483F-ADA2-76DA2E9CEAF3}"/>
    <cellStyle name="Comma [4] 11 23" xfId="6780" xr:uid="{FEE8FBAD-16B8-41B2-B783-FEE771A40AE6}"/>
    <cellStyle name="Comma [4] 11 3" xfId="6781" xr:uid="{D514053F-4009-4FB0-B2FE-7DF57CB0EB42}"/>
    <cellStyle name="Comma [4] 11 4" xfId="6782" xr:uid="{DC580250-2B35-4803-A471-66140D9FD9A7}"/>
    <cellStyle name="Comma [4] 11 5" xfId="6783" xr:uid="{29C0530D-ED92-43E6-85ED-E0F0DE3F981A}"/>
    <cellStyle name="Comma [4] 11 6" xfId="6784" xr:uid="{77CB7F49-0CA7-40C1-B745-1D1C84A7DB82}"/>
    <cellStyle name="Comma [4] 11 7" xfId="6785" xr:uid="{35025CB0-EC08-4AF0-9088-CEF842458BC8}"/>
    <cellStyle name="Comma [4] 11 8" xfId="6786" xr:uid="{1629BBFA-435F-4766-8397-1145F181A42E}"/>
    <cellStyle name="Comma [4] 11 9" xfId="6787" xr:uid="{6D322642-9F8C-425F-ABE9-2F169777F1C5}"/>
    <cellStyle name="Comma [4] 12" xfId="6788" xr:uid="{0F62DC31-B2B8-4E91-A20C-401E8498CB1A}"/>
    <cellStyle name="Comma [4] 12 2" xfId="6789" xr:uid="{D4F1935D-59C4-475C-A540-9904281E9701}"/>
    <cellStyle name="Comma [4] 12 3" xfId="6790" xr:uid="{D33BF53F-63C6-41F3-845C-000F779C1F10}"/>
    <cellStyle name="Comma [4] 12 4" xfId="6791" xr:uid="{575AFFF6-1EAE-4AB8-A5B1-E7531D97E7BC}"/>
    <cellStyle name="Comma [4] 13" xfId="6792" xr:uid="{5F4B2EF7-E254-45DB-A309-0E0C5C703BFB}"/>
    <cellStyle name="Comma [4] 14" xfId="6793" xr:uid="{D8FDFF78-E8B0-4797-89F8-F2644A214970}"/>
    <cellStyle name="Comma [4] 15" xfId="6794" xr:uid="{DA89AAA9-3E44-421E-8D53-CC56585515B5}"/>
    <cellStyle name="Comma [4] 16" xfId="6795" xr:uid="{D78D8612-7464-44E2-8A83-F12874B7681E}"/>
    <cellStyle name="Comma [4] 2" xfId="6796" xr:uid="{66EACC57-4B95-4A8A-89F4-2F11C5E3B9FF}"/>
    <cellStyle name="Comma [4] 2 10" xfId="6797" xr:uid="{D9CC30B1-4251-4C42-A52C-7C8C1A4907E9}"/>
    <cellStyle name="Comma [4] 2 11" xfId="6798" xr:uid="{43E41127-7195-466D-9F9B-44BAA8FC00A3}"/>
    <cellStyle name="Comma [4] 2 12" xfId="6799" xr:uid="{E32D809B-50CA-4C2D-91D5-1AA334334909}"/>
    <cellStyle name="Comma [4] 2 13" xfId="6800" xr:uid="{F74DBAAF-BC40-4C82-9779-6FCDB451B562}"/>
    <cellStyle name="Comma [4] 2 14" xfId="6801" xr:uid="{F783AF0D-6117-4A2E-A4A4-83DCC69CA958}"/>
    <cellStyle name="Comma [4] 2 15" xfId="6802" xr:uid="{1003B356-0995-4D53-82E4-075CCCF959B1}"/>
    <cellStyle name="Comma [4] 2 16" xfId="6803" xr:uid="{EC426017-7181-48EC-B8C1-E3A14BC64A9B}"/>
    <cellStyle name="Comma [4] 2 17" xfId="6804" xr:uid="{42A7E24B-65B8-4BC6-A60A-2EEFF4232201}"/>
    <cellStyle name="Comma [4] 2 18" xfId="6805" xr:uid="{008A904B-8D09-49BA-87E1-6316308DF28D}"/>
    <cellStyle name="Comma [4] 2 19" xfId="6806" xr:uid="{F46A2CAE-1730-4E8F-BEA0-AD2A5646CBC4}"/>
    <cellStyle name="Comma [4] 2 2" xfId="6807" xr:uid="{B2F84E83-667B-4166-A9B1-35D7A2D27622}"/>
    <cellStyle name="Comma [4] 2 2 10" xfId="6808" xr:uid="{4EBE6254-5F7E-49B0-8052-8EE7D91A851C}"/>
    <cellStyle name="Comma [4] 2 2 11" xfId="6809" xr:uid="{06259B21-9F09-4210-AFDD-1FB395D1A081}"/>
    <cellStyle name="Comma [4] 2 2 12" xfId="6810" xr:uid="{90239C90-E19D-49FC-A7C1-BA61A0AB5465}"/>
    <cellStyle name="Comma [4] 2 2 13" xfId="6811" xr:uid="{4DB4F836-B609-4AA6-A2BF-A22372D71884}"/>
    <cellStyle name="Comma [4] 2 2 14" xfId="6812" xr:uid="{182B99E6-A8AD-48C2-AAD6-0157D1B64635}"/>
    <cellStyle name="Comma [4] 2 2 15" xfId="6813" xr:uid="{02FF022B-C4A8-487F-B4BA-CFEE4D1EB127}"/>
    <cellStyle name="Comma [4] 2 2 16" xfId="6814" xr:uid="{110F20D1-254D-4D39-B97A-CAE2867CF569}"/>
    <cellStyle name="Comma [4] 2 2 17" xfId="6815" xr:uid="{6975E265-C807-40F5-9801-474BB7703B80}"/>
    <cellStyle name="Comma [4] 2 2 18" xfId="6816" xr:uid="{F30F8341-BCF6-4FA5-958E-B702ED614F8F}"/>
    <cellStyle name="Comma [4] 2 2 19" xfId="6817" xr:uid="{6C84D55F-D21C-401F-A172-6566B09150FA}"/>
    <cellStyle name="Comma [4] 2 2 2" xfId="6818" xr:uid="{9C79C4A8-015A-49D7-9A72-0493DAE4C227}"/>
    <cellStyle name="Comma [4] 2 2 20" xfId="6819" xr:uid="{51A68528-644B-448C-9A43-3B152588CA83}"/>
    <cellStyle name="Comma [4] 2 2 21" xfId="6820" xr:uid="{0E438C63-CFD5-4CC4-8693-B1BB705FAC9D}"/>
    <cellStyle name="Comma [4] 2 2 22" xfId="6821" xr:uid="{EABAEA51-AA2E-4FFC-8431-C4A68E032B8D}"/>
    <cellStyle name="Comma [4] 2 2 23" xfId="6822" xr:uid="{6C7528DD-67A6-452C-8EF3-3CCF8BBD0101}"/>
    <cellStyle name="Comma [4] 2 2 3" xfId="6823" xr:uid="{D773497B-9F9C-4388-979A-76B19764C6B9}"/>
    <cellStyle name="Comma [4] 2 2 4" xfId="6824" xr:uid="{198E9176-39B9-4730-AAE0-B09874778358}"/>
    <cellStyle name="Comma [4] 2 2 5" xfId="6825" xr:uid="{C51BD63D-B387-4649-889B-DEE37A4D523B}"/>
    <cellStyle name="Comma [4] 2 2 6" xfId="6826" xr:uid="{6C7640BA-A429-4520-932B-6CC5EC0BBD57}"/>
    <cellStyle name="Comma [4] 2 2 7" xfId="6827" xr:uid="{F1CDE88B-0C79-4594-B808-FE91C7822012}"/>
    <cellStyle name="Comma [4] 2 2 8" xfId="6828" xr:uid="{67EEC9C1-D0E2-4380-8C24-9C18335D8C36}"/>
    <cellStyle name="Comma [4] 2 2 9" xfId="6829" xr:uid="{D9307EC7-FE94-4115-96DB-245135E54B41}"/>
    <cellStyle name="Comma [4] 2 20" xfId="6830" xr:uid="{67787967-6342-49AD-AED0-00693770EE60}"/>
    <cellStyle name="Comma [4] 2 21" xfId="6831" xr:uid="{8D0A5B39-F9F8-4379-B314-2EC7920F28DC}"/>
    <cellStyle name="Comma [4] 2 22" xfId="6832" xr:uid="{1CB9B7CD-1E15-446F-AC69-3A25A23FB2F6}"/>
    <cellStyle name="Comma [4] 2 23" xfId="6833" xr:uid="{0FB1AC3B-91E7-4CF2-A7B1-C8F66F662B63}"/>
    <cellStyle name="Comma [4] 2 24" xfId="6834" xr:uid="{F599F095-6859-46F2-9BA1-94B528A7A91E}"/>
    <cellStyle name="Comma [4] 2 25" xfId="6835" xr:uid="{6483E7F7-B66B-4516-A397-9870B2F22A66}"/>
    <cellStyle name="Comma [4] 2 26" xfId="6836" xr:uid="{D5AEADF7-4B1E-4D87-AC7E-1677AF53015E}"/>
    <cellStyle name="Comma [4] 2 27" xfId="6837" xr:uid="{C3EAA59E-10A6-446B-BAF6-DC8170666B16}"/>
    <cellStyle name="Comma [4] 2 3" xfId="6838" xr:uid="{365235A1-8AAF-43EA-8E3B-CC96EE20253C}"/>
    <cellStyle name="Comma [4] 2 3 10" xfId="6839" xr:uid="{5731CD7C-05BD-4578-BD8D-25D52D024B7D}"/>
    <cellStyle name="Comma [4] 2 3 11" xfId="6840" xr:uid="{3696659C-A6A0-48F5-AD05-78A333A895B0}"/>
    <cellStyle name="Comma [4] 2 3 12" xfId="6841" xr:uid="{C5BC9A1E-6A5A-4781-BB71-2743F3452179}"/>
    <cellStyle name="Comma [4] 2 3 13" xfId="6842" xr:uid="{F9FEBBBF-5A16-4CFC-9C21-96BD5FE853B1}"/>
    <cellStyle name="Comma [4] 2 3 14" xfId="6843" xr:uid="{1D0F29FC-366B-4158-83A4-BC1B7FE96559}"/>
    <cellStyle name="Comma [4] 2 3 15" xfId="6844" xr:uid="{5E973390-7937-4F1F-AE1E-0455D1287F6F}"/>
    <cellStyle name="Comma [4] 2 3 16" xfId="6845" xr:uid="{D99550E9-A8D9-4D94-8948-449F79D79910}"/>
    <cellStyle name="Comma [4] 2 3 17" xfId="6846" xr:uid="{A1D32FB7-9BFA-4E2B-8CDF-A9C2264D74A9}"/>
    <cellStyle name="Comma [4] 2 3 18" xfId="6847" xr:uid="{BCD46395-ADD6-4C92-B8F9-AF4F9C18846B}"/>
    <cellStyle name="Comma [4] 2 3 19" xfId="6848" xr:uid="{0630A95C-1C7A-491E-AC3E-AF37F6081ACF}"/>
    <cellStyle name="Comma [4] 2 3 2" xfId="6849" xr:uid="{E1218EBA-69DE-45B3-93F1-1173A48B0F84}"/>
    <cellStyle name="Comma [4] 2 3 20" xfId="6850" xr:uid="{9245F349-80CE-4745-905E-85656A6FB5A0}"/>
    <cellStyle name="Comma [4] 2 3 21" xfId="6851" xr:uid="{DECFCC02-265D-4338-BF04-CEDF1AF892CF}"/>
    <cellStyle name="Comma [4] 2 3 22" xfId="6852" xr:uid="{46A88826-03E4-4277-A7E9-5C585F397E77}"/>
    <cellStyle name="Comma [4] 2 3 23" xfId="6853" xr:uid="{2007660D-86C5-4777-A600-E43C88A16EBD}"/>
    <cellStyle name="Comma [4] 2 3 3" xfId="6854" xr:uid="{FABF77D3-B209-4FA6-A8B6-6AB4A6957604}"/>
    <cellStyle name="Comma [4] 2 3 4" xfId="6855" xr:uid="{5E0D97E9-AD3A-44A2-B7B5-D807AE7A00EA}"/>
    <cellStyle name="Comma [4] 2 3 5" xfId="6856" xr:uid="{7872FE55-D48D-42B4-B901-F2AFC6033413}"/>
    <cellStyle name="Comma [4] 2 3 6" xfId="6857" xr:uid="{537ECF1F-D8A7-4DAF-A2E2-E057FE5B6835}"/>
    <cellStyle name="Comma [4] 2 3 7" xfId="6858" xr:uid="{C8806C45-D44C-45EF-AB35-AD6FC843E068}"/>
    <cellStyle name="Comma [4] 2 3 8" xfId="6859" xr:uid="{8DB0CD59-80B5-4B1A-93C9-9B2433CF1001}"/>
    <cellStyle name="Comma [4] 2 3 9" xfId="6860" xr:uid="{66208DE0-CA6E-4672-ACB1-90A100F044B7}"/>
    <cellStyle name="Comma [4] 2 4" xfId="6861" xr:uid="{2061CBE6-7481-4B79-94B3-76F4E87C998D}"/>
    <cellStyle name="Comma [4] 2 4 10" xfId="6862" xr:uid="{E7C7AC73-102D-4E6B-88E6-4F367C9B5CE2}"/>
    <cellStyle name="Comma [4] 2 4 11" xfId="6863" xr:uid="{C139691B-03D5-4990-89B5-F0A51FD5EC73}"/>
    <cellStyle name="Comma [4] 2 4 12" xfId="6864" xr:uid="{751FAFA7-BA41-43C4-B903-765F511244D3}"/>
    <cellStyle name="Comma [4] 2 4 13" xfId="6865" xr:uid="{D891A63E-0DF0-463A-BA0F-B296B3AD4175}"/>
    <cellStyle name="Comma [4] 2 4 14" xfId="6866" xr:uid="{3CAA8534-E20E-4744-9C35-E26F9155503E}"/>
    <cellStyle name="Comma [4] 2 4 15" xfId="6867" xr:uid="{BBE58BD0-788E-4400-9CD5-83E3DFBB2C0C}"/>
    <cellStyle name="Comma [4] 2 4 16" xfId="6868" xr:uid="{E2AA7F81-8F10-4A96-B0E2-AA6E10E37BD1}"/>
    <cellStyle name="Comma [4] 2 4 17" xfId="6869" xr:uid="{7E73EBF8-7B34-47B2-B855-78A6B4C81873}"/>
    <cellStyle name="Comma [4] 2 4 18" xfId="6870" xr:uid="{CD3C43F8-7C5D-41D8-9FAE-99388540C1C4}"/>
    <cellStyle name="Comma [4] 2 4 19" xfId="6871" xr:uid="{816686AD-D0C9-424A-B1D7-0F24BA72F1A0}"/>
    <cellStyle name="Comma [4] 2 4 2" xfId="6872" xr:uid="{4A457678-88ED-4C6C-8AFA-BE298F19EE1E}"/>
    <cellStyle name="Comma [4] 2 4 20" xfId="6873" xr:uid="{9EA0C554-CD1E-41C4-B185-477502DAC3CD}"/>
    <cellStyle name="Comma [4] 2 4 21" xfId="6874" xr:uid="{3D80D0DC-8260-405C-8086-55D046A0D3ED}"/>
    <cellStyle name="Comma [4] 2 4 22" xfId="6875" xr:uid="{3BE3F224-D386-461F-AC56-16D2DF3E479B}"/>
    <cellStyle name="Comma [4] 2 4 23" xfId="6876" xr:uid="{8FBA9EE3-4594-4B0E-9324-FE6F85E926A0}"/>
    <cellStyle name="Comma [4] 2 4 3" xfId="6877" xr:uid="{FA17E8EA-EC3C-432A-A7C8-2858F89BA3F3}"/>
    <cellStyle name="Comma [4] 2 4 4" xfId="6878" xr:uid="{351228A7-A599-4F1F-AE38-93D792F6F4A3}"/>
    <cellStyle name="Comma [4] 2 4 5" xfId="6879" xr:uid="{3D33F636-8BCD-42D4-A769-50D6C0AA1430}"/>
    <cellStyle name="Comma [4] 2 4 6" xfId="6880" xr:uid="{D2031273-5A32-450B-8C30-566D6CA8A405}"/>
    <cellStyle name="Comma [4] 2 4 7" xfId="6881" xr:uid="{A6C2B4BB-A5AA-4C87-A422-B75B8EA45B79}"/>
    <cellStyle name="Comma [4] 2 4 8" xfId="6882" xr:uid="{60E93FC6-C577-496E-B708-E095F62F40FD}"/>
    <cellStyle name="Comma [4] 2 4 9" xfId="6883" xr:uid="{1C154B16-1D36-406D-B8C6-EBFF348BBC8C}"/>
    <cellStyle name="Comma [4] 2 5" xfId="6884" xr:uid="{7E7672D9-4B88-4770-B60A-015257393C48}"/>
    <cellStyle name="Comma [4] 2 5 10" xfId="6885" xr:uid="{355F8330-B65F-4E1C-BE60-82ACAAC5CCC1}"/>
    <cellStyle name="Comma [4] 2 5 11" xfId="6886" xr:uid="{75C9F949-F837-4EF5-9E04-696AD25F0F1F}"/>
    <cellStyle name="Comma [4] 2 5 12" xfId="6887" xr:uid="{15374213-7540-48D4-BE4A-DE46C8D18914}"/>
    <cellStyle name="Comma [4] 2 5 13" xfId="6888" xr:uid="{FF369DFD-F60E-45B4-AD83-47F953D47C5E}"/>
    <cellStyle name="Comma [4] 2 5 14" xfId="6889" xr:uid="{0919CC82-73C4-4CB9-AA4C-7E640F8AB4DD}"/>
    <cellStyle name="Comma [4] 2 5 15" xfId="6890" xr:uid="{16D881D1-3CA1-4001-8F7C-D469DC3A794E}"/>
    <cellStyle name="Comma [4] 2 5 16" xfId="6891" xr:uid="{F2A580FE-C443-4545-B881-4C3160C40160}"/>
    <cellStyle name="Comma [4] 2 5 17" xfId="6892" xr:uid="{7089A9ED-A652-464D-BB7B-D3CE1E127B24}"/>
    <cellStyle name="Comma [4] 2 5 18" xfId="6893" xr:uid="{F575330A-169A-4129-A33C-D6BB40E6E2F1}"/>
    <cellStyle name="Comma [4] 2 5 19" xfId="6894" xr:uid="{27AA70CA-5D7A-4536-ACBA-689264A1A014}"/>
    <cellStyle name="Comma [4] 2 5 2" xfId="6895" xr:uid="{127D9A0D-B17B-40AF-BFCA-3E7A6DE3D2A3}"/>
    <cellStyle name="Comma [4] 2 5 20" xfId="6896" xr:uid="{5FDA62C3-C729-4184-93D5-FF581DC4E495}"/>
    <cellStyle name="Comma [4] 2 5 21" xfId="6897" xr:uid="{8C39978C-1B35-4235-99D4-987A82B44785}"/>
    <cellStyle name="Comma [4] 2 5 22" xfId="6898" xr:uid="{74633836-A258-47F8-B3A0-0C5434718385}"/>
    <cellStyle name="Comma [4] 2 5 23" xfId="6899" xr:uid="{C5EB6046-6EF5-4B98-A7C2-B46DE42E17BF}"/>
    <cellStyle name="Comma [4] 2 5 3" xfId="6900" xr:uid="{6C2F9512-72CB-4C71-A05F-C6CD18C1B109}"/>
    <cellStyle name="Comma [4] 2 5 4" xfId="6901" xr:uid="{5D299ADE-9627-4094-8D2D-4090104064A5}"/>
    <cellStyle name="Comma [4] 2 5 5" xfId="6902" xr:uid="{A11F1E05-BB25-445C-AD96-D863270B5F22}"/>
    <cellStyle name="Comma [4] 2 5 6" xfId="6903" xr:uid="{562227AC-BDE2-4108-87A6-C53D09B21BF0}"/>
    <cellStyle name="Comma [4] 2 5 7" xfId="6904" xr:uid="{8B6FDC73-BFEA-4258-8027-99FE9471D12B}"/>
    <cellStyle name="Comma [4] 2 5 8" xfId="6905" xr:uid="{3759D80B-CF7F-4BED-AE48-5C549AE83155}"/>
    <cellStyle name="Comma [4] 2 5 9" xfId="6906" xr:uid="{484DC27F-A248-419E-B581-08AAB8DA3DCB}"/>
    <cellStyle name="Comma [4] 2 6" xfId="6907" xr:uid="{015487A2-01FC-4ADF-8B5B-A869FCE9FE8F}"/>
    <cellStyle name="Comma [4] 2 7" xfId="6908" xr:uid="{A276666B-EBB0-4ABA-87C1-42C34B3EE69B}"/>
    <cellStyle name="Comma [4] 2 8" xfId="6909" xr:uid="{2A605585-CA01-4243-9553-C69D0B5B8553}"/>
    <cellStyle name="Comma [4] 2 9" xfId="6910" xr:uid="{C6FEA08C-112A-4D79-8E5E-EAC2F71F769D}"/>
    <cellStyle name="Comma [4] 3" xfId="6911" xr:uid="{88DFB8BC-7946-40F5-B051-14A6A3E50D17}"/>
    <cellStyle name="Comma [4] 3 10" xfId="6912" xr:uid="{FFABD9E5-2D59-48BF-BBA4-AB46A5F1B206}"/>
    <cellStyle name="Comma [4] 3 11" xfId="6913" xr:uid="{B73D3573-9652-4457-95FA-A3A988A93255}"/>
    <cellStyle name="Comma [4] 3 12" xfId="6914" xr:uid="{A2DA31D4-68DF-4173-AD60-E644FB9A3620}"/>
    <cellStyle name="Comma [4] 3 13" xfId="6915" xr:uid="{1B8D4D34-14BD-4F77-B1BB-91942FAACC2D}"/>
    <cellStyle name="Comma [4] 3 14" xfId="6916" xr:uid="{32B74A89-8F4C-41AC-9F5A-4F7CF3B945D4}"/>
    <cellStyle name="Comma [4] 3 15" xfId="6917" xr:uid="{9CA89DF7-914D-4FFD-963F-DD3CA248E6C4}"/>
    <cellStyle name="Comma [4] 3 16" xfId="6918" xr:uid="{E4114472-C140-416C-80D4-CC154E3CA09E}"/>
    <cellStyle name="Comma [4] 3 17" xfId="6919" xr:uid="{88DA08F3-114A-4269-8680-04D3A3B1F07E}"/>
    <cellStyle name="Comma [4] 3 18" xfId="6920" xr:uid="{AB6926F9-2845-4618-9CA3-E115564D9D74}"/>
    <cellStyle name="Comma [4] 3 19" xfId="6921" xr:uid="{AF7E1383-311F-4DEE-9BBE-9CFC1993AA70}"/>
    <cellStyle name="Comma [4] 3 2" xfId="6922" xr:uid="{AE70CF4A-4499-47B5-B5DB-122E10B4B91B}"/>
    <cellStyle name="Comma [4] 3 20" xfId="6923" xr:uid="{A04D1715-8EFD-45A3-8D83-9BC72A732FF4}"/>
    <cellStyle name="Comma [4] 3 21" xfId="6924" xr:uid="{B492BAF5-030D-4C9B-A225-D22E3781B230}"/>
    <cellStyle name="Comma [4] 3 22" xfId="6925" xr:uid="{8E216FAE-BCE8-4FF1-8E0C-A77F858F1BA1}"/>
    <cellStyle name="Comma [4] 3 23" xfId="6926" xr:uid="{E1372642-E6D2-4281-8AC6-9DD880AAD91F}"/>
    <cellStyle name="Comma [4] 3 3" xfId="6927" xr:uid="{61604EB6-C81A-4A7D-809E-CE0163275421}"/>
    <cellStyle name="Comma [4] 3 4" xfId="6928" xr:uid="{906529DE-6ECF-4F24-B044-E5147A2B8D6A}"/>
    <cellStyle name="Comma [4] 3 5" xfId="6929" xr:uid="{9A3762D6-7BB0-4900-8599-995A424AD67F}"/>
    <cellStyle name="Comma [4] 3 6" xfId="6930" xr:uid="{23038471-082C-482A-9550-75CB4B25DAC7}"/>
    <cellStyle name="Comma [4] 3 7" xfId="6931" xr:uid="{F58470C5-7535-4ECD-8CEC-D29D87D8AD34}"/>
    <cellStyle name="Comma [4] 3 8" xfId="6932" xr:uid="{BA17CE41-52AC-4752-89B1-FCFB6FFA842C}"/>
    <cellStyle name="Comma [4] 3 9" xfId="6933" xr:uid="{BC886EA5-19B9-4EE3-863A-2DC0BD244C76}"/>
    <cellStyle name="Comma [4] 4" xfId="6934" xr:uid="{48469420-AA25-4EE9-9B28-468CF634B969}"/>
    <cellStyle name="Comma [4] 4 10" xfId="6935" xr:uid="{FCFF69CB-CF13-4100-913F-E18A8A6C9C8C}"/>
    <cellStyle name="Comma [4] 4 11" xfId="6936" xr:uid="{A129D668-691A-49D1-ADDF-6B4B666BDFD1}"/>
    <cellStyle name="Comma [4] 4 12" xfId="6937" xr:uid="{AC409D8B-8FBE-4856-ABB1-43092483B9A2}"/>
    <cellStyle name="Comma [4] 4 13" xfId="6938" xr:uid="{A2645577-8C84-4554-BC79-B6248118BAD5}"/>
    <cellStyle name="Comma [4] 4 14" xfId="6939" xr:uid="{E71078BB-5C32-4EB0-AB22-CFA86F52E58E}"/>
    <cellStyle name="Comma [4] 4 15" xfId="6940" xr:uid="{71FF01AF-767B-4FDF-AA15-20274EC0085E}"/>
    <cellStyle name="Comma [4] 4 16" xfId="6941" xr:uid="{6DFE24B0-087A-45E8-ADD7-25E97A80EFBD}"/>
    <cellStyle name="Comma [4] 4 17" xfId="6942" xr:uid="{E5B25D69-9DD2-492F-968C-39EC452761A3}"/>
    <cellStyle name="Comma [4] 4 18" xfId="6943" xr:uid="{01B9E14B-359F-4964-8529-8A7E89B1E91A}"/>
    <cellStyle name="Comma [4] 4 19" xfId="6944" xr:uid="{3838090D-A62C-4B8B-B62D-1673ACA25BE0}"/>
    <cellStyle name="Comma [4] 4 2" xfId="6945" xr:uid="{D21CCBBD-9E8B-4D00-B1BD-787B6B83E93A}"/>
    <cellStyle name="Comma [4] 4 20" xfId="6946" xr:uid="{AD92EE3A-6A13-468F-B0DF-30B9286D17BB}"/>
    <cellStyle name="Comma [4] 4 21" xfId="6947" xr:uid="{7FFA3C28-0542-4F10-BFBB-131E6D60D0FC}"/>
    <cellStyle name="Comma [4] 4 22" xfId="6948" xr:uid="{6D2F044F-50E1-450F-8E40-B10AE6D902F6}"/>
    <cellStyle name="Comma [4] 4 23" xfId="6949" xr:uid="{0B38BABC-A606-4863-86E7-6EC0EF517F3A}"/>
    <cellStyle name="Comma [4] 4 3" xfId="6950" xr:uid="{6B60BE73-F898-4099-8123-4741DA311167}"/>
    <cellStyle name="Comma [4] 4 4" xfId="6951" xr:uid="{BD1275FE-7F85-4F20-A5D0-EA5054E2245D}"/>
    <cellStyle name="Comma [4] 4 5" xfId="6952" xr:uid="{9C6583DB-BE2E-4D18-A2A2-8922B12FED9B}"/>
    <cellStyle name="Comma [4] 4 6" xfId="6953" xr:uid="{E681CCCD-7F7E-4056-9CB4-FF97E7CEB5B1}"/>
    <cellStyle name="Comma [4] 4 7" xfId="6954" xr:uid="{E76A4B10-0C2E-4612-8AD5-40A12D217877}"/>
    <cellStyle name="Comma [4] 4 8" xfId="6955" xr:uid="{0742F092-FB42-4C79-B5F8-BB152D6DD3EA}"/>
    <cellStyle name="Comma [4] 4 9" xfId="6956" xr:uid="{7749760A-D96B-48FD-8E7F-234E7692EE1A}"/>
    <cellStyle name="Comma [4] 5" xfId="6957" xr:uid="{FC035507-71A5-4288-84F6-C307A90E15EA}"/>
    <cellStyle name="Comma [4] 5 10" xfId="6958" xr:uid="{0ED02799-9705-4B19-8766-618C3F5073A7}"/>
    <cellStyle name="Comma [4] 5 11" xfId="6959" xr:uid="{B2D8E974-2FB5-490F-AF93-F88E8E17F8F6}"/>
    <cellStyle name="Comma [4] 5 12" xfId="6960" xr:uid="{FFDBB254-BD5B-4D94-8FBF-5E3B9EC4973B}"/>
    <cellStyle name="Comma [4] 5 13" xfId="6961" xr:uid="{710F4B8B-0AF4-45D9-9A70-B7AAEE8758E8}"/>
    <cellStyle name="Comma [4] 5 14" xfId="6962" xr:uid="{AD977FDA-32F8-4506-9477-F9A21BEC957B}"/>
    <cellStyle name="Comma [4] 5 15" xfId="6963" xr:uid="{86013551-5B48-40A0-8E94-259774500229}"/>
    <cellStyle name="Comma [4] 5 16" xfId="6964" xr:uid="{4955358A-FD67-44F0-8543-33F1BC935801}"/>
    <cellStyle name="Comma [4] 5 17" xfId="6965" xr:uid="{33ECA393-9DF9-450D-AC04-3D2D54E77A01}"/>
    <cellStyle name="Comma [4] 5 18" xfId="6966" xr:uid="{D7CC5579-D6D3-4483-B75E-DADEDA544CCA}"/>
    <cellStyle name="Comma [4] 5 19" xfId="6967" xr:uid="{57A7EABC-F078-4FAF-A7EA-582436F079DA}"/>
    <cellStyle name="Comma [4] 5 2" xfId="6968" xr:uid="{648DA2EF-732B-4084-AC5E-618CD870DD0E}"/>
    <cellStyle name="Comma [4] 5 20" xfId="6969" xr:uid="{9FF0EAC1-EC80-42C4-8FA9-5475DC1BBFFB}"/>
    <cellStyle name="Comma [4] 5 21" xfId="6970" xr:uid="{0A0C3F1D-9D8F-4FF5-88F1-FFE54FA71155}"/>
    <cellStyle name="Comma [4] 5 22" xfId="6971" xr:uid="{386FE0C0-2041-4BEB-8988-F079E1A20A85}"/>
    <cellStyle name="Comma [4] 5 23" xfId="6972" xr:uid="{12B4CE1F-5297-4493-83A6-1E43B90BCDEE}"/>
    <cellStyle name="Comma [4] 5 3" xfId="6973" xr:uid="{26ECF0BF-35E5-4184-A801-86413B9ADFB3}"/>
    <cellStyle name="Comma [4] 5 4" xfId="6974" xr:uid="{33B69D76-D42A-40EB-BE2E-641AD373D6F1}"/>
    <cellStyle name="Comma [4] 5 5" xfId="6975" xr:uid="{733DA035-333D-4CD5-B684-FA5D301CED0D}"/>
    <cellStyle name="Comma [4] 5 6" xfId="6976" xr:uid="{62F28E7F-7F5E-4595-BB3C-D107169299C4}"/>
    <cellStyle name="Comma [4] 5 7" xfId="6977" xr:uid="{219FDF3A-887B-43A1-A963-CAF89E5A0D7F}"/>
    <cellStyle name="Comma [4] 5 8" xfId="6978" xr:uid="{62A6EAF8-12E0-4DA7-A809-2C2E15611935}"/>
    <cellStyle name="Comma [4] 5 9" xfId="6979" xr:uid="{6ECF1511-F97B-4CCB-97DA-3E1FCC97967C}"/>
    <cellStyle name="Comma [4] 6" xfId="6980" xr:uid="{525BC746-9A62-46B4-8BE7-51C56730CA15}"/>
    <cellStyle name="Comma [4] 6 10" xfId="6981" xr:uid="{6537E379-239A-4B67-8A8D-CF70A7542DD2}"/>
    <cellStyle name="Comma [4] 6 11" xfId="6982" xr:uid="{7ABEF3CA-A0A7-48A5-BD18-AA57AE18B69D}"/>
    <cellStyle name="Comma [4] 6 12" xfId="6983" xr:uid="{522BDBB4-4A04-4403-A649-3F952891E62B}"/>
    <cellStyle name="Comma [4] 6 13" xfId="6984" xr:uid="{78713677-108E-448D-9679-A3F5853B0EE2}"/>
    <cellStyle name="Comma [4] 6 14" xfId="6985" xr:uid="{F990AF72-4C43-413D-9078-970CC06D6A98}"/>
    <cellStyle name="Comma [4] 6 15" xfId="6986" xr:uid="{74966A7B-3285-4A63-83BA-323CB98FEC68}"/>
    <cellStyle name="Comma [4] 6 16" xfId="6987" xr:uid="{B84169C5-45BD-4DC4-9A44-B20208A02315}"/>
    <cellStyle name="Comma [4] 6 17" xfId="6988" xr:uid="{E6C327F6-FDB4-45CE-BC02-3F903E2DB64D}"/>
    <cellStyle name="Comma [4] 6 18" xfId="6989" xr:uid="{BA70A4DC-7961-4264-8D65-D85E7E23F0DA}"/>
    <cellStyle name="Comma [4] 6 19" xfId="6990" xr:uid="{5CD8B056-75D0-4ECC-A07C-353646AC97BB}"/>
    <cellStyle name="Comma [4] 6 2" xfId="6991" xr:uid="{345BE17D-423D-4AD3-BC07-7DC123B013FA}"/>
    <cellStyle name="Comma [4] 6 20" xfId="6992" xr:uid="{D9919803-07B4-4A2A-96CD-509E6A2916CC}"/>
    <cellStyle name="Comma [4] 6 21" xfId="6993" xr:uid="{5C5560D5-6899-48D9-8E70-B0BB07F35436}"/>
    <cellStyle name="Comma [4] 6 22" xfId="6994" xr:uid="{D4A7F01B-DD04-4F14-8488-07691CAB0DAB}"/>
    <cellStyle name="Comma [4] 6 23" xfId="6995" xr:uid="{9C936744-0EE9-4D66-853C-EB84B15E69F0}"/>
    <cellStyle name="Comma [4] 6 3" xfId="6996" xr:uid="{32994135-8810-4FF4-9A65-D5F973EDDA04}"/>
    <cellStyle name="Comma [4] 6 4" xfId="6997" xr:uid="{D25B4B34-7565-477E-807A-84C921A8F1D7}"/>
    <cellStyle name="Comma [4] 6 5" xfId="6998" xr:uid="{B7D8FBC3-8F22-4263-A4F6-C34C531AC51B}"/>
    <cellStyle name="Comma [4] 6 6" xfId="6999" xr:uid="{61AFC1D8-9898-4499-A7E9-D35ED1BB4628}"/>
    <cellStyle name="Comma [4] 6 7" xfId="7000" xr:uid="{A1E51075-49A7-4760-9192-CA66C959163A}"/>
    <cellStyle name="Comma [4] 6 8" xfId="7001" xr:uid="{EA792F89-9CE7-4A0E-90C1-83DE01165E9A}"/>
    <cellStyle name="Comma [4] 6 9" xfId="7002" xr:uid="{9A51E837-3A5D-465B-BB18-2CF3BE2AD7ED}"/>
    <cellStyle name="Comma [4] 7" xfId="7003" xr:uid="{054C0173-E110-4307-8257-94F0C6904884}"/>
    <cellStyle name="Comma [4] 7 10" xfId="7004" xr:uid="{1F4A680C-4848-4C36-A5A1-502990C50C58}"/>
    <cellStyle name="Comma [4] 7 11" xfId="7005" xr:uid="{9521E0CA-6ABD-4B8D-9EB6-8499DCA91165}"/>
    <cellStyle name="Comma [4] 7 12" xfId="7006" xr:uid="{EA593935-00C5-46C5-9538-3CE47189D85C}"/>
    <cellStyle name="Comma [4] 7 13" xfId="7007" xr:uid="{EB24CB71-BAD0-4FF3-B0A6-A904DE446697}"/>
    <cellStyle name="Comma [4] 7 14" xfId="7008" xr:uid="{A98FD2AC-5EDE-447A-ACFE-F85A5FD80D68}"/>
    <cellStyle name="Comma [4] 7 15" xfId="7009" xr:uid="{1700F733-09A8-454E-B8FF-41B6BEE9BF4E}"/>
    <cellStyle name="Comma [4] 7 16" xfId="7010" xr:uid="{CACDC9A2-88DF-4DF5-8A89-14B11926AEAC}"/>
    <cellStyle name="Comma [4] 7 17" xfId="7011" xr:uid="{CA6AA515-17A5-453F-B23D-0C140792E5AE}"/>
    <cellStyle name="Comma [4] 7 18" xfId="7012" xr:uid="{DBE18D42-3A9F-4151-A138-F204F4C79A07}"/>
    <cellStyle name="Comma [4] 7 19" xfId="7013" xr:uid="{0FBCF0BE-B65A-484A-95E4-2A855BC34256}"/>
    <cellStyle name="Comma [4] 7 2" xfId="7014" xr:uid="{E3750C5F-D063-441F-A06B-ED4C4E09B225}"/>
    <cellStyle name="Comma [4] 7 20" xfId="7015" xr:uid="{E0A78C4D-E546-48CF-9A3D-38DDDB3A486C}"/>
    <cellStyle name="Comma [4] 7 21" xfId="7016" xr:uid="{D7484D70-9A8D-474A-AB57-F1257EB53098}"/>
    <cellStyle name="Comma [4] 7 22" xfId="7017" xr:uid="{60A41EBA-EB51-4F52-B518-036AB810CC0F}"/>
    <cellStyle name="Comma [4] 7 23" xfId="7018" xr:uid="{503F7EDF-9BF6-4CB1-8E63-EC460FA86FAB}"/>
    <cellStyle name="Comma [4] 7 3" xfId="7019" xr:uid="{2371A471-9059-4BE2-BF23-7E2356B3F90C}"/>
    <cellStyle name="Comma [4] 7 4" xfId="7020" xr:uid="{8B7E0848-DD0F-4846-8972-154132346B73}"/>
    <cellStyle name="Comma [4] 7 5" xfId="7021" xr:uid="{649F2704-3F23-43E2-A70A-365D08AD0085}"/>
    <cellStyle name="Comma [4] 7 6" xfId="7022" xr:uid="{543C3B99-D47C-4DF8-8AA7-14FFFB939663}"/>
    <cellStyle name="Comma [4] 7 7" xfId="7023" xr:uid="{D86AA6E5-B53E-4C95-A1AD-8DB96C9A27CE}"/>
    <cellStyle name="Comma [4] 7 8" xfId="7024" xr:uid="{DA24AF5A-4604-4B19-B86A-F3F6AD39CC20}"/>
    <cellStyle name="Comma [4] 7 9" xfId="7025" xr:uid="{085DEE0E-A781-4187-9B90-638A1D093392}"/>
    <cellStyle name="Comma [4] 8" xfId="7026" xr:uid="{FC5DB6BF-18B0-4CCA-AE79-5B275CF701D6}"/>
    <cellStyle name="Comma [4] 8 10" xfId="7027" xr:uid="{F5D3CEE2-73ED-4B42-9239-AFCF746462FD}"/>
    <cellStyle name="Comma [4] 8 11" xfId="7028" xr:uid="{CC8E95CD-189D-4498-8CF4-BBDDBCE5FB60}"/>
    <cellStyle name="Comma [4] 8 12" xfId="7029" xr:uid="{59356438-26AC-4E6E-AA55-6B3D873669C5}"/>
    <cellStyle name="Comma [4] 8 13" xfId="7030" xr:uid="{E60F0AF2-7FD2-42EA-BF3B-1D39AC533DE9}"/>
    <cellStyle name="Comma [4] 8 14" xfId="7031" xr:uid="{E12E3906-1B26-4DA7-8B5B-B23138346940}"/>
    <cellStyle name="Comma [4] 8 15" xfId="7032" xr:uid="{B323607E-1576-4944-9EB7-A02D22F55026}"/>
    <cellStyle name="Comma [4] 8 16" xfId="7033" xr:uid="{595F1D3F-DB70-428C-A409-82F405573D98}"/>
    <cellStyle name="Comma [4] 8 17" xfId="7034" xr:uid="{D999E03B-1037-471F-B5D1-0286256B1BD6}"/>
    <cellStyle name="Comma [4] 8 18" xfId="7035" xr:uid="{38572605-59E7-4624-8BD8-AE28CAC0925F}"/>
    <cellStyle name="Comma [4] 8 19" xfId="7036" xr:uid="{0225BF49-8B32-4EBD-8AF1-AB1B579E408D}"/>
    <cellStyle name="Comma [4] 8 2" xfId="7037" xr:uid="{A0550569-EFDC-4221-B440-B0A4894BA060}"/>
    <cellStyle name="Comma [4] 8 20" xfId="7038" xr:uid="{4C0897ED-ED91-4513-AC6D-160A718775A9}"/>
    <cellStyle name="Comma [4] 8 21" xfId="7039" xr:uid="{887EB5ED-4111-4C42-9A85-9D76694E7345}"/>
    <cellStyle name="Comma [4] 8 22" xfId="7040" xr:uid="{92FA0CA4-113D-4532-B61D-ADC46B1E18E0}"/>
    <cellStyle name="Comma [4] 8 23" xfId="7041" xr:uid="{2F4F71F7-201B-4E89-96AB-A5CE51725E01}"/>
    <cellStyle name="Comma [4] 8 3" xfId="7042" xr:uid="{71CE9A2C-CF3C-41F7-B4A1-C682A4F726F8}"/>
    <cellStyle name="Comma [4] 8 4" xfId="7043" xr:uid="{B3798367-E0EA-4116-93F3-59509D1BE837}"/>
    <cellStyle name="Comma [4] 8 5" xfId="7044" xr:uid="{CA72D195-9197-429F-B6D0-8AC446D19EF6}"/>
    <cellStyle name="Comma [4] 8 6" xfId="7045" xr:uid="{0C1B3B1B-CB1F-420C-9F94-C4F6CF6C456F}"/>
    <cellStyle name="Comma [4] 8 7" xfId="7046" xr:uid="{3A7C158C-C198-4FB7-84C8-009A869BF21B}"/>
    <cellStyle name="Comma [4] 8 8" xfId="7047" xr:uid="{749355B4-AC82-490B-B97A-1E61DC885034}"/>
    <cellStyle name="Comma [4] 8 9" xfId="7048" xr:uid="{F66C6777-6A86-4CCC-98DF-83F5B4DAF707}"/>
    <cellStyle name="Comma [4] 9" xfId="7049" xr:uid="{A77289D0-832A-4126-8463-BC018702ACB7}"/>
    <cellStyle name="Comma [4] 9 10" xfId="7050" xr:uid="{AC5B3957-64EB-4D4C-B964-54DEA27851DA}"/>
    <cellStyle name="Comma [4] 9 11" xfId="7051" xr:uid="{577BB69E-287F-49CA-B6E8-959DE8B04472}"/>
    <cellStyle name="Comma [4] 9 12" xfId="7052" xr:uid="{B6E3F680-2D2A-4B81-A6EA-1366D08340C1}"/>
    <cellStyle name="Comma [4] 9 13" xfId="7053" xr:uid="{07ECEE7F-2282-46B7-AD56-A026463C632E}"/>
    <cellStyle name="Comma [4] 9 14" xfId="7054" xr:uid="{5BFA25D8-00DA-4A87-AE9E-4D5436379713}"/>
    <cellStyle name="Comma [4] 9 15" xfId="7055" xr:uid="{B0683941-963D-4396-BB55-E2FCFF45E865}"/>
    <cellStyle name="Comma [4] 9 16" xfId="7056" xr:uid="{D1C76205-0DEB-425E-AD4A-74F71056D16A}"/>
    <cellStyle name="Comma [4] 9 17" xfId="7057" xr:uid="{F387062F-EE75-4423-B9F1-7B8F2B6BC24C}"/>
    <cellStyle name="Comma [4] 9 18" xfId="7058" xr:uid="{B166D197-D783-4431-AD7E-1ECBC96DA9ED}"/>
    <cellStyle name="Comma [4] 9 19" xfId="7059" xr:uid="{327A76F2-D8DE-4269-9F65-EBB5CD78642A}"/>
    <cellStyle name="Comma [4] 9 2" xfId="7060" xr:uid="{59B692EA-83D5-4A82-AA1E-C8D1EB2F66DE}"/>
    <cellStyle name="Comma [4] 9 20" xfId="7061" xr:uid="{DCABBD0A-C906-48D0-93CC-85341CD4BEAC}"/>
    <cellStyle name="Comma [4] 9 21" xfId="7062" xr:uid="{9B50B8DB-63E6-40E5-B427-2D57A172FE31}"/>
    <cellStyle name="Comma [4] 9 22" xfId="7063" xr:uid="{3EFD7EAC-FF4E-4D3B-94B0-511CBB27027C}"/>
    <cellStyle name="Comma [4] 9 23" xfId="7064" xr:uid="{6082D73C-1FB1-4FEC-A03A-2A7F4A309138}"/>
    <cellStyle name="Comma [4] 9 3" xfId="7065" xr:uid="{7BC5C5FB-EA75-4076-88B2-F3F4A1BD137D}"/>
    <cellStyle name="Comma [4] 9 4" xfId="7066" xr:uid="{EC75BE08-E85E-44A4-B7E5-8D83CFEE7817}"/>
    <cellStyle name="Comma [4] 9 5" xfId="7067" xr:uid="{35796508-2DED-43DB-9FEB-380D059EA9B6}"/>
    <cellStyle name="Comma [4] 9 6" xfId="7068" xr:uid="{E562739C-D5C1-4654-A4EB-06D68D6DEE4B}"/>
    <cellStyle name="Comma [4] 9 7" xfId="7069" xr:uid="{617C25EE-D692-4B68-8153-ECBAE7D3FCCD}"/>
    <cellStyle name="Comma [4] 9 8" xfId="7070" xr:uid="{46095B1E-121C-45EC-A098-22C95561A176}"/>
    <cellStyle name="Comma [4] 9 9" xfId="7071" xr:uid="{17014F4E-D967-4CB5-8757-A88AE384EEBF}"/>
    <cellStyle name="Comma 10" xfId="311" xr:uid="{508EE36D-4FB6-42C5-BC56-F263AED96AAC}"/>
    <cellStyle name="Comma 10 10" xfId="7072" xr:uid="{B7FCEA06-6E1C-4C92-9205-B66582C31850}"/>
    <cellStyle name="Comma 10 10 2" xfId="157" xr:uid="{872D9DD5-D62D-4115-AB0C-CE045DF114CC}"/>
    <cellStyle name="Comma 10 11" xfId="8" xr:uid="{00000000-0005-0000-0000-000000000000}"/>
    <cellStyle name="Comma 10 12" xfId="40534" xr:uid="{EFAA3362-055B-483B-A361-04E72198F921}"/>
    <cellStyle name="Comma 10 2" xfId="7073" xr:uid="{1CEE2524-2034-4D26-9FBC-42A80ED12E56}"/>
    <cellStyle name="Comma 10 2 2" xfId="7074" xr:uid="{19D8F39E-7567-4E75-AF13-CAC322E770D8}"/>
    <cellStyle name="Comma 10 2 2 2" xfId="7075" xr:uid="{4EE1217B-DFA2-45EB-80E5-08D24AC0B6AF}"/>
    <cellStyle name="Comma 10 2 2 2 2" xfId="40535" xr:uid="{EC3479B9-C9AF-4723-94D9-78A983DD544F}"/>
    <cellStyle name="Comma 10 2 2 3" xfId="40536" xr:uid="{3AEFD950-28A5-4898-AB2B-A9A8E9C82AFA}"/>
    <cellStyle name="Comma 10 2 2 4" xfId="40537" xr:uid="{6108873E-4C12-4CBC-840B-F17A8DF5A374}"/>
    <cellStyle name="Comma 10 2 3" xfId="7076" xr:uid="{C0380EF8-3F5D-4A78-A0C2-4DC87C9694ED}"/>
    <cellStyle name="Comma 10 2 4" xfId="7077" xr:uid="{5E0F7D6A-593C-476E-84F6-E521ABB23D11}"/>
    <cellStyle name="Comma 10 2 4 2" xfId="40538" xr:uid="{3759DACC-9FDB-4B10-8B83-B3C275674DC1}"/>
    <cellStyle name="Comma 10 2 5" xfId="40539" xr:uid="{1C49A281-C513-4365-9D65-071E30414422}"/>
    <cellStyle name="Comma 10 3" xfId="7078" xr:uid="{C0D58053-D6FE-46F9-8543-9C9D3139F615}"/>
    <cellStyle name="Comma 10 3 2" xfId="7079" xr:uid="{4EF409EF-FD07-4D20-955F-78579AE69712}"/>
    <cellStyle name="Comma 10 3 2 2" xfId="7080" xr:uid="{FD421BBE-7C9E-4422-ACC7-008CC3C674BE}"/>
    <cellStyle name="Comma 10 3 3" xfId="7081" xr:uid="{331E86DB-9B1B-4660-992B-C06429E437EB}"/>
    <cellStyle name="Comma 10 3 3 2" xfId="7082" xr:uid="{CA175920-3279-4856-B412-01BF45B05D8F}"/>
    <cellStyle name="Comma 10 3 3 3" xfId="7083" xr:uid="{CEC92EE1-AE17-4042-A165-0CB42F94BF7A}"/>
    <cellStyle name="Comma 10 3 4" xfId="7084" xr:uid="{47DB67C7-D2C5-45AC-B761-C959427BA356}"/>
    <cellStyle name="Comma 10 3 4 2" xfId="7085" xr:uid="{0C039DFE-00A0-4F1C-85D2-3ACC0F551ADD}"/>
    <cellStyle name="Comma 10 3 4 3" xfId="7086" xr:uid="{B4EEA49E-9721-4E79-93C6-5D64B2D5D33B}"/>
    <cellStyle name="Comma 10 3 5" xfId="7087" xr:uid="{A2E0BB0E-4D60-4531-AE1F-94A090F0322A}"/>
    <cellStyle name="Comma 10 4" xfId="7088" xr:uid="{A853CF2D-2400-45B5-B428-D8EC916FF305}"/>
    <cellStyle name="Comma 10 4 2" xfId="7089" xr:uid="{01382C7C-5683-4A13-8861-4D696613A8FB}"/>
    <cellStyle name="Comma 10 4 2 2" xfId="7090" xr:uid="{90C338E9-2912-4597-87B0-0866C20735A0}"/>
    <cellStyle name="Comma 10 4 2 3" xfId="7091" xr:uid="{ECF03722-E3DF-4971-A0BC-25E9C308A1BA}"/>
    <cellStyle name="Comma 10 4 2 4" xfId="40540" xr:uid="{42D9E481-DB3A-4438-B5E3-A4528E76C6B2}"/>
    <cellStyle name="Comma 10 4 3" xfId="7092" xr:uid="{144EBEEA-D021-404A-8A91-7F7B3EAB363B}"/>
    <cellStyle name="Comma 10 4 3 2" xfId="7093" xr:uid="{C432A5A4-DCFB-4A2A-9818-061AC28A9FAD}"/>
    <cellStyle name="Comma 10 4 4" xfId="7094" xr:uid="{2095A1B4-EA94-4E09-A923-548B379818E3}"/>
    <cellStyle name="Comma 10 4 5" xfId="40541" xr:uid="{AAF81D87-D856-4E74-95F5-759AD7D284E3}"/>
    <cellStyle name="Comma 10 5" xfId="7095" xr:uid="{D41BFD59-2253-4B7B-8DA3-69439FA2CBD6}"/>
    <cellStyle name="Comma 10 6" xfId="7096" xr:uid="{CE7516EE-B3B4-49F3-8EF8-A6FC046F9247}"/>
    <cellStyle name="Comma 10 6 2" xfId="40542" xr:uid="{168E2DE8-E06F-4F27-BF6A-E556685C61C8}"/>
    <cellStyle name="Comma 10 7" xfId="7097" xr:uid="{82E9B55D-033A-4CAB-A566-3036A5D4DA54}"/>
    <cellStyle name="Comma 10 8" xfId="7098" xr:uid="{37B86294-1E74-4A1F-8600-DFB022177DB1}"/>
    <cellStyle name="Comma 10 9" xfId="7099" xr:uid="{A656A4E4-F468-45B0-A82D-325E16411267}"/>
    <cellStyle name="Comma 100" xfId="7100" xr:uid="{42BA5894-A88A-4C1E-9C84-28BCCF74EACB}"/>
    <cellStyle name="Comma 100 2" xfId="7101" xr:uid="{8EB86F95-595D-4337-819C-EC129D1BC576}"/>
    <cellStyle name="Comma 100 2 2" xfId="40543" xr:uid="{2AEC0D8F-7133-4E26-9110-5574FEFBA3D6}"/>
    <cellStyle name="Comma 100 3" xfId="7102" xr:uid="{5A2CB6F6-B7A5-4938-85A4-A55FCD99D8A6}"/>
    <cellStyle name="Comma 100 3 2" xfId="40544" xr:uid="{7C9F9C8E-1818-4B31-B0BE-5B6EBE101139}"/>
    <cellStyle name="Comma 100 4" xfId="7103" xr:uid="{C6BCC93D-D698-4421-AC4E-CDD8FDF4EE01}"/>
    <cellStyle name="Comma 100 5" xfId="40545" xr:uid="{E38576C7-27B2-4913-A7BC-E8425D98EE3E}"/>
    <cellStyle name="Comma 101" xfId="7104" xr:uid="{42EA0597-CA72-4578-900C-8076DEDEBE90}"/>
    <cellStyle name="Comma 101 2" xfId="7105" xr:uid="{3B3206E5-68B1-4C61-889A-8C5F2CF32EC0}"/>
    <cellStyle name="Comma 101 2 2" xfId="40546" xr:uid="{964107D6-8D2D-40DF-8BA7-17DC7E5BD36D}"/>
    <cellStyle name="Comma 101 3" xfId="7106" xr:uid="{9750906F-82A4-4F09-B44B-6AEA09768D1E}"/>
    <cellStyle name="Comma 101 3 2" xfId="40547" xr:uid="{6B44C43D-EB8C-46D8-B088-331C185C011E}"/>
    <cellStyle name="Comma 101 4" xfId="7107" xr:uid="{31A2AA62-D040-4984-8DAD-69006FEB6456}"/>
    <cellStyle name="Comma 101 5" xfId="40548" xr:uid="{BBEF4B45-D625-4DC7-B764-219B2E9D702E}"/>
    <cellStyle name="Comma 102" xfId="7108" xr:uid="{7351209B-BA49-4B5D-9222-139F7905A5D7}"/>
    <cellStyle name="Comma 102 2" xfId="7109" xr:uid="{1BD34641-783F-4869-8DB2-69EB3EF9BEA8}"/>
    <cellStyle name="Comma 102 2 2" xfId="40549" xr:uid="{9B9BB4F3-94DD-4302-8D09-31BB6DA972B6}"/>
    <cellStyle name="Comma 102 3" xfId="7110" xr:uid="{C221B99C-AB6E-4C94-9AA0-3E11B8263AEE}"/>
    <cellStyle name="Comma 102 3 2" xfId="40550" xr:uid="{3AF4A62A-8B55-45D7-89EF-FF8B3AA4AF7C}"/>
    <cellStyle name="Comma 102 4" xfId="7111" xr:uid="{DD90FF6F-9415-4DE8-8D17-3657B8C59805}"/>
    <cellStyle name="Comma 102 5" xfId="40551" xr:uid="{8B016A0C-3722-4EC2-8D10-DF3E30D432A7}"/>
    <cellStyle name="Comma 103" xfId="7112" xr:uid="{59DB55EB-543E-4CA3-AB30-E5A3314C26A5}"/>
    <cellStyle name="Comma 103 2" xfId="7113" xr:uid="{488B0721-B682-454E-A242-42B1E85CA083}"/>
    <cellStyle name="Comma 103 2 2" xfId="40552" xr:uid="{4EAAAD45-C2C9-4D06-8E2C-71650AA940AF}"/>
    <cellStyle name="Comma 103 3" xfId="7114" xr:uid="{FDFC7943-B39E-43AD-A30F-D322F97BF72E}"/>
    <cellStyle name="Comma 103 3 2" xfId="40553" xr:uid="{565BD6D2-7ED7-4046-830C-186083F10B31}"/>
    <cellStyle name="Comma 103 4" xfId="7115" xr:uid="{31BC3FF5-832E-4D56-8665-51DF460175AF}"/>
    <cellStyle name="Comma 103 5" xfId="40554" xr:uid="{54761B5B-BB1A-491B-8DDA-0D01676DDABB}"/>
    <cellStyle name="Comma 104" xfId="7116" xr:uid="{82BE3A39-298B-4169-81F9-4CF972950CA4}"/>
    <cellStyle name="Comma 104 2" xfId="7117" xr:uid="{D763416A-CF9F-4D4B-98B8-BA0167942FDF}"/>
    <cellStyle name="Comma 104 2 2" xfId="40555" xr:uid="{4570007A-1C45-4AF9-B756-4FF8BDAA87DA}"/>
    <cellStyle name="Comma 104 3" xfId="7118" xr:uid="{ADFBDBB2-8BEC-4758-B2CE-5512700895C9}"/>
    <cellStyle name="Comma 104 3 2" xfId="40556" xr:uid="{7DD65877-AD4F-47DC-8C3F-8D68ABCF544C}"/>
    <cellStyle name="Comma 104 4" xfId="7119" xr:uid="{ACFB5F76-1E8F-45BD-9BB8-19CE76575059}"/>
    <cellStyle name="Comma 104 5" xfId="40557" xr:uid="{C1F1454F-CF43-48D3-AC1B-D9B45C0A161C}"/>
    <cellStyle name="Comma 105" xfId="7120" xr:uid="{2D801BC1-0106-4F3D-BD2F-39583D24A926}"/>
    <cellStyle name="Comma 105 2" xfId="7121" xr:uid="{50FFA4D4-2325-4057-8262-059D616BA559}"/>
    <cellStyle name="Comma 105 2 2" xfId="40558" xr:uid="{E9D86E9F-F148-48DB-B1F3-634993A38B2B}"/>
    <cellStyle name="Comma 105 3" xfId="7122" xr:uid="{E68AD815-33F4-49CF-8C48-92D8B0597C31}"/>
    <cellStyle name="Comma 105 3 2" xfId="40559" xr:uid="{FDF27EA3-5FB0-4439-BB52-610950AF2F5B}"/>
    <cellStyle name="Comma 105 4" xfId="7123" xr:uid="{779AC81B-A06B-44ED-935F-A108EC08C1BE}"/>
    <cellStyle name="Comma 105 5" xfId="40560" xr:uid="{9886BECD-CE09-453B-96F2-4DEE0070B9BF}"/>
    <cellStyle name="Comma 106" xfId="7124" xr:uid="{EFD34499-EFF1-44A1-8D32-A6058CEF4024}"/>
    <cellStyle name="Comma 106 2" xfId="7125" xr:uid="{381E958C-F696-4913-AC34-A83FC4E6B715}"/>
    <cellStyle name="Comma 106 2 2" xfId="40561" xr:uid="{E1E43A60-EF69-4CBB-AB70-B2C2119DC953}"/>
    <cellStyle name="Comma 106 3" xfId="7126" xr:uid="{2AD47993-7C99-4B61-AB76-15A4242A10C6}"/>
    <cellStyle name="Comma 106 3 2" xfId="40562" xr:uid="{4C3E8589-C409-49D8-92F0-710C0F8C8549}"/>
    <cellStyle name="Comma 106 4" xfId="7127" xr:uid="{2391334F-A786-484D-8090-09EAF0B9578E}"/>
    <cellStyle name="Comma 106 5" xfId="40563" xr:uid="{E62F4F71-ACAC-4A89-8F50-F1E39B0CF1EA}"/>
    <cellStyle name="Comma 107" xfId="7128" xr:uid="{1E1737DD-F28A-4FC9-85F0-C5369DE568C5}"/>
    <cellStyle name="Comma 107 2" xfId="7129" xr:uid="{501014CE-F736-4BAD-9857-A558FA005BFB}"/>
    <cellStyle name="Comma 107 2 2" xfId="40564" xr:uid="{045EC364-EBA0-4D2C-A525-C2FE5ABB2A69}"/>
    <cellStyle name="Comma 107 2 3" xfId="40565" xr:uid="{098B4783-C0DF-4149-8299-72B2EE5B1144}"/>
    <cellStyle name="Comma 107 3" xfId="7130" xr:uid="{6E1D8C8C-9B7D-428D-BFFA-92211C2C7B38}"/>
    <cellStyle name="Comma 107 3 2" xfId="40566" xr:uid="{9CC12280-1CBE-4B07-94EF-A3C90A5A8692}"/>
    <cellStyle name="Comma 107 4" xfId="7131" xr:uid="{F2F624E5-FDED-43BF-B72C-6424F9277A8B}"/>
    <cellStyle name="Comma 108" xfId="7132" xr:uid="{86EE6A98-402D-4E4E-8FF0-9B809A86BD8B}"/>
    <cellStyle name="Comma 108 2" xfId="7133" xr:uid="{B669A3F7-3454-48EB-BCEB-D7D142A3144A}"/>
    <cellStyle name="Comma 108 2 2" xfId="40567" xr:uid="{EBCCFBF9-F920-4611-82FA-889F79E4E2AF}"/>
    <cellStyle name="Comma 108 2 3" xfId="40568" xr:uid="{32D6FD49-E8F5-498F-B395-D7BD0260C840}"/>
    <cellStyle name="Comma 108 3" xfId="7134" xr:uid="{D9E6FA27-DB19-4AAD-8A46-13902A4A1344}"/>
    <cellStyle name="Comma 108 3 2" xfId="40569" xr:uid="{8CEE45CF-8DAF-4D0E-8F9E-CE90552A1BDD}"/>
    <cellStyle name="Comma 108 4" xfId="7135" xr:uid="{42D78DB8-6735-4C2C-9A84-465E4E874A36}"/>
    <cellStyle name="Comma 109" xfId="7136" xr:uid="{1E0B2EAE-2195-4D92-8CBD-73913DE820F5}"/>
    <cellStyle name="Comma 109 2" xfId="7137" xr:uid="{60C65279-7E11-4550-A773-E81E7EF8B960}"/>
    <cellStyle name="Comma 109 2 2" xfId="40570" xr:uid="{03B09E8B-6859-45D5-BC9F-6AC7778C96C6}"/>
    <cellStyle name="Comma 109 2 3" xfId="40571" xr:uid="{3935F4F0-FE75-4A48-9525-8646D8AC5A53}"/>
    <cellStyle name="Comma 109 3" xfId="7138" xr:uid="{6D820B7F-549C-4B67-9DD8-524AB48DD08F}"/>
    <cellStyle name="Comma 109 3 2" xfId="40572" xr:uid="{CF112748-BAE0-458F-B132-CB0AA151BCC4}"/>
    <cellStyle name="Comma 109 4" xfId="7139" xr:uid="{85C77EF0-7125-4CBF-88CE-DD58192F2221}"/>
    <cellStyle name="Comma 11" xfId="313" xr:uid="{15433B8F-79CB-4419-AE7D-47DB68D01C6D}"/>
    <cellStyle name="Comma 11 2" xfId="7140" xr:uid="{1AC5AB8E-73BA-4905-9614-999234A1759B}"/>
    <cellStyle name="Comma 11 2 2" xfId="7141" xr:uid="{E1D47189-9C79-41FC-A062-5B8A8A9C1783}"/>
    <cellStyle name="Comma 11 2 2 2" xfId="7142" xr:uid="{AABA253A-DF4F-4C6D-ABC7-415F8B47CC48}"/>
    <cellStyle name="Comma 11 2 2 3" xfId="40573" xr:uid="{BB1EC7B4-110E-4902-B9BA-8E4984622B3D}"/>
    <cellStyle name="Comma 11 2 3" xfId="7143" xr:uid="{D686AE3C-A971-4C03-A075-3BE8316CF3EA}"/>
    <cellStyle name="Comma 11 2 3 2" xfId="7144" xr:uid="{32C9B35E-3419-48BF-96A5-9C1FFDC4B5C9}"/>
    <cellStyle name="Comma 11 2 3 3" xfId="7145" xr:uid="{05106EAC-2C7E-466A-A00D-7308A54CC37A}"/>
    <cellStyle name="Comma 11 2 4" xfId="7146" xr:uid="{01BE9534-58E1-41F3-B6A0-7D7B93706664}"/>
    <cellStyle name="Comma 11 2 4 2" xfId="7147" xr:uid="{44A6062F-E1A1-4266-A08E-00BA769CE2D8}"/>
    <cellStyle name="Comma 11 2 4 3" xfId="7148" xr:uid="{7C7089BF-B5BF-4FA7-B71A-FCD380766A55}"/>
    <cellStyle name="Comma 11 2 5" xfId="7149" xr:uid="{E10874AB-A055-46E1-BF37-9C47AE324D84}"/>
    <cellStyle name="Comma 11 2 6" xfId="40574" xr:uid="{F2C70B84-B618-466F-AC10-F5D24377B0B9}"/>
    <cellStyle name="Comma 11 3" xfId="7150" xr:uid="{94AADA19-2D10-43F8-A334-85F62C6F0C4B}"/>
    <cellStyle name="Comma 11 3 2" xfId="7151" xr:uid="{436E37E6-E929-4F5D-B157-F73DB3088451}"/>
    <cellStyle name="Comma 11 3 3" xfId="7152" xr:uid="{13000891-3890-4011-9801-E9F3849710CC}"/>
    <cellStyle name="Comma 11 3 4" xfId="7153" xr:uid="{F467A31F-6069-4563-A71B-9EE8D7ACC137}"/>
    <cellStyle name="Comma 11 4" xfId="7154" xr:uid="{0CF0A61F-D216-4B3B-9333-7C3187B97719}"/>
    <cellStyle name="Comma 11 4 2" xfId="40575" xr:uid="{BC499430-3F1C-4333-B060-4837B97ABAA3}"/>
    <cellStyle name="Comma 11 5" xfId="18" xr:uid="{00000000-0005-0000-0000-000001000000}"/>
    <cellStyle name="Comma 11 5 2" xfId="7156" xr:uid="{15B8B411-9E87-4969-A1DF-7EBB05B25A79}"/>
    <cellStyle name="Comma 11 5 2 2" xfId="7157" xr:uid="{39DFCE47-C4DE-4F58-9785-E92CDCE3A5F5}"/>
    <cellStyle name="Comma 11 5 2 3" xfId="7158" xr:uid="{56BBCA81-4061-48C2-AFEF-59465968EC5C}"/>
    <cellStyle name="Comma 11 5 3" xfId="7159" xr:uid="{8FD0BEDA-F191-460E-84A4-5D806B646298}"/>
    <cellStyle name="Comma 11 5 4" xfId="7160" xr:uid="{0695873F-3C5F-441E-A825-7ACE61D6D243}"/>
    <cellStyle name="Comma 11 5 5" xfId="7161" xr:uid="{E943DD4F-2A0E-47FF-861A-B489D1986008}"/>
    <cellStyle name="Comma 11 5 6" xfId="43613" xr:uid="{4B58809B-FAFA-4E0B-AF94-D47800FB3381}"/>
    <cellStyle name="Comma 11 5 7" xfId="7155" xr:uid="{FEE2C28C-0E5F-4845-8199-CE14E5222718}"/>
    <cellStyle name="Comma 11 6" xfId="7162" xr:uid="{A2DD004B-154C-4D94-9D8A-A41B43E88867}"/>
    <cellStyle name="Comma 11 7" xfId="7163" xr:uid="{261601EB-83AD-4916-8D82-0A19221EFFD8}"/>
    <cellStyle name="Comma 110" xfId="7164" xr:uid="{907CAC2C-1FE4-4A84-9C8F-A0A0D3CED2DF}"/>
    <cellStyle name="Comma 110 2" xfId="7165" xr:uid="{7BAC89BC-3AC3-4B9C-9BDD-EADEC96245C3}"/>
    <cellStyle name="Comma 110 2 2" xfId="40576" xr:uid="{E5A55858-C90C-44FB-83F6-D9244A983321}"/>
    <cellStyle name="Comma 110 3" xfId="7166" xr:uid="{06FA3C04-6E70-4433-9762-1B689460DE55}"/>
    <cellStyle name="Comma 110 3 2" xfId="40577" xr:uid="{EAD27344-81C2-4B91-96DF-97E3731841D0}"/>
    <cellStyle name="Comma 110 4" xfId="7167" xr:uid="{A6BBA5FA-05B4-4B1A-A04E-B5C6A37DCAC5}"/>
    <cellStyle name="Comma 110 5" xfId="40578" xr:uid="{F5AEAFE1-37EF-41E3-82AF-C7CF92A59A11}"/>
    <cellStyle name="Comma 111" xfId="7168" xr:uid="{8570BBDF-9E1D-42B5-87D6-CB44B080F6C6}"/>
    <cellStyle name="Comma 111 2" xfId="7169" xr:uid="{7F9B1C6A-6B5F-4016-A222-7ACF63E23A7F}"/>
    <cellStyle name="Comma 111 2 2" xfId="40579" xr:uid="{AD6648B6-BCCB-4D4A-B195-3CC0DC186577}"/>
    <cellStyle name="Comma 111 3" xfId="7170" xr:uid="{F104DA30-A055-4948-A08F-3A2959AAD1CF}"/>
    <cellStyle name="Comma 111 3 2" xfId="40580" xr:uid="{9C6339DA-7F23-411B-93A5-AD0119A9437C}"/>
    <cellStyle name="Comma 111 4" xfId="40581" xr:uid="{A33EC88D-AAA8-4B50-AE79-0B9EC161E85E}"/>
    <cellStyle name="Comma 112" xfId="7171" xr:uid="{98F39F5E-C74D-4EBF-BED7-9FEE58758B2D}"/>
    <cellStyle name="Comma 112 2" xfId="7172" xr:uid="{77B9D664-1A78-43D1-BE87-4D49F2B69F0A}"/>
    <cellStyle name="Comma 112 2 2" xfId="40582" xr:uid="{A63979FB-2D6F-4050-8D67-0238D633254A}"/>
    <cellStyle name="Comma 112 3" xfId="7173" xr:uid="{0634AA9F-0F00-49B5-A55A-2643ED0BAB71}"/>
    <cellStyle name="Comma 112 3 2" xfId="40583" xr:uid="{E5F4777E-2CB0-40D6-94A3-6A9F6F8AE368}"/>
    <cellStyle name="Comma 112 4" xfId="40584" xr:uid="{8F0255A5-7AE6-4172-8530-CC327E11E927}"/>
    <cellStyle name="Comma 113" xfId="7174" xr:uid="{6577002A-64BE-499D-859F-DD9800202B48}"/>
    <cellStyle name="Comma 113 2" xfId="7175" xr:uid="{8D56EBF2-3868-4580-A0B8-07F30AE901D0}"/>
    <cellStyle name="Comma 113 2 2" xfId="40585" xr:uid="{C2CE74B5-3E73-4668-A1FF-549CA05EF7E3}"/>
    <cellStyle name="Comma 113 3" xfId="7176" xr:uid="{C1E11CAE-C250-4C51-90B6-1207619ADCD8}"/>
    <cellStyle name="Comma 113 3 2" xfId="40586" xr:uid="{B5A27F7F-797A-4A49-A78F-6899B6D0DDD5}"/>
    <cellStyle name="Comma 113 4" xfId="40587" xr:uid="{5C3742E8-1D26-44C2-8A34-4029A1EF5565}"/>
    <cellStyle name="Comma 114" xfId="7177" xr:uid="{E004D7B6-4790-4331-97A2-04E0754F3C59}"/>
    <cellStyle name="Comma 114 2" xfId="7178" xr:uid="{27A90E93-E57A-4EDC-A52A-4DE54462D34E}"/>
    <cellStyle name="Comma 114 2 2" xfId="40588" xr:uid="{9412E358-1785-41FA-B9AA-05EB5F673A00}"/>
    <cellStyle name="Comma 114 3" xfId="7179" xr:uid="{B7C04C53-F91E-4836-9F1E-AF4F2CF6CB01}"/>
    <cellStyle name="Comma 114 3 2" xfId="40589" xr:uid="{8A26955A-2C40-4547-906D-B6A79D122CEE}"/>
    <cellStyle name="Comma 114 4" xfId="40590" xr:uid="{7AB0E83F-5120-456B-9692-00973C9D9316}"/>
    <cellStyle name="Comma 115" xfId="7180" xr:uid="{7154437D-D285-476B-9663-92D94BAB1873}"/>
    <cellStyle name="Comma 115 2" xfId="7181" xr:uid="{0043BDE8-3CF9-4D38-9B78-EC59AF234890}"/>
    <cellStyle name="Comma 115 2 2" xfId="40591" xr:uid="{95B74319-81E7-47E7-A7F6-15DD2EA3F5A6}"/>
    <cellStyle name="Comma 115 3" xfId="7182" xr:uid="{C1D4D7BF-1D1F-4CC9-8A54-1F4FFBD7D214}"/>
    <cellStyle name="Comma 115 3 2" xfId="40592" xr:uid="{7F11D707-49AE-4082-A77E-774351FB985A}"/>
    <cellStyle name="Comma 115 4" xfId="40593" xr:uid="{B9717EF3-3D48-41C0-814C-5C8D3AEC5153}"/>
    <cellStyle name="Comma 116" xfId="7183" xr:uid="{2383104D-AEFC-4C29-BACF-98120648CBF1}"/>
    <cellStyle name="Comma 116 2" xfId="7184" xr:uid="{337CEE93-249F-4679-9ADA-A681F7F3ECC9}"/>
    <cellStyle name="Comma 116 2 2" xfId="40594" xr:uid="{62DA28A5-C61D-4CCE-A673-19ABD4987F7D}"/>
    <cellStyle name="Comma 116 3" xfId="7185" xr:uid="{11BBF038-97C0-4A3F-A088-DE9AE88E0043}"/>
    <cellStyle name="Comma 116 3 2" xfId="40595" xr:uid="{5697554F-CB01-48C7-AD97-AC795F6C0616}"/>
    <cellStyle name="Comma 116 4" xfId="40596" xr:uid="{99A7C4F4-B7C3-467E-94D1-1CC18D5D095C}"/>
    <cellStyle name="Comma 117" xfId="7186" xr:uid="{25792CE5-1EA3-4AA0-A212-7B824EF2492C}"/>
    <cellStyle name="Comma 117 2" xfId="7187" xr:uid="{6B0A816B-34FC-4F64-AC62-A2E053111320}"/>
    <cellStyle name="Comma 117 2 2" xfId="40597" xr:uid="{2A4EB6DE-447E-48B0-A4A7-E871CB241BEC}"/>
    <cellStyle name="Comma 117 3" xfId="7188" xr:uid="{711BC982-E000-42BE-B69D-0F54FAB4EF2F}"/>
    <cellStyle name="Comma 117 3 2" xfId="40598" xr:uid="{60025715-944B-478A-BB44-189384864EF8}"/>
    <cellStyle name="Comma 117 4" xfId="40599" xr:uid="{6A1098C2-8A08-4CF6-BEC2-4C4BEE559D9C}"/>
    <cellStyle name="Comma 118" xfId="7189" xr:uid="{0073AE47-7BB6-4FF3-8050-C61122F6ABD1}"/>
    <cellStyle name="Comma 118 2" xfId="7190" xr:uid="{CB9AA47E-CA3A-4C45-A95F-B30F98D58504}"/>
    <cellStyle name="Comma 118 2 2" xfId="40600" xr:uid="{2AB64BF6-954D-4EFB-B06D-F53610F46B6B}"/>
    <cellStyle name="Comma 118 3" xfId="7191" xr:uid="{AF19A689-5F4B-4966-B1FA-20C4A76FB40F}"/>
    <cellStyle name="Comma 118 3 2" xfId="40601" xr:uid="{74BC4D06-465B-405B-BC80-A7FAA316083A}"/>
    <cellStyle name="Comma 118 4" xfId="40602" xr:uid="{B7D8F8CA-5F8B-4830-8165-5E8525DC9899}"/>
    <cellStyle name="Comma 119" xfId="7192" xr:uid="{17F5820E-FEF2-4F47-B7FC-B21570D9E60C}"/>
    <cellStyle name="Comma 119 2" xfId="7193" xr:uid="{45E3691F-ECD1-415F-B8D2-3C20DE3384A6}"/>
    <cellStyle name="Comma 119 3" xfId="40603" xr:uid="{2F202674-225E-4ED8-87CF-34244C0748B1}"/>
    <cellStyle name="Comma 12" xfId="7194" xr:uid="{86024EBB-2FCE-4C6D-8CE2-3C9065CA5406}"/>
    <cellStyle name="Comma 12 10" xfId="7195" xr:uid="{B08961DD-54E1-46D7-AAC7-2CAB3F97FCAF}"/>
    <cellStyle name="Comma 12 11" xfId="7196" xr:uid="{79D9B043-D158-4E57-82E0-BFD93568BF35}"/>
    <cellStyle name="Comma 12 12" xfId="7197" xr:uid="{A9BF4B96-2222-4F9A-B8E2-56B24AE00AAF}"/>
    <cellStyle name="Comma 12 13" xfId="7198" xr:uid="{F3F64C71-EDF4-4B9E-8BAC-F1BD31D7FB29}"/>
    <cellStyle name="Comma 12 14" xfId="7199" xr:uid="{A0E2A14E-E090-4A47-92A7-1C26EB9B6FAC}"/>
    <cellStyle name="Comma 12 15" xfId="7200" xr:uid="{5E878C94-F949-4B78-A409-1ED32B22A3E4}"/>
    <cellStyle name="Comma 12 16" xfId="7201" xr:uid="{FAE4715F-DA71-40BC-A85E-CBB4B8D09C59}"/>
    <cellStyle name="Comma 12 17" xfId="7202" xr:uid="{0BC667F6-E0CF-4B3C-B18A-7093ED062267}"/>
    <cellStyle name="Comma 12 18" xfId="7203" xr:uid="{EB225031-82B8-4BB7-B662-0F11FC690E08}"/>
    <cellStyle name="Comma 12 2" xfId="7204" xr:uid="{D35579E3-6E4B-4692-B567-9A7D1EA09329}"/>
    <cellStyle name="Comma 12 2 2" xfId="7205" xr:uid="{F60E1436-15DB-4E50-9479-2FA86A714687}"/>
    <cellStyle name="Comma 12 2 2 2" xfId="7206" xr:uid="{5FFF149F-F98C-4F84-943B-7EB577B4BD06}"/>
    <cellStyle name="Comma 12 2 3" xfId="7207" xr:uid="{F7210780-3857-4C38-8505-16C5D901D1F2}"/>
    <cellStyle name="Comma 12 2 3 2" xfId="7208" xr:uid="{D6CD47E4-555A-4DD9-A9AB-2CBAB7869356}"/>
    <cellStyle name="Comma 12 2 3 3" xfId="7209" xr:uid="{38E853F0-2CA5-43D9-931F-CC7122FC870A}"/>
    <cellStyle name="Comma 12 2 3 4" xfId="7210" xr:uid="{E2577211-25F9-45C1-A05E-1760ADE010AA}"/>
    <cellStyle name="Comma 12 2 4" xfId="7211" xr:uid="{43EB71DF-B795-482C-9E62-130C68C350AE}"/>
    <cellStyle name="Comma 12 2 4 2" xfId="7212" xr:uid="{B5FFC875-D707-489D-A0C2-5B47DA88899E}"/>
    <cellStyle name="Comma 12 2 4 3" xfId="7213" xr:uid="{1F84F3E8-46EC-45DD-8EBF-EE7B16A8FEAF}"/>
    <cellStyle name="Comma 12 2 5" xfId="7214" xr:uid="{C97F418D-D4E9-4D50-9C91-C99F823A1981}"/>
    <cellStyle name="Comma 12 3" xfId="37" xr:uid="{793204FC-3948-4602-94EC-98AD7FF36119}"/>
    <cellStyle name="Comma 12 3 2" xfId="7216" xr:uid="{E2399E26-61DB-40DC-840D-45DF99D737F6}"/>
    <cellStyle name="Comma 12 3 3" xfId="45" xr:uid="{08107E8A-72FB-4847-8156-800256E9A81A}"/>
    <cellStyle name="Comma 12 3 3 2" xfId="43631" xr:uid="{C9C02DFA-D5EE-475F-A0DC-4AD5623B0323}"/>
    <cellStyle name="Comma 12 3 4" xfId="43623" xr:uid="{5C18EDF7-D200-4737-ACE8-7B3078486BFF}"/>
    <cellStyle name="Comma 12 3 5" xfId="7215" xr:uid="{ED68B9EA-6A96-40E4-AFB1-8579C673AC9E}"/>
    <cellStyle name="Comma 12 4" xfId="7217" xr:uid="{2CCF3B5A-FBC2-415B-833B-498BB64684DA}"/>
    <cellStyle name="Comma 12 4 2" xfId="7218" xr:uid="{E310E024-CC10-4A2A-801A-500BB1ABD4AA}"/>
    <cellStyle name="Comma 12 4 2 2" xfId="40604" xr:uid="{DA5C80B7-A789-4ABC-92E1-FF81B489F66F}"/>
    <cellStyle name="Comma 12 4 3" xfId="40605" xr:uid="{5030A526-D6AD-499E-BA20-D0E81CE6B34B}"/>
    <cellStyle name="Comma 12 5" xfId="7219" xr:uid="{9C91D108-E1A1-4674-ADB2-EC9E95DBD82F}"/>
    <cellStyle name="Comma 12 5 2" xfId="7220" xr:uid="{D130E8B0-61DC-455F-BE02-328169F355C9}"/>
    <cellStyle name="Comma 12 5 2 2" xfId="7221" xr:uid="{E3591B3F-4E25-40C8-8E9F-E7F039AD8131}"/>
    <cellStyle name="Comma 12 5 2 3" xfId="7222" xr:uid="{8E881B4C-FD28-4384-A4E1-CEEE8B9164D2}"/>
    <cellStyle name="Comma 12 5 3" xfId="7223" xr:uid="{5D0C3F9D-603E-4FDE-8FDE-DE0097A63EBA}"/>
    <cellStyle name="Comma 12 5 4" xfId="7224" xr:uid="{BDB5C411-9921-43FF-9F85-B949F85F1ED1}"/>
    <cellStyle name="Comma 12 5 5" xfId="7225" xr:uid="{10CF6524-545D-4192-AB8C-2C5687DE381D}"/>
    <cellStyle name="Comma 12 6" xfId="7226" xr:uid="{3EF778B7-4CE3-4E62-AE1D-9618515DFC2C}"/>
    <cellStyle name="Comma 12 6 2" xfId="40606" xr:uid="{18ED9BF1-CC37-4FC2-BC98-954E7CCE5896}"/>
    <cellStyle name="Comma 12 7" xfId="7227" xr:uid="{DBCD8535-0585-4632-B81E-9D6108C9D878}"/>
    <cellStyle name="Comma 12 8" xfId="7228" xr:uid="{89FDF72A-70D8-4A21-A642-9F06B1B71AC3}"/>
    <cellStyle name="Comma 12 9" xfId="7229" xr:uid="{496C8E83-AB2C-49B7-81D0-80489C90F1B8}"/>
    <cellStyle name="Comma 120" xfId="7230" xr:uid="{3C6AF660-1D27-47E1-80F1-0B9B7AA6EBCC}"/>
    <cellStyle name="Comma 120 2" xfId="7231" xr:uid="{0C2CE0D9-9AA5-4F78-83DC-20EAAC08CB53}"/>
    <cellStyle name="Comma 120 3" xfId="40607" xr:uid="{1B1A054B-EB5A-481F-83D0-D6DB45344F49}"/>
    <cellStyle name="Comma 121" xfId="7232" xr:uid="{76E1528A-3FF7-49BF-BDA7-19E5DBDB5091}"/>
    <cellStyle name="Comma 121 2" xfId="7233" xr:uid="{E5AC13AB-E337-4FD1-AD7A-BA22656B3D85}"/>
    <cellStyle name="Comma 122" xfId="7234" xr:uid="{247721E7-C8A6-458D-8122-DBF753DC86CB}"/>
    <cellStyle name="Comma 122 2" xfId="7235" xr:uid="{4319F4EB-E88F-4D7A-AB34-75F8A6D73DA7}"/>
    <cellStyle name="Comma 123" xfId="7236" xr:uid="{304A169E-EF34-46CF-9D8D-7CE65D8388AE}"/>
    <cellStyle name="Comma 123 2" xfId="7237" xr:uid="{1FCFA01B-BC8D-4C04-B120-7CFD61B13C02}"/>
    <cellStyle name="Comma 124" xfId="7238" xr:uid="{F212BDB6-CE14-4BBB-9F29-AD049D7CF5B9}"/>
    <cellStyle name="Comma 124 2" xfId="7239" xr:uid="{4AEB83D6-54B8-47E9-B2FC-7FA16DE1A334}"/>
    <cellStyle name="Comma 125" xfId="7240" xr:uid="{C5507594-EEC2-4497-B98C-883C5272AE20}"/>
    <cellStyle name="Comma 125 2" xfId="7241" xr:uid="{D7E73528-1E14-4179-BF24-B6B6104D1582}"/>
    <cellStyle name="Comma 126" xfId="7242" xr:uid="{1BA0D558-CFDA-4B1D-B946-F92E3D9D9789}"/>
    <cellStyle name="Comma 126 2" xfId="7243" xr:uid="{13F6CEBB-79DB-4795-874C-F51E569E6909}"/>
    <cellStyle name="Comma 127" xfId="7244" xr:uid="{06AE06E0-C1F1-4DD8-8BC5-93647A76D4F9}"/>
    <cellStyle name="Comma 127 2" xfId="7245" xr:uid="{9155F682-75E5-4170-9E8D-D65C893DB640}"/>
    <cellStyle name="Comma 128" xfId="7246" xr:uid="{DD19A639-9B34-47D4-9467-9C1242CA88F0}"/>
    <cellStyle name="Comma 128 2" xfId="7247" xr:uid="{0052F684-095C-4E9C-96D4-563682B1EC8A}"/>
    <cellStyle name="Comma 128 3" xfId="33030" xr:uid="{697996C3-475E-4300-B436-D4327585CFE8}"/>
    <cellStyle name="Comma 129" xfId="7248" xr:uid="{5C7FEBE1-03CB-4F86-9720-3A6914433928}"/>
    <cellStyle name="Comma 129 2" xfId="7249" xr:uid="{465CE569-0575-4F5C-BCE8-4B65FF2A226F}"/>
    <cellStyle name="Comma 129 3" xfId="40608" xr:uid="{277E859B-7732-4D53-AE40-9436626EEF1C}"/>
    <cellStyle name="Comma 13" xfId="143" xr:uid="{93391D93-C156-44D1-8940-46A6DABCF3C8}"/>
    <cellStyle name="Comma 13 2" xfId="39" xr:uid="{5CEED328-A282-48CB-8341-E0C6B014E7B0}"/>
    <cellStyle name="Comma 13 2 2" xfId="7250" xr:uid="{45ED19EB-37EA-4B70-B82D-57CF053EAE1A}"/>
    <cellStyle name="Comma 13 2 3" xfId="7251" xr:uid="{94A9EA17-5E05-4596-A98F-21BDEFF297F0}"/>
    <cellStyle name="Comma 13 2 4" xfId="7252" xr:uid="{9DEBDE68-DA62-4FE7-948C-871ED32BE1CE}"/>
    <cellStyle name="Comma 13 2 5" xfId="7253" xr:uid="{BE52A152-5287-40FA-BC46-2248FFA94C94}"/>
    <cellStyle name="Comma 13 2 6" xfId="43625" xr:uid="{8F799519-6D82-48F2-BB92-31A92FE8EDDB}"/>
    <cellStyle name="Comma 13 2 7" xfId="217" xr:uid="{132FE6C7-A0A7-46C4-89BE-1F908AFA760A}"/>
    <cellStyle name="Comma 13 3" xfId="7254" xr:uid="{952AFE80-E9A6-460F-B0F2-F4859CC47712}"/>
    <cellStyle name="Comma 13 3 2" xfId="7255" xr:uid="{C74EC2E3-15CD-4715-9608-1473784A9FFF}"/>
    <cellStyle name="Comma 13 3 3" xfId="7256" xr:uid="{145AB55F-FA05-4F40-8814-21E8CB5E9721}"/>
    <cellStyle name="Comma 13 3 4" xfId="7257" xr:uid="{C018E138-7A25-4FF5-9E77-0E1E3E357221}"/>
    <cellStyle name="Comma 13 4" xfId="7258" xr:uid="{80C83746-15D2-4F28-BC72-04394D23C995}"/>
    <cellStyle name="Comma 13 4 2" xfId="7259" xr:uid="{67693BE7-44CC-4253-BC63-18450593A80A}"/>
    <cellStyle name="Comma 13 4 2 2" xfId="40609" xr:uid="{F481B9AA-F7F6-4501-92AC-6D2E435C5AF0}"/>
    <cellStyle name="Comma 13 4 3" xfId="40610" xr:uid="{87C0D0F5-3280-4AC0-BC5A-EB6F03F1FC97}"/>
    <cellStyle name="Comma 13 5" xfId="7260" xr:uid="{20DE11A1-D1F0-4C33-B840-936F0C78956C}"/>
    <cellStyle name="Comma 13 5 2" xfId="7261" xr:uid="{A51AF51A-D8E9-4E51-AFBA-FC04A8FAFC86}"/>
    <cellStyle name="Comma 13 5 3" xfId="40611" xr:uid="{5937EA4D-D1B9-4FF4-AB3C-3CF37BF62901}"/>
    <cellStyle name="Comma 13 6" xfId="7262" xr:uid="{641A72E1-52A3-494B-9B90-3763899C6C71}"/>
    <cellStyle name="Comma 130" xfId="7263" xr:uid="{E0A61FC9-48F5-4B90-9E63-0835263923CC}"/>
    <cellStyle name="Comma 130 2" xfId="7264" xr:uid="{FA27F4B9-ABA0-4F3F-B872-C420C594C651}"/>
    <cellStyle name="Comma 131" xfId="7265" xr:uid="{981BB665-DFF5-4E27-8E34-5827DD42340C}"/>
    <cellStyle name="Comma 131 2" xfId="7266" xr:uid="{18472CB7-ED43-4128-9F93-42AEE684FC89}"/>
    <cellStyle name="Comma 132" xfId="7267" xr:uid="{21B29B16-E65E-4327-8324-885020A7E7B0}"/>
    <cellStyle name="Comma 132 2" xfId="7268" xr:uid="{397F2F73-FD6F-4ABD-9E4C-BDBBF379F947}"/>
    <cellStyle name="Comma 133" xfId="7269" xr:uid="{C4B12310-A516-49D7-9136-AE309ADBA288}"/>
    <cellStyle name="Comma 133 2" xfId="7270" xr:uid="{5DE9ADC1-8267-444F-A6B6-FFD6896794AB}"/>
    <cellStyle name="Comma 134" xfId="7271" xr:uid="{C4F4D6DC-566D-4C12-9BD9-236477729AF4}"/>
    <cellStyle name="Comma 134 2" xfId="7272" xr:uid="{9D1A79DC-153F-4371-9DEC-F094EECB7F5E}"/>
    <cellStyle name="Comma 135" xfId="7273" xr:uid="{1180082A-76D9-43C4-A41A-C7FAB8BC466D}"/>
    <cellStyle name="Comma 135 2" xfId="7274" xr:uid="{5EA9EFCB-2755-4DBD-9662-C608DF437735}"/>
    <cellStyle name="Comma 136" xfId="7275" xr:uid="{C0662A2D-CD68-44D9-A1A5-160E899DD38A}"/>
    <cellStyle name="Comma 136 2" xfId="7276" xr:uid="{BEBF2D65-7709-4049-84AA-B80F056A8F39}"/>
    <cellStyle name="Comma 136 3" xfId="7277" xr:uid="{F2C15983-06CC-4B17-9B53-B76272DC47AC}"/>
    <cellStyle name="Comma 137" xfId="7278" xr:uid="{5553774A-B157-4293-AA09-0210C1C4A14D}"/>
    <cellStyle name="Comma 137 2" xfId="7279" xr:uid="{8FA8503E-48E3-4E6C-A33A-0525FBC0CECB}"/>
    <cellStyle name="Comma 137 3" xfId="7280" xr:uid="{70994CAD-8C6A-4A0F-9775-E2BF2172B56B}"/>
    <cellStyle name="Comma 138" xfId="7281" xr:uid="{BB80613E-F559-42C2-B2AF-9D7C620BE402}"/>
    <cellStyle name="Comma 138 2" xfId="7282" xr:uid="{C862532A-F2A5-458E-857F-B01E1F6B5F14}"/>
    <cellStyle name="Comma 138 3" xfId="7283" xr:uid="{29E009D5-40BE-4570-906E-669E84A3CF9D}"/>
    <cellStyle name="Comma 139" xfId="7284" xr:uid="{DB80C1E4-CAED-47CE-A326-805203CB899D}"/>
    <cellStyle name="Comma 139 2" xfId="7285" xr:uid="{EF0D26E0-793E-4469-9F2B-FAEF80A9257D}"/>
    <cellStyle name="Comma 139 3" xfId="7286" xr:uid="{BEA987E9-48BA-4B0D-ADD1-8A7ADA06FCF5}"/>
    <cellStyle name="Comma 14" xfId="7287" xr:uid="{4E6BF886-80C8-4796-A10D-B26A52B7DECA}"/>
    <cellStyle name="Comma 14 10" xfId="7288" xr:uid="{373307E2-FFC4-4ACC-8FB1-A56B32DFE79C}"/>
    <cellStyle name="Comma 14 11" xfId="7289" xr:uid="{577E23DE-BD97-4672-B19C-0360B6DA4756}"/>
    <cellStyle name="Comma 14 12" xfId="7290" xr:uid="{47A95A31-CA12-4D31-8C6B-AE72949D399A}"/>
    <cellStyle name="Comma 14 13" xfId="7291" xr:uid="{54A601F3-1503-48B3-B4C8-F9CC7DEE843D}"/>
    <cellStyle name="Comma 14 14" xfId="7292" xr:uid="{3B6F58C4-F624-4132-A411-AA2A025949DF}"/>
    <cellStyle name="Comma 14 15" xfId="7293" xr:uid="{0E9DC739-F955-4D2C-8AF5-96D9B4F8E50E}"/>
    <cellStyle name="Comma 14 16" xfId="7294" xr:uid="{90D2C764-9C70-43AC-9379-C159C710472B}"/>
    <cellStyle name="Comma 14 17" xfId="7295" xr:uid="{D8D7F810-396F-4C37-BA50-89CE9DFA13FE}"/>
    <cellStyle name="Comma 14 18" xfId="7296" xr:uid="{4BA566B0-68F4-4D80-BC95-E5DB3C645C29}"/>
    <cellStyle name="Comma 14 2" xfId="7297" xr:uid="{526B0823-6981-4F8B-8A4E-693C78CDB2EC}"/>
    <cellStyle name="Comma 14 2 2" xfId="7298" xr:uid="{44D701EA-2D5B-4EA7-ADCF-2DC6D6BCEA5B}"/>
    <cellStyle name="Comma 14 2 2 2" xfId="40612" xr:uid="{395D234F-23E0-4FAE-908D-F1A1D3B56ABE}"/>
    <cellStyle name="Comma 14 2 3" xfId="7299" xr:uid="{79BFCA67-CC7B-4C77-A1A4-6C6AB6D8746A}"/>
    <cellStyle name="Comma 14 2 4" xfId="7300" xr:uid="{81B709D9-A096-42C1-AA34-974D85D07104}"/>
    <cellStyle name="Comma 14 2 5" xfId="7301" xr:uid="{A6AEA4B0-8294-4FC0-98E4-F4358B7BF29F}"/>
    <cellStyle name="Comma 14 3" xfId="7302" xr:uid="{46AAAD37-625B-4616-B0AC-078920308CD8}"/>
    <cellStyle name="Comma 14 3 2" xfId="7303" xr:uid="{3D6C3068-D616-4A3C-8C41-2530AF53D9BE}"/>
    <cellStyle name="Comma 14 3 3" xfId="7304" xr:uid="{1AD3005E-2BC4-47A8-9470-3DFEDE96BFBA}"/>
    <cellStyle name="Comma 14 3 4" xfId="7305" xr:uid="{5D7E8E26-EBA3-4728-9D0C-CAA10879C877}"/>
    <cellStyle name="Comma 14 4" xfId="7306" xr:uid="{9319D448-064A-4CAD-9F84-D5857D0CA316}"/>
    <cellStyle name="Comma 14 4 2" xfId="40613" xr:uid="{563A7AE4-FF92-4E5F-9332-1FA83DB3A2BC}"/>
    <cellStyle name="Comma 14 5" xfId="7307" xr:uid="{9B5ABAA9-F6B6-411D-BDF0-060084D01F52}"/>
    <cellStyle name="Comma 14 6" xfId="7308" xr:uid="{67E03718-3A55-454E-8E64-5DF42F308EDA}"/>
    <cellStyle name="Comma 14 7" xfId="7309" xr:uid="{D7F6839C-75B9-4B7A-8687-B0026462FE7E}"/>
    <cellStyle name="Comma 14 8" xfId="7310" xr:uid="{5CB7710E-5C98-4E05-B57C-341841472BE7}"/>
    <cellStyle name="Comma 14 9" xfId="7311" xr:uid="{B90F6E6A-5E0B-4938-BEFC-6E54160772FF}"/>
    <cellStyle name="Comma 140" xfId="7312" xr:uid="{0BEFF363-3D45-47E5-9211-9C5A8C30043E}"/>
    <cellStyle name="Comma 140 2" xfId="7313" xr:uid="{9527014A-A96C-4B12-AEC0-36047CB11F31}"/>
    <cellStyle name="Comma 140 2 2" xfId="7314" xr:uid="{4A332EFD-A453-49C3-8FB7-C8E409DFB661}"/>
    <cellStyle name="Comma 140 2 2 2" xfId="7315" xr:uid="{746A6A05-3CEA-4C80-9719-6C91E301511F}"/>
    <cellStyle name="Comma 140 2 2 2 2" xfId="7316" xr:uid="{CA26B46E-F330-4A84-9112-089CAE5EBCFC}"/>
    <cellStyle name="Comma 140 2 2 2 3" xfId="7317" xr:uid="{1FEAE772-8A76-4278-97A1-4724911A3DAA}"/>
    <cellStyle name="Comma 140 2 2 3" xfId="7318" xr:uid="{6AF317F0-57A1-4F7A-B50A-54E9B3E3F51A}"/>
    <cellStyle name="Comma 140 2 2 4" xfId="7319" xr:uid="{7EB91178-8DA2-48B9-80BA-C3AC015CEB03}"/>
    <cellStyle name="Comma 140 2 3" xfId="7320" xr:uid="{0A795A15-3D21-46A3-92C3-28A5E16FE909}"/>
    <cellStyle name="Comma 140 2 4" xfId="40614" xr:uid="{D5247B7E-402F-4EAA-A79C-2E83F964D1F0}"/>
    <cellStyle name="Comma 140 3" xfId="7321" xr:uid="{88C692B0-0722-4286-8036-882B4B79021F}"/>
    <cellStyle name="Comma 140 3 2" xfId="7322" xr:uid="{074D1E36-0438-4718-A28E-99CEF0849E12}"/>
    <cellStyle name="Comma 140 3 2 2" xfId="7323" xr:uid="{FDEA0F5A-99FD-4A7D-96D7-381534D1A427}"/>
    <cellStyle name="Comma 140 3 2 3" xfId="7324" xr:uid="{680D2CD1-9FC2-4A68-AE58-E30A2B0E54FC}"/>
    <cellStyle name="Comma 140 3 3" xfId="7325" xr:uid="{B5606A05-80CA-484C-B236-8D8E0F032583}"/>
    <cellStyle name="Comma 140 3 4" xfId="7326" xr:uid="{A2807560-3DA2-4D36-978E-26ACC92189B2}"/>
    <cellStyle name="Comma 140 4" xfId="7327" xr:uid="{5C5D636F-B102-4A46-A31F-E3CC1ED62462}"/>
    <cellStyle name="Comma 140 5" xfId="40615" xr:uid="{D6E6DBD5-7388-402C-9DC5-8F7A3A32745D}"/>
    <cellStyle name="Comma 141" xfId="7328" xr:uid="{16C39F28-E2B6-49CD-B538-5D97F3AE66C9}"/>
    <cellStyle name="Comma 141 2" xfId="7329" xr:uid="{529A6E77-4680-41BF-BC93-4149461F4C1F}"/>
    <cellStyle name="Comma 141 3" xfId="7330" xr:uid="{829241B8-23B4-42CE-B57F-099FD2D05B1A}"/>
    <cellStyle name="Comma 141 3 2" xfId="7331" xr:uid="{2B9B26B1-1DD7-48B8-AAFF-2C3FF0587389}"/>
    <cellStyle name="Comma 141 3 2 2" xfId="7332" xr:uid="{272CB31E-564E-41F8-BAC4-F8AD8B421E25}"/>
    <cellStyle name="Comma 141 3 2 3" xfId="7333" xr:uid="{D7C91315-A3A0-40BD-9E67-1B8DB3261A31}"/>
    <cellStyle name="Comma 141 3 3" xfId="7334" xr:uid="{4805D618-4969-4C84-9144-9AA6CC071F97}"/>
    <cellStyle name="Comma 141 3 4" xfId="7335" xr:uid="{88E84AD9-8C8B-43EE-824D-2B3914D1FD15}"/>
    <cellStyle name="Comma 141 4" xfId="7336" xr:uid="{FA101375-7F68-49F0-8F9B-EEE7178F8964}"/>
    <cellStyle name="Comma 141 5" xfId="40616" xr:uid="{5E542DFD-FAF8-4B74-AB96-5158EA396B81}"/>
    <cellStyle name="Comma 142" xfId="7337" xr:uid="{814C70E3-35B6-4977-B742-AEB8618589BC}"/>
    <cellStyle name="Comma 142 2" xfId="7338" xr:uid="{67865D5F-7655-469A-A96F-768D73ED9B81}"/>
    <cellStyle name="Comma 142 3" xfId="7339" xr:uid="{55D55324-7396-43BF-A217-50935463DB47}"/>
    <cellStyle name="Comma 142 3 2" xfId="7340" xr:uid="{1DC087F5-5818-4B41-B419-EC40E5171B3A}"/>
    <cellStyle name="Comma 142 3 2 2" xfId="7341" xr:uid="{C5062901-ADFB-40F4-9718-F202DFFBFE2A}"/>
    <cellStyle name="Comma 142 3 2 3" xfId="7342" xr:uid="{982E634C-78E6-4CF5-9F74-E90A5EF2AC2A}"/>
    <cellStyle name="Comma 142 3 3" xfId="7343" xr:uid="{45EC6A29-C567-483E-A7B7-A06607F50286}"/>
    <cellStyle name="Comma 142 3 4" xfId="7344" xr:uid="{071D9EDC-8627-4BE7-89FB-11762BDAE429}"/>
    <cellStyle name="Comma 142 4" xfId="7345" xr:uid="{85D52819-D334-4EAA-8ACD-AA84A0646CF8}"/>
    <cellStyle name="Comma 142 5" xfId="40617" xr:uid="{EF01E130-FB90-4BD7-81ED-C52ACE15D848}"/>
    <cellStyle name="Comma 143" xfId="7346" xr:uid="{35330FE7-FE5B-46ED-BE27-A906AB466112}"/>
    <cellStyle name="Comma 143 2" xfId="7347" xr:uid="{00426275-2D54-4261-842D-D5B20616104E}"/>
    <cellStyle name="Comma 143 3" xfId="7348" xr:uid="{9566578B-4E0B-42F7-AE6C-B74EA7CC31FD}"/>
    <cellStyle name="Comma 144" xfId="7349" xr:uid="{7FE35106-DF81-493F-8B40-C248D92C99CC}"/>
    <cellStyle name="Comma 144 2" xfId="7350" xr:uid="{A653A2E7-6B37-4A3F-A90B-EF2DB61177F6}"/>
    <cellStyle name="Comma 144 3" xfId="7351" xr:uid="{FF106F8B-6896-4E0E-9CA8-A3701C5CE118}"/>
    <cellStyle name="Comma 145" xfId="7352" xr:uid="{9CE92DD8-5E2F-4206-BF95-DEF66EA8AFED}"/>
    <cellStyle name="Comma 145 2" xfId="7353" xr:uid="{CAD2AA53-29DC-46A7-B791-4943B4DA328C}"/>
    <cellStyle name="Comma 145 3" xfId="7354" xr:uid="{B3A8C827-714C-4031-8F07-3636D78CD460}"/>
    <cellStyle name="Comma 145 4" xfId="7355" xr:uid="{7CFEBE80-38F2-4587-887C-3FA2F88891D8}"/>
    <cellStyle name="Comma 145 5" xfId="40618" xr:uid="{B6B85CE8-123D-4B0F-966A-CECAB1DBF563}"/>
    <cellStyle name="Comma 146" xfId="7356" xr:uid="{9D1AC940-58B5-45CD-9C5F-EBFD4632F8B1}"/>
    <cellStyle name="Comma 146 2" xfId="7357" xr:uid="{5F07A536-84D4-42BB-8F12-190E563BB495}"/>
    <cellStyle name="Comma 146 3" xfId="7358" xr:uid="{7FF6223B-6159-49A7-9524-BE38D8749DD0}"/>
    <cellStyle name="Comma 146 4" xfId="7359" xr:uid="{54C00FBD-EA1D-43EA-BB1D-93BF7F46A5AB}"/>
    <cellStyle name="Comma 146 5" xfId="40619" xr:uid="{D1E5A300-7F59-49E8-8032-9E7491CCBE32}"/>
    <cellStyle name="Comma 147" xfId="7360" xr:uid="{259357C4-A579-4E07-B542-AB02CAFDE2C7}"/>
    <cellStyle name="Comma 147 2" xfId="7361" xr:uid="{E58432FC-5847-464D-9D0B-2EC0B2165B9F}"/>
    <cellStyle name="Comma 147 2 2" xfId="7362" xr:uid="{06454977-7128-4603-B215-CFD00E9FC9AD}"/>
    <cellStyle name="Comma 147 2 2 2" xfId="7363" xr:uid="{9A878D5C-C489-44DE-A858-91D60F8C6CC3}"/>
    <cellStyle name="Comma 147 2 2 2 2" xfId="40620" xr:uid="{C241865F-1ED9-4874-82CA-7CD490C44E99}"/>
    <cellStyle name="Comma 147 2 2 3" xfId="7364" xr:uid="{64696A88-444C-469F-B762-F26965471ECA}"/>
    <cellStyle name="Comma 147 2 2 3 2" xfId="40621" xr:uid="{B8440546-B244-4142-BCF7-3147B098259D}"/>
    <cellStyle name="Comma 147 2 2 4" xfId="40622" xr:uid="{657E4BF0-6658-4A66-9967-1434C988801B}"/>
    <cellStyle name="Comma 147 2 3" xfId="7365" xr:uid="{57E159FA-5413-4FAC-B7B8-AC0BC3711175}"/>
    <cellStyle name="Comma 147 2 3 2" xfId="40623" xr:uid="{A2CAF68C-6C95-4BED-8934-988CA7AD0B25}"/>
    <cellStyle name="Comma 147 2 4" xfId="7366" xr:uid="{D466DFC0-C10F-4A6D-A0DB-4B903DAAC8AC}"/>
    <cellStyle name="Comma 147 2 4 2" xfId="40624" xr:uid="{F18A6DC1-2580-4523-BEDA-461AAE8024B7}"/>
    <cellStyle name="Comma 147 2 5" xfId="40625" xr:uid="{2823B223-1972-4AC4-8832-EC1D663F9E06}"/>
    <cellStyle name="Comma 147 3" xfId="7367" xr:uid="{CFCFDD3C-A946-49D3-B1F2-54011C04B7FF}"/>
    <cellStyle name="Comma 147 3 2" xfId="7368" xr:uid="{B6FF3236-5220-4331-8B8D-C3F70FDF59D2}"/>
    <cellStyle name="Comma 147 3 2 2" xfId="40626" xr:uid="{0EB3DB1C-0A98-4A56-AB3C-515D6ACADCFE}"/>
    <cellStyle name="Comma 147 3 3" xfId="7369" xr:uid="{566DD7CD-A0B3-486B-B490-DE2893A056AF}"/>
    <cellStyle name="Comma 147 3 3 2" xfId="40627" xr:uid="{2420BD60-C624-4CAE-8251-03C2D08760A0}"/>
    <cellStyle name="Comma 147 3 4" xfId="40628" xr:uid="{F5A871C1-AC86-4CC9-9E29-F677BA7D5871}"/>
    <cellStyle name="Comma 147 4" xfId="7370" xr:uid="{ACBE7FA2-458B-48F0-BC70-B1624C6732C7}"/>
    <cellStyle name="Comma 147 4 2" xfId="40629" xr:uid="{5028B555-2DE4-45DB-AB7F-B6A43E5D8501}"/>
    <cellStyle name="Comma 147 5" xfId="7371" xr:uid="{CE65C0ED-6462-4DF3-B95B-F27C03E73106}"/>
    <cellStyle name="Comma 147 5 2" xfId="40630" xr:uid="{AB582299-DFF0-4E5D-A7AB-8AA8255CA755}"/>
    <cellStyle name="Comma 147 6" xfId="7372" xr:uid="{927BE560-51E7-469C-A32D-48FA92F1DA6A}"/>
    <cellStyle name="Comma 147 7" xfId="7373" xr:uid="{29524688-814E-4EFE-A919-9925B01F944B}"/>
    <cellStyle name="Comma 147 8" xfId="40631" xr:uid="{DABA715E-4047-4286-B116-B44A07B084C8}"/>
    <cellStyle name="Comma 148" xfId="7374" xr:uid="{CDD07567-B403-4965-833C-5A775C4EE46B}"/>
    <cellStyle name="Comma 148 2" xfId="7375" xr:uid="{F7EEB123-BF84-4707-A9E5-9C29AF180DBB}"/>
    <cellStyle name="Comma 148 2 2" xfId="7376" xr:uid="{18FFA1C5-C3A0-483B-B91F-671E19C7B4D7}"/>
    <cellStyle name="Comma 148 2 2 2" xfId="7377" xr:uid="{D9EE758A-294D-432A-86E9-67D19FBF9269}"/>
    <cellStyle name="Comma 148 2 2 2 2" xfId="40632" xr:uid="{8D5395CA-8738-4E18-BA5B-73491E3BC061}"/>
    <cellStyle name="Comma 148 2 2 3" xfId="7378" xr:uid="{E70AF746-EDB3-4706-B1E9-84501D729B9A}"/>
    <cellStyle name="Comma 148 2 2 3 2" xfId="40633" xr:uid="{BAB92D4C-9484-4528-AC73-985E6992D5AB}"/>
    <cellStyle name="Comma 148 2 2 4" xfId="40634" xr:uid="{1B394893-90E3-4BFD-AB56-EC72EB429013}"/>
    <cellStyle name="Comma 148 2 3" xfId="7379" xr:uid="{6042AB65-8DE8-460E-BA5A-4A6356AF6680}"/>
    <cellStyle name="Comma 148 2 3 2" xfId="40635" xr:uid="{79506129-E45F-496A-B20C-0FF76421CF98}"/>
    <cellStyle name="Comma 148 2 4" xfId="7380" xr:uid="{42466543-C46C-42F6-8B39-D5B13B02F1D2}"/>
    <cellStyle name="Comma 148 2 4 2" xfId="40636" xr:uid="{C6345F37-8096-406D-B5FC-D9B4FA769DBD}"/>
    <cellStyle name="Comma 148 2 5" xfId="40637" xr:uid="{0F00F7CB-D97A-4681-9576-41C24F02D3B7}"/>
    <cellStyle name="Comma 148 3" xfId="7381" xr:uid="{1A05CEDB-A797-4892-AC43-C7449B8C4210}"/>
    <cellStyle name="Comma 148 3 2" xfId="7382" xr:uid="{C2CAB3E6-7372-4579-AEC5-E9FAE19DAD98}"/>
    <cellStyle name="Comma 148 3 2 2" xfId="40638" xr:uid="{7E257E79-CC73-4C4B-AA10-91EA0B20D397}"/>
    <cellStyle name="Comma 148 3 3" xfId="7383" xr:uid="{2DB051A6-E29B-49F5-B772-2AC4033C615E}"/>
    <cellStyle name="Comma 148 3 3 2" xfId="40639" xr:uid="{6779D23C-331D-43D5-9117-FC46C85611C9}"/>
    <cellStyle name="Comma 148 3 4" xfId="40640" xr:uid="{725000F7-816C-4E62-A2E3-188106D8AD73}"/>
    <cellStyle name="Comma 148 4" xfId="7384" xr:uid="{FBC5E85A-4330-4DBD-A531-603578EC19CB}"/>
    <cellStyle name="Comma 148 4 2" xfId="40641" xr:uid="{2855DB64-16E0-4DEF-9150-F97E67BE720E}"/>
    <cellStyle name="Comma 148 5" xfId="7385" xr:uid="{FEA42581-A0E8-422F-86BD-6C9AA8DC7C0D}"/>
    <cellStyle name="Comma 148 5 2" xfId="40642" xr:uid="{5193BB24-92FD-47B3-A4CE-9838C603071E}"/>
    <cellStyle name="Comma 148 6" xfId="7386" xr:uid="{CCC4CA15-D395-4B16-95DF-EF814CF090A2}"/>
    <cellStyle name="Comma 148 7" xfId="40643" xr:uid="{7F1F925B-650E-459F-9CB5-F66779DA20BB}"/>
    <cellStyle name="Comma 149" xfId="7387" xr:uid="{EF8A3F9F-949F-4541-BF28-7368746B14FE}"/>
    <cellStyle name="Comma 149 2" xfId="7388" xr:uid="{1DF717C7-E667-49C5-897F-98C218071057}"/>
    <cellStyle name="Comma 149 2 2" xfId="40644" xr:uid="{82EE277D-7C81-4CAF-B01D-C9287D0AC67C}"/>
    <cellStyle name="Comma 149 3" xfId="7389" xr:uid="{B55631E1-C30F-4FEC-9A7E-BBDA349FB2A6}"/>
    <cellStyle name="Comma 149 3 2" xfId="40645" xr:uid="{F89B7647-6047-4011-B325-070421B33F60}"/>
    <cellStyle name="Comma 149 4" xfId="40646" xr:uid="{CEF23F4A-BF11-4C34-9E02-0A6024FBEA2F}"/>
    <cellStyle name="Comma 15" xfId="7390" xr:uid="{E051CCD2-9C78-433D-9A40-78606EA9D24D}"/>
    <cellStyle name="Comma 15 10" xfId="7391" xr:uid="{C179DBCA-5EB1-4392-929F-A895834F754B}"/>
    <cellStyle name="Comma 15 11" xfId="7392" xr:uid="{2B587350-A112-45BD-9F09-2A14554D4490}"/>
    <cellStyle name="Comma 15 12" xfId="7393" xr:uid="{A7E5294D-3B2C-4FC5-9D01-C597B514E16D}"/>
    <cellStyle name="Comma 15 13" xfId="7394" xr:uid="{7DDCD28F-4DCE-468E-88DF-F96FAF8F9E8F}"/>
    <cellStyle name="Comma 15 14" xfId="7395" xr:uid="{96C4658A-7523-4615-9D96-A594C3F8FAB5}"/>
    <cellStyle name="Comma 15 15" xfId="7396" xr:uid="{7C042BE3-9BB3-4626-B985-22E7869AA2A9}"/>
    <cellStyle name="Comma 15 16" xfId="7397" xr:uid="{6373C4E7-D951-48BD-88D4-0720C194195C}"/>
    <cellStyle name="Comma 15 17" xfId="7398" xr:uid="{1C08CC14-6DB2-4F3F-A47C-3CB738EEDC4A}"/>
    <cellStyle name="Comma 15 18" xfId="7399" xr:uid="{426AFE77-B0D6-42A5-ABE0-B12A0EA3522A}"/>
    <cellStyle name="Comma 15 2" xfId="7400" xr:uid="{F553A5B6-AB5B-4096-BAC2-7946946571A2}"/>
    <cellStyle name="Comma 15 2 2" xfId="7401" xr:uid="{81873E4C-6386-4D54-AC4A-64A30A21703B}"/>
    <cellStyle name="Comma 15 2 3" xfId="7402" xr:uid="{EF1BE6B6-1359-4761-BB4F-4BBA024F2392}"/>
    <cellStyle name="Comma 15 2 4" xfId="7403" xr:uid="{E10A16F8-3147-45CF-B12B-44937BE3AF44}"/>
    <cellStyle name="Comma 15 2 5" xfId="7404" xr:uid="{E8FDCC49-15B3-4792-BEE8-8C0A77EF8B31}"/>
    <cellStyle name="Comma 15 3" xfId="7405" xr:uid="{19FD0886-FB31-4FEB-8030-EF90C3EF52BA}"/>
    <cellStyle name="Comma 15 3 2" xfId="7406" xr:uid="{7D742297-F0F9-41EC-B883-76ADB1ADF94C}"/>
    <cellStyle name="Comma 15 3 3" xfId="7407" xr:uid="{795B3306-9E1C-42C9-BB77-A734DEC16C9F}"/>
    <cellStyle name="Comma 15 3 4" xfId="7408" xr:uid="{4B072317-17D6-4E68-BBAA-B1BBEB6CBD65}"/>
    <cellStyle name="Comma 15 4" xfId="7409" xr:uid="{CB48DE43-D131-461A-BEF5-E990DBA2A991}"/>
    <cellStyle name="Comma 15 4 2" xfId="7410" xr:uid="{38AC0121-B95B-4F53-9458-DD95361FC494}"/>
    <cellStyle name="Comma 15 5" xfId="7411" xr:uid="{C70E7406-0E3C-473B-A263-07294EF5F5E8}"/>
    <cellStyle name="Comma 15 5 2" xfId="40647" xr:uid="{BB38F237-48F8-4C70-9E28-1EF0C6100300}"/>
    <cellStyle name="Comma 15 6" xfId="7412" xr:uid="{AC2E4A17-76FE-490E-8EAE-72B726244B4B}"/>
    <cellStyle name="Comma 15 7" xfId="7413" xr:uid="{1420A4F2-4C94-47C2-AFD7-4265F2643682}"/>
    <cellStyle name="Comma 15 8" xfId="7414" xr:uid="{0FC97E2A-68CB-4071-9B20-BE9739253D20}"/>
    <cellStyle name="Comma 15 9" xfId="7415" xr:uid="{BACC59F0-1579-4716-BC83-2BF24E11D7C3}"/>
    <cellStyle name="Comma 150" xfId="7416" xr:uid="{6655EA74-8030-421C-A27B-6B50D6481841}"/>
    <cellStyle name="Comma 150 2" xfId="7417" xr:uid="{52E562D1-2E10-4A99-905B-E445823EDBF6}"/>
    <cellStyle name="Comma 150 3" xfId="7418" xr:uid="{E51DCD17-B048-455D-9544-C5EF5372C38B}"/>
    <cellStyle name="Comma 150 4" xfId="40648" xr:uid="{C654838D-2DC2-436A-9107-F79B48E77569}"/>
    <cellStyle name="Comma 150 5" xfId="40649" xr:uid="{F5A28A51-DCD9-44A3-A51C-8A15E07AC23A}"/>
    <cellStyle name="Comma 151" xfId="7419" xr:uid="{138BAC2F-4EDC-4A8A-9B8C-994F3C34AFDB}"/>
    <cellStyle name="Comma 151 2" xfId="7420" xr:uid="{057C4A6A-BACA-4629-9F39-F28BD7E920B2}"/>
    <cellStyle name="Comma 151 3" xfId="7421" xr:uid="{0A225530-CC92-4D03-92AE-E2C7F304F520}"/>
    <cellStyle name="Comma 151 4" xfId="40650" xr:uid="{BBC1BD2F-D12C-4EDC-9078-8D8CCACA0FB7}"/>
    <cellStyle name="Comma 151 5" xfId="40651" xr:uid="{70A344DF-7521-403A-B733-21720C06DBA0}"/>
    <cellStyle name="Comma 152" xfId="7422" xr:uid="{3CBA7380-1B29-430F-8661-16CAA648CDD0}"/>
    <cellStyle name="Comma 152 2" xfId="7423" xr:uid="{A2ABF07B-8554-4F78-8FBE-B097B8FF20EF}"/>
    <cellStyle name="Comma 152 3" xfId="7424" xr:uid="{F628A480-2C99-4D4F-92FB-747997A7AABC}"/>
    <cellStyle name="Comma 153" xfId="7425" xr:uid="{F19745E9-145D-47F4-958C-36B7899691BC}"/>
    <cellStyle name="Comma 153 2" xfId="7426" xr:uid="{6963A222-00F0-4DCA-87BD-10FC374D34A5}"/>
    <cellStyle name="Comma 153 3" xfId="7427" xr:uid="{369D6323-A7A6-4CC7-B539-4AB52F8B6B66}"/>
    <cellStyle name="Comma 154" xfId="7428" xr:uid="{CB56B4E6-1B87-4491-8E13-AB2D258E37F2}"/>
    <cellStyle name="Comma 154 2" xfId="7429" xr:uid="{B6636DBB-3FEB-4F9D-8415-0A78D70E2C1C}"/>
    <cellStyle name="Comma 154 3" xfId="7430" xr:uid="{61F57545-F3E2-4C26-860C-BB7123C81538}"/>
    <cellStyle name="Comma 154 4" xfId="7431" xr:uid="{F39F2D59-DA89-4BE8-A6CD-2FAD65109797}"/>
    <cellStyle name="Comma 155" xfId="7432" xr:uid="{5B3BA6C1-9A9C-430E-A9B7-FCF60C18A5BF}"/>
    <cellStyle name="Comma 155 2" xfId="7433" xr:uid="{A9151409-108B-453F-AED4-BFD35BA3B1A1}"/>
    <cellStyle name="Comma 155 3" xfId="7434" xr:uid="{4AA825E2-E83A-4957-83DA-8F15CD1F1F7B}"/>
    <cellStyle name="Comma 156" xfId="7435" xr:uid="{C2CC15F4-8A34-499A-BAD8-A9E1470C0706}"/>
    <cellStyle name="Comma 156 2" xfId="7436" xr:uid="{CD9EE489-2005-48A5-838B-097BF995589A}"/>
    <cellStyle name="Comma 156 3" xfId="7437" xr:uid="{EF3D4805-837E-42E0-90D4-AA027BB049E5}"/>
    <cellStyle name="Comma 157" xfId="7438" xr:uid="{0528FB8B-DC57-453E-AAA7-DB573653D403}"/>
    <cellStyle name="Comma 157 2" xfId="7439" xr:uid="{78DC579A-FC90-4DDC-ABFF-0E521520D95B}"/>
    <cellStyle name="Comma 157 3" xfId="7440" xr:uid="{A96D55BE-A35F-4A1C-A596-199011259398}"/>
    <cellStyle name="Comma 158" xfId="7441" xr:uid="{59445019-ACC2-4BE5-96C1-5A8901A11432}"/>
    <cellStyle name="Comma 158 2" xfId="7442" xr:uid="{BCA8A979-420A-4EA2-8030-94CAA2A1CEDC}"/>
    <cellStyle name="Comma 158 3" xfId="7443" xr:uid="{0850F487-5181-4641-BABF-6B82C4B490AA}"/>
    <cellStyle name="Comma 159" xfId="7444" xr:uid="{FAD65957-CF2E-47D4-9F7D-3E52731A9077}"/>
    <cellStyle name="Comma 16" xfId="7445" xr:uid="{B469A68F-9C9D-44F1-8D0F-86ABF9D14145}"/>
    <cellStyle name="Comma 16 2" xfId="7446" xr:uid="{0DA47ED4-6DD8-4E47-8842-684E56D764C0}"/>
    <cellStyle name="Comma 16 2 2" xfId="7447" xr:uid="{9B2D3719-652E-4245-A018-AF908EA9A3A9}"/>
    <cellStyle name="Comma 16 2 2 2" xfId="40652" xr:uid="{73511D48-59FE-481F-9122-88B6E4B3610B}"/>
    <cellStyle name="Comma 16 2 3" xfId="7448" xr:uid="{70784F6A-1EE0-4AD7-9E9E-328ED4F18F57}"/>
    <cellStyle name="Comma 16 2 4" xfId="40653" xr:uid="{1B0F8BBC-6963-42E1-B40E-D87331D9B5E1}"/>
    <cellStyle name="Comma 16 3" xfId="7449" xr:uid="{D1BE78AF-5379-4F45-80F9-F61DD7AAC71F}"/>
    <cellStyle name="Comma 16 4" xfId="7450" xr:uid="{61C0BA4B-0666-48F7-B0E9-2A31D2215840}"/>
    <cellStyle name="Comma 16 4 2" xfId="40654" xr:uid="{10283F5B-4A45-45A0-A78B-06F663065D49}"/>
    <cellStyle name="Comma 16 5" xfId="7451" xr:uid="{0B781E56-C5A7-4A0B-9434-7C48992D636C}"/>
    <cellStyle name="Comma 16 6" xfId="7452" xr:uid="{13C495D4-C0CE-47A4-9936-9AB6530FF346}"/>
    <cellStyle name="Comma 16 7" xfId="7453" xr:uid="{B701B5C1-54CD-4691-8B1E-6844D888ACEC}"/>
    <cellStyle name="Comma 160" xfId="7454" xr:uid="{318AEB28-F04C-4D07-A7C2-A0DB7357C055}"/>
    <cellStyle name="Comma 161" xfId="7455" xr:uid="{41B8B81A-7850-4B8D-918C-0BA154768F70}"/>
    <cellStyle name="Comma 162" xfId="7456" xr:uid="{C95C52DD-4F32-48F1-9B25-02D660CE1266}"/>
    <cellStyle name="Comma 163" xfId="7457" xr:uid="{F19B28C3-EBD8-4BC5-955B-9B92F57131D8}"/>
    <cellStyle name="Comma 164" xfId="7458" xr:uid="{EEE051C2-10F2-4DF8-92DE-56F647331B2B}"/>
    <cellStyle name="Comma 165" xfId="7459" xr:uid="{CAE77AB8-706E-49C5-8B36-FF3FA81BC0A2}"/>
    <cellStyle name="Comma 165 2" xfId="40655" xr:uid="{9B0E4D1B-6234-489A-9A96-AD4134D651AE}"/>
    <cellStyle name="Comma 165 3" xfId="40656" xr:uid="{3EC16EB3-D312-4824-9BDE-4C4F2BB2ACA7}"/>
    <cellStyle name="Comma 166" xfId="7460" xr:uid="{C6CC7B44-B00B-40F8-8902-CA33827DFCC4}"/>
    <cellStyle name="Comma 167" xfId="7461" xr:uid="{D29C4308-3B60-40A2-9976-1EDD9D3FCE01}"/>
    <cellStyle name="Comma 168" xfId="7462" xr:uid="{19EA03F8-FF78-453D-912F-952821125681}"/>
    <cellStyle name="Comma 169" xfId="7463" xr:uid="{8C399C77-A0CF-4972-9133-EDCF134BC9DA}"/>
    <cellStyle name="Comma 17" xfId="7464" xr:uid="{18F3D516-8CF2-4005-B623-CCA883D08E4A}"/>
    <cellStyle name="Comma 17 2" xfId="7465" xr:uid="{96F59621-B684-493B-8C05-3DFAD58BEB5A}"/>
    <cellStyle name="Comma 17 2 2" xfId="7466" xr:uid="{440F40EB-8846-407C-83B1-97A9B58C0149}"/>
    <cellStyle name="Comma 17 2 2 2" xfId="40657" xr:uid="{9C3A569B-2790-4D75-B079-0B3F4D2070DA}"/>
    <cellStyle name="Comma 17 2 3" xfId="7467" xr:uid="{3B673577-0975-4943-A25D-9DD25A960587}"/>
    <cellStyle name="Comma 17 2 4" xfId="40658" xr:uid="{496307A6-3C6F-4055-B161-952D061307AD}"/>
    <cellStyle name="Comma 17 3" xfId="7468" xr:uid="{DC336167-6E67-400F-B13E-BD7A43F6721E}"/>
    <cellStyle name="Comma 17 3 2" xfId="7469" xr:uid="{3AF2BC65-5C0D-43AA-9C9B-142A556EDDDF}"/>
    <cellStyle name="Comma 17 4" xfId="7470" xr:uid="{0566D194-0ABE-48C7-88E7-6007CF909817}"/>
    <cellStyle name="Comma 17 4 2" xfId="40659" xr:uid="{F965DD5A-C112-40ED-A05C-1941ADF2508D}"/>
    <cellStyle name="Comma 17 5" xfId="7471" xr:uid="{8DF7CB22-B6B9-4E41-B334-81F447ACEB85}"/>
    <cellStyle name="Comma 17 6" xfId="7472" xr:uid="{7E2AB3AC-DD90-49CE-82A7-D3DE6701FF01}"/>
    <cellStyle name="Comma 17 7" xfId="40660" xr:uid="{B7A6C26B-1B7C-4FFB-9513-782BEA6B57F6}"/>
    <cellStyle name="Comma 170" xfId="7473" xr:uid="{81983A2F-26C1-4D78-9539-1A62BD5DD9A0}"/>
    <cellStyle name="Comma 171" xfId="7474" xr:uid="{61CA283C-008B-4238-B5ED-EA2E7C86426A}"/>
    <cellStyle name="Comma 172" xfId="7475" xr:uid="{1792BD1C-4395-4118-9BC4-45BCEAC0D0EE}"/>
    <cellStyle name="Comma 172 3" xfId="40661" xr:uid="{591E2E5F-E286-41F4-AF06-956C46886426}"/>
    <cellStyle name="Comma 173" xfId="7476" xr:uid="{9164EB03-ED34-49A4-A0C4-5B3351EF31EF}"/>
    <cellStyle name="Comma 174" xfId="7477" xr:uid="{8F46C751-7716-4340-89C3-F538BEC8192E}"/>
    <cellStyle name="Comma 175" xfId="7478" xr:uid="{619BD634-85EC-4C27-9C1E-B10C169457E1}"/>
    <cellStyle name="Comma 176" xfId="7479" xr:uid="{104FE76D-9102-46E5-8CD4-DD550CB733C4}"/>
    <cellStyle name="Comma 177" xfId="7480" xr:uid="{C1ABADBD-D4F0-4413-BCE6-841C1A0198B6}"/>
    <cellStyle name="Comma 178" xfId="7481" xr:uid="{886C8B09-DAB7-450B-8535-9B27C1C96D24}"/>
    <cellStyle name="Comma 179" xfId="7482" xr:uid="{A1EA59BD-6A0E-40E3-ACB5-AAC174F18D38}"/>
    <cellStyle name="Comma 18" xfId="7483" xr:uid="{2D2E63EB-78E8-437D-9301-0C2F081F3B9E}"/>
    <cellStyle name="Comma 18 10" xfId="7484" xr:uid="{70B8B0E8-E1B5-4928-9690-8BA4FE3AD0D3}"/>
    <cellStyle name="Comma 18 10 2" xfId="7485" xr:uid="{A2615336-CA24-4F48-A3E0-471463D2D750}"/>
    <cellStyle name="Comma 18 10 2 2" xfId="7486" xr:uid="{0FE735A4-290E-4ADA-B2D0-32C9E35A1C57}"/>
    <cellStyle name="Comma 18 10 3" xfId="7487" xr:uid="{753B2B1B-9699-4BE6-9D26-54345C9995D9}"/>
    <cellStyle name="Comma 18 10 3 2" xfId="7488" xr:uid="{C85E1240-672C-420B-AB4A-C8360D7701AF}"/>
    <cellStyle name="Comma 18 10 4" xfId="7489" xr:uid="{F4CE6F92-EB16-4717-849B-376EED2E4437}"/>
    <cellStyle name="Comma 18 10 4 2" xfId="7490" xr:uid="{0C080BF6-63EC-4F64-B366-D2A48DB91888}"/>
    <cellStyle name="Comma 18 10 5" xfId="7491" xr:uid="{90C06A73-0F13-4A97-8186-AEF26E1702A4}"/>
    <cellStyle name="Comma 18 11" xfId="7492" xr:uid="{98C6E1F2-70B2-4536-894F-4571EFE443B7}"/>
    <cellStyle name="Comma 18 11 2" xfId="7493" xr:uid="{5846F292-F532-498B-AFDF-C5182784D7AB}"/>
    <cellStyle name="Comma 18 11 2 2" xfId="7494" xr:uid="{DE928D3B-9351-4151-92C5-DDAD4D37DC8D}"/>
    <cellStyle name="Comma 18 11 3" xfId="7495" xr:uid="{1C9A93FE-953D-47DF-A867-D279A2784860}"/>
    <cellStyle name="Comma 18 11 3 2" xfId="7496" xr:uid="{4062F818-240A-4D2E-96F1-E7CE3C096FF6}"/>
    <cellStyle name="Comma 18 11 4" xfId="7497" xr:uid="{4256ACA7-ADDD-4AAE-A4D1-74393B78FEED}"/>
    <cellStyle name="Comma 18 11 4 2" xfId="7498" xr:uid="{D6A3269A-BA8A-401C-A0F6-0EB873381EA8}"/>
    <cellStyle name="Comma 18 11 5" xfId="7499" xr:uid="{DBED0330-BCBC-4A4C-80CD-775FDC02F413}"/>
    <cellStyle name="Comma 18 12" xfId="7500" xr:uid="{91BDDC3F-7356-43E7-A401-8F356C495AE2}"/>
    <cellStyle name="Comma 18 12 2" xfId="7501" xr:uid="{D1173E13-9F64-4953-8806-6884173D4CC6}"/>
    <cellStyle name="Comma 18 13" xfId="7502" xr:uid="{E17B6118-C12F-4665-9FFD-32D0E49C4C59}"/>
    <cellStyle name="Comma 18 13 2" xfId="7503" xr:uid="{0A0E4C11-A09E-4E42-9301-B0F3DB36B3F6}"/>
    <cellStyle name="Comma 18 14" xfId="7504" xr:uid="{286926E6-3E0E-4C5A-BFD4-38E34F2F314E}"/>
    <cellStyle name="Comma 18 14 2" xfId="7505" xr:uid="{6874BC81-CC91-42D8-B85C-E969FF1DCCDA}"/>
    <cellStyle name="Comma 18 15" xfId="7506" xr:uid="{24A7C95C-7EE4-418C-83A2-5F249523ED1D}"/>
    <cellStyle name="Comma 18 15 2" xfId="7507" xr:uid="{6A4A59D2-32A0-49A6-A573-63F97C65E031}"/>
    <cellStyle name="Comma 18 16" xfId="7508" xr:uid="{79DE8C9A-2CA9-48C5-8612-E65374562218}"/>
    <cellStyle name="Comma 18 16 2" xfId="7509" xr:uid="{3168F592-1A3E-41B4-B6BB-807E1DC9DFCB}"/>
    <cellStyle name="Comma 18 17" xfId="7510" xr:uid="{F301034C-CE6D-4822-823F-D47FD65155D4}"/>
    <cellStyle name="Comma 18 17 2" xfId="7511" xr:uid="{47A38EF7-549E-4FFD-8F87-47AE2A8DFD34}"/>
    <cellStyle name="Comma 18 18" xfId="7512" xr:uid="{0C94F8DB-9E8D-4FB1-A517-DAF79F2279CF}"/>
    <cellStyle name="Comma 18 18 2" xfId="7513" xr:uid="{0EECFEBB-7B56-4C82-8785-3391E67CAAB6}"/>
    <cellStyle name="Comma 18 19" xfId="7514" xr:uid="{93F9B09F-ED63-45A3-A9BF-5D2E49CF98E7}"/>
    <cellStyle name="Comma 18 2" xfId="7515" xr:uid="{CC3E4963-9865-4291-9FDA-E286281D285E}"/>
    <cellStyle name="Comma 18 2 10" xfId="7516" xr:uid="{BF39B0FA-98B6-41E1-B323-4C41BFA65FD6}"/>
    <cellStyle name="Comma 18 2 10 2" xfId="7517" xr:uid="{0FB5D8BE-E9B7-426F-9EC1-9E20AB065251}"/>
    <cellStyle name="Comma 18 2 11" xfId="7518" xr:uid="{28905479-8FD7-46F3-9BAF-C57B542D44FF}"/>
    <cellStyle name="Comma 18 2 11 2" xfId="7519" xr:uid="{9B366FA6-9A0C-495F-8EFC-427CFABBE302}"/>
    <cellStyle name="Comma 18 2 12" xfId="7520" xr:uid="{E22EA05F-CC11-4D33-A0B3-03CCC2D38738}"/>
    <cellStyle name="Comma 18 2 12 2" xfId="7521" xr:uid="{B20A4A24-9082-4287-85F7-C5D9C5C7DCFC}"/>
    <cellStyle name="Comma 18 2 13" xfId="7522" xr:uid="{01CDAD90-0BA2-4234-A742-8D1E3F9F1224}"/>
    <cellStyle name="Comma 18 2 13 2" xfId="7523" xr:uid="{4C753FE2-E087-470C-8FBC-938EC56A8195}"/>
    <cellStyle name="Comma 18 2 14" xfId="7524" xr:uid="{9A886B2E-3039-45DF-9ED8-07F43AE8865A}"/>
    <cellStyle name="Comma 18 2 14 2" xfId="7525" xr:uid="{F98957CB-826F-420A-B55E-6B5906F146D5}"/>
    <cellStyle name="Comma 18 2 15" xfId="7526" xr:uid="{440C6EAA-463E-4210-934F-A802FEAE5738}"/>
    <cellStyle name="Comma 18 2 16" xfId="7527" xr:uid="{FE4C7657-0459-4BEE-B76A-D1FB8DE60B2C}"/>
    <cellStyle name="Comma 18 2 17" xfId="7528" xr:uid="{9E249734-A250-4576-876A-75B4D3F33DF4}"/>
    <cellStyle name="Comma 18 2 2" xfId="7529" xr:uid="{DCC387FE-EB85-42DA-BD9F-F5769725799F}"/>
    <cellStyle name="Comma 18 2 2 10" xfId="7530" xr:uid="{2CE36FB6-0EE9-46D0-B26A-64162E0B0188}"/>
    <cellStyle name="Comma 18 2 2 10 2" xfId="7531" xr:uid="{1BF0901B-A2C1-4211-AB1E-4D02FAC01830}"/>
    <cellStyle name="Comma 18 2 2 11" xfId="7532" xr:uid="{C30D82DA-9A8C-4BC2-8424-17F0EC3B5C09}"/>
    <cellStyle name="Comma 18 2 2 12" xfId="40662" xr:uid="{5EB0909E-DAB3-49F5-8B1A-F5A18A7CC70A}"/>
    <cellStyle name="Comma 18 2 2 2" xfId="7533" xr:uid="{7E4477BF-E9AA-4876-B509-C774ABB22233}"/>
    <cellStyle name="Comma 18 2 2 2 10" xfId="7534" xr:uid="{F7A84AA0-68E3-4DE6-ACC1-7977A1DB1EAB}"/>
    <cellStyle name="Comma 18 2 2 2 2" xfId="7535" xr:uid="{90C0E588-4F7D-46E8-9594-24313A6941B1}"/>
    <cellStyle name="Comma 18 2 2 2 2 2" xfId="7536" xr:uid="{A2DF1F4D-7AAD-40C3-A701-39C52A9E36CB}"/>
    <cellStyle name="Comma 18 2 2 2 2 2 2" xfId="7537" xr:uid="{BA3988CD-DE70-4FBB-B5F0-55576CD01A88}"/>
    <cellStyle name="Comma 18 2 2 2 2 2 2 2" xfId="7538" xr:uid="{8476ABBD-80B1-4F13-8B82-B9BCE50953BB}"/>
    <cellStyle name="Comma 18 2 2 2 2 2 3" xfId="7539" xr:uid="{D83E491D-B760-4C72-8706-A5192B2226FE}"/>
    <cellStyle name="Comma 18 2 2 2 2 2 3 2" xfId="7540" xr:uid="{AD24D65E-C951-4A91-A79B-6ADFE4D9521C}"/>
    <cellStyle name="Comma 18 2 2 2 2 2 4" xfId="7541" xr:uid="{864E8A48-E54F-45F3-A4F4-FCF5711AA3F1}"/>
    <cellStyle name="Comma 18 2 2 2 2 2 4 2" xfId="7542" xr:uid="{84B7E850-2C46-4ED0-819F-25BA5065D9B6}"/>
    <cellStyle name="Comma 18 2 2 2 2 2 5" xfId="7543" xr:uid="{0E9D68F8-7D14-487D-AE72-59847E806B50}"/>
    <cellStyle name="Comma 18 2 2 2 2 3" xfId="7544" xr:uid="{80D4DFFB-D3A3-4A86-B339-7F58EAE11333}"/>
    <cellStyle name="Comma 18 2 2 2 2 3 2" xfId="7545" xr:uid="{383F9F7F-A7F4-4088-844B-4BBDAFDD294E}"/>
    <cellStyle name="Comma 18 2 2 2 2 3 2 2" xfId="7546" xr:uid="{C3C77C04-06C4-4F7F-B6D5-8FE5932CBF5C}"/>
    <cellStyle name="Comma 18 2 2 2 2 3 3" xfId="7547" xr:uid="{86982871-CA55-42CB-9A38-935F756AD80F}"/>
    <cellStyle name="Comma 18 2 2 2 2 3 3 2" xfId="7548" xr:uid="{29FECFBB-9760-4FB6-ADE7-C1D0261707EB}"/>
    <cellStyle name="Comma 18 2 2 2 2 3 4" xfId="7549" xr:uid="{B72FDFD7-F501-4C52-BAEC-CD6D5CF7433E}"/>
    <cellStyle name="Comma 18 2 2 2 2 3 4 2" xfId="7550" xr:uid="{CBC067AE-B144-42E8-AA25-B3B082AF6AE0}"/>
    <cellStyle name="Comma 18 2 2 2 2 3 5" xfId="7551" xr:uid="{45FE69B6-04D8-4778-97B2-ACD0E444BF5F}"/>
    <cellStyle name="Comma 18 2 2 2 2 4" xfId="7552" xr:uid="{6C063F8A-5A3B-47C5-B1E2-7B30B8B3D4EB}"/>
    <cellStyle name="Comma 18 2 2 2 2 4 2" xfId="7553" xr:uid="{919478BD-68C2-481A-8BA8-2A5A28F6CEA7}"/>
    <cellStyle name="Comma 18 2 2 2 2 5" xfId="7554" xr:uid="{43C0F11C-C2FB-426D-84C9-BD2E75C7EB01}"/>
    <cellStyle name="Comma 18 2 2 2 2 5 2" xfId="7555" xr:uid="{F31DC9AE-7EF7-4A4B-89CB-967FF3AF36D4}"/>
    <cellStyle name="Comma 18 2 2 2 2 6" xfId="7556" xr:uid="{D5B4F7AD-839B-4F88-90CB-BE733211EB3A}"/>
    <cellStyle name="Comma 18 2 2 2 2 6 2" xfId="7557" xr:uid="{FFE659CE-F055-4F6A-85FA-D689F8E6EBEF}"/>
    <cellStyle name="Comma 18 2 2 2 2 7" xfId="7558" xr:uid="{BBACC68C-19BC-47F1-9492-B69147FE78F6}"/>
    <cellStyle name="Comma 18 2 2 2 2 7 2" xfId="7559" xr:uid="{5AC6B086-DC9E-4C64-ACC5-8F904CFCFA02}"/>
    <cellStyle name="Comma 18 2 2 2 2 8" xfId="7560" xr:uid="{4D020146-19B9-486F-B751-4BEBB0973A14}"/>
    <cellStyle name="Comma 18 2 2 2 2 8 2" xfId="7561" xr:uid="{D81B8539-E9A9-459B-B459-772F2BD74308}"/>
    <cellStyle name="Comma 18 2 2 2 2 9" xfId="7562" xr:uid="{ED8272B6-4DD5-4B8E-9EAA-842D316D6D76}"/>
    <cellStyle name="Comma 18 2 2 2 3" xfId="7563" xr:uid="{AF66538E-A8AF-4E0C-9598-5CE4683959B6}"/>
    <cellStyle name="Comma 18 2 2 2 3 2" xfId="7564" xr:uid="{6CD81B91-0A96-4B13-85B2-182367B7DA27}"/>
    <cellStyle name="Comma 18 2 2 2 3 2 2" xfId="7565" xr:uid="{10670A34-6AB0-45A0-84B4-2394A7B94B9B}"/>
    <cellStyle name="Comma 18 2 2 2 3 3" xfId="7566" xr:uid="{0AB3A580-E88F-44F2-9F9B-DE2CFA9B5B58}"/>
    <cellStyle name="Comma 18 2 2 2 3 3 2" xfId="7567" xr:uid="{F8E294AB-0CDA-4988-923F-D9699889977A}"/>
    <cellStyle name="Comma 18 2 2 2 3 4" xfId="7568" xr:uid="{7EB2ADB4-6121-4F62-AFB1-ADD44A2D4249}"/>
    <cellStyle name="Comma 18 2 2 2 3 4 2" xfId="7569" xr:uid="{3B7DF17C-5EBF-40F6-B5CB-77539E7BD3AE}"/>
    <cellStyle name="Comma 18 2 2 2 3 5" xfId="7570" xr:uid="{D64447DA-F7AD-4B71-A1AE-80C31F7BE957}"/>
    <cellStyle name="Comma 18 2 2 2 4" xfId="7571" xr:uid="{C8C510FD-C1FF-4B99-8A9C-5D2126CCA9DD}"/>
    <cellStyle name="Comma 18 2 2 2 4 2" xfId="7572" xr:uid="{83386AA1-A982-4D71-A30D-285547C1E1FD}"/>
    <cellStyle name="Comma 18 2 2 2 4 2 2" xfId="7573" xr:uid="{7B3F740B-1EC2-4903-BAE0-993800F1DD66}"/>
    <cellStyle name="Comma 18 2 2 2 4 3" xfId="7574" xr:uid="{BE7B0136-C79B-43F2-BC88-914B66F84D25}"/>
    <cellStyle name="Comma 18 2 2 2 4 3 2" xfId="7575" xr:uid="{FD0B44B3-28FB-4DFE-9B18-970ABFD155F0}"/>
    <cellStyle name="Comma 18 2 2 2 4 4" xfId="7576" xr:uid="{AC699CF0-6FBC-4A4C-B9C6-2A9E8B6AF3C4}"/>
    <cellStyle name="Comma 18 2 2 2 4 4 2" xfId="7577" xr:uid="{DD10179E-8328-4F8F-89B6-5B22B5B1F24A}"/>
    <cellStyle name="Comma 18 2 2 2 4 5" xfId="7578" xr:uid="{6B12A2D5-F645-420C-B4AF-5458365A3A0A}"/>
    <cellStyle name="Comma 18 2 2 2 5" xfId="7579" xr:uid="{58C54CC6-BAA5-4210-B11C-EE088B5AAC97}"/>
    <cellStyle name="Comma 18 2 2 2 5 2" xfId="7580" xr:uid="{AB7B912F-ED4D-4D99-B4FB-93E06CCBFEAD}"/>
    <cellStyle name="Comma 18 2 2 2 6" xfId="7581" xr:uid="{8E555062-8C53-4A46-A37F-561BBBEDCB24}"/>
    <cellStyle name="Comma 18 2 2 2 6 2" xfId="7582" xr:uid="{FD7A9611-1A3D-4C45-99E8-6B32A6E9D389}"/>
    <cellStyle name="Comma 18 2 2 2 7" xfId="7583" xr:uid="{62B0A80B-817A-4ECF-B474-EFD6CC8AA451}"/>
    <cellStyle name="Comma 18 2 2 2 7 2" xfId="7584" xr:uid="{08E34792-2FE6-4671-A08C-C80F928528FC}"/>
    <cellStyle name="Comma 18 2 2 2 8" xfId="7585" xr:uid="{F39BCB2E-4A4A-4868-9DAE-BF8FA7CBAA1B}"/>
    <cellStyle name="Comma 18 2 2 2 8 2" xfId="7586" xr:uid="{AB8E03BB-5862-4A6A-B361-7CB8C949816E}"/>
    <cellStyle name="Comma 18 2 2 2 9" xfId="7587" xr:uid="{24FB6470-AB06-4558-85EA-21ED864E6420}"/>
    <cellStyle name="Comma 18 2 2 2 9 2" xfId="7588" xr:uid="{076C4D79-6A2F-4090-9BED-67CF37C3496E}"/>
    <cellStyle name="Comma 18 2 2 3" xfId="7589" xr:uid="{0D9E0915-92F5-461E-B69B-56C96B99B5BD}"/>
    <cellStyle name="Comma 18 2 2 3 2" xfId="7590" xr:uid="{E13E2029-197A-4431-BC21-3797B9307A5D}"/>
    <cellStyle name="Comma 18 2 2 3 2 2" xfId="7591" xr:uid="{8C300D7C-8B94-4A6A-AB42-2DFF5FB164E6}"/>
    <cellStyle name="Comma 18 2 2 3 2 2 2" xfId="7592" xr:uid="{61F16D0A-6893-4F63-A49B-9A561B61C26A}"/>
    <cellStyle name="Comma 18 2 2 3 2 3" xfId="7593" xr:uid="{674C0235-AD05-45A4-9307-ED7F30AF13BF}"/>
    <cellStyle name="Comma 18 2 2 3 2 3 2" xfId="7594" xr:uid="{6E485DD6-C06D-4A3D-81A3-44A0F895A90C}"/>
    <cellStyle name="Comma 18 2 2 3 2 4" xfId="7595" xr:uid="{285E27BC-6B34-485B-B4CF-E6B6A0A6A4A6}"/>
    <cellStyle name="Comma 18 2 2 3 2 4 2" xfId="7596" xr:uid="{3665D37C-C3E2-4EB5-942F-0A4DE9C19C42}"/>
    <cellStyle name="Comma 18 2 2 3 2 5" xfId="7597" xr:uid="{5A81DCC1-8997-4CD0-8DB5-9BB545B2B7A6}"/>
    <cellStyle name="Comma 18 2 2 3 3" xfId="7598" xr:uid="{73CD03D0-8518-42F8-BBD5-E06AC8B65BFD}"/>
    <cellStyle name="Comma 18 2 2 3 3 2" xfId="7599" xr:uid="{28A64A2E-876D-4473-A52C-490878AE9A3B}"/>
    <cellStyle name="Comma 18 2 2 3 3 2 2" xfId="7600" xr:uid="{F3BFFE3C-AB8C-4465-BF0B-8A8550FA0B67}"/>
    <cellStyle name="Comma 18 2 2 3 3 3" xfId="7601" xr:uid="{B0201035-82AD-4336-B510-A5DF313015C7}"/>
    <cellStyle name="Comma 18 2 2 3 3 3 2" xfId="7602" xr:uid="{C79C9DB6-C964-48F9-ABED-21AC12EA3D22}"/>
    <cellStyle name="Comma 18 2 2 3 3 4" xfId="7603" xr:uid="{654AECED-00EC-4FF0-BA48-D7C0C04FE4F4}"/>
    <cellStyle name="Comma 18 2 2 3 3 4 2" xfId="7604" xr:uid="{D13F33F8-25FC-475C-A968-28BD137AA127}"/>
    <cellStyle name="Comma 18 2 2 3 3 5" xfId="7605" xr:uid="{07954711-0197-48AF-9778-B7235DFA9122}"/>
    <cellStyle name="Comma 18 2 2 3 4" xfId="7606" xr:uid="{CEB306E9-0A09-4FC7-BF9B-65EED1AE2291}"/>
    <cellStyle name="Comma 18 2 2 3 4 2" xfId="7607" xr:uid="{01D18322-2F59-4EAF-925A-CC442EE2B99C}"/>
    <cellStyle name="Comma 18 2 2 3 5" xfId="7608" xr:uid="{52E1E843-8436-41AA-AC56-2C8E0A2CB122}"/>
    <cellStyle name="Comma 18 2 2 3 5 2" xfId="7609" xr:uid="{CC1346DD-B6DF-40D7-811F-7F01E8435C5A}"/>
    <cellStyle name="Comma 18 2 2 3 6" xfId="7610" xr:uid="{BAEB8252-553F-47B8-9BC6-433F82D8587E}"/>
    <cellStyle name="Comma 18 2 2 3 6 2" xfId="7611" xr:uid="{AB315E79-57A6-4EEA-B77C-335807316015}"/>
    <cellStyle name="Comma 18 2 2 3 7" xfId="7612" xr:uid="{0EFF87A0-AFBC-4578-99F6-3FDA621A6244}"/>
    <cellStyle name="Comma 18 2 2 3 7 2" xfId="7613" xr:uid="{3AA7F709-BF40-4148-A749-23AEFE205928}"/>
    <cellStyle name="Comma 18 2 2 3 8" xfId="7614" xr:uid="{DC80E292-9629-400D-A343-310154C358F1}"/>
    <cellStyle name="Comma 18 2 2 3 8 2" xfId="7615" xr:uid="{9D9758AE-D444-4F9B-8961-647B1B36DB92}"/>
    <cellStyle name="Comma 18 2 2 3 9" xfId="7616" xr:uid="{EA391DE1-148B-434D-A968-F75F6AAE0033}"/>
    <cellStyle name="Comma 18 2 2 4" xfId="7617" xr:uid="{598D0C94-94CC-446A-83F6-B7024FAF8346}"/>
    <cellStyle name="Comma 18 2 2 4 2" xfId="7618" xr:uid="{69217BF2-82C3-40A9-90F5-CA574D2F2765}"/>
    <cellStyle name="Comma 18 2 2 4 2 2" xfId="7619" xr:uid="{F0F434EB-F400-4382-AD2B-E7BA5B556121}"/>
    <cellStyle name="Comma 18 2 2 4 3" xfId="7620" xr:uid="{42D57663-A707-408A-8569-2349A3B2A0DC}"/>
    <cellStyle name="Comma 18 2 2 4 3 2" xfId="7621" xr:uid="{62B06012-F4D8-4132-A34F-261F8FE0A98C}"/>
    <cellStyle name="Comma 18 2 2 4 4" xfId="7622" xr:uid="{2ED28DDF-8025-401E-8ADB-9B23B19A67D7}"/>
    <cellStyle name="Comma 18 2 2 4 4 2" xfId="7623" xr:uid="{5D523895-CC1D-49B6-BBA9-1C0F1D324C4E}"/>
    <cellStyle name="Comma 18 2 2 4 5" xfId="7624" xr:uid="{69F59AAA-9453-4451-9B55-BEBD50BF975E}"/>
    <cellStyle name="Comma 18 2 2 5" xfId="7625" xr:uid="{1A34E6FD-0908-4BA6-9EA8-E55126DA1F67}"/>
    <cellStyle name="Comma 18 2 2 5 2" xfId="7626" xr:uid="{8A1A3E99-BACE-4316-A51A-DCC43DB870B8}"/>
    <cellStyle name="Comma 18 2 2 5 2 2" xfId="7627" xr:uid="{9D115618-54F8-4770-8793-6CC4FCF28783}"/>
    <cellStyle name="Comma 18 2 2 5 3" xfId="7628" xr:uid="{F04B5C54-D9BA-46E8-B157-852D5E6F6837}"/>
    <cellStyle name="Comma 18 2 2 5 3 2" xfId="7629" xr:uid="{C1876BD9-A960-4F40-B762-278A5639CA85}"/>
    <cellStyle name="Comma 18 2 2 5 4" xfId="7630" xr:uid="{2A5090F3-7222-49DD-B4FB-77ED615E2499}"/>
    <cellStyle name="Comma 18 2 2 5 4 2" xfId="7631" xr:uid="{0A36BA42-4D9A-4963-BF30-F2A25888F4E2}"/>
    <cellStyle name="Comma 18 2 2 5 5" xfId="7632" xr:uid="{1742EB84-40A0-4C5A-8D43-C7B8135777AA}"/>
    <cellStyle name="Comma 18 2 2 6" xfId="7633" xr:uid="{C49297A3-E902-475E-A94A-109BA2243229}"/>
    <cellStyle name="Comma 18 2 2 6 2" xfId="7634" xr:uid="{C7F268B1-0B43-44FA-899A-2640994B82B3}"/>
    <cellStyle name="Comma 18 2 2 7" xfId="7635" xr:uid="{39FA2DEF-02EC-4B1F-84BC-C97222FCDB90}"/>
    <cellStyle name="Comma 18 2 2 7 2" xfId="7636" xr:uid="{D1FD84CE-356C-4708-B376-8F390B9D9510}"/>
    <cellStyle name="Comma 18 2 2 8" xfId="7637" xr:uid="{A82CC1B5-3A49-4AA4-8273-4A8028B789A5}"/>
    <cellStyle name="Comma 18 2 2 8 2" xfId="7638" xr:uid="{70384757-C8ED-41BC-916B-0A2D43832F56}"/>
    <cellStyle name="Comma 18 2 2 9" xfId="7639" xr:uid="{57707909-E540-4499-928D-7D5A79925202}"/>
    <cellStyle name="Comma 18 2 2 9 2" xfId="7640" xr:uid="{BD809F23-EDEC-43D5-BE3B-3C34751B2A96}"/>
    <cellStyle name="Comma 18 2 3" xfId="7641" xr:uid="{FE4106B1-F192-4677-B15F-9ED105A975A3}"/>
    <cellStyle name="Comma 18 2 3 10" xfId="7642" xr:uid="{3E7104E2-8E03-474F-ACC2-C7D80223DCB9}"/>
    <cellStyle name="Comma 18 2 3 10 2" xfId="7643" xr:uid="{5657F42A-EA41-4E1A-A03D-20AFFB8B8057}"/>
    <cellStyle name="Comma 18 2 3 11" xfId="7644" xr:uid="{E5CCDC65-30E9-4DFB-9557-6E6EBEF5C58E}"/>
    <cellStyle name="Comma 18 2 3 2" xfId="7645" xr:uid="{4E2096F4-EDF0-4F45-9EFC-BD4D88D6CF72}"/>
    <cellStyle name="Comma 18 2 3 2 10" xfId="7646" xr:uid="{BF82FC16-1AFB-4FDA-8398-255A1F53573A}"/>
    <cellStyle name="Comma 18 2 3 2 2" xfId="7647" xr:uid="{5FF040FC-18E5-4B23-B467-6323B4411B62}"/>
    <cellStyle name="Comma 18 2 3 2 2 2" xfId="7648" xr:uid="{17F3FF87-8620-45C4-88E4-D95378357C18}"/>
    <cellStyle name="Comma 18 2 3 2 2 2 2" xfId="7649" xr:uid="{F74E34B0-6DE5-447E-AA39-9396B5C267FB}"/>
    <cellStyle name="Comma 18 2 3 2 2 2 2 2" xfId="7650" xr:uid="{0B95DCCF-3446-4767-9432-EB052C20A660}"/>
    <cellStyle name="Comma 18 2 3 2 2 2 3" xfId="7651" xr:uid="{176409EA-7513-4F00-9494-C2E757166D91}"/>
    <cellStyle name="Comma 18 2 3 2 2 2 3 2" xfId="7652" xr:uid="{7B7C4A8C-EF2C-48EC-AEDF-A507CF58FD5A}"/>
    <cellStyle name="Comma 18 2 3 2 2 2 4" xfId="7653" xr:uid="{D8A5A2BE-631F-4523-9565-2F3B2DB2884E}"/>
    <cellStyle name="Comma 18 2 3 2 2 2 4 2" xfId="7654" xr:uid="{E3EAD91A-9B37-4429-AD90-2FB80F8FA1BD}"/>
    <cellStyle name="Comma 18 2 3 2 2 2 5" xfId="7655" xr:uid="{8A4CFCEF-4CF8-48BF-9956-C129E57EDFD9}"/>
    <cellStyle name="Comma 18 2 3 2 2 3" xfId="7656" xr:uid="{ECBDDE62-04D8-4CF6-B670-CFF2C9D24265}"/>
    <cellStyle name="Comma 18 2 3 2 2 3 2" xfId="7657" xr:uid="{36912D48-A31C-4326-9EA3-E2EE78CF683E}"/>
    <cellStyle name="Comma 18 2 3 2 2 3 2 2" xfId="7658" xr:uid="{3DF91B2C-B203-4E7C-B9DD-411560C655DB}"/>
    <cellStyle name="Comma 18 2 3 2 2 3 3" xfId="7659" xr:uid="{7D2733A1-6956-4EC7-9191-358B0B4181DA}"/>
    <cellStyle name="Comma 18 2 3 2 2 3 3 2" xfId="7660" xr:uid="{3D60FE97-D05B-4E53-B909-7088EA4395C4}"/>
    <cellStyle name="Comma 18 2 3 2 2 3 4" xfId="7661" xr:uid="{121D0F95-1169-4B62-95B2-3CE67935FCCA}"/>
    <cellStyle name="Comma 18 2 3 2 2 3 4 2" xfId="7662" xr:uid="{E8AADC9B-7CF1-427E-9DE9-05713A14B59A}"/>
    <cellStyle name="Comma 18 2 3 2 2 3 5" xfId="7663" xr:uid="{DBC2F889-00EB-47F8-B83B-8C12D8F337CE}"/>
    <cellStyle name="Comma 18 2 3 2 2 4" xfId="7664" xr:uid="{5603B460-6A78-4F46-8BCE-468628EAA37E}"/>
    <cellStyle name="Comma 18 2 3 2 2 4 2" xfId="7665" xr:uid="{3F5BA408-8C11-418A-85E4-8A917A8E1670}"/>
    <cellStyle name="Comma 18 2 3 2 2 5" xfId="7666" xr:uid="{BCF9D7E5-DEAF-4C78-B07D-1957C3F6412A}"/>
    <cellStyle name="Comma 18 2 3 2 2 5 2" xfId="7667" xr:uid="{320C5B0C-1653-4937-AB33-3FDAD017637D}"/>
    <cellStyle name="Comma 18 2 3 2 2 6" xfId="7668" xr:uid="{41A1B428-6A1F-4F48-B9EC-07974C257294}"/>
    <cellStyle name="Comma 18 2 3 2 2 6 2" xfId="7669" xr:uid="{D18C8B4B-9056-4B71-8A04-444AA494AC5B}"/>
    <cellStyle name="Comma 18 2 3 2 2 7" xfId="7670" xr:uid="{AD8D3B2D-9F67-48FB-B3B6-61B2B45F0952}"/>
    <cellStyle name="Comma 18 2 3 2 2 7 2" xfId="7671" xr:uid="{985AAAB8-54B6-4475-824A-3E2EB5592004}"/>
    <cellStyle name="Comma 18 2 3 2 2 8" xfId="7672" xr:uid="{F9BD7DA2-540C-45C2-8895-2E3FF6F168D8}"/>
    <cellStyle name="Comma 18 2 3 2 2 8 2" xfId="7673" xr:uid="{839B0474-A19F-431F-91F6-0100A5F97952}"/>
    <cellStyle name="Comma 18 2 3 2 2 9" xfId="7674" xr:uid="{CB4F4764-76B3-46ED-9E1F-30032E1327CD}"/>
    <cellStyle name="Comma 18 2 3 2 3" xfId="7675" xr:uid="{46F77509-8698-400E-A69D-636FD0282D40}"/>
    <cellStyle name="Comma 18 2 3 2 3 2" xfId="7676" xr:uid="{F1B029D1-8B3F-4410-A05C-3C5DC436796E}"/>
    <cellStyle name="Comma 18 2 3 2 3 2 2" xfId="7677" xr:uid="{E812BAAB-51E2-43C9-92B1-48807E51DC62}"/>
    <cellStyle name="Comma 18 2 3 2 3 3" xfId="7678" xr:uid="{753E1D7E-DB32-4199-B393-06CFF5F30BA8}"/>
    <cellStyle name="Comma 18 2 3 2 3 3 2" xfId="7679" xr:uid="{B9DD317B-FFF8-4D46-AF60-777078E1900A}"/>
    <cellStyle name="Comma 18 2 3 2 3 4" xfId="7680" xr:uid="{3A8D052C-3DBC-4D52-85BA-141480ED78D9}"/>
    <cellStyle name="Comma 18 2 3 2 3 4 2" xfId="7681" xr:uid="{79EBD574-7376-48A1-B411-39239A9F1E25}"/>
    <cellStyle name="Comma 18 2 3 2 3 5" xfId="7682" xr:uid="{B02EB0F0-B197-4347-A780-090D7A2F75D0}"/>
    <cellStyle name="Comma 18 2 3 2 4" xfId="7683" xr:uid="{9C0C7909-1CB9-4445-890C-868FF63AE1FD}"/>
    <cellStyle name="Comma 18 2 3 2 4 2" xfId="7684" xr:uid="{5C102CEC-7D97-4833-8E2A-5D3BF2E44B27}"/>
    <cellStyle name="Comma 18 2 3 2 4 2 2" xfId="7685" xr:uid="{415A2362-A163-47DA-85C9-00D8B8BDA62D}"/>
    <cellStyle name="Comma 18 2 3 2 4 3" xfId="7686" xr:uid="{63BD7AD3-8A5D-4F3C-A628-F3E51C9DB901}"/>
    <cellStyle name="Comma 18 2 3 2 4 3 2" xfId="7687" xr:uid="{71FCEAA3-7AB2-4868-8DE6-CAA33B159206}"/>
    <cellStyle name="Comma 18 2 3 2 4 4" xfId="7688" xr:uid="{45E688FE-08D3-4EAB-B6AF-000A99911F9A}"/>
    <cellStyle name="Comma 18 2 3 2 4 4 2" xfId="7689" xr:uid="{DF5FB5F5-DA14-4B17-BFA2-87513803ECB0}"/>
    <cellStyle name="Comma 18 2 3 2 4 5" xfId="7690" xr:uid="{02C62E2E-912F-428E-B184-C672938BEA39}"/>
    <cellStyle name="Comma 18 2 3 2 5" xfId="7691" xr:uid="{896EF71E-F49C-476D-B0C0-5B0CA53DDAA5}"/>
    <cellStyle name="Comma 18 2 3 2 5 2" xfId="7692" xr:uid="{D235FF7A-A30F-44AD-BA0C-0BE6D7C521CF}"/>
    <cellStyle name="Comma 18 2 3 2 6" xfId="7693" xr:uid="{7D5B8525-0846-41B0-B8C2-1176115BA218}"/>
    <cellStyle name="Comma 18 2 3 2 6 2" xfId="7694" xr:uid="{2F42803F-A6F5-4856-934E-30384CE68A9D}"/>
    <cellStyle name="Comma 18 2 3 2 7" xfId="7695" xr:uid="{A3900AB7-6CF5-4D5C-B331-4649662F9247}"/>
    <cellStyle name="Comma 18 2 3 2 7 2" xfId="7696" xr:uid="{C37E6194-D55F-4A23-9453-D3322F38CF0C}"/>
    <cellStyle name="Comma 18 2 3 2 8" xfId="7697" xr:uid="{720CAECF-98EA-4750-911C-814E4F183C17}"/>
    <cellStyle name="Comma 18 2 3 2 8 2" xfId="7698" xr:uid="{2E3F77A9-3BFA-4F63-9E65-8B984B38DDD4}"/>
    <cellStyle name="Comma 18 2 3 2 9" xfId="7699" xr:uid="{16FE09D0-CC47-47C6-B7DC-D46AA6FD7485}"/>
    <cellStyle name="Comma 18 2 3 2 9 2" xfId="7700" xr:uid="{A783173F-BEC5-4654-9169-E6C2B0D7C981}"/>
    <cellStyle name="Comma 18 2 3 3" xfId="7701" xr:uid="{D4D1ABC9-3390-4E85-8D94-7C4EBC19465C}"/>
    <cellStyle name="Comma 18 2 3 3 2" xfId="7702" xr:uid="{EE23691D-13F5-46C3-B610-FD73A08C2E1A}"/>
    <cellStyle name="Comma 18 2 3 3 2 2" xfId="7703" xr:uid="{F381BD3F-4A34-4751-AC94-E92CA332E7CC}"/>
    <cellStyle name="Comma 18 2 3 3 2 2 2" xfId="7704" xr:uid="{DB960A43-39AE-4AA8-980B-18E24045928C}"/>
    <cellStyle name="Comma 18 2 3 3 2 3" xfId="7705" xr:uid="{0E2C7F86-E752-4690-AB0B-8A20B6FF442D}"/>
    <cellStyle name="Comma 18 2 3 3 2 3 2" xfId="7706" xr:uid="{C5D931CC-D205-4393-BE7B-0DCF9461A2CA}"/>
    <cellStyle name="Comma 18 2 3 3 2 4" xfId="7707" xr:uid="{9FD3BB4C-C347-4F70-B0DD-249078471075}"/>
    <cellStyle name="Comma 18 2 3 3 2 4 2" xfId="7708" xr:uid="{9976C880-2EA5-4336-82A5-BF2C74731495}"/>
    <cellStyle name="Comma 18 2 3 3 2 5" xfId="7709" xr:uid="{D1DEB640-E00A-4F54-BA83-59E144203056}"/>
    <cellStyle name="Comma 18 2 3 3 3" xfId="7710" xr:uid="{C8E9FB95-6AC2-460A-8532-7C7C442327D4}"/>
    <cellStyle name="Comma 18 2 3 3 3 2" xfId="7711" xr:uid="{904FD8FF-8BB6-47B2-8A18-EF05CB3A3DB4}"/>
    <cellStyle name="Comma 18 2 3 3 3 2 2" xfId="7712" xr:uid="{6DE80989-504B-4A2B-94F9-9E4D199B8441}"/>
    <cellStyle name="Comma 18 2 3 3 3 3" xfId="7713" xr:uid="{462F159C-BE57-400A-BB39-CCCE15CE0074}"/>
    <cellStyle name="Comma 18 2 3 3 3 3 2" xfId="7714" xr:uid="{7833F1B0-B3CC-4321-BD52-0E47BED4D696}"/>
    <cellStyle name="Comma 18 2 3 3 3 4" xfId="7715" xr:uid="{4BE47AEC-8DF0-437B-A7E5-A5E771266765}"/>
    <cellStyle name="Comma 18 2 3 3 3 4 2" xfId="7716" xr:uid="{EE967CC3-06DA-4A30-B4E3-B7BEB98E2DE7}"/>
    <cellStyle name="Comma 18 2 3 3 3 5" xfId="7717" xr:uid="{489F65E0-D364-4341-A761-A3BF8B2481AD}"/>
    <cellStyle name="Comma 18 2 3 3 4" xfId="7718" xr:uid="{E36AE124-63F2-46C7-BC76-3B1E34926A03}"/>
    <cellStyle name="Comma 18 2 3 3 4 2" xfId="7719" xr:uid="{28EFD44B-53E2-45AE-8523-B0135ADD99F4}"/>
    <cellStyle name="Comma 18 2 3 3 5" xfId="7720" xr:uid="{3A6227BD-27DD-4CC6-80F0-4160B3A5FC0B}"/>
    <cellStyle name="Comma 18 2 3 3 5 2" xfId="7721" xr:uid="{6BD32FDC-79C9-4B9A-99DB-D4B3F54EC178}"/>
    <cellStyle name="Comma 18 2 3 3 6" xfId="7722" xr:uid="{8C6C2006-E31C-4AE2-95BB-1B4264D457DE}"/>
    <cellStyle name="Comma 18 2 3 3 6 2" xfId="7723" xr:uid="{CEACF613-AAE0-401F-82CC-C51368B859BB}"/>
    <cellStyle name="Comma 18 2 3 3 7" xfId="7724" xr:uid="{B8EC88A0-62E9-4F81-9327-23265D3E7639}"/>
    <cellStyle name="Comma 18 2 3 3 7 2" xfId="7725" xr:uid="{79219D57-B6EF-4F6F-A0C2-5CA739590800}"/>
    <cellStyle name="Comma 18 2 3 3 8" xfId="7726" xr:uid="{B5998BAC-2C2A-44F6-A55D-EE636505D951}"/>
    <cellStyle name="Comma 18 2 3 3 8 2" xfId="7727" xr:uid="{7714063C-2EDB-4F82-850B-908892740AB3}"/>
    <cellStyle name="Comma 18 2 3 3 9" xfId="7728" xr:uid="{310CB2F8-2FD2-4E57-A18B-91F13932CC94}"/>
    <cellStyle name="Comma 18 2 3 4" xfId="7729" xr:uid="{412F0513-A4C2-425C-8BAF-25D5DF2BD8A8}"/>
    <cellStyle name="Comma 18 2 3 4 2" xfId="7730" xr:uid="{20C0A8EC-A794-4B61-A98D-25FC04AF79E8}"/>
    <cellStyle name="Comma 18 2 3 4 2 2" xfId="7731" xr:uid="{F3B94BD8-60DD-4B9A-83C2-8B7620EDDF44}"/>
    <cellStyle name="Comma 18 2 3 4 3" xfId="7732" xr:uid="{58C9FEDA-B136-4662-A3EC-34263CA17701}"/>
    <cellStyle name="Comma 18 2 3 4 3 2" xfId="7733" xr:uid="{96AFD65B-0F3C-4864-93A5-FF703EA9D685}"/>
    <cellStyle name="Comma 18 2 3 4 4" xfId="7734" xr:uid="{8148D652-F3F6-4EBA-80EC-40DA6F5678C6}"/>
    <cellStyle name="Comma 18 2 3 4 4 2" xfId="7735" xr:uid="{C264155C-AF32-4915-8B42-FF76E1F85B61}"/>
    <cellStyle name="Comma 18 2 3 4 5" xfId="7736" xr:uid="{21CAD6B3-D237-46BF-978A-FCC2F416427E}"/>
    <cellStyle name="Comma 18 2 3 5" xfId="7737" xr:uid="{7D3EEA99-511F-491B-9449-89B0D24E37FE}"/>
    <cellStyle name="Comma 18 2 3 5 2" xfId="7738" xr:uid="{942D2DBA-7332-4470-B2F0-2A3BA39A4E47}"/>
    <cellStyle name="Comma 18 2 3 5 2 2" xfId="7739" xr:uid="{674D5FC0-A629-4D4F-8D35-7F2AB9515F3C}"/>
    <cellStyle name="Comma 18 2 3 5 3" xfId="7740" xr:uid="{34CB0B66-238B-4EAA-BB4D-CA01A2BEF05F}"/>
    <cellStyle name="Comma 18 2 3 5 3 2" xfId="7741" xr:uid="{BD625BF0-CD55-43E1-A76B-7C082EA98100}"/>
    <cellStyle name="Comma 18 2 3 5 4" xfId="7742" xr:uid="{90983991-0EC1-4A2A-A0F2-8543578DC6AC}"/>
    <cellStyle name="Comma 18 2 3 5 4 2" xfId="7743" xr:uid="{6147F763-0EC3-4AB5-933C-53BBD8AA6560}"/>
    <cellStyle name="Comma 18 2 3 5 5" xfId="7744" xr:uid="{D346E973-51D2-46D2-B3DF-1C22478D22FA}"/>
    <cellStyle name="Comma 18 2 3 6" xfId="7745" xr:uid="{F4E711CC-FE67-4D36-831C-F12901055416}"/>
    <cellStyle name="Comma 18 2 3 6 2" xfId="7746" xr:uid="{1FF070B1-9CF2-40A1-BD38-B184F263842D}"/>
    <cellStyle name="Comma 18 2 3 7" xfId="7747" xr:uid="{A0F0EC81-4371-43C4-B011-1670F4FCA19B}"/>
    <cellStyle name="Comma 18 2 3 7 2" xfId="7748" xr:uid="{93C2A33F-2BE4-4BF9-B97F-6C2E8FDA746C}"/>
    <cellStyle name="Comma 18 2 3 8" xfId="7749" xr:uid="{6942A5FD-3DA4-4C9C-B023-50846F0B3854}"/>
    <cellStyle name="Comma 18 2 3 8 2" xfId="7750" xr:uid="{E0E94A83-32C8-4A74-9046-456714D5F629}"/>
    <cellStyle name="Comma 18 2 3 9" xfId="7751" xr:uid="{D0C381B3-B116-44D5-8FE3-A93C3A216523}"/>
    <cellStyle name="Comma 18 2 3 9 2" xfId="7752" xr:uid="{D8394669-A467-4025-A145-13D81893B1C7}"/>
    <cellStyle name="Comma 18 2 4" xfId="7753" xr:uid="{922B54E8-42C7-4050-B331-9FDBE820001D}"/>
    <cellStyle name="Comma 18 2 4 10" xfId="7754" xr:uid="{53274F3F-2311-4098-9FB3-ACD37B6FBD0A}"/>
    <cellStyle name="Comma 18 2 4 10 2" xfId="7755" xr:uid="{694A8A22-247B-44C9-80F7-EFCEC173FA7D}"/>
    <cellStyle name="Comma 18 2 4 11" xfId="7756" xr:uid="{CDDE8A38-6670-44E6-968E-84D18C9367D7}"/>
    <cellStyle name="Comma 18 2 4 2" xfId="7757" xr:uid="{C1541AEC-8947-45A7-BB0E-D00D48E3D6E2}"/>
    <cellStyle name="Comma 18 2 4 2 10" xfId="7758" xr:uid="{D3AC4D7F-698F-40FD-9CDC-4138A9165D74}"/>
    <cellStyle name="Comma 18 2 4 2 2" xfId="7759" xr:uid="{12535845-49F0-473D-B1D6-BF8ADFF9B792}"/>
    <cellStyle name="Comma 18 2 4 2 2 2" xfId="7760" xr:uid="{2E2DC1DD-0216-4D86-8679-CC23A429C4C5}"/>
    <cellStyle name="Comma 18 2 4 2 2 2 2" xfId="7761" xr:uid="{6ABFF3CE-30FE-4D0F-9D9F-487503FF588A}"/>
    <cellStyle name="Comma 18 2 4 2 2 2 2 2" xfId="7762" xr:uid="{71CD426B-6649-454E-8115-5D59836DCF11}"/>
    <cellStyle name="Comma 18 2 4 2 2 2 3" xfId="7763" xr:uid="{F9C5A322-17B2-403E-A029-998F99C5F8C5}"/>
    <cellStyle name="Comma 18 2 4 2 2 2 3 2" xfId="7764" xr:uid="{FB6C0F39-08F7-49D0-826F-0D09E8828E12}"/>
    <cellStyle name="Comma 18 2 4 2 2 2 4" xfId="7765" xr:uid="{314157FA-8360-4ADC-A3D2-F0D61BFA30C7}"/>
    <cellStyle name="Comma 18 2 4 2 2 2 4 2" xfId="7766" xr:uid="{21A1784A-990E-4795-85BA-8DE5E0193D88}"/>
    <cellStyle name="Comma 18 2 4 2 2 2 5" xfId="7767" xr:uid="{01185BA7-A650-4B14-BF5C-2D4EF933FDA3}"/>
    <cellStyle name="Comma 18 2 4 2 2 3" xfId="7768" xr:uid="{6853AA67-27D4-4518-83EC-64636924C6D7}"/>
    <cellStyle name="Comma 18 2 4 2 2 3 2" xfId="7769" xr:uid="{F83FFA26-7ECF-4E72-9569-E41DE78A60C3}"/>
    <cellStyle name="Comma 18 2 4 2 2 3 2 2" xfId="7770" xr:uid="{6D3B052A-DDDB-49FA-BA53-AC9F141AB621}"/>
    <cellStyle name="Comma 18 2 4 2 2 3 3" xfId="7771" xr:uid="{0B04C54B-E17C-41D5-B586-AEE11ADC9783}"/>
    <cellStyle name="Comma 18 2 4 2 2 3 3 2" xfId="7772" xr:uid="{3C845F44-3860-47F7-85E0-EDB5B5B0B626}"/>
    <cellStyle name="Comma 18 2 4 2 2 3 4" xfId="7773" xr:uid="{FFF20C11-FF80-44FC-BA1C-B9F6BAB4AD83}"/>
    <cellStyle name="Comma 18 2 4 2 2 3 4 2" xfId="7774" xr:uid="{ADA5E315-2777-42F6-B809-1D0879C1265E}"/>
    <cellStyle name="Comma 18 2 4 2 2 3 5" xfId="7775" xr:uid="{31805512-7C90-459B-ADD6-A00E4B1B9A48}"/>
    <cellStyle name="Comma 18 2 4 2 2 4" xfId="7776" xr:uid="{2BF46BDF-A709-41DF-85E9-97A026722440}"/>
    <cellStyle name="Comma 18 2 4 2 2 4 2" xfId="7777" xr:uid="{543C5371-A1EF-41E1-9BF4-FA593BFD8ACB}"/>
    <cellStyle name="Comma 18 2 4 2 2 5" xfId="7778" xr:uid="{56E35533-F8DC-4875-9941-739C944F817B}"/>
    <cellStyle name="Comma 18 2 4 2 2 5 2" xfId="7779" xr:uid="{7F57BE23-815D-4A8C-8D63-EFCAC44A158D}"/>
    <cellStyle name="Comma 18 2 4 2 2 6" xfId="7780" xr:uid="{549B5C1F-8227-4224-9AE5-A704292F59E0}"/>
    <cellStyle name="Comma 18 2 4 2 2 6 2" xfId="7781" xr:uid="{30CBC324-C0C2-4106-BE4D-D3B11E27E611}"/>
    <cellStyle name="Comma 18 2 4 2 2 7" xfId="7782" xr:uid="{DD446708-BD6D-450C-8EF3-CC30572B874C}"/>
    <cellStyle name="Comma 18 2 4 2 2 7 2" xfId="7783" xr:uid="{914FC7B9-F494-4161-BE2E-C652C271D655}"/>
    <cellStyle name="Comma 18 2 4 2 2 8" xfId="7784" xr:uid="{E20DDEF4-7AF1-4B1D-AF4E-8ECC05FA7209}"/>
    <cellStyle name="Comma 18 2 4 2 2 8 2" xfId="7785" xr:uid="{4D05D819-690F-49F2-8E6B-3192DAC04C48}"/>
    <cellStyle name="Comma 18 2 4 2 2 9" xfId="7786" xr:uid="{8BD20B9C-3AB0-4AF7-A40A-F1B4BAFCE31A}"/>
    <cellStyle name="Comma 18 2 4 2 3" xfId="7787" xr:uid="{373D6147-20CA-4266-9C13-A72767CEF638}"/>
    <cellStyle name="Comma 18 2 4 2 3 2" xfId="7788" xr:uid="{0144AD25-6A6D-48C1-82D7-7939EBE85039}"/>
    <cellStyle name="Comma 18 2 4 2 3 2 2" xfId="7789" xr:uid="{0FE9FC59-35B9-4158-BC4A-ED247DD9A4FD}"/>
    <cellStyle name="Comma 18 2 4 2 3 3" xfId="7790" xr:uid="{D65224B9-B858-42F0-B3ED-7640AB56C3E8}"/>
    <cellStyle name="Comma 18 2 4 2 3 3 2" xfId="7791" xr:uid="{0B996631-8135-4C2A-88E9-8DA24536C638}"/>
    <cellStyle name="Comma 18 2 4 2 3 4" xfId="7792" xr:uid="{B345BBE2-BC24-4DEE-ABC4-E5D5DDDE8066}"/>
    <cellStyle name="Comma 18 2 4 2 3 4 2" xfId="7793" xr:uid="{0E94C54A-C94E-4D44-9A00-6C2CFED31D6F}"/>
    <cellStyle name="Comma 18 2 4 2 3 5" xfId="7794" xr:uid="{221EC7F6-EACE-404A-AB81-378716687008}"/>
    <cellStyle name="Comma 18 2 4 2 4" xfId="7795" xr:uid="{99F8B34A-2A21-4844-8791-E8C8F3EEA9FE}"/>
    <cellStyle name="Comma 18 2 4 2 4 2" xfId="7796" xr:uid="{C28BEFFF-3CC4-4AC6-981D-42BA0B927733}"/>
    <cellStyle name="Comma 18 2 4 2 4 2 2" xfId="7797" xr:uid="{C9FCCCFD-B182-4125-A648-B43571A5EB5A}"/>
    <cellStyle name="Comma 18 2 4 2 4 3" xfId="7798" xr:uid="{5C624F17-A9B6-4ED9-933D-0DF18EF0D19D}"/>
    <cellStyle name="Comma 18 2 4 2 4 3 2" xfId="7799" xr:uid="{16ABC9FA-84AC-486D-97C1-D3E380A922B7}"/>
    <cellStyle name="Comma 18 2 4 2 4 4" xfId="7800" xr:uid="{03B2812F-9545-49DF-BD59-5CCD14473DCA}"/>
    <cellStyle name="Comma 18 2 4 2 4 4 2" xfId="7801" xr:uid="{05BA4020-C6E9-4B00-B9B8-F1A54D7788D2}"/>
    <cellStyle name="Comma 18 2 4 2 4 5" xfId="7802" xr:uid="{B13FC72C-59EC-4C2B-B238-CF0415D5E387}"/>
    <cellStyle name="Comma 18 2 4 2 5" xfId="7803" xr:uid="{9494199B-6187-4655-8B69-AA9BEE722344}"/>
    <cellStyle name="Comma 18 2 4 2 5 2" xfId="7804" xr:uid="{E27FED2F-C38B-4BF8-8A7A-D0C5CE75F0F0}"/>
    <cellStyle name="Comma 18 2 4 2 6" xfId="7805" xr:uid="{B76A752F-C805-48D0-84AC-DE54B001549C}"/>
    <cellStyle name="Comma 18 2 4 2 6 2" xfId="7806" xr:uid="{5C2CCDF5-39C6-4904-A5E5-4412E5FD390B}"/>
    <cellStyle name="Comma 18 2 4 2 7" xfId="7807" xr:uid="{5E5AD43E-6C24-4F34-9411-9CA7F695040B}"/>
    <cellStyle name="Comma 18 2 4 2 7 2" xfId="7808" xr:uid="{704B9AEE-BDC9-43A9-8B05-E8057C681E9D}"/>
    <cellStyle name="Comma 18 2 4 2 8" xfId="7809" xr:uid="{E5A193F6-EEAF-4AB9-84AB-59AAA989FB5C}"/>
    <cellStyle name="Comma 18 2 4 2 8 2" xfId="7810" xr:uid="{34100C5E-CC4B-4550-80F1-52DB74516097}"/>
    <cellStyle name="Comma 18 2 4 2 9" xfId="7811" xr:uid="{3B979095-C46E-413C-9C8E-CC2936B64830}"/>
    <cellStyle name="Comma 18 2 4 2 9 2" xfId="7812" xr:uid="{0ABB4A6D-93E6-4097-827C-72A4A9E34C01}"/>
    <cellStyle name="Comma 18 2 4 3" xfId="7813" xr:uid="{02802673-E098-4AF6-BAE7-FD6B471BBBB1}"/>
    <cellStyle name="Comma 18 2 4 3 2" xfId="7814" xr:uid="{395BBBDA-4CD4-4A7F-B0D6-7400CA762B1F}"/>
    <cellStyle name="Comma 18 2 4 3 2 2" xfId="7815" xr:uid="{3E925A76-CC2F-4DFD-8EB2-2B4839613277}"/>
    <cellStyle name="Comma 18 2 4 3 2 2 2" xfId="7816" xr:uid="{D9115C01-C986-465E-8B58-ECFCA8F18513}"/>
    <cellStyle name="Comma 18 2 4 3 2 3" xfId="7817" xr:uid="{9EB1D4B7-17C3-44B6-BD69-D5C058DD6117}"/>
    <cellStyle name="Comma 18 2 4 3 2 3 2" xfId="7818" xr:uid="{D35B5029-0D24-401C-B676-B0377D373616}"/>
    <cellStyle name="Comma 18 2 4 3 2 4" xfId="7819" xr:uid="{71C9473B-FC07-48F3-BAEF-B8F0A5FD8B27}"/>
    <cellStyle name="Comma 18 2 4 3 2 4 2" xfId="7820" xr:uid="{3EBF3533-17AE-4888-BA40-C002C5072219}"/>
    <cellStyle name="Comma 18 2 4 3 2 5" xfId="7821" xr:uid="{3613F07A-8468-4BE7-AAE2-4737B2A9864E}"/>
    <cellStyle name="Comma 18 2 4 3 3" xfId="7822" xr:uid="{E51485B0-40A5-4163-A414-E1D29753D4F6}"/>
    <cellStyle name="Comma 18 2 4 3 3 2" xfId="7823" xr:uid="{95AA34D3-C0C7-478F-AF21-D744DA653FEF}"/>
    <cellStyle name="Comma 18 2 4 3 3 2 2" xfId="7824" xr:uid="{E5D82A1E-9DF4-4F27-9A13-2F659E896A93}"/>
    <cellStyle name="Comma 18 2 4 3 3 3" xfId="7825" xr:uid="{4A209864-3B31-4CAD-BFF1-CB9559AC6217}"/>
    <cellStyle name="Comma 18 2 4 3 3 3 2" xfId="7826" xr:uid="{6DAE7921-03C7-4BB9-A613-5769453C85C3}"/>
    <cellStyle name="Comma 18 2 4 3 3 4" xfId="7827" xr:uid="{E8A40111-2D46-4EB1-A92B-C805FE66B374}"/>
    <cellStyle name="Comma 18 2 4 3 3 4 2" xfId="7828" xr:uid="{02D1995A-271E-46D5-9F17-AB440E53096C}"/>
    <cellStyle name="Comma 18 2 4 3 3 5" xfId="7829" xr:uid="{7366F986-F3E3-4407-9F43-D252696323CB}"/>
    <cellStyle name="Comma 18 2 4 3 4" xfId="7830" xr:uid="{5C8C1BA4-D8FC-48B3-84F6-39B02158F20A}"/>
    <cellStyle name="Comma 18 2 4 3 4 2" xfId="7831" xr:uid="{1A7621B0-98A6-4534-A1EE-A91F71713080}"/>
    <cellStyle name="Comma 18 2 4 3 5" xfId="7832" xr:uid="{5EB286B6-3A32-42FF-A8B8-423C35DCA695}"/>
    <cellStyle name="Comma 18 2 4 3 5 2" xfId="7833" xr:uid="{06DA2853-C862-4A43-B23D-0DA3B234465D}"/>
    <cellStyle name="Comma 18 2 4 3 6" xfId="7834" xr:uid="{59E03C18-5F42-4F1D-9B5E-D7FE53BACC26}"/>
    <cellStyle name="Comma 18 2 4 3 6 2" xfId="7835" xr:uid="{ACE765EC-3905-47AF-8A7F-3FB397F2EE2C}"/>
    <cellStyle name="Comma 18 2 4 3 7" xfId="7836" xr:uid="{95B8C66C-BB5E-482D-9E3C-58D444E2AA90}"/>
    <cellStyle name="Comma 18 2 4 3 7 2" xfId="7837" xr:uid="{15C28FF0-B1E6-40C0-B458-A8A4CEC5307A}"/>
    <cellStyle name="Comma 18 2 4 3 8" xfId="7838" xr:uid="{5C8367BD-0187-43A9-B1B2-21985DD81A24}"/>
    <cellStyle name="Comma 18 2 4 3 8 2" xfId="7839" xr:uid="{0FB0EDDE-58B8-486C-94E7-E94985FC8742}"/>
    <cellStyle name="Comma 18 2 4 3 9" xfId="7840" xr:uid="{63638D5D-2D1A-49A4-B838-802E6804E395}"/>
    <cellStyle name="Comma 18 2 4 4" xfId="7841" xr:uid="{36420AA1-8991-4BB7-81C9-049F24CF7783}"/>
    <cellStyle name="Comma 18 2 4 4 2" xfId="7842" xr:uid="{935FF76D-8368-4BDE-8171-358935513510}"/>
    <cellStyle name="Comma 18 2 4 4 2 2" xfId="7843" xr:uid="{2233E270-AA57-4247-AE77-2DAFC7213195}"/>
    <cellStyle name="Comma 18 2 4 4 3" xfId="7844" xr:uid="{8A5D886C-72D9-45A2-A610-25835C718449}"/>
    <cellStyle name="Comma 18 2 4 4 3 2" xfId="7845" xr:uid="{D07BADB5-3EAC-4BC0-AC62-DB97444F90FD}"/>
    <cellStyle name="Comma 18 2 4 4 4" xfId="7846" xr:uid="{CCA46478-C4A6-4CB2-8F51-532990AF218C}"/>
    <cellStyle name="Comma 18 2 4 4 4 2" xfId="7847" xr:uid="{4C21BCE5-7617-474E-877E-E1D1EBE66360}"/>
    <cellStyle name="Comma 18 2 4 4 5" xfId="7848" xr:uid="{7BD53273-733C-4AB2-9853-7383023BBB0A}"/>
    <cellStyle name="Comma 18 2 4 5" xfId="7849" xr:uid="{8E5F4A85-AF59-4251-B743-BB407786B184}"/>
    <cellStyle name="Comma 18 2 4 5 2" xfId="7850" xr:uid="{027D6D1C-C5F4-4585-83CB-F1FEAE810729}"/>
    <cellStyle name="Comma 18 2 4 5 2 2" xfId="7851" xr:uid="{85933857-6998-40CE-A49B-A77B3370D706}"/>
    <cellStyle name="Comma 18 2 4 5 3" xfId="7852" xr:uid="{77AA23D7-7346-465C-90AF-4749E921394B}"/>
    <cellStyle name="Comma 18 2 4 5 3 2" xfId="7853" xr:uid="{CF18B4FB-A299-49FD-9650-1E90F7D361E4}"/>
    <cellStyle name="Comma 18 2 4 5 4" xfId="7854" xr:uid="{ACE2A163-2884-46A2-89E6-CBCDEB6CE301}"/>
    <cellStyle name="Comma 18 2 4 5 4 2" xfId="7855" xr:uid="{3E0B662B-33F0-4AD7-B0B2-C9E1E2A642B1}"/>
    <cellStyle name="Comma 18 2 4 5 5" xfId="7856" xr:uid="{D62D8FFB-011F-472F-A17C-0D5266AE9784}"/>
    <cellStyle name="Comma 18 2 4 6" xfId="7857" xr:uid="{9B0E3B9C-2F95-414E-ACCD-D3ACBF2FFEFD}"/>
    <cellStyle name="Comma 18 2 4 6 2" xfId="7858" xr:uid="{1AD1794F-B3B1-47EC-A4DA-2B53D36EDA49}"/>
    <cellStyle name="Comma 18 2 4 7" xfId="7859" xr:uid="{D62749FC-E0AB-466F-BB9B-D8BCE87ED58F}"/>
    <cellStyle name="Comma 18 2 4 7 2" xfId="7860" xr:uid="{BA43AC23-6B79-4B26-9C7C-1AE8F86B9623}"/>
    <cellStyle name="Comma 18 2 4 8" xfId="7861" xr:uid="{BFA0F264-DD3B-4C81-BB00-E62699712F26}"/>
    <cellStyle name="Comma 18 2 4 8 2" xfId="7862" xr:uid="{A64AC405-6CAE-4F62-80F1-94E88B5431DC}"/>
    <cellStyle name="Comma 18 2 4 9" xfId="7863" xr:uid="{C389170F-5A9C-4782-A1A7-05335329DFE1}"/>
    <cellStyle name="Comma 18 2 4 9 2" xfId="7864" xr:uid="{1ECBD462-FD51-4D46-960A-744C7674761D}"/>
    <cellStyle name="Comma 18 2 5" xfId="7865" xr:uid="{AF4AB9DF-E472-4785-8494-7928527D70FD}"/>
    <cellStyle name="Comma 18 2 5 10" xfId="7866" xr:uid="{71BD1C4E-81F5-4B91-A2F2-A42E7386D067}"/>
    <cellStyle name="Comma 18 2 5 10 2" xfId="7867" xr:uid="{7EC4CE58-2B5A-489F-8B8C-33685E97B919}"/>
    <cellStyle name="Comma 18 2 5 11" xfId="7868" xr:uid="{388C4291-277C-40A2-BBD8-56A43A61FED5}"/>
    <cellStyle name="Comma 18 2 5 2" xfId="7869" xr:uid="{2F14F7B7-A335-48A6-8357-6AA77AB04AD7}"/>
    <cellStyle name="Comma 18 2 5 2 10" xfId="7870" xr:uid="{1DC44EFC-43BB-442E-8A22-06A9F1DDB2CA}"/>
    <cellStyle name="Comma 18 2 5 2 2" xfId="7871" xr:uid="{1E2F5331-0B04-4CDA-BF88-639BD6E161CA}"/>
    <cellStyle name="Comma 18 2 5 2 2 2" xfId="7872" xr:uid="{B94CF5CF-2B39-4CB5-B639-6925C6EF3D5D}"/>
    <cellStyle name="Comma 18 2 5 2 2 2 2" xfId="7873" xr:uid="{DC84B8CB-B62C-4070-9F32-02FE9290F0B3}"/>
    <cellStyle name="Comma 18 2 5 2 2 2 2 2" xfId="7874" xr:uid="{CDA563C1-F11F-4E00-9E2A-C4811A24E000}"/>
    <cellStyle name="Comma 18 2 5 2 2 2 3" xfId="7875" xr:uid="{39A7C7F4-A086-4A1B-A188-6007D7A13B97}"/>
    <cellStyle name="Comma 18 2 5 2 2 2 3 2" xfId="7876" xr:uid="{39322CFA-4847-4F3A-8E10-4E1435EDE6E1}"/>
    <cellStyle name="Comma 18 2 5 2 2 2 4" xfId="7877" xr:uid="{C67CFD20-1B56-4412-A199-B78EF1867C37}"/>
    <cellStyle name="Comma 18 2 5 2 2 2 4 2" xfId="7878" xr:uid="{06188545-8270-4645-9477-6004D98DA138}"/>
    <cellStyle name="Comma 18 2 5 2 2 2 5" xfId="7879" xr:uid="{4E86D7AD-3441-44FC-9C81-FD8EB0B2FD76}"/>
    <cellStyle name="Comma 18 2 5 2 2 3" xfId="7880" xr:uid="{A8A5B455-62B9-473A-9775-90803A004D87}"/>
    <cellStyle name="Comma 18 2 5 2 2 3 2" xfId="7881" xr:uid="{E504CF7B-C621-43CE-9F78-357D83646847}"/>
    <cellStyle name="Comma 18 2 5 2 2 3 2 2" xfId="7882" xr:uid="{03284CBB-191A-4459-A60E-FEF8BC0F2D99}"/>
    <cellStyle name="Comma 18 2 5 2 2 3 3" xfId="7883" xr:uid="{F28AE20E-EDFD-417C-AA00-F8FA6775B852}"/>
    <cellStyle name="Comma 18 2 5 2 2 3 3 2" xfId="7884" xr:uid="{C34DAB3C-DCE0-41DD-AA35-AC08C136B8A2}"/>
    <cellStyle name="Comma 18 2 5 2 2 3 4" xfId="7885" xr:uid="{83744DE9-F6DB-4F4A-B988-09B20B644E5A}"/>
    <cellStyle name="Comma 18 2 5 2 2 3 4 2" xfId="7886" xr:uid="{26EEFB24-9B6F-418C-9B99-7DE38C680E06}"/>
    <cellStyle name="Comma 18 2 5 2 2 3 5" xfId="7887" xr:uid="{E6B8E698-C9A6-4E31-BB27-107F6390FB1A}"/>
    <cellStyle name="Comma 18 2 5 2 2 4" xfId="7888" xr:uid="{9453E941-BB8F-4EA9-8A62-BC1E1C8E9CFA}"/>
    <cellStyle name="Comma 18 2 5 2 2 4 2" xfId="7889" xr:uid="{236389E4-9AE8-4D5F-8796-B4872606968E}"/>
    <cellStyle name="Comma 18 2 5 2 2 5" xfId="7890" xr:uid="{E012D7A3-7CA8-40B0-9934-A191D2E21BF3}"/>
    <cellStyle name="Comma 18 2 5 2 2 5 2" xfId="7891" xr:uid="{28716803-75CC-4ACB-9A3A-66DC1980E8D7}"/>
    <cellStyle name="Comma 18 2 5 2 2 6" xfId="7892" xr:uid="{7094CA2B-4AC0-421F-942C-DE2DB7158968}"/>
    <cellStyle name="Comma 18 2 5 2 2 6 2" xfId="7893" xr:uid="{6FE1D574-B4F4-490A-AF6D-EA852DA75EF9}"/>
    <cellStyle name="Comma 18 2 5 2 2 7" xfId="7894" xr:uid="{9062D08F-8A60-4BDA-ADA2-5D1C681E3913}"/>
    <cellStyle name="Comma 18 2 5 2 2 7 2" xfId="7895" xr:uid="{2214176C-3004-4AC8-9394-E9AE06394A35}"/>
    <cellStyle name="Comma 18 2 5 2 2 8" xfId="7896" xr:uid="{6C7FBF6E-69C7-40FB-8AA2-67E1101FB793}"/>
    <cellStyle name="Comma 18 2 5 2 2 8 2" xfId="7897" xr:uid="{0367786B-DE47-4D5E-ACC0-2625AB387569}"/>
    <cellStyle name="Comma 18 2 5 2 2 9" xfId="7898" xr:uid="{E8FDB101-8F36-4938-A84F-3F393BE4BF0C}"/>
    <cellStyle name="Comma 18 2 5 2 3" xfId="7899" xr:uid="{616B3B7D-D632-45A4-AAC0-683B12706D1B}"/>
    <cellStyle name="Comma 18 2 5 2 3 2" xfId="7900" xr:uid="{F107B685-5057-4C86-84A7-AC77784DF449}"/>
    <cellStyle name="Comma 18 2 5 2 3 2 2" xfId="7901" xr:uid="{2DCAA98A-BDB7-4B5D-9C64-071DEED70AB4}"/>
    <cellStyle name="Comma 18 2 5 2 3 3" xfId="7902" xr:uid="{3ABF4C40-43F7-4BE3-A7E9-A77A843587EE}"/>
    <cellStyle name="Comma 18 2 5 2 3 3 2" xfId="7903" xr:uid="{C0FDCF55-EEB3-4584-84CB-69603B95E97B}"/>
    <cellStyle name="Comma 18 2 5 2 3 4" xfId="7904" xr:uid="{8F3A131C-1E87-4C32-8FC4-B0B40BAF5975}"/>
    <cellStyle name="Comma 18 2 5 2 3 4 2" xfId="7905" xr:uid="{8664B5E3-D2E9-48CF-9B7D-B19ADC5BC738}"/>
    <cellStyle name="Comma 18 2 5 2 3 5" xfId="7906" xr:uid="{7D80B9E8-85ED-4BBD-B748-6C7D22C7382C}"/>
    <cellStyle name="Comma 18 2 5 2 4" xfId="7907" xr:uid="{DF5D17B3-774E-4971-9B6A-829D1778A03F}"/>
    <cellStyle name="Comma 18 2 5 2 4 2" xfId="7908" xr:uid="{89A03BA2-7B96-453D-A4A8-AFF75F1FFFDF}"/>
    <cellStyle name="Comma 18 2 5 2 4 2 2" xfId="7909" xr:uid="{623181EA-CC91-4ECB-8B5B-FD677B0B71AC}"/>
    <cellStyle name="Comma 18 2 5 2 4 3" xfId="7910" xr:uid="{69B4FBC3-53F8-4824-B68A-CC18931179B4}"/>
    <cellStyle name="Comma 18 2 5 2 4 3 2" xfId="7911" xr:uid="{38884AA9-241E-407E-B8D7-A41D3546FFAC}"/>
    <cellStyle name="Comma 18 2 5 2 4 4" xfId="7912" xr:uid="{61827EA2-E187-4301-9588-AF24D1E9964C}"/>
    <cellStyle name="Comma 18 2 5 2 4 4 2" xfId="7913" xr:uid="{FC4BBED3-E6F3-430A-9A02-069A9CFE65F3}"/>
    <cellStyle name="Comma 18 2 5 2 4 5" xfId="7914" xr:uid="{9F0DE17B-561A-4C3E-85DB-32FD8E584AFF}"/>
    <cellStyle name="Comma 18 2 5 2 5" xfId="7915" xr:uid="{6668341D-C046-4760-AA37-6AA678BDE8F6}"/>
    <cellStyle name="Comma 18 2 5 2 5 2" xfId="7916" xr:uid="{EA3602A8-4F98-472A-A80A-F9EA5B1F237E}"/>
    <cellStyle name="Comma 18 2 5 2 6" xfId="7917" xr:uid="{82E212C4-8100-4844-9F21-8B8DB3D2301D}"/>
    <cellStyle name="Comma 18 2 5 2 6 2" xfId="7918" xr:uid="{EC72D898-854F-40D0-96B8-CA646FDC0543}"/>
    <cellStyle name="Comma 18 2 5 2 7" xfId="7919" xr:uid="{305B3BC6-6C8B-47F9-8DD7-CD547930755B}"/>
    <cellStyle name="Comma 18 2 5 2 7 2" xfId="7920" xr:uid="{12AF5834-4C15-472D-AA63-BC3C650654DF}"/>
    <cellStyle name="Comma 18 2 5 2 8" xfId="7921" xr:uid="{E616D400-5385-4AF3-BB44-A6A47462A933}"/>
    <cellStyle name="Comma 18 2 5 2 8 2" xfId="7922" xr:uid="{510CC5A5-7F32-4E80-8E5C-93DB63B5DAEA}"/>
    <cellStyle name="Comma 18 2 5 2 9" xfId="7923" xr:uid="{9A6D7596-4A3D-429C-8A00-8272E128A35B}"/>
    <cellStyle name="Comma 18 2 5 2 9 2" xfId="7924" xr:uid="{F6B59C5F-8D54-4F00-9527-0376F07F276F}"/>
    <cellStyle name="Comma 18 2 5 3" xfId="7925" xr:uid="{363DA64E-DA84-4752-8E64-7832252A1ED6}"/>
    <cellStyle name="Comma 18 2 5 3 2" xfId="7926" xr:uid="{F1E62E01-0D5F-43D9-A8CB-3C9A17E68FA7}"/>
    <cellStyle name="Comma 18 2 5 3 2 2" xfId="7927" xr:uid="{8BD3C3C1-FECA-4C1B-9925-9EC28F652109}"/>
    <cellStyle name="Comma 18 2 5 3 2 2 2" xfId="7928" xr:uid="{EE01EF53-8C20-4BAC-8B91-BE8952CD9B81}"/>
    <cellStyle name="Comma 18 2 5 3 2 3" xfId="7929" xr:uid="{6E09F50B-E522-466A-8E55-BD83C4B857D8}"/>
    <cellStyle name="Comma 18 2 5 3 2 3 2" xfId="7930" xr:uid="{341CA973-2B72-4A1F-A30E-0BDE9B7EBDBD}"/>
    <cellStyle name="Comma 18 2 5 3 2 4" xfId="7931" xr:uid="{D9E596AB-7844-454F-9656-5EC1B7EE256A}"/>
    <cellStyle name="Comma 18 2 5 3 2 4 2" xfId="7932" xr:uid="{87A95816-424C-4E62-8D75-C994C5C20C04}"/>
    <cellStyle name="Comma 18 2 5 3 2 5" xfId="7933" xr:uid="{FD51AB9A-07F9-44C3-A214-D48CC8F91349}"/>
    <cellStyle name="Comma 18 2 5 3 3" xfId="7934" xr:uid="{6591A55A-5139-4F92-9CD2-0D26D698C968}"/>
    <cellStyle name="Comma 18 2 5 3 3 2" xfId="7935" xr:uid="{D71E18FF-A6B2-47E1-ADE8-38544F07619E}"/>
    <cellStyle name="Comma 18 2 5 3 3 2 2" xfId="7936" xr:uid="{B64E7C84-7985-4E56-82D5-5AA123F3B663}"/>
    <cellStyle name="Comma 18 2 5 3 3 3" xfId="7937" xr:uid="{CD6099FE-D39F-4FF1-AE79-2F141A05239D}"/>
    <cellStyle name="Comma 18 2 5 3 3 3 2" xfId="7938" xr:uid="{3C43DC8F-6E01-4716-B890-2D7D85A7D030}"/>
    <cellStyle name="Comma 18 2 5 3 3 4" xfId="7939" xr:uid="{B9E81FEC-6786-4277-B708-A86EEB15747A}"/>
    <cellStyle name="Comma 18 2 5 3 3 4 2" xfId="7940" xr:uid="{C34BCCF7-885B-405C-93BB-7AAD7C62B802}"/>
    <cellStyle name="Comma 18 2 5 3 3 5" xfId="7941" xr:uid="{02DB91FC-B813-4950-8C26-16AA6F72DEE1}"/>
    <cellStyle name="Comma 18 2 5 3 4" xfId="7942" xr:uid="{94BFC5C4-8454-49AD-BAD0-794940788E96}"/>
    <cellStyle name="Comma 18 2 5 3 4 2" xfId="7943" xr:uid="{36E859A9-8CFF-4C62-8D68-FA894EB2CBA5}"/>
    <cellStyle name="Comma 18 2 5 3 5" xfId="7944" xr:uid="{4301766F-ECD6-4B9F-9C78-3CFA0154BFB5}"/>
    <cellStyle name="Comma 18 2 5 3 5 2" xfId="7945" xr:uid="{CF54D24E-5DFA-4C18-A82C-5CE5292CD667}"/>
    <cellStyle name="Comma 18 2 5 3 6" xfId="7946" xr:uid="{E7806829-9164-45BB-B466-3F106E82BC3A}"/>
    <cellStyle name="Comma 18 2 5 3 6 2" xfId="7947" xr:uid="{70DF2D2E-3214-4F9E-8BDD-9928C8D661C2}"/>
    <cellStyle name="Comma 18 2 5 3 7" xfId="7948" xr:uid="{DE49D26A-7F99-40B3-922E-8FEDF065F978}"/>
    <cellStyle name="Comma 18 2 5 3 7 2" xfId="7949" xr:uid="{FC50F835-B329-471B-BEE5-840279BD1661}"/>
    <cellStyle name="Comma 18 2 5 3 8" xfId="7950" xr:uid="{E6EEC840-BA41-4366-A4DA-BF6A67305FAF}"/>
    <cellStyle name="Comma 18 2 5 3 8 2" xfId="7951" xr:uid="{717CDD3A-5249-446B-A97D-68EC40E3117F}"/>
    <cellStyle name="Comma 18 2 5 3 9" xfId="7952" xr:uid="{BF49EC76-BB93-4CD5-A778-8A688D910538}"/>
    <cellStyle name="Comma 18 2 5 4" xfId="7953" xr:uid="{E2D6927C-5999-483B-B1DA-901303B1E8C6}"/>
    <cellStyle name="Comma 18 2 5 4 2" xfId="7954" xr:uid="{6A68ABCF-7A23-4BFD-B5E4-9420E2DF4BCF}"/>
    <cellStyle name="Comma 18 2 5 4 2 2" xfId="7955" xr:uid="{F54F5451-7B2B-47A8-9381-C054B1882E05}"/>
    <cellStyle name="Comma 18 2 5 4 3" xfId="7956" xr:uid="{4FC5F969-DC89-40B7-A261-382E39EC3713}"/>
    <cellStyle name="Comma 18 2 5 4 3 2" xfId="7957" xr:uid="{21610E22-C287-44F0-A1FE-8AFC28A6BC7E}"/>
    <cellStyle name="Comma 18 2 5 4 4" xfId="7958" xr:uid="{B926BB08-A135-46F2-96A3-44D40D26BFE2}"/>
    <cellStyle name="Comma 18 2 5 4 4 2" xfId="7959" xr:uid="{A28314AB-2156-4DF9-B25E-E6A4F8CACBED}"/>
    <cellStyle name="Comma 18 2 5 4 5" xfId="7960" xr:uid="{394B6998-4606-4962-8020-5357A49729FE}"/>
    <cellStyle name="Comma 18 2 5 5" xfId="7961" xr:uid="{D8BE871B-88FD-41DE-A9E7-5EFC5FE40805}"/>
    <cellStyle name="Comma 18 2 5 5 2" xfId="7962" xr:uid="{58AF3813-5901-4766-B011-D8DEA6BB2C7D}"/>
    <cellStyle name="Comma 18 2 5 5 2 2" xfId="7963" xr:uid="{3A60C600-A45A-41B6-8977-36339C295EB1}"/>
    <cellStyle name="Comma 18 2 5 5 3" xfId="7964" xr:uid="{AC1C16CC-F250-408B-8371-F74F3F3ABE8F}"/>
    <cellStyle name="Comma 18 2 5 5 3 2" xfId="7965" xr:uid="{81A821CA-1F2A-42E5-A883-53529D30A05F}"/>
    <cellStyle name="Comma 18 2 5 5 4" xfId="7966" xr:uid="{89848D4B-74F8-4E74-818A-8577FAD4E2FE}"/>
    <cellStyle name="Comma 18 2 5 5 4 2" xfId="7967" xr:uid="{126788E3-0DEB-4255-899B-7525DC713D80}"/>
    <cellStyle name="Comma 18 2 5 5 5" xfId="7968" xr:uid="{2C032897-6576-4882-B1D9-7609411CBE35}"/>
    <cellStyle name="Comma 18 2 5 6" xfId="7969" xr:uid="{A6A4CD0F-24AD-485D-8CE0-6D542C10EE4D}"/>
    <cellStyle name="Comma 18 2 5 6 2" xfId="7970" xr:uid="{90975C02-CB31-4DAA-B2BB-B4DBE6B2D8D7}"/>
    <cellStyle name="Comma 18 2 5 7" xfId="7971" xr:uid="{9EF49A5B-1100-4CC5-800D-56C391B38D1E}"/>
    <cellStyle name="Comma 18 2 5 7 2" xfId="7972" xr:uid="{D6358381-B641-434F-B4C9-DF1660FD462E}"/>
    <cellStyle name="Comma 18 2 5 8" xfId="7973" xr:uid="{FF7BDB41-6D02-4501-BDE2-C9622650C2E5}"/>
    <cellStyle name="Comma 18 2 5 8 2" xfId="7974" xr:uid="{A748C49E-9DD5-4EB1-8A07-49C33EAC247D}"/>
    <cellStyle name="Comma 18 2 5 9" xfId="7975" xr:uid="{C822070E-E29F-412A-88CC-A287B64A8CC7}"/>
    <cellStyle name="Comma 18 2 5 9 2" xfId="7976" xr:uid="{213B9016-76EC-4BF4-9DDE-67578F83E554}"/>
    <cellStyle name="Comma 18 2 6" xfId="7977" xr:uid="{88D46EF9-88C7-470E-B9F8-7D7B46889AC1}"/>
    <cellStyle name="Comma 18 2 6 10" xfId="7978" xr:uid="{AB3F27E6-2784-48C0-B527-198ACB4C9943}"/>
    <cellStyle name="Comma 18 2 6 2" xfId="7979" xr:uid="{2F11B67B-48F3-4A01-A6D8-931C8B05BBEA}"/>
    <cellStyle name="Comma 18 2 6 2 2" xfId="7980" xr:uid="{CF579CB8-5588-4FCC-8367-2EB48451E85C}"/>
    <cellStyle name="Comma 18 2 6 2 2 2" xfId="7981" xr:uid="{3158B817-0473-4801-A4DC-3FA94969F56A}"/>
    <cellStyle name="Comma 18 2 6 2 2 2 2" xfId="7982" xr:uid="{D01076E8-ACB3-4B95-B95C-695CF04CEBCB}"/>
    <cellStyle name="Comma 18 2 6 2 2 3" xfId="7983" xr:uid="{1AF3F845-D41E-4476-8B12-94CD65CE452F}"/>
    <cellStyle name="Comma 18 2 6 2 2 3 2" xfId="7984" xr:uid="{65DF652B-A911-4F02-B570-03BF5B581BB7}"/>
    <cellStyle name="Comma 18 2 6 2 2 4" xfId="7985" xr:uid="{0AA2F03D-F6D1-4BB7-8B96-29C59DFD9496}"/>
    <cellStyle name="Comma 18 2 6 2 2 4 2" xfId="7986" xr:uid="{70C48AAB-B92E-465A-8982-A83AD0C00AAA}"/>
    <cellStyle name="Comma 18 2 6 2 2 5" xfId="7987" xr:uid="{037A6A53-3AD5-4AEA-A2DE-F5A2501EBCA5}"/>
    <cellStyle name="Comma 18 2 6 2 3" xfId="7988" xr:uid="{8FC0B954-24AB-4A90-82ED-A56855FAAA92}"/>
    <cellStyle name="Comma 18 2 6 2 3 2" xfId="7989" xr:uid="{87748183-2187-46F5-8E05-910357F28DAA}"/>
    <cellStyle name="Comma 18 2 6 2 3 2 2" xfId="7990" xr:uid="{43264357-CF24-443D-B7AA-DA08F9BF9604}"/>
    <cellStyle name="Comma 18 2 6 2 3 3" xfId="7991" xr:uid="{68015BB0-30C4-4FFE-B7D6-2C222DF873FF}"/>
    <cellStyle name="Comma 18 2 6 2 3 3 2" xfId="7992" xr:uid="{12C850AB-BED4-44F6-B9F8-7FC3E886F0E8}"/>
    <cellStyle name="Comma 18 2 6 2 3 4" xfId="7993" xr:uid="{04DAE688-C5DE-48E3-AA49-EEF4170A3203}"/>
    <cellStyle name="Comma 18 2 6 2 3 4 2" xfId="7994" xr:uid="{71A95AC1-623E-432E-9C85-183DAE461747}"/>
    <cellStyle name="Comma 18 2 6 2 3 5" xfId="7995" xr:uid="{977F1314-D48C-4247-81EA-D5A98E23618D}"/>
    <cellStyle name="Comma 18 2 6 2 4" xfId="7996" xr:uid="{A2719142-E7F3-4E2B-99BF-8B2F8632C184}"/>
    <cellStyle name="Comma 18 2 6 2 4 2" xfId="7997" xr:uid="{5DA6ECBF-FCB5-43B0-AE59-F963B95B91CF}"/>
    <cellStyle name="Comma 18 2 6 2 5" xfId="7998" xr:uid="{67B7E5E4-28CA-496E-8AAF-23DF4931A650}"/>
    <cellStyle name="Comma 18 2 6 2 5 2" xfId="7999" xr:uid="{DDBF043C-AECC-4F03-9BA5-2EE2A9D0DC8C}"/>
    <cellStyle name="Comma 18 2 6 2 6" xfId="8000" xr:uid="{658E9EA1-49CB-4FED-AB7D-B8BD836D717A}"/>
    <cellStyle name="Comma 18 2 6 2 6 2" xfId="8001" xr:uid="{1C04A980-4A8C-406C-A07A-0070BCD71F5F}"/>
    <cellStyle name="Comma 18 2 6 2 7" xfId="8002" xr:uid="{EFEAD6F2-1F23-477D-ADD7-882ACA094364}"/>
    <cellStyle name="Comma 18 2 6 2 7 2" xfId="8003" xr:uid="{A9CE8386-DF36-4542-A908-80E6F51209E9}"/>
    <cellStyle name="Comma 18 2 6 2 8" xfId="8004" xr:uid="{195208CF-E5DA-4619-9C40-B13F2BB492CE}"/>
    <cellStyle name="Comma 18 2 6 2 8 2" xfId="8005" xr:uid="{ADD9B5AC-0EE6-4F11-B2EF-03B720689F65}"/>
    <cellStyle name="Comma 18 2 6 2 9" xfId="8006" xr:uid="{42A44F2B-74DC-4382-8FCF-B837325D3184}"/>
    <cellStyle name="Comma 18 2 6 3" xfId="8007" xr:uid="{932EB156-F9F3-4E36-BF1C-B625499B4CA0}"/>
    <cellStyle name="Comma 18 2 6 3 2" xfId="8008" xr:uid="{4B901E0D-4231-4985-ADE6-73B7008EB47C}"/>
    <cellStyle name="Comma 18 2 6 3 2 2" xfId="8009" xr:uid="{50576AAC-B88E-48D3-B810-1438F069888E}"/>
    <cellStyle name="Comma 18 2 6 3 3" xfId="8010" xr:uid="{3AF144CB-20AF-4C8B-B0D6-98E69FBCABCF}"/>
    <cellStyle name="Comma 18 2 6 3 3 2" xfId="8011" xr:uid="{1F75069E-AD91-4746-A9D9-0BBDDE4930E9}"/>
    <cellStyle name="Comma 18 2 6 3 4" xfId="8012" xr:uid="{C061DA1E-EF69-4768-BA41-113D220E0BE8}"/>
    <cellStyle name="Comma 18 2 6 3 4 2" xfId="8013" xr:uid="{2EEBFE24-E437-4300-B2A7-53169B1EB9A5}"/>
    <cellStyle name="Comma 18 2 6 3 5" xfId="8014" xr:uid="{173E4877-FCD3-491B-AD94-DCDEFAC76860}"/>
    <cellStyle name="Comma 18 2 6 4" xfId="8015" xr:uid="{A20781A1-FA91-450A-B195-62AE5FC07614}"/>
    <cellStyle name="Comma 18 2 6 4 2" xfId="8016" xr:uid="{B8E0A3AC-2652-4FAC-8970-7DC95AD4B52D}"/>
    <cellStyle name="Comma 18 2 6 4 2 2" xfId="8017" xr:uid="{0BAFBDEB-1DE1-4951-BB67-670F0DEE02BB}"/>
    <cellStyle name="Comma 18 2 6 4 3" xfId="8018" xr:uid="{66AC5EBF-2B0B-45E1-8F3A-E0C85F80EBE7}"/>
    <cellStyle name="Comma 18 2 6 4 3 2" xfId="8019" xr:uid="{5046B53A-767B-452E-8BB7-8A83F28064FE}"/>
    <cellStyle name="Comma 18 2 6 4 4" xfId="8020" xr:uid="{1A865638-8A81-4AA4-B591-5FB4792DCE4E}"/>
    <cellStyle name="Comma 18 2 6 4 4 2" xfId="8021" xr:uid="{AF5E41D0-3004-4A53-9F09-B34001FA7DA2}"/>
    <cellStyle name="Comma 18 2 6 4 5" xfId="8022" xr:uid="{CA62B5A4-A566-4155-BCED-A802F9ECCA92}"/>
    <cellStyle name="Comma 18 2 6 5" xfId="8023" xr:uid="{FB6E571D-647E-4C36-81A4-4637AD1D8451}"/>
    <cellStyle name="Comma 18 2 6 5 2" xfId="8024" xr:uid="{7E957D33-462D-4CE1-B0C6-90B850C6EDEE}"/>
    <cellStyle name="Comma 18 2 6 6" xfId="8025" xr:uid="{76B4FB34-6A54-4DAF-B7E6-F4E6140AB77F}"/>
    <cellStyle name="Comma 18 2 6 6 2" xfId="8026" xr:uid="{02B66D32-28B0-43E9-B4E3-399D2B15FE59}"/>
    <cellStyle name="Comma 18 2 6 7" xfId="8027" xr:uid="{AA395F05-188C-4DAA-A39D-4B22D808015D}"/>
    <cellStyle name="Comma 18 2 6 7 2" xfId="8028" xr:uid="{DD02C875-FBD8-4F55-A813-E196C5DA3C91}"/>
    <cellStyle name="Comma 18 2 6 8" xfId="8029" xr:uid="{47C9D992-16E3-4BE4-A017-112A8BE7385F}"/>
    <cellStyle name="Comma 18 2 6 8 2" xfId="8030" xr:uid="{6281075E-48C5-4C8B-B106-8C2ED8279221}"/>
    <cellStyle name="Comma 18 2 6 9" xfId="8031" xr:uid="{EF9C988E-BD30-4DDF-94B0-3D697A29E009}"/>
    <cellStyle name="Comma 18 2 6 9 2" xfId="8032" xr:uid="{4643A7E4-BC16-4F27-9087-29BB0237733B}"/>
    <cellStyle name="Comma 18 2 7" xfId="8033" xr:uid="{50D2F98D-4CE0-4610-B2FE-738588627E76}"/>
    <cellStyle name="Comma 18 2 7 2" xfId="8034" xr:uid="{085E9C14-709A-4994-8938-A184E3736C87}"/>
    <cellStyle name="Comma 18 2 7 2 2" xfId="8035" xr:uid="{0CC3671F-05BC-48DF-84BF-0390B2E19AC3}"/>
    <cellStyle name="Comma 18 2 7 2 2 2" xfId="8036" xr:uid="{5A05C8C0-A41D-4CA3-AC5E-48EA89BE0670}"/>
    <cellStyle name="Comma 18 2 7 2 3" xfId="8037" xr:uid="{8505EBC7-8BE2-46EF-B861-9B1D6FA109FC}"/>
    <cellStyle name="Comma 18 2 7 2 3 2" xfId="8038" xr:uid="{262218E4-D6C1-4031-A097-3B996AA66131}"/>
    <cellStyle name="Comma 18 2 7 2 4" xfId="8039" xr:uid="{CFBA2EA3-D287-4FCF-B32D-A77CC88F6F35}"/>
    <cellStyle name="Comma 18 2 7 2 4 2" xfId="8040" xr:uid="{6224E4FF-F2D1-496A-93BB-C112B36942FD}"/>
    <cellStyle name="Comma 18 2 7 2 5" xfId="8041" xr:uid="{D5C009AB-CEDC-4540-B10E-DADA457BDC6F}"/>
    <cellStyle name="Comma 18 2 7 3" xfId="8042" xr:uid="{10B54D2A-974E-4731-B0C0-02975BC6F6FF}"/>
    <cellStyle name="Comma 18 2 7 3 2" xfId="8043" xr:uid="{C62CBE2A-A9B2-4882-B4DD-B6872AD18F7E}"/>
    <cellStyle name="Comma 18 2 7 3 2 2" xfId="8044" xr:uid="{A3E77CC7-3745-459B-8545-A934CB6F37CE}"/>
    <cellStyle name="Comma 18 2 7 3 3" xfId="8045" xr:uid="{B7E30D4E-250B-4B36-BECA-2FC3AB3AE4C1}"/>
    <cellStyle name="Comma 18 2 7 3 3 2" xfId="8046" xr:uid="{485B52F7-F62C-419E-8573-956295D16CB3}"/>
    <cellStyle name="Comma 18 2 7 3 4" xfId="8047" xr:uid="{A48C6DEE-0417-47DF-A36A-9533749EC9BA}"/>
    <cellStyle name="Comma 18 2 7 3 4 2" xfId="8048" xr:uid="{86AE381A-8AC1-4654-82FB-CA4974EDD3D0}"/>
    <cellStyle name="Comma 18 2 7 3 5" xfId="8049" xr:uid="{3CD892FC-DA5E-408B-A8EC-36536C1DE8B2}"/>
    <cellStyle name="Comma 18 2 7 4" xfId="8050" xr:uid="{5910FDC4-34F4-4CB9-807D-EE723F4B8199}"/>
    <cellStyle name="Comma 18 2 7 4 2" xfId="8051" xr:uid="{E13F8EBD-35B4-48FB-8F27-6B9F6546E710}"/>
    <cellStyle name="Comma 18 2 7 5" xfId="8052" xr:uid="{85CE00E8-EA11-44C9-9162-CBAC067CDC13}"/>
    <cellStyle name="Comma 18 2 7 5 2" xfId="8053" xr:uid="{A1DFABA0-E2E5-47C4-9CC8-3E32E40FCC93}"/>
    <cellStyle name="Comma 18 2 7 6" xfId="8054" xr:uid="{898CBBAF-6728-4DB0-AFC0-D6557FA4C72A}"/>
    <cellStyle name="Comma 18 2 7 6 2" xfId="8055" xr:uid="{0C8A5BD6-D544-4FA9-849D-3CF6B80BA5ED}"/>
    <cellStyle name="Comma 18 2 7 7" xfId="8056" xr:uid="{7419A46D-689B-46E4-944D-87E89B7CCF56}"/>
    <cellStyle name="Comma 18 2 7 7 2" xfId="8057" xr:uid="{857F044B-4FBF-4876-AB55-7A3331BE60F0}"/>
    <cellStyle name="Comma 18 2 7 8" xfId="8058" xr:uid="{7B49A8A5-330C-42F6-AD0E-F25B25279BB0}"/>
    <cellStyle name="Comma 18 2 7 8 2" xfId="8059" xr:uid="{A3827AF9-E261-4346-8A49-D110E4DDE12E}"/>
    <cellStyle name="Comma 18 2 7 9" xfId="8060" xr:uid="{58AF99F9-838B-42B5-9DD9-BE4F4AEBCD53}"/>
    <cellStyle name="Comma 18 2 8" xfId="8061" xr:uid="{82F57315-00C7-4891-8481-74DC1EE58DAA}"/>
    <cellStyle name="Comma 18 2 8 2" xfId="8062" xr:uid="{329D3FD9-4362-47BC-AE68-8EF6C64DF985}"/>
    <cellStyle name="Comma 18 2 8 2 2" xfId="8063" xr:uid="{EEEE4CFE-7823-44A7-9B55-D46E24F06D93}"/>
    <cellStyle name="Comma 18 2 8 3" xfId="8064" xr:uid="{12B3C9BC-D323-47C8-A328-3F4F4C0A5EE3}"/>
    <cellStyle name="Comma 18 2 8 3 2" xfId="8065" xr:uid="{2594B9CC-B09F-43C4-825D-CEB7D7F5EA4E}"/>
    <cellStyle name="Comma 18 2 8 4" xfId="8066" xr:uid="{F996C2F8-2815-49D0-B6B0-A8D88ED33434}"/>
    <cellStyle name="Comma 18 2 8 4 2" xfId="8067" xr:uid="{9CD95C4F-85D3-46E4-A6AB-513C705968D2}"/>
    <cellStyle name="Comma 18 2 8 5" xfId="8068" xr:uid="{874103E5-C5F1-4FCF-B2B1-01D3D0274EAD}"/>
    <cellStyle name="Comma 18 2 9" xfId="8069" xr:uid="{0FC7EE10-F7CE-4185-A46D-24374CAAD801}"/>
    <cellStyle name="Comma 18 2 9 2" xfId="8070" xr:uid="{720B2CF1-5E03-4C36-9AF5-B3FCC4422DB0}"/>
    <cellStyle name="Comma 18 2 9 2 2" xfId="8071" xr:uid="{7F04AD65-5FC2-4885-BC04-2E44754ECF3A}"/>
    <cellStyle name="Comma 18 2 9 3" xfId="8072" xr:uid="{E2FAE689-22A1-49A0-972C-32FBB4823DA9}"/>
    <cellStyle name="Comma 18 2 9 3 2" xfId="8073" xr:uid="{132E92EA-1796-4348-BB79-7D9160577B05}"/>
    <cellStyle name="Comma 18 2 9 4" xfId="8074" xr:uid="{4CDE8FFD-B7C4-4015-A2AB-EA0BE1692EF1}"/>
    <cellStyle name="Comma 18 2 9 4 2" xfId="8075" xr:uid="{763CA675-8627-448A-8E59-8D5C5E449028}"/>
    <cellStyle name="Comma 18 2 9 5" xfId="8076" xr:uid="{7EB9FE98-0660-4024-81D2-38AAECD61281}"/>
    <cellStyle name="Comma 18 20" xfId="8077" xr:uid="{47F1D31D-EFB5-4DBB-9035-502DEFA9DD2A}"/>
    <cellStyle name="Comma 18 20 2" xfId="8078" xr:uid="{5655B5A2-2D53-4945-9E18-FC8AC4FFFB0E}"/>
    <cellStyle name="Comma 18 21" xfId="8079" xr:uid="{34894AED-D32C-4B5A-9AC7-5F62269A9BB1}"/>
    <cellStyle name="Comma 18 22" xfId="8080" xr:uid="{DE7F8E93-649B-44F2-AC62-6BAFF49B6FDE}"/>
    <cellStyle name="Comma 18 23" xfId="8081" xr:uid="{1B922F8B-D7AB-4B48-9D43-F34CFCAD4DA6}"/>
    <cellStyle name="Comma 18 3" xfId="8082" xr:uid="{D731318C-0262-4DF5-81CC-574C9CFC3AB6}"/>
    <cellStyle name="Comma 18 3 10" xfId="8083" xr:uid="{4041EC03-6EFF-42E5-BF5F-B926B76FA63E}"/>
    <cellStyle name="Comma 18 3 10 2" xfId="8084" xr:uid="{27CE4DCE-A91C-4F57-8D33-18815C3B6C7A}"/>
    <cellStyle name="Comma 18 3 11" xfId="8085" xr:uid="{BDB0758C-751F-4903-912B-512A11E77CFD}"/>
    <cellStyle name="Comma 18 3 11 2" xfId="8086" xr:uid="{3DB1DA5E-346A-4AD4-9070-7DDF7E1BF999}"/>
    <cellStyle name="Comma 18 3 12" xfId="8087" xr:uid="{BD593BEF-3020-453F-8E9D-E6EE081B7FC5}"/>
    <cellStyle name="Comma 18 3 12 2" xfId="8088" xr:uid="{BBFE8496-B609-480F-9F55-46641080DC6A}"/>
    <cellStyle name="Comma 18 3 13" xfId="8089" xr:uid="{6F3776D9-602C-4A1C-BBED-AD92604497FC}"/>
    <cellStyle name="Comma 18 3 13 2" xfId="8090" xr:uid="{C0D447AC-9BB4-4E97-B381-93F6A3888111}"/>
    <cellStyle name="Comma 18 3 14" xfId="8091" xr:uid="{40A89078-9735-48EA-B833-56BE4D9D4A68}"/>
    <cellStyle name="Comma 18 3 14 2" xfId="8092" xr:uid="{CED25E04-816E-4E10-92C9-F3D97D826C86}"/>
    <cellStyle name="Comma 18 3 15" xfId="8093" xr:uid="{64D10E34-C72E-47BD-BF59-846FA05B6608}"/>
    <cellStyle name="Comma 18 3 16" xfId="40663" xr:uid="{86191B3E-9F18-4072-A50E-F0A83668ECD3}"/>
    <cellStyle name="Comma 18 3 2" xfId="8094" xr:uid="{29DBD6E7-4A69-40BF-B7ED-C2CF32EFA314}"/>
    <cellStyle name="Comma 18 3 2 10" xfId="8095" xr:uid="{CCCB9281-FBD2-45D5-A82C-787CE29AD313}"/>
    <cellStyle name="Comma 18 3 2 10 2" xfId="8096" xr:uid="{35906A39-E009-44DF-B37E-69A5EE526A84}"/>
    <cellStyle name="Comma 18 3 2 11" xfId="8097" xr:uid="{5AD0B769-16EA-49E2-90BC-49D1A2E6FC91}"/>
    <cellStyle name="Comma 18 3 2 2" xfId="8098" xr:uid="{44B5B7C3-B4D1-440F-A1B6-3AD34D894F74}"/>
    <cellStyle name="Comma 18 3 2 2 10" xfId="8099" xr:uid="{7E9FCC8F-2A86-44CE-AC27-B7093A7D3301}"/>
    <cellStyle name="Comma 18 3 2 2 2" xfId="8100" xr:uid="{A82412C5-9CCB-4BF4-85B2-4EFDEF9487B3}"/>
    <cellStyle name="Comma 18 3 2 2 2 2" xfId="8101" xr:uid="{6465D7A1-4926-4DC7-82A8-9B49A8083D78}"/>
    <cellStyle name="Comma 18 3 2 2 2 2 2" xfId="8102" xr:uid="{3A22D63B-D3D1-4E9C-8986-4B68C02544C1}"/>
    <cellStyle name="Comma 18 3 2 2 2 2 2 2" xfId="8103" xr:uid="{BBA24D93-87F6-4ABD-BC83-9C8416910E5C}"/>
    <cellStyle name="Comma 18 3 2 2 2 2 3" xfId="8104" xr:uid="{CCA1A155-70F5-46F7-8AA4-7CA5371F7D70}"/>
    <cellStyle name="Comma 18 3 2 2 2 2 3 2" xfId="8105" xr:uid="{1608310D-F3C7-45C2-B1C7-E8153B80A8E5}"/>
    <cellStyle name="Comma 18 3 2 2 2 2 4" xfId="8106" xr:uid="{BAB96AAD-C520-4E43-860C-0B1369EF6167}"/>
    <cellStyle name="Comma 18 3 2 2 2 2 4 2" xfId="8107" xr:uid="{4633947C-6B9A-4DB0-82BB-D3F890790375}"/>
    <cellStyle name="Comma 18 3 2 2 2 2 5" xfId="8108" xr:uid="{353DB4E1-01AE-4AAB-8702-CD79DD0B8DEE}"/>
    <cellStyle name="Comma 18 3 2 2 2 3" xfId="8109" xr:uid="{E3204B44-964B-44C7-BC4F-D58676CB1643}"/>
    <cellStyle name="Comma 18 3 2 2 2 3 2" xfId="8110" xr:uid="{E36AACD2-5D85-44A1-8447-97CBAAEB3C46}"/>
    <cellStyle name="Comma 18 3 2 2 2 3 2 2" xfId="8111" xr:uid="{1B14D845-4255-4992-BF39-631A8226C4F1}"/>
    <cellStyle name="Comma 18 3 2 2 2 3 3" xfId="8112" xr:uid="{1A46B16F-EB98-4A66-BDC8-2D6D750B8EA1}"/>
    <cellStyle name="Comma 18 3 2 2 2 3 3 2" xfId="8113" xr:uid="{151F3934-C335-41FB-BED1-85E7FA1A2FD3}"/>
    <cellStyle name="Comma 18 3 2 2 2 3 4" xfId="8114" xr:uid="{6A500B4E-2663-451E-A85D-AD3C15123320}"/>
    <cellStyle name="Comma 18 3 2 2 2 3 4 2" xfId="8115" xr:uid="{9B9302CB-C374-41F0-82DE-15729A5928C7}"/>
    <cellStyle name="Comma 18 3 2 2 2 3 5" xfId="8116" xr:uid="{C3981CC1-7349-4299-9287-E8E9A56E630D}"/>
    <cellStyle name="Comma 18 3 2 2 2 4" xfId="8117" xr:uid="{AC57EE96-A0C6-4DB1-A32F-0D7A4CC60300}"/>
    <cellStyle name="Comma 18 3 2 2 2 4 2" xfId="8118" xr:uid="{16956681-E91E-4802-AC05-DF21CF0050C8}"/>
    <cellStyle name="Comma 18 3 2 2 2 5" xfId="8119" xr:uid="{C58C31E9-90F1-4805-9BB5-D3072E0A2488}"/>
    <cellStyle name="Comma 18 3 2 2 2 5 2" xfId="8120" xr:uid="{262B9A42-E7B9-4268-844A-72BDD9C0032A}"/>
    <cellStyle name="Comma 18 3 2 2 2 6" xfId="8121" xr:uid="{897144B3-8E6A-48B3-8389-482C910041B7}"/>
    <cellStyle name="Comma 18 3 2 2 2 6 2" xfId="8122" xr:uid="{22E29F83-E047-4B1A-8F24-507D05EC6953}"/>
    <cellStyle name="Comma 18 3 2 2 2 7" xfId="8123" xr:uid="{918AB4F1-6390-47C4-85E5-017E0A2502FB}"/>
    <cellStyle name="Comma 18 3 2 2 2 7 2" xfId="8124" xr:uid="{3C79ACA7-A5EB-4A54-BB29-3867FDBC0212}"/>
    <cellStyle name="Comma 18 3 2 2 2 8" xfId="8125" xr:uid="{23A6B20B-7C66-45D7-B55C-45632FBD1BAE}"/>
    <cellStyle name="Comma 18 3 2 2 2 8 2" xfId="8126" xr:uid="{5A4DED90-CFAC-4F1D-83A1-BB44CC0D81DA}"/>
    <cellStyle name="Comma 18 3 2 2 2 9" xfId="8127" xr:uid="{E340B2FE-9216-4C62-9DDB-90684086C917}"/>
    <cellStyle name="Comma 18 3 2 2 3" xfId="8128" xr:uid="{BA5523B2-E398-4A74-BF8B-D3693E453AC5}"/>
    <cellStyle name="Comma 18 3 2 2 3 2" xfId="8129" xr:uid="{AE6E370F-72D9-498C-81DD-3B91E2AF67EB}"/>
    <cellStyle name="Comma 18 3 2 2 3 2 2" xfId="8130" xr:uid="{E8E60953-9B46-4866-BFBF-E6E5EDA0F832}"/>
    <cellStyle name="Comma 18 3 2 2 3 3" xfId="8131" xr:uid="{6EAD0F2A-B3BD-47FD-B5D4-A43A034AC9CA}"/>
    <cellStyle name="Comma 18 3 2 2 3 3 2" xfId="8132" xr:uid="{7BBB4700-E4C7-48F5-AE9E-0AED146743FA}"/>
    <cellStyle name="Comma 18 3 2 2 3 4" xfId="8133" xr:uid="{09F884CF-634F-49AA-9B5D-5DA9086073D9}"/>
    <cellStyle name="Comma 18 3 2 2 3 4 2" xfId="8134" xr:uid="{4EC1372B-A970-4832-AAC7-F396B4306F68}"/>
    <cellStyle name="Comma 18 3 2 2 3 5" xfId="8135" xr:uid="{D820C91F-C6C4-468F-AC68-3EC0EA99449B}"/>
    <cellStyle name="Comma 18 3 2 2 4" xfId="8136" xr:uid="{B8147C6C-CC14-4983-B1DE-4B2F58158CEA}"/>
    <cellStyle name="Comma 18 3 2 2 4 2" xfId="8137" xr:uid="{C81DCEEC-BE0E-41F3-AB97-D1B55862820B}"/>
    <cellStyle name="Comma 18 3 2 2 4 2 2" xfId="8138" xr:uid="{7C0FCA80-5CBD-4C91-8558-B3F590101FB4}"/>
    <cellStyle name="Comma 18 3 2 2 4 3" xfId="8139" xr:uid="{CDEE7C6E-CCBC-454F-B1F5-EBFB5CE964B8}"/>
    <cellStyle name="Comma 18 3 2 2 4 3 2" xfId="8140" xr:uid="{89500DFE-8FF7-43F6-B5D1-1948A49DCA0C}"/>
    <cellStyle name="Comma 18 3 2 2 4 4" xfId="8141" xr:uid="{A51CDBC3-DD27-46C4-A05A-FA03809BFBB8}"/>
    <cellStyle name="Comma 18 3 2 2 4 4 2" xfId="8142" xr:uid="{A4D5105A-5F5F-4993-AFD2-8501AF3F8848}"/>
    <cellStyle name="Comma 18 3 2 2 4 5" xfId="8143" xr:uid="{F60E74E4-F810-494A-A0BE-EA81BAA618D9}"/>
    <cellStyle name="Comma 18 3 2 2 5" xfId="8144" xr:uid="{A4EDE8FE-6D0C-44AB-BF50-69DBA584E955}"/>
    <cellStyle name="Comma 18 3 2 2 5 2" xfId="8145" xr:uid="{0802C078-B0C1-40E7-9E52-68C222680986}"/>
    <cellStyle name="Comma 18 3 2 2 6" xfId="8146" xr:uid="{944F43E3-11F2-4ADD-8F0E-325D5E199603}"/>
    <cellStyle name="Comma 18 3 2 2 6 2" xfId="8147" xr:uid="{611CEB7E-AA57-478D-BE29-3C0CD5C45853}"/>
    <cellStyle name="Comma 18 3 2 2 7" xfId="8148" xr:uid="{3DB982BA-724F-461C-B601-23D898B96CA9}"/>
    <cellStyle name="Comma 18 3 2 2 7 2" xfId="8149" xr:uid="{7583D679-39AE-4FBA-B6E7-C33CF3189EAB}"/>
    <cellStyle name="Comma 18 3 2 2 8" xfId="8150" xr:uid="{56154FAF-A654-457C-85FE-46702DE5876F}"/>
    <cellStyle name="Comma 18 3 2 2 8 2" xfId="8151" xr:uid="{6E58103B-D807-429E-AA35-08207F6239C7}"/>
    <cellStyle name="Comma 18 3 2 2 9" xfId="8152" xr:uid="{258CF855-8FD6-4A8F-BF2F-13A004568AA0}"/>
    <cellStyle name="Comma 18 3 2 2 9 2" xfId="8153" xr:uid="{8F796BCD-D752-4F22-BDAB-22720F1A8CCA}"/>
    <cellStyle name="Comma 18 3 2 3" xfId="8154" xr:uid="{9ACBC5D2-2DD8-4E4E-8652-BCA811595D98}"/>
    <cellStyle name="Comma 18 3 2 3 2" xfId="8155" xr:uid="{9A800C40-2433-4643-AFC3-E11E5A1CE127}"/>
    <cellStyle name="Comma 18 3 2 3 2 2" xfId="8156" xr:uid="{CD7B0DAF-4C49-4415-9983-60F283D5D374}"/>
    <cellStyle name="Comma 18 3 2 3 2 2 2" xfId="8157" xr:uid="{6C60C9B0-4FF9-4FEE-B9F7-EE6DC894CC49}"/>
    <cellStyle name="Comma 18 3 2 3 2 3" xfId="8158" xr:uid="{3CA4E838-9284-43FD-86CD-73B247FC013C}"/>
    <cellStyle name="Comma 18 3 2 3 2 3 2" xfId="8159" xr:uid="{0B7C4EE1-185B-4B21-A833-9343B3E473D9}"/>
    <cellStyle name="Comma 18 3 2 3 2 4" xfId="8160" xr:uid="{7AE78D0A-4E51-48F1-A79C-D3A430D878C7}"/>
    <cellStyle name="Comma 18 3 2 3 2 4 2" xfId="8161" xr:uid="{CC009A87-E393-46C6-AFC8-AD703D21F3D0}"/>
    <cellStyle name="Comma 18 3 2 3 2 5" xfId="8162" xr:uid="{F19407A8-1744-473E-8561-F05EE6101813}"/>
    <cellStyle name="Comma 18 3 2 3 3" xfId="8163" xr:uid="{362B30A3-8F63-43F1-B96A-7C5D43CF8989}"/>
    <cellStyle name="Comma 18 3 2 3 3 2" xfId="8164" xr:uid="{84AF2BA2-C718-4372-9298-B90BE4461AA5}"/>
    <cellStyle name="Comma 18 3 2 3 3 2 2" xfId="8165" xr:uid="{64B31373-F745-4B33-8B58-655D8C62BCC8}"/>
    <cellStyle name="Comma 18 3 2 3 3 3" xfId="8166" xr:uid="{36ACCCA5-073E-4DCE-80BA-9AB606EAE6AC}"/>
    <cellStyle name="Comma 18 3 2 3 3 3 2" xfId="8167" xr:uid="{38FE5D30-D303-46E6-999C-1862F34776F5}"/>
    <cellStyle name="Comma 18 3 2 3 3 4" xfId="8168" xr:uid="{DCCEB0C2-6AA1-4CC5-9208-888CBD68AC56}"/>
    <cellStyle name="Comma 18 3 2 3 3 4 2" xfId="8169" xr:uid="{30FF6B5A-AD8E-4855-98DE-E0C091C4ADDD}"/>
    <cellStyle name="Comma 18 3 2 3 3 5" xfId="8170" xr:uid="{864565A3-DE5A-4F57-9DD2-325D09532100}"/>
    <cellStyle name="Comma 18 3 2 3 4" xfId="8171" xr:uid="{98E80F53-1DFE-4F9D-BC35-1BE2E5F5A111}"/>
    <cellStyle name="Comma 18 3 2 3 4 2" xfId="8172" xr:uid="{EC036E4C-60B2-44E9-97C1-1658A3E13958}"/>
    <cellStyle name="Comma 18 3 2 3 5" xfId="8173" xr:uid="{B1582E08-85C9-4389-83D3-A3ACC4B226F2}"/>
    <cellStyle name="Comma 18 3 2 3 5 2" xfId="8174" xr:uid="{AD56EA65-4745-4FC9-829B-0B11B87C23A5}"/>
    <cellStyle name="Comma 18 3 2 3 6" xfId="8175" xr:uid="{BC459891-C43C-4BEC-BE80-1A63019FBE85}"/>
    <cellStyle name="Comma 18 3 2 3 6 2" xfId="8176" xr:uid="{14673B62-FA0E-4EAE-A185-5982C7DB154E}"/>
    <cellStyle name="Comma 18 3 2 3 7" xfId="8177" xr:uid="{147864AD-1A4A-407E-93BF-2F54FFA60ED6}"/>
    <cellStyle name="Comma 18 3 2 3 7 2" xfId="8178" xr:uid="{460C67D7-988D-4856-902C-7FED5773C572}"/>
    <cellStyle name="Comma 18 3 2 3 8" xfId="8179" xr:uid="{565C97BC-E5B4-4871-8645-A9859811355F}"/>
    <cellStyle name="Comma 18 3 2 3 8 2" xfId="8180" xr:uid="{8B83C3A6-D9AB-4B6F-9C1F-59E344571D9D}"/>
    <cellStyle name="Comma 18 3 2 3 9" xfId="8181" xr:uid="{AD1B2293-8ED4-43E5-9593-5C844E5376F9}"/>
    <cellStyle name="Comma 18 3 2 4" xfId="8182" xr:uid="{98F9B790-62E6-47E4-A519-F144DA98A4BC}"/>
    <cellStyle name="Comma 18 3 2 4 2" xfId="8183" xr:uid="{4680C5F2-93B2-4F93-9727-BD04B052E944}"/>
    <cellStyle name="Comma 18 3 2 4 2 2" xfId="8184" xr:uid="{43470938-8166-4498-8C34-4312EC8023F6}"/>
    <cellStyle name="Comma 18 3 2 4 3" xfId="8185" xr:uid="{943DDCB6-81F7-43EF-91B1-202ADFFA958A}"/>
    <cellStyle name="Comma 18 3 2 4 3 2" xfId="8186" xr:uid="{C3F8BCB2-1ED5-44AF-A47C-BDDBAAA7202D}"/>
    <cellStyle name="Comma 18 3 2 4 4" xfId="8187" xr:uid="{922B335A-725D-45C3-9CBE-A997A7DBF821}"/>
    <cellStyle name="Comma 18 3 2 4 4 2" xfId="8188" xr:uid="{A14926F9-38B0-4A4F-9200-13B5F08E65F3}"/>
    <cellStyle name="Comma 18 3 2 4 5" xfId="8189" xr:uid="{19BC07EF-5B6E-4A85-8D16-9963692C83C4}"/>
    <cellStyle name="Comma 18 3 2 5" xfId="8190" xr:uid="{CBAE074D-3A26-4A20-B8B6-1E84ADC8C911}"/>
    <cellStyle name="Comma 18 3 2 5 2" xfId="8191" xr:uid="{9F6952B2-333C-4F3F-85CF-9612180AF798}"/>
    <cellStyle name="Comma 18 3 2 5 2 2" xfId="8192" xr:uid="{90BF8D32-F205-41F4-9501-BA125C4E95B2}"/>
    <cellStyle name="Comma 18 3 2 5 3" xfId="8193" xr:uid="{407675C6-5D49-4144-8E90-CFD21DAF4D65}"/>
    <cellStyle name="Comma 18 3 2 5 3 2" xfId="8194" xr:uid="{93D578E8-6580-4B32-BBC1-7268395E6049}"/>
    <cellStyle name="Comma 18 3 2 5 4" xfId="8195" xr:uid="{EE15D9E5-E709-4EC0-BBCF-BCF0F6B1CE41}"/>
    <cellStyle name="Comma 18 3 2 5 4 2" xfId="8196" xr:uid="{9D90CA4B-F8A9-43CB-BF9B-A2566C8B5DC1}"/>
    <cellStyle name="Comma 18 3 2 5 5" xfId="8197" xr:uid="{122FA7FE-E107-4202-A7F6-46BB985D46CD}"/>
    <cellStyle name="Comma 18 3 2 6" xfId="8198" xr:uid="{D1566429-6726-4D1B-893B-C64ABD9000ED}"/>
    <cellStyle name="Comma 18 3 2 6 2" xfId="8199" xr:uid="{2DFBC483-9EED-4946-BEA0-0D5C9238E98D}"/>
    <cellStyle name="Comma 18 3 2 7" xfId="8200" xr:uid="{139C2DE4-A261-48C3-81ED-DE9918119A29}"/>
    <cellStyle name="Comma 18 3 2 7 2" xfId="8201" xr:uid="{CE5909C3-7D3A-4B3E-A911-079CF489D408}"/>
    <cellStyle name="Comma 18 3 2 8" xfId="8202" xr:uid="{B3F0FE4A-E5B6-45C5-B84F-8EFC6AE3D5E6}"/>
    <cellStyle name="Comma 18 3 2 8 2" xfId="8203" xr:uid="{13BC435F-2E22-4F73-8B75-B1F543B68517}"/>
    <cellStyle name="Comma 18 3 2 9" xfId="8204" xr:uid="{471F0A22-669A-45A0-A5AD-14B7DED603D2}"/>
    <cellStyle name="Comma 18 3 2 9 2" xfId="8205" xr:uid="{FF38A07B-A1EA-4150-A5BA-DC85098795D0}"/>
    <cellStyle name="Comma 18 3 3" xfId="8206" xr:uid="{81D4115E-7462-479A-8E19-6670AD5900B3}"/>
    <cellStyle name="Comma 18 3 3 10" xfId="8207" xr:uid="{B75BBE4F-A9FC-41B8-92FA-829740C39255}"/>
    <cellStyle name="Comma 18 3 3 10 2" xfId="8208" xr:uid="{5607CE53-06FC-440C-A213-505CC46B7414}"/>
    <cellStyle name="Comma 18 3 3 11" xfId="8209" xr:uid="{0F33A8DD-DF36-4A21-97EC-15949ED62A82}"/>
    <cellStyle name="Comma 18 3 3 2" xfId="8210" xr:uid="{68740301-790D-4684-89D0-8DAEAD9CDAB9}"/>
    <cellStyle name="Comma 18 3 3 2 10" xfId="8211" xr:uid="{0AE6D1BC-A1E4-49C3-BAC5-62DEBB55F998}"/>
    <cellStyle name="Comma 18 3 3 2 2" xfId="8212" xr:uid="{6D53C766-1C41-4EED-BA1A-B5FBAAC09247}"/>
    <cellStyle name="Comma 18 3 3 2 2 2" xfId="8213" xr:uid="{25F6C4E1-3A7D-4014-947D-6A5C550168DE}"/>
    <cellStyle name="Comma 18 3 3 2 2 2 2" xfId="8214" xr:uid="{3A828A41-F70F-4E69-9E52-8956756CF4E8}"/>
    <cellStyle name="Comma 18 3 3 2 2 2 2 2" xfId="8215" xr:uid="{8B88437A-DDE4-4ECB-9488-CEF90488C377}"/>
    <cellStyle name="Comma 18 3 3 2 2 2 3" xfId="8216" xr:uid="{E2A95B6E-CBB8-4486-A22C-2220A4B9F49A}"/>
    <cellStyle name="Comma 18 3 3 2 2 2 3 2" xfId="8217" xr:uid="{F48E3356-0BF4-4E2B-A48C-EC32D3F92867}"/>
    <cellStyle name="Comma 18 3 3 2 2 2 4" xfId="8218" xr:uid="{23DDE6D0-954A-45D6-A810-AC56AC706450}"/>
    <cellStyle name="Comma 18 3 3 2 2 2 4 2" xfId="8219" xr:uid="{F87C066D-0B7B-4768-95E5-7E525420818B}"/>
    <cellStyle name="Comma 18 3 3 2 2 2 5" xfId="8220" xr:uid="{189692E3-CDD3-4535-881F-6778CB9743BA}"/>
    <cellStyle name="Comma 18 3 3 2 2 3" xfId="8221" xr:uid="{2E132877-F9CD-4F5F-AE18-8814EDF082EF}"/>
    <cellStyle name="Comma 18 3 3 2 2 3 2" xfId="8222" xr:uid="{19CC0737-C078-4F09-8B6E-077F9631F98C}"/>
    <cellStyle name="Comma 18 3 3 2 2 3 2 2" xfId="8223" xr:uid="{E909CD05-069A-4F1E-BC5F-240228B32D19}"/>
    <cellStyle name="Comma 18 3 3 2 2 3 3" xfId="8224" xr:uid="{4631172A-1B95-449C-93EC-57A6DDE00A23}"/>
    <cellStyle name="Comma 18 3 3 2 2 3 3 2" xfId="8225" xr:uid="{53761910-3F92-415E-9A78-08F2DA188D2B}"/>
    <cellStyle name="Comma 18 3 3 2 2 3 4" xfId="8226" xr:uid="{2C800E62-04E4-4792-B714-65D027891506}"/>
    <cellStyle name="Comma 18 3 3 2 2 3 4 2" xfId="8227" xr:uid="{0D0F3028-A9DF-4F32-8115-11C7E3151ECA}"/>
    <cellStyle name="Comma 18 3 3 2 2 3 5" xfId="8228" xr:uid="{FC8BBCB4-B04F-4912-81D8-617D27A40327}"/>
    <cellStyle name="Comma 18 3 3 2 2 4" xfId="8229" xr:uid="{18AF5103-513F-4B14-9A69-66D642A5AC9A}"/>
    <cellStyle name="Comma 18 3 3 2 2 4 2" xfId="8230" xr:uid="{73A4FCFE-0EAA-47EC-8542-776261235DD8}"/>
    <cellStyle name="Comma 18 3 3 2 2 5" xfId="8231" xr:uid="{B2DE8D17-2258-4FDC-88D8-1685D6D064BE}"/>
    <cellStyle name="Comma 18 3 3 2 2 5 2" xfId="8232" xr:uid="{14CEEF44-6CBE-4FF3-8619-3C28938E3A87}"/>
    <cellStyle name="Comma 18 3 3 2 2 6" xfId="8233" xr:uid="{1819F6A1-5B46-48AA-A4DC-6324B1631531}"/>
    <cellStyle name="Comma 18 3 3 2 2 6 2" xfId="8234" xr:uid="{40838FA8-D910-47DE-BA6B-260B3F5ABC5C}"/>
    <cellStyle name="Comma 18 3 3 2 2 7" xfId="8235" xr:uid="{B3843FD7-B5E1-430B-BA3A-3E94F5A9FCD3}"/>
    <cellStyle name="Comma 18 3 3 2 2 7 2" xfId="8236" xr:uid="{9064E25F-F42A-495B-B85D-3FD5598C98B3}"/>
    <cellStyle name="Comma 18 3 3 2 2 8" xfId="8237" xr:uid="{1D1270AC-718E-481E-B7EA-4CBB850F38C2}"/>
    <cellStyle name="Comma 18 3 3 2 2 8 2" xfId="8238" xr:uid="{FEA2DE84-59A2-470F-9C8B-2038C879C8CC}"/>
    <cellStyle name="Comma 18 3 3 2 2 9" xfId="8239" xr:uid="{5D710C9E-F3C2-46F9-BA30-1C6FEEDBE03B}"/>
    <cellStyle name="Comma 18 3 3 2 3" xfId="8240" xr:uid="{2D04A041-B4EC-4367-98DE-98754DE9B6C9}"/>
    <cellStyle name="Comma 18 3 3 2 3 2" xfId="8241" xr:uid="{2A0AAEF9-D71F-4A73-A45E-5A3BF5F49277}"/>
    <cellStyle name="Comma 18 3 3 2 3 2 2" xfId="8242" xr:uid="{ADD85A33-2859-44B8-9E8F-FCB3F6C20FA5}"/>
    <cellStyle name="Comma 18 3 3 2 3 3" xfId="8243" xr:uid="{55650CB0-DA90-4A74-9490-42377ACC68C9}"/>
    <cellStyle name="Comma 18 3 3 2 3 3 2" xfId="8244" xr:uid="{D3FB60A6-C3C5-40A9-BBB4-378574613878}"/>
    <cellStyle name="Comma 18 3 3 2 3 4" xfId="8245" xr:uid="{F802051D-5728-4216-A408-CEB4CF894583}"/>
    <cellStyle name="Comma 18 3 3 2 3 4 2" xfId="8246" xr:uid="{928153BE-1A6D-40A5-8BFD-22946D6C7F6C}"/>
    <cellStyle name="Comma 18 3 3 2 3 5" xfId="8247" xr:uid="{85134670-1F90-4DFE-93BA-F9DDF860B32C}"/>
    <cellStyle name="Comma 18 3 3 2 4" xfId="8248" xr:uid="{4D4FC521-20C5-4FD3-9E43-3B212E13F6BC}"/>
    <cellStyle name="Comma 18 3 3 2 4 2" xfId="8249" xr:uid="{D864CD42-B786-4E54-801D-8689D999FBFF}"/>
    <cellStyle name="Comma 18 3 3 2 4 2 2" xfId="8250" xr:uid="{8B7FC081-A19B-47A1-B3E4-BA50FA8F201C}"/>
    <cellStyle name="Comma 18 3 3 2 4 3" xfId="8251" xr:uid="{E0A40968-FBBE-407B-8428-275B9EBDCB1A}"/>
    <cellStyle name="Comma 18 3 3 2 4 3 2" xfId="8252" xr:uid="{C16ADBA2-9EC9-4405-BAAD-27A0805CBA82}"/>
    <cellStyle name="Comma 18 3 3 2 4 4" xfId="8253" xr:uid="{2521D424-DC5F-4601-B4F2-E468381C5592}"/>
    <cellStyle name="Comma 18 3 3 2 4 4 2" xfId="8254" xr:uid="{94D35B44-C6D2-4D07-AEE4-8394416ECA93}"/>
    <cellStyle name="Comma 18 3 3 2 4 5" xfId="8255" xr:uid="{D4786361-B671-4649-8D8E-FE0184918734}"/>
    <cellStyle name="Comma 18 3 3 2 5" xfId="8256" xr:uid="{00A3DAFF-BB6C-42CB-8CE9-F77E63308804}"/>
    <cellStyle name="Comma 18 3 3 2 5 2" xfId="8257" xr:uid="{428B46EA-E398-4681-A33F-2E0DACF52BE6}"/>
    <cellStyle name="Comma 18 3 3 2 6" xfId="8258" xr:uid="{33DA8F8C-6163-4380-AEA0-28F3FF494B06}"/>
    <cellStyle name="Comma 18 3 3 2 6 2" xfId="8259" xr:uid="{8C5ACFBF-3311-4D26-8388-69FB9DBE490B}"/>
    <cellStyle name="Comma 18 3 3 2 7" xfId="8260" xr:uid="{A9CD4D87-CBE3-47F4-98F3-61DF3ACF49CA}"/>
    <cellStyle name="Comma 18 3 3 2 7 2" xfId="8261" xr:uid="{6A9D61ED-511B-489D-BDEB-DCE9242BCAEE}"/>
    <cellStyle name="Comma 18 3 3 2 8" xfId="8262" xr:uid="{FC7E012A-949C-44CE-9FD4-4E2BEA4D753E}"/>
    <cellStyle name="Comma 18 3 3 2 8 2" xfId="8263" xr:uid="{8FC383C4-C28C-437A-9644-BA7B0B2B8A0C}"/>
    <cellStyle name="Comma 18 3 3 2 9" xfId="8264" xr:uid="{47B9651D-C741-472E-A07D-4E09E22ABBF6}"/>
    <cellStyle name="Comma 18 3 3 2 9 2" xfId="8265" xr:uid="{CA88CBAC-F9C6-41F9-81D0-4D4CCDC71397}"/>
    <cellStyle name="Comma 18 3 3 3" xfId="8266" xr:uid="{6408F541-11AE-47C9-9FE8-32AFAA17D496}"/>
    <cellStyle name="Comma 18 3 3 3 2" xfId="8267" xr:uid="{B8E1F1D5-0489-47EC-A5DB-931979612D66}"/>
    <cellStyle name="Comma 18 3 3 3 2 2" xfId="8268" xr:uid="{026DAA31-494B-41F7-A311-ECB83C198FA2}"/>
    <cellStyle name="Comma 18 3 3 3 2 2 2" xfId="8269" xr:uid="{666C1B3C-7937-475C-A226-445BB3423C7F}"/>
    <cellStyle name="Comma 18 3 3 3 2 3" xfId="8270" xr:uid="{ED9FCC15-48FF-4A0B-8332-A4C27134D945}"/>
    <cellStyle name="Comma 18 3 3 3 2 3 2" xfId="8271" xr:uid="{346D728F-6209-4675-8513-AB93B91718D8}"/>
    <cellStyle name="Comma 18 3 3 3 2 4" xfId="8272" xr:uid="{57E25125-936F-4AA6-AE56-7965797B7D74}"/>
    <cellStyle name="Comma 18 3 3 3 2 4 2" xfId="8273" xr:uid="{CE4031C0-49E2-43A6-8328-36F81FFE8C5D}"/>
    <cellStyle name="Comma 18 3 3 3 2 5" xfId="8274" xr:uid="{AE0D7D14-A94A-4F4D-BA38-63F2B3322A3C}"/>
    <cellStyle name="Comma 18 3 3 3 3" xfId="8275" xr:uid="{4385F0C2-63B5-4048-837D-93AAA24F4BB0}"/>
    <cellStyle name="Comma 18 3 3 3 3 2" xfId="8276" xr:uid="{1C53AEC4-C972-4F09-9C5C-AC6D7EFF19EC}"/>
    <cellStyle name="Comma 18 3 3 3 3 2 2" xfId="8277" xr:uid="{DA30B418-3FD2-41A0-98F1-0A767A7CBAFF}"/>
    <cellStyle name="Comma 18 3 3 3 3 3" xfId="8278" xr:uid="{DEA87725-00AF-44F9-8FEA-2040396EB1DC}"/>
    <cellStyle name="Comma 18 3 3 3 3 3 2" xfId="8279" xr:uid="{0F7886CC-9532-435F-854C-FE3EF3F70D0F}"/>
    <cellStyle name="Comma 18 3 3 3 3 4" xfId="8280" xr:uid="{2B20BD99-8A03-46F9-80DA-FC580221E591}"/>
    <cellStyle name="Comma 18 3 3 3 3 4 2" xfId="8281" xr:uid="{DBE4D9C3-DAB6-4A26-B2B6-396AEBB1EF5C}"/>
    <cellStyle name="Comma 18 3 3 3 3 5" xfId="8282" xr:uid="{AB9A7D70-EBE6-4E16-B6D5-5064AB5B7C2B}"/>
    <cellStyle name="Comma 18 3 3 3 4" xfId="8283" xr:uid="{73534764-FB04-4A07-A1E5-622C46EDCB12}"/>
    <cellStyle name="Comma 18 3 3 3 4 2" xfId="8284" xr:uid="{0A54D757-60D1-4361-AC39-18B729054BB3}"/>
    <cellStyle name="Comma 18 3 3 3 5" xfId="8285" xr:uid="{3AFB694C-D975-4459-B884-AE7CCE5C2D78}"/>
    <cellStyle name="Comma 18 3 3 3 5 2" xfId="8286" xr:uid="{CDD55BD0-154B-4C28-A10F-9BEA19F1605E}"/>
    <cellStyle name="Comma 18 3 3 3 6" xfId="8287" xr:uid="{1061753D-5E32-403F-8828-E7BC400BA31E}"/>
    <cellStyle name="Comma 18 3 3 3 6 2" xfId="8288" xr:uid="{2EE5C488-D0DB-43A4-9BD3-7BDD4D4E880D}"/>
    <cellStyle name="Comma 18 3 3 3 7" xfId="8289" xr:uid="{093605A2-3870-4135-859E-6A09C60F8AF3}"/>
    <cellStyle name="Comma 18 3 3 3 7 2" xfId="8290" xr:uid="{1C2FD864-652D-4D82-B12E-62FACC388501}"/>
    <cellStyle name="Comma 18 3 3 3 8" xfId="8291" xr:uid="{F0265191-2C6D-485A-96C7-3F5F59011B2F}"/>
    <cellStyle name="Comma 18 3 3 3 8 2" xfId="8292" xr:uid="{E84C210A-44AA-4D83-BC9F-797B79A12C5E}"/>
    <cellStyle name="Comma 18 3 3 3 9" xfId="8293" xr:uid="{197BE14C-5385-4B48-9887-4A4BD745A56E}"/>
    <cellStyle name="Comma 18 3 3 4" xfId="8294" xr:uid="{874D68B2-C6AC-4635-AAFD-91158FA497CC}"/>
    <cellStyle name="Comma 18 3 3 4 2" xfId="8295" xr:uid="{27FBEF99-20A5-40A9-8A36-75598043D989}"/>
    <cellStyle name="Comma 18 3 3 4 2 2" xfId="8296" xr:uid="{0C858F9D-BF9F-4B81-A1B0-C62045B7F80A}"/>
    <cellStyle name="Comma 18 3 3 4 3" xfId="8297" xr:uid="{93AB31F3-B91A-4143-B922-BC9DFE6DB1DA}"/>
    <cellStyle name="Comma 18 3 3 4 3 2" xfId="8298" xr:uid="{312C4EF9-D8DA-4F6E-8DD8-BC463D7DC97D}"/>
    <cellStyle name="Comma 18 3 3 4 4" xfId="8299" xr:uid="{13C5E72C-203C-49B6-BFF7-AC3A2CC50387}"/>
    <cellStyle name="Comma 18 3 3 4 4 2" xfId="8300" xr:uid="{69AE3363-ACFC-43BA-9599-1594014FA6A0}"/>
    <cellStyle name="Comma 18 3 3 4 5" xfId="8301" xr:uid="{093C6CBE-C7B3-42DD-9D37-B72D72C13A68}"/>
    <cellStyle name="Comma 18 3 3 5" xfId="8302" xr:uid="{A0E5D458-9785-4552-A70F-3B2B828448E9}"/>
    <cellStyle name="Comma 18 3 3 5 2" xfId="8303" xr:uid="{EC96E04D-4B5B-4656-B42C-987A575E5B97}"/>
    <cellStyle name="Comma 18 3 3 5 2 2" xfId="8304" xr:uid="{E073879A-4C91-4CEE-940E-260485ECBF0A}"/>
    <cellStyle name="Comma 18 3 3 5 3" xfId="8305" xr:uid="{D3D60487-4B48-4C2D-BBC7-A415F10495DB}"/>
    <cellStyle name="Comma 18 3 3 5 3 2" xfId="8306" xr:uid="{5B2A3B4C-2334-4EFD-9F5B-154EB82F4E8E}"/>
    <cellStyle name="Comma 18 3 3 5 4" xfId="8307" xr:uid="{4A7C37AF-CE76-4DA3-B613-7017F3FC404E}"/>
    <cellStyle name="Comma 18 3 3 5 4 2" xfId="8308" xr:uid="{D18AE681-8F16-451B-8A59-10C3326EB385}"/>
    <cellStyle name="Comma 18 3 3 5 5" xfId="8309" xr:uid="{938C5461-F436-48AD-B196-026E571C27D8}"/>
    <cellStyle name="Comma 18 3 3 6" xfId="8310" xr:uid="{FF6799D4-AC2C-47C8-822D-D5DD3886D59E}"/>
    <cellStyle name="Comma 18 3 3 6 2" xfId="8311" xr:uid="{D96D5C10-C0F4-4FBC-8749-4A11A9676835}"/>
    <cellStyle name="Comma 18 3 3 7" xfId="8312" xr:uid="{B2E21DBF-96F7-4BB7-9CF0-BCC7E35797C9}"/>
    <cellStyle name="Comma 18 3 3 7 2" xfId="8313" xr:uid="{6161F248-8AFA-4D8F-B22E-4C92D5DDB306}"/>
    <cellStyle name="Comma 18 3 3 8" xfId="8314" xr:uid="{C69DBC3B-5B78-430C-9414-BB91C628ABF7}"/>
    <cellStyle name="Comma 18 3 3 8 2" xfId="8315" xr:uid="{9339BA76-0A18-4EBD-9FA7-642D5A7C6FDA}"/>
    <cellStyle name="Comma 18 3 3 9" xfId="8316" xr:uid="{C8F61E20-3C21-43C9-85C4-CE0ED5004BE6}"/>
    <cellStyle name="Comma 18 3 3 9 2" xfId="8317" xr:uid="{A50FB31A-3594-4520-9995-1CEE505C59BA}"/>
    <cellStyle name="Comma 18 3 4" xfId="8318" xr:uid="{072B6621-4DDA-438E-8950-813E291E93C6}"/>
    <cellStyle name="Comma 18 3 4 10" xfId="8319" xr:uid="{45C286BD-CFB6-48D4-962A-F4A54A59BF36}"/>
    <cellStyle name="Comma 18 3 4 10 2" xfId="8320" xr:uid="{CBC6914B-21AD-4276-9349-35E505FDE333}"/>
    <cellStyle name="Comma 18 3 4 11" xfId="8321" xr:uid="{F9A3DEE4-209C-4DF4-81DA-D4580AECD6F7}"/>
    <cellStyle name="Comma 18 3 4 2" xfId="8322" xr:uid="{E1EFB7F0-1FD6-4BEB-B17A-A98EABBDE207}"/>
    <cellStyle name="Comma 18 3 4 2 10" xfId="8323" xr:uid="{9DBE0C83-A6FE-446F-B524-2E68F0EE9846}"/>
    <cellStyle name="Comma 18 3 4 2 2" xfId="8324" xr:uid="{E62CD76A-462A-4C0B-9D94-E1E2CAD7876C}"/>
    <cellStyle name="Comma 18 3 4 2 2 2" xfId="8325" xr:uid="{96B7B808-75D2-4667-A2E6-C8C18D2D1BE4}"/>
    <cellStyle name="Comma 18 3 4 2 2 2 2" xfId="8326" xr:uid="{72D9076F-BA75-430F-A62C-8D3FC2F9832E}"/>
    <cellStyle name="Comma 18 3 4 2 2 2 2 2" xfId="8327" xr:uid="{4D3048A7-C22A-4E10-A3E8-B47CB1E2FAE3}"/>
    <cellStyle name="Comma 18 3 4 2 2 2 3" xfId="8328" xr:uid="{E3ABB872-A900-456A-9813-8BDC3786E99F}"/>
    <cellStyle name="Comma 18 3 4 2 2 2 3 2" xfId="8329" xr:uid="{659A8F90-C041-48F1-9190-B8F70BB657C6}"/>
    <cellStyle name="Comma 18 3 4 2 2 2 4" xfId="8330" xr:uid="{0915CA37-6CD3-4C85-BFF4-EBEFDECCE4A0}"/>
    <cellStyle name="Comma 18 3 4 2 2 2 4 2" xfId="8331" xr:uid="{118E504B-EFFF-4785-B8BD-4256BFD1E716}"/>
    <cellStyle name="Comma 18 3 4 2 2 2 5" xfId="8332" xr:uid="{42A62BD8-92FD-4CB4-BBDD-474EB7C97346}"/>
    <cellStyle name="Comma 18 3 4 2 2 3" xfId="8333" xr:uid="{57C17566-5AAA-4D1B-8916-5E2EB4D1CE9B}"/>
    <cellStyle name="Comma 18 3 4 2 2 3 2" xfId="8334" xr:uid="{D26817CF-B60E-4049-9717-226AA90F662B}"/>
    <cellStyle name="Comma 18 3 4 2 2 3 2 2" xfId="8335" xr:uid="{7263B8DA-97E6-4A7D-95DD-8C785471F4B3}"/>
    <cellStyle name="Comma 18 3 4 2 2 3 3" xfId="8336" xr:uid="{6F88CEF9-7407-417A-B957-77C3A93534DE}"/>
    <cellStyle name="Comma 18 3 4 2 2 3 3 2" xfId="8337" xr:uid="{C03C7FE9-A1E9-4489-B09C-31EA798C2D72}"/>
    <cellStyle name="Comma 18 3 4 2 2 3 4" xfId="8338" xr:uid="{26DF47D5-12A1-4802-81FD-94DD8AA55B1F}"/>
    <cellStyle name="Comma 18 3 4 2 2 3 4 2" xfId="8339" xr:uid="{3BC0D36C-6D3B-4734-932D-CC2FABA3AD90}"/>
    <cellStyle name="Comma 18 3 4 2 2 3 5" xfId="8340" xr:uid="{E2F35C0D-A284-4C0E-97B1-D2BAD92DD32F}"/>
    <cellStyle name="Comma 18 3 4 2 2 4" xfId="8341" xr:uid="{0121705D-C2F3-4FA4-A7DE-95EAE718A79C}"/>
    <cellStyle name="Comma 18 3 4 2 2 4 2" xfId="8342" xr:uid="{AA6A0AEF-1104-4000-9786-ABD1D23BD457}"/>
    <cellStyle name="Comma 18 3 4 2 2 5" xfId="8343" xr:uid="{ED6D24C0-6D34-4156-9BD6-B21224062505}"/>
    <cellStyle name="Comma 18 3 4 2 2 5 2" xfId="8344" xr:uid="{E976FA54-119D-43F0-B5E3-8BE131BF98D2}"/>
    <cellStyle name="Comma 18 3 4 2 2 6" xfId="8345" xr:uid="{282D2461-AA1B-4F0D-B842-01C68071DE9E}"/>
    <cellStyle name="Comma 18 3 4 2 2 6 2" xfId="8346" xr:uid="{263C6C20-4BA8-45CF-A818-82ED0171D9EC}"/>
    <cellStyle name="Comma 18 3 4 2 2 7" xfId="8347" xr:uid="{1F10D334-AAFF-4A37-80D3-F1917E866C2B}"/>
    <cellStyle name="Comma 18 3 4 2 2 7 2" xfId="8348" xr:uid="{D9815694-3E46-427F-95E3-2DAC53843FEE}"/>
    <cellStyle name="Comma 18 3 4 2 2 8" xfId="8349" xr:uid="{BC88115A-B57E-4222-807D-A51224B12A30}"/>
    <cellStyle name="Comma 18 3 4 2 2 8 2" xfId="8350" xr:uid="{927A7366-4ACB-4D8C-8301-158E11963109}"/>
    <cellStyle name="Comma 18 3 4 2 2 9" xfId="8351" xr:uid="{819AE416-2BD5-48F9-8235-796E5C7BEE6A}"/>
    <cellStyle name="Comma 18 3 4 2 3" xfId="8352" xr:uid="{14FAF445-F5F1-4557-BE80-B48F45B59737}"/>
    <cellStyle name="Comma 18 3 4 2 3 2" xfId="8353" xr:uid="{CF5EA2DD-AD91-47F3-A318-91C7F34075CF}"/>
    <cellStyle name="Comma 18 3 4 2 3 2 2" xfId="8354" xr:uid="{A2D0F108-E9A4-4465-8AEE-C87C49CC2DED}"/>
    <cellStyle name="Comma 18 3 4 2 3 3" xfId="8355" xr:uid="{6CBF1406-C7B2-4D7C-B015-4785DB771D42}"/>
    <cellStyle name="Comma 18 3 4 2 3 3 2" xfId="8356" xr:uid="{925657AD-BF24-4CCA-A318-9990F5D4C5D9}"/>
    <cellStyle name="Comma 18 3 4 2 3 4" xfId="8357" xr:uid="{16B54C58-51C6-4C35-8FCC-C42FA2585D01}"/>
    <cellStyle name="Comma 18 3 4 2 3 4 2" xfId="8358" xr:uid="{6AFFAA81-4003-4DAD-B63A-1A9D60F6AC0D}"/>
    <cellStyle name="Comma 18 3 4 2 3 5" xfId="8359" xr:uid="{FD63A7E7-B9B9-4B6C-875A-E3D7D498F345}"/>
    <cellStyle name="Comma 18 3 4 2 4" xfId="8360" xr:uid="{9FCB0EE7-BB12-4592-B7F2-050413C4312E}"/>
    <cellStyle name="Comma 18 3 4 2 4 2" xfId="8361" xr:uid="{F2DA2326-0BAC-4852-BD87-2D66FAE2B5E8}"/>
    <cellStyle name="Comma 18 3 4 2 4 2 2" xfId="8362" xr:uid="{0E55FBCE-1DE4-48D2-8D38-58DB68DFA091}"/>
    <cellStyle name="Comma 18 3 4 2 4 3" xfId="8363" xr:uid="{AED82D07-FE49-4053-9EF4-A50575C85477}"/>
    <cellStyle name="Comma 18 3 4 2 4 3 2" xfId="8364" xr:uid="{33219B2C-DE67-47D5-9F47-A6A43DEA73C4}"/>
    <cellStyle name="Comma 18 3 4 2 4 4" xfId="8365" xr:uid="{15421E57-6B4D-4F30-BDDC-FBE8466932EE}"/>
    <cellStyle name="Comma 18 3 4 2 4 4 2" xfId="8366" xr:uid="{D3443D2A-DE4D-481C-8527-D7E32A2B1A21}"/>
    <cellStyle name="Comma 18 3 4 2 4 5" xfId="8367" xr:uid="{8C2E8233-AE51-4BA3-94C6-4956A5AC2ABF}"/>
    <cellStyle name="Comma 18 3 4 2 5" xfId="8368" xr:uid="{D61274F9-4044-4498-9F72-369C47A5994A}"/>
    <cellStyle name="Comma 18 3 4 2 5 2" xfId="8369" xr:uid="{83BB3D50-9CE1-4BE6-8A43-C2C2E5C3AE0D}"/>
    <cellStyle name="Comma 18 3 4 2 6" xfId="8370" xr:uid="{7AAB3A5F-4897-40EC-B935-3AF545390821}"/>
    <cellStyle name="Comma 18 3 4 2 6 2" xfId="8371" xr:uid="{F2D61B8E-C725-433E-A0E7-770FDD02EE46}"/>
    <cellStyle name="Comma 18 3 4 2 7" xfId="8372" xr:uid="{9B36B7AD-7328-49EE-BB9A-37B66C9624E3}"/>
    <cellStyle name="Comma 18 3 4 2 7 2" xfId="8373" xr:uid="{3198C537-94A6-476D-BF8D-1F1BD549B463}"/>
    <cellStyle name="Comma 18 3 4 2 8" xfId="8374" xr:uid="{60C081A0-066C-4401-AAB5-E338DFB17E0E}"/>
    <cellStyle name="Comma 18 3 4 2 8 2" xfId="8375" xr:uid="{A3FBC303-8CAE-4973-866A-A1688AC3F3EF}"/>
    <cellStyle name="Comma 18 3 4 2 9" xfId="8376" xr:uid="{B18C0808-F9B6-437C-BD48-0DFC9DA097EA}"/>
    <cellStyle name="Comma 18 3 4 2 9 2" xfId="8377" xr:uid="{B42D10AF-0206-4AAD-9C02-1476532858D6}"/>
    <cellStyle name="Comma 18 3 4 3" xfId="8378" xr:uid="{7676112E-EC4D-4A99-B233-3B5AD0546949}"/>
    <cellStyle name="Comma 18 3 4 3 2" xfId="8379" xr:uid="{316E9690-C3F3-48C1-A4FD-2C31AAB9F15A}"/>
    <cellStyle name="Comma 18 3 4 3 2 2" xfId="8380" xr:uid="{87FCFD65-098B-4B05-989D-2C697741A819}"/>
    <cellStyle name="Comma 18 3 4 3 2 2 2" xfId="8381" xr:uid="{F06BE9C6-303F-4D93-A27E-39C1D2955E32}"/>
    <cellStyle name="Comma 18 3 4 3 2 3" xfId="8382" xr:uid="{9E8B8CBB-689A-4ADC-88C3-E528306919FF}"/>
    <cellStyle name="Comma 18 3 4 3 2 3 2" xfId="8383" xr:uid="{531DBC8D-6EDE-457A-8225-2301F11AD7EF}"/>
    <cellStyle name="Comma 18 3 4 3 2 4" xfId="8384" xr:uid="{0737281C-89F0-4F6F-8291-844E575A4262}"/>
    <cellStyle name="Comma 18 3 4 3 2 4 2" xfId="8385" xr:uid="{2636B21F-A58A-4A2E-B934-6D18C9640D2F}"/>
    <cellStyle name="Comma 18 3 4 3 2 5" xfId="8386" xr:uid="{8A33E961-B7F0-4778-B31D-2CDB481D5519}"/>
    <cellStyle name="Comma 18 3 4 3 3" xfId="8387" xr:uid="{C28868D8-8A53-4558-85C3-485C122B15B9}"/>
    <cellStyle name="Comma 18 3 4 3 3 2" xfId="8388" xr:uid="{0C193C64-8314-4EFB-B378-86EEB7010A0A}"/>
    <cellStyle name="Comma 18 3 4 3 3 2 2" xfId="8389" xr:uid="{4AC5A1F1-D488-4F67-9638-4F14F7DF23FB}"/>
    <cellStyle name="Comma 18 3 4 3 3 3" xfId="8390" xr:uid="{DBC4C6A9-791B-4AA1-8810-636144321668}"/>
    <cellStyle name="Comma 18 3 4 3 3 3 2" xfId="8391" xr:uid="{25612A94-47D9-4C7D-989A-FE94856F41AB}"/>
    <cellStyle name="Comma 18 3 4 3 3 4" xfId="8392" xr:uid="{5BBC1706-DD05-4483-B975-488D8E9A1BC7}"/>
    <cellStyle name="Comma 18 3 4 3 3 4 2" xfId="8393" xr:uid="{84B8B6A6-3DD2-4487-BB38-1EACBD236A3F}"/>
    <cellStyle name="Comma 18 3 4 3 3 5" xfId="8394" xr:uid="{ED5A5987-4125-42CE-9CE3-25C6414C4EB2}"/>
    <cellStyle name="Comma 18 3 4 3 4" xfId="8395" xr:uid="{5F8BC440-6EB5-4DBD-B297-C3717BF1C277}"/>
    <cellStyle name="Comma 18 3 4 3 4 2" xfId="8396" xr:uid="{56BAE0AC-E368-405D-A26F-50FDE737BF27}"/>
    <cellStyle name="Comma 18 3 4 3 5" xfId="8397" xr:uid="{1ADD3F1E-D13F-4D76-9D3D-A6A70C41A955}"/>
    <cellStyle name="Comma 18 3 4 3 5 2" xfId="8398" xr:uid="{F8958408-4977-4698-93B7-5052B7EA4CC3}"/>
    <cellStyle name="Comma 18 3 4 3 6" xfId="8399" xr:uid="{7F02C32B-50D8-4178-B74D-2471841561D8}"/>
    <cellStyle name="Comma 18 3 4 3 6 2" xfId="8400" xr:uid="{6BE63826-A965-4C23-B749-A4A65B72F73B}"/>
    <cellStyle name="Comma 18 3 4 3 7" xfId="8401" xr:uid="{2B33ECC0-5E15-439F-945B-1C45EB71FDD8}"/>
    <cellStyle name="Comma 18 3 4 3 7 2" xfId="8402" xr:uid="{A1E5140F-EC33-408F-A6AE-1786C9E0FA1C}"/>
    <cellStyle name="Comma 18 3 4 3 8" xfId="8403" xr:uid="{A180D6FF-7888-4046-BAA6-0BA3997DE359}"/>
    <cellStyle name="Comma 18 3 4 3 8 2" xfId="8404" xr:uid="{96496F58-2868-4B5E-9B59-807A2E0F38F7}"/>
    <cellStyle name="Comma 18 3 4 3 9" xfId="8405" xr:uid="{939E0346-0DEE-4D3A-8E48-C0A9BC7C137D}"/>
    <cellStyle name="Comma 18 3 4 4" xfId="8406" xr:uid="{A1BF779B-2939-457A-9E53-5E0984CCEBF5}"/>
    <cellStyle name="Comma 18 3 4 4 2" xfId="8407" xr:uid="{370375AB-DCC9-404A-8265-0BEBECD0359F}"/>
    <cellStyle name="Comma 18 3 4 4 2 2" xfId="8408" xr:uid="{BC56505D-91B4-4485-82FC-0FFB7309FA41}"/>
    <cellStyle name="Comma 18 3 4 4 3" xfId="8409" xr:uid="{D749A603-82FF-4762-A545-B1FBB57574F8}"/>
    <cellStyle name="Comma 18 3 4 4 3 2" xfId="8410" xr:uid="{E5BC4B98-A602-43D9-8E7E-4967CD223051}"/>
    <cellStyle name="Comma 18 3 4 4 4" xfId="8411" xr:uid="{8D5A0EE1-F627-4EAD-978C-BA787EDB050C}"/>
    <cellStyle name="Comma 18 3 4 4 4 2" xfId="8412" xr:uid="{EF088549-43E9-4D76-9A65-AF68496ECB02}"/>
    <cellStyle name="Comma 18 3 4 4 5" xfId="8413" xr:uid="{1D04AF73-AE7C-43E8-96DE-991508AAFBCB}"/>
    <cellStyle name="Comma 18 3 4 5" xfId="8414" xr:uid="{2983F9C7-9482-4E9F-9D9D-F68ACEDACED6}"/>
    <cellStyle name="Comma 18 3 4 5 2" xfId="8415" xr:uid="{703DDDCD-06D6-4EAA-9CEE-D1D352CCBD4B}"/>
    <cellStyle name="Comma 18 3 4 5 2 2" xfId="8416" xr:uid="{42810BB4-EBA6-487E-9873-A7550AFFBE19}"/>
    <cellStyle name="Comma 18 3 4 5 3" xfId="8417" xr:uid="{AC413F7A-E427-4D4F-9316-82CE5AA77841}"/>
    <cellStyle name="Comma 18 3 4 5 3 2" xfId="8418" xr:uid="{DA730006-829D-4A1A-84E4-536BBA7A502C}"/>
    <cellStyle name="Comma 18 3 4 5 4" xfId="8419" xr:uid="{D9743FAE-23FD-42B5-8FBB-0DA5FBB8362E}"/>
    <cellStyle name="Comma 18 3 4 5 4 2" xfId="8420" xr:uid="{E316C0C9-99EC-4063-83A1-7BAADE6D986D}"/>
    <cellStyle name="Comma 18 3 4 5 5" xfId="8421" xr:uid="{1F190AC3-DAE5-4352-B3DC-BAA6CAFFB5BC}"/>
    <cellStyle name="Comma 18 3 4 6" xfId="8422" xr:uid="{81994F81-BC40-449D-B72F-F332ACEFB90B}"/>
    <cellStyle name="Comma 18 3 4 6 2" xfId="8423" xr:uid="{57D189DD-50BA-4874-8A1B-726F760FABFB}"/>
    <cellStyle name="Comma 18 3 4 7" xfId="8424" xr:uid="{02A879D1-04E2-4CC3-981E-AE031750B4BA}"/>
    <cellStyle name="Comma 18 3 4 7 2" xfId="8425" xr:uid="{4FE47205-63E7-4EAD-9409-028258650EB9}"/>
    <cellStyle name="Comma 18 3 4 8" xfId="8426" xr:uid="{F467F588-2B89-4055-939D-4A12BE1DCC5A}"/>
    <cellStyle name="Comma 18 3 4 8 2" xfId="8427" xr:uid="{C72DFD2B-D4B2-4495-A085-BB7B9F41FFAE}"/>
    <cellStyle name="Comma 18 3 4 9" xfId="8428" xr:uid="{FB4F0178-6588-45EC-83BB-CE195DF5123F}"/>
    <cellStyle name="Comma 18 3 4 9 2" xfId="8429" xr:uid="{4E4FF29B-5D3C-40A7-9683-2ABA9A77DDFE}"/>
    <cellStyle name="Comma 18 3 5" xfId="8430" xr:uid="{D6EB909C-56AD-4E0C-8538-6CE5593C0839}"/>
    <cellStyle name="Comma 18 3 5 10" xfId="8431" xr:uid="{A6D3E240-2EF3-433F-873D-B5A5A74B733F}"/>
    <cellStyle name="Comma 18 3 5 10 2" xfId="8432" xr:uid="{398D002F-1FBF-4B30-9302-95DEDFF27A16}"/>
    <cellStyle name="Comma 18 3 5 11" xfId="8433" xr:uid="{C5AD4A2A-E292-4A01-8139-432A2061F39C}"/>
    <cellStyle name="Comma 18 3 5 2" xfId="8434" xr:uid="{D59A1A07-1081-473E-8FBC-8FB7DC23F6A7}"/>
    <cellStyle name="Comma 18 3 5 2 10" xfId="8435" xr:uid="{0ED48C4F-EA7D-49B9-AB51-6684CEE19181}"/>
    <cellStyle name="Comma 18 3 5 2 2" xfId="8436" xr:uid="{E319D7F8-5343-47B6-A7DC-324D98EF2F72}"/>
    <cellStyle name="Comma 18 3 5 2 2 2" xfId="8437" xr:uid="{FB384E5F-D731-4DC6-9672-90BF88ED54A8}"/>
    <cellStyle name="Comma 18 3 5 2 2 2 2" xfId="8438" xr:uid="{77002F3A-2E8A-4A2D-95A6-7E0FCC3B5042}"/>
    <cellStyle name="Comma 18 3 5 2 2 2 2 2" xfId="8439" xr:uid="{289539D4-8D81-4787-8943-3F261DA64996}"/>
    <cellStyle name="Comma 18 3 5 2 2 2 3" xfId="8440" xr:uid="{C377B351-5592-48A6-AF60-C11FFDE69599}"/>
    <cellStyle name="Comma 18 3 5 2 2 2 3 2" xfId="8441" xr:uid="{9880FC7A-C589-4A0A-B5CA-2A00939E5714}"/>
    <cellStyle name="Comma 18 3 5 2 2 2 4" xfId="8442" xr:uid="{C9A9926C-BB8C-4478-B01A-D40B83B4A5D1}"/>
    <cellStyle name="Comma 18 3 5 2 2 2 4 2" xfId="8443" xr:uid="{B07E378D-0DD4-44F5-840F-075A6E74BF5E}"/>
    <cellStyle name="Comma 18 3 5 2 2 2 5" xfId="8444" xr:uid="{63423A71-FF98-4775-96D6-7BE8C78B8040}"/>
    <cellStyle name="Comma 18 3 5 2 2 3" xfId="8445" xr:uid="{F191D249-2EA8-4B7B-9ADA-A0FEEE1BAB10}"/>
    <cellStyle name="Comma 18 3 5 2 2 3 2" xfId="8446" xr:uid="{7AB940B0-43FD-4D7C-A3E7-E6E5ED9A64C6}"/>
    <cellStyle name="Comma 18 3 5 2 2 3 2 2" xfId="8447" xr:uid="{82244AF8-8E8C-43E6-AC4D-C65990D3ECB4}"/>
    <cellStyle name="Comma 18 3 5 2 2 3 3" xfId="8448" xr:uid="{BB559E54-CFFE-4AB3-9DD9-94125DA13DAC}"/>
    <cellStyle name="Comma 18 3 5 2 2 3 3 2" xfId="8449" xr:uid="{C9E3162E-B6BD-4E14-81EF-E51D9B8F1A52}"/>
    <cellStyle name="Comma 18 3 5 2 2 3 4" xfId="8450" xr:uid="{F991776E-713C-42FC-9063-53111C9B2A90}"/>
    <cellStyle name="Comma 18 3 5 2 2 3 4 2" xfId="8451" xr:uid="{5D28D811-4988-4426-846B-2D3271A45BB9}"/>
    <cellStyle name="Comma 18 3 5 2 2 3 5" xfId="8452" xr:uid="{7565A579-E87D-425C-8236-CD9399C6EFB4}"/>
    <cellStyle name="Comma 18 3 5 2 2 4" xfId="8453" xr:uid="{387CD7FB-B7AA-4E60-9617-699F1ED3118C}"/>
    <cellStyle name="Comma 18 3 5 2 2 4 2" xfId="8454" xr:uid="{EFEECBEC-9F99-455F-9AB9-D672B83DDCD8}"/>
    <cellStyle name="Comma 18 3 5 2 2 5" xfId="8455" xr:uid="{8AEE2194-B3BC-4245-BD23-37620AECDC0C}"/>
    <cellStyle name="Comma 18 3 5 2 2 5 2" xfId="8456" xr:uid="{5399813F-7919-4598-B4C9-1F0DF1DFF9C6}"/>
    <cellStyle name="Comma 18 3 5 2 2 6" xfId="8457" xr:uid="{A389EADF-9703-4EC1-9E04-2EF214B16B34}"/>
    <cellStyle name="Comma 18 3 5 2 2 6 2" xfId="8458" xr:uid="{3DAD235B-FCBB-4B76-805E-F68062BFF25F}"/>
    <cellStyle name="Comma 18 3 5 2 2 7" xfId="8459" xr:uid="{3E0AFFD8-95A1-4D74-805F-CAD6B718B025}"/>
    <cellStyle name="Comma 18 3 5 2 2 7 2" xfId="8460" xr:uid="{A5A1BD06-9F5C-417F-B1CA-3A776053EB4F}"/>
    <cellStyle name="Comma 18 3 5 2 2 8" xfId="8461" xr:uid="{FF3E1450-D3CE-47F0-BCCE-F29C11DD3D5D}"/>
    <cellStyle name="Comma 18 3 5 2 2 8 2" xfId="8462" xr:uid="{8C6A4258-69D3-46EC-9CF2-B55D44712A18}"/>
    <cellStyle name="Comma 18 3 5 2 2 9" xfId="8463" xr:uid="{DB1DEC70-2D59-4A41-AD38-25F7B626129D}"/>
    <cellStyle name="Comma 18 3 5 2 3" xfId="8464" xr:uid="{E3EF87DF-D2D0-4B7C-9279-CEA78D6A2DF1}"/>
    <cellStyle name="Comma 18 3 5 2 3 2" xfId="8465" xr:uid="{B58B618D-6AEB-43BA-9BD4-BE89FD4C6F15}"/>
    <cellStyle name="Comma 18 3 5 2 3 2 2" xfId="8466" xr:uid="{84AB34B9-0A43-4CF5-BDCB-71AB04222A19}"/>
    <cellStyle name="Comma 18 3 5 2 3 3" xfId="8467" xr:uid="{1A358355-91E5-4D56-A73D-128C213C2F84}"/>
    <cellStyle name="Comma 18 3 5 2 3 3 2" xfId="8468" xr:uid="{6AEEFE18-2FA4-4A74-904F-83C27283049F}"/>
    <cellStyle name="Comma 18 3 5 2 3 4" xfId="8469" xr:uid="{D4CD602F-20E6-4A94-8E57-9602AA288FC3}"/>
    <cellStyle name="Comma 18 3 5 2 3 4 2" xfId="8470" xr:uid="{97FFF8E6-3D69-45AF-9C00-96AFAC0940C8}"/>
    <cellStyle name="Comma 18 3 5 2 3 5" xfId="8471" xr:uid="{2F863107-7F96-4BDC-B73E-8EA4FE80B153}"/>
    <cellStyle name="Comma 18 3 5 2 4" xfId="8472" xr:uid="{605D10EE-8EEF-45E8-974A-22D5EE327DA1}"/>
    <cellStyle name="Comma 18 3 5 2 4 2" xfId="8473" xr:uid="{CB167CF1-7A3E-4288-9C5E-E0A2DE6E31E7}"/>
    <cellStyle name="Comma 18 3 5 2 4 2 2" xfId="8474" xr:uid="{7E8180DD-E44C-4BE3-AA8B-DC75C52E5B9D}"/>
    <cellStyle name="Comma 18 3 5 2 4 3" xfId="8475" xr:uid="{1A7FADB4-78B1-4431-BF2F-EAC3B9DFCDFD}"/>
    <cellStyle name="Comma 18 3 5 2 4 3 2" xfId="8476" xr:uid="{18940236-0927-47DF-9C3C-6DB507D01CD6}"/>
    <cellStyle name="Comma 18 3 5 2 4 4" xfId="8477" xr:uid="{5CE793D9-3292-4BD4-9F88-A2E754FC0BC4}"/>
    <cellStyle name="Comma 18 3 5 2 4 4 2" xfId="8478" xr:uid="{3356881C-96C2-4D80-A710-27D94CBD29D6}"/>
    <cellStyle name="Comma 18 3 5 2 4 5" xfId="8479" xr:uid="{C349EB8D-A0AC-4FC4-BE73-19D1F9AF64F1}"/>
    <cellStyle name="Comma 18 3 5 2 5" xfId="8480" xr:uid="{1E7E38EB-EFD3-450C-BF9F-2EE16CA4B165}"/>
    <cellStyle name="Comma 18 3 5 2 5 2" xfId="8481" xr:uid="{A5D7C98A-32C6-4381-9AFC-570FC7B0E8A9}"/>
    <cellStyle name="Comma 18 3 5 2 6" xfId="8482" xr:uid="{5309FC75-297B-46F0-B54F-7AF6FCE4F1CD}"/>
    <cellStyle name="Comma 18 3 5 2 6 2" xfId="8483" xr:uid="{584AEACE-389E-479B-8FB2-C544D082D844}"/>
    <cellStyle name="Comma 18 3 5 2 7" xfId="8484" xr:uid="{91E00882-21EE-4919-B8D8-ECE990A9182B}"/>
    <cellStyle name="Comma 18 3 5 2 7 2" xfId="8485" xr:uid="{3F4BFCD1-D3DB-46F8-B6A2-1D1A213E00DC}"/>
    <cellStyle name="Comma 18 3 5 2 8" xfId="8486" xr:uid="{E3A5D87F-1DEE-4F22-A671-6A49768B9037}"/>
    <cellStyle name="Comma 18 3 5 2 8 2" xfId="8487" xr:uid="{4C30D1F6-18AE-496D-AF2C-E65442008DB5}"/>
    <cellStyle name="Comma 18 3 5 2 9" xfId="8488" xr:uid="{4D7FFE57-4A54-45C4-994C-A3EAAF445E54}"/>
    <cellStyle name="Comma 18 3 5 2 9 2" xfId="8489" xr:uid="{65448827-23EF-444B-B49B-7E902108425E}"/>
    <cellStyle name="Comma 18 3 5 3" xfId="8490" xr:uid="{745E85F5-74E3-482E-A33C-068EB9874B64}"/>
    <cellStyle name="Comma 18 3 5 3 2" xfId="8491" xr:uid="{B0F7E1E0-FBE8-4780-BA52-0BD04EEFE01E}"/>
    <cellStyle name="Comma 18 3 5 3 2 2" xfId="8492" xr:uid="{07456F3C-283E-4CDC-B1F8-F35354F5D1F1}"/>
    <cellStyle name="Comma 18 3 5 3 2 2 2" xfId="8493" xr:uid="{D5C8750A-9758-443B-89F3-8B55689D6156}"/>
    <cellStyle name="Comma 18 3 5 3 2 3" xfId="8494" xr:uid="{7055D780-6C74-4CD3-ABA5-7CD42BE1043F}"/>
    <cellStyle name="Comma 18 3 5 3 2 3 2" xfId="8495" xr:uid="{3821D8B8-E5A4-4303-AA03-20E5D66AEEAF}"/>
    <cellStyle name="Comma 18 3 5 3 2 4" xfId="8496" xr:uid="{E271FAC3-B903-4F28-812F-C6B82C59A368}"/>
    <cellStyle name="Comma 18 3 5 3 2 4 2" xfId="8497" xr:uid="{E48CA474-9464-4510-B7F5-2A0BB477564D}"/>
    <cellStyle name="Comma 18 3 5 3 2 5" xfId="8498" xr:uid="{96FB53AA-6BE1-491D-8BC5-D0BB227CDAEB}"/>
    <cellStyle name="Comma 18 3 5 3 3" xfId="8499" xr:uid="{DEFBF28B-51CE-46A9-96E9-DA5CD5AD3BB4}"/>
    <cellStyle name="Comma 18 3 5 3 3 2" xfId="8500" xr:uid="{51C5FC27-EE02-48DC-AD3A-0128D450F43B}"/>
    <cellStyle name="Comma 18 3 5 3 3 2 2" xfId="8501" xr:uid="{27437118-EBFD-4FC7-B1C9-4A75FD165E60}"/>
    <cellStyle name="Comma 18 3 5 3 3 3" xfId="8502" xr:uid="{8C1B62D8-E963-4DCE-B4DE-E54DBF9CFE7B}"/>
    <cellStyle name="Comma 18 3 5 3 3 3 2" xfId="8503" xr:uid="{8E0DFA67-BCEB-497B-BC04-CD23D993E329}"/>
    <cellStyle name="Comma 18 3 5 3 3 4" xfId="8504" xr:uid="{545808E1-1544-4E13-B30C-70A318D34132}"/>
    <cellStyle name="Comma 18 3 5 3 3 4 2" xfId="8505" xr:uid="{0BB2D276-4672-47ED-9668-A6C440D2BED0}"/>
    <cellStyle name="Comma 18 3 5 3 3 5" xfId="8506" xr:uid="{A2084333-A8EA-40A6-A32B-294D861D326A}"/>
    <cellStyle name="Comma 18 3 5 3 4" xfId="8507" xr:uid="{8D4F1D31-F9D9-4B82-9C0D-DCC51F047B12}"/>
    <cellStyle name="Comma 18 3 5 3 4 2" xfId="8508" xr:uid="{225D49B7-A1AD-4237-BBA9-9545A3A09364}"/>
    <cellStyle name="Comma 18 3 5 3 5" xfId="8509" xr:uid="{9A3FE3CE-42E2-409B-8719-BCF742F6C6DF}"/>
    <cellStyle name="Comma 18 3 5 3 5 2" xfId="8510" xr:uid="{283C8366-A22D-4737-8B60-790B6433A88F}"/>
    <cellStyle name="Comma 18 3 5 3 6" xfId="8511" xr:uid="{1DECEFEA-8258-4541-9EE7-6FF9AE7BDFEA}"/>
    <cellStyle name="Comma 18 3 5 3 6 2" xfId="8512" xr:uid="{920A5779-6137-4111-B766-A18727DADA57}"/>
    <cellStyle name="Comma 18 3 5 3 7" xfId="8513" xr:uid="{2D9DB78D-13B4-432A-BCF6-5615C63657F1}"/>
    <cellStyle name="Comma 18 3 5 3 7 2" xfId="8514" xr:uid="{7CF74D22-39FC-4A51-B8ED-1B243DF7D4A2}"/>
    <cellStyle name="Comma 18 3 5 3 8" xfId="8515" xr:uid="{2AECBB13-92C2-4EA5-841B-BA7518B409FF}"/>
    <cellStyle name="Comma 18 3 5 3 8 2" xfId="8516" xr:uid="{10C7E823-024B-4059-938D-76E4DAD00C76}"/>
    <cellStyle name="Comma 18 3 5 3 9" xfId="8517" xr:uid="{8DCE8867-CCEE-4739-9BC8-49F3606946B2}"/>
    <cellStyle name="Comma 18 3 5 4" xfId="8518" xr:uid="{7E9D22B2-0FB3-47A9-9D2A-125207321A26}"/>
    <cellStyle name="Comma 18 3 5 4 2" xfId="8519" xr:uid="{41B72039-E572-43F4-A961-C3AC2247C6B1}"/>
    <cellStyle name="Comma 18 3 5 4 2 2" xfId="8520" xr:uid="{5615A541-2931-4CA9-A57C-AA4D1437FF33}"/>
    <cellStyle name="Comma 18 3 5 4 3" xfId="8521" xr:uid="{ADE6AEE5-9263-444A-9F76-7E25774B01BD}"/>
    <cellStyle name="Comma 18 3 5 4 3 2" xfId="8522" xr:uid="{14ED19E7-447A-4A75-9B7E-C98B3E539BD9}"/>
    <cellStyle name="Comma 18 3 5 4 4" xfId="8523" xr:uid="{09729019-E5ED-45D3-A370-38F8CB12EA20}"/>
    <cellStyle name="Comma 18 3 5 4 4 2" xfId="8524" xr:uid="{B89BBD2D-081E-4D82-AE71-8EDE3D93012A}"/>
    <cellStyle name="Comma 18 3 5 4 5" xfId="8525" xr:uid="{F8EDAC74-8DD3-4533-81E4-509437BAA1E5}"/>
    <cellStyle name="Comma 18 3 5 5" xfId="8526" xr:uid="{33355EC0-9450-4DA2-92EF-2FB9A2A63CF0}"/>
    <cellStyle name="Comma 18 3 5 5 2" xfId="8527" xr:uid="{95EBF7A8-139C-488A-B567-CD0B4D5814BB}"/>
    <cellStyle name="Comma 18 3 5 5 2 2" xfId="8528" xr:uid="{CA295FE1-B8B8-47E9-9A70-70C31A12D6F4}"/>
    <cellStyle name="Comma 18 3 5 5 3" xfId="8529" xr:uid="{6AB735A9-6243-4626-B34A-EFCE4D9652DE}"/>
    <cellStyle name="Comma 18 3 5 5 3 2" xfId="8530" xr:uid="{4FDF50F9-A006-4DCC-85E2-336E52E088F2}"/>
    <cellStyle name="Comma 18 3 5 5 4" xfId="8531" xr:uid="{77008EB1-5162-4AB7-A095-FFE696057876}"/>
    <cellStyle name="Comma 18 3 5 5 4 2" xfId="8532" xr:uid="{7DF1560C-E202-4F6E-94F2-D1355B99AB77}"/>
    <cellStyle name="Comma 18 3 5 5 5" xfId="8533" xr:uid="{DDAB699E-3932-4125-AB8E-FA611ECDDE69}"/>
    <cellStyle name="Comma 18 3 5 6" xfId="8534" xr:uid="{46147AC7-C3B9-4431-B5D1-A6C1D5BE6B2B}"/>
    <cellStyle name="Comma 18 3 5 6 2" xfId="8535" xr:uid="{A2590E81-7108-41C3-AAD2-FDC771CD7F40}"/>
    <cellStyle name="Comma 18 3 5 7" xfId="8536" xr:uid="{5157D38F-D7FA-4803-8932-6D22EB2C49BD}"/>
    <cellStyle name="Comma 18 3 5 7 2" xfId="8537" xr:uid="{BB7BC603-3F32-4834-AF91-D7A2493A45AF}"/>
    <cellStyle name="Comma 18 3 5 8" xfId="8538" xr:uid="{BA69647F-507E-4D66-A6E1-4349B9AC1297}"/>
    <cellStyle name="Comma 18 3 5 8 2" xfId="8539" xr:uid="{7EAF38CB-D6C6-4ECB-BD1A-1153C8912764}"/>
    <cellStyle name="Comma 18 3 5 9" xfId="8540" xr:uid="{D84A31FA-D1A2-4ABE-8247-AA5087D44CC7}"/>
    <cellStyle name="Comma 18 3 5 9 2" xfId="8541" xr:uid="{533C62E9-4A82-41C8-B910-D20F154481A4}"/>
    <cellStyle name="Comma 18 3 6" xfId="8542" xr:uid="{7B7EE481-A22E-4E01-AC6C-7FA81FA37307}"/>
    <cellStyle name="Comma 18 3 6 10" xfId="8543" xr:uid="{2F4214B9-09B5-40B6-8DF2-F62C6D8BA71C}"/>
    <cellStyle name="Comma 18 3 6 2" xfId="8544" xr:uid="{6075B778-71A2-4965-8924-42E3961051F4}"/>
    <cellStyle name="Comma 18 3 6 2 2" xfId="8545" xr:uid="{9AEB931D-D772-4DA8-9387-3D625266ACD5}"/>
    <cellStyle name="Comma 18 3 6 2 2 2" xfId="8546" xr:uid="{CCC50F07-4555-4891-9DE7-82CCDBE43678}"/>
    <cellStyle name="Comma 18 3 6 2 2 2 2" xfId="8547" xr:uid="{76E7DA76-E644-44FD-93B8-8356ECC26D19}"/>
    <cellStyle name="Comma 18 3 6 2 2 3" xfId="8548" xr:uid="{E3C09939-ACA2-4946-A389-4A6945D3B5D5}"/>
    <cellStyle name="Comma 18 3 6 2 2 3 2" xfId="8549" xr:uid="{CDC2749C-0070-4F6C-A2FC-169652A24597}"/>
    <cellStyle name="Comma 18 3 6 2 2 4" xfId="8550" xr:uid="{7A12BDC7-0BBE-4238-8733-E920553F37CC}"/>
    <cellStyle name="Comma 18 3 6 2 2 4 2" xfId="8551" xr:uid="{35CBE336-BE13-4A1C-A25B-90782A552163}"/>
    <cellStyle name="Comma 18 3 6 2 2 5" xfId="8552" xr:uid="{4C5EFCCE-15BA-41DF-BC42-A1450709BFC0}"/>
    <cellStyle name="Comma 18 3 6 2 3" xfId="8553" xr:uid="{CDA430E0-7406-4475-A2F5-3413A94C9393}"/>
    <cellStyle name="Comma 18 3 6 2 3 2" xfId="8554" xr:uid="{08B80F68-802C-48A8-9BAE-686C1AC1CFE5}"/>
    <cellStyle name="Comma 18 3 6 2 3 2 2" xfId="8555" xr:uid="{020B629C-98B0-4D5C-807B-01C1264A3C46}"/>
    <cellStyle name="Comma 18 3 6 2 3 3" xfId="8556" xr:uid="{754F6DCF-5BD2-46AF-ADAC-4A73F1B752F4}"/>
    <cellStyle name="Comma 18 3 6 2 3 3 2" xfId="8557" xr:uid="{F73A91ED-E161-4F20-BD86-C92FC269A6B9}"/>
    <cellStyle name="Comma 18 3 6 2 3 4" xfId="8558" xr:uid="{70233C0F-1483-4324-A1F9-CB2F102711D3}"/>
    <cellStyle name="Comma 18 3 6 2 3 4 2" xfId="8559" xr:uid="{0E4986AE-C792-4927-B608-55E2683A5275}"/>
    <cellStyle name="Comma 18 3 6 2 3 5" xfId="8560" xr:uid="{E5BD8290-5F61-449F-A7B1-C767C2FA94F8}"/>
    <cellStyle name="Comma 18 3 6 2 4" xfId="8561" xr:uid="{AECF80B7-3C37-4550-895E-8042C14CE4B6}"/>
    <cellStyle name="Comma 18 3 6 2 4 2" xfId="8562" xr:uid="{D427CD9B-60BF-4D6B-9113-B073A5132AFF}"/>
    <cellStyle name="Comma 18 3 6 2 5" xfId="8563" xr:uid="{A542DBFC-6430-4BF7-9618-E8A49C02B3AC}"/>
    <cellStyle name="Comma 18 3 6 2 5 2" xfId="8564" xr:uid="{BD484F78-0FF7-4F73-9015-14BDD586E325}"/>
    <cellStyle name="Comma 18 3 6 2 6" xfId="8565" xr:uid="{6045D18B-7DCD-4D93-A6D2-0460DBEF60D0}"/>
    <cellStyle name="Comma 18 3 6 2 6 2" xfId="8566" xr:uid="{0B65AC41-D843-4946-9D30-F1D27D0BE3C8}"/>
    <cellStyle name="Comma 18 3 6 2 7" xfId="8567" xr:uid="{BCEF0EB6-423D-4B4E-ABEE-C3D6165E7848}"/>
    <cellStyle name="Comma 18 3 6 2 7 2" xfId="8568" xr:uid="{778A48B0-E09C-471A-9887-61BAE482DB77}"/>
    <cellStyle name="Comma 18 3 6 2 8" xfId="8569" xr:uid="{86F79937-5DB4-4630-B997-46562B57B9FA}"/>
    <cellStyle name="Comma 18 3 6 2 8 2" xfId="8570" xr:uid="{9E26C0AC-0777-46C0-B969-590DEA05FA0F}"/>
    <cellStyle name="Comma 18 3 6 2 9" xfId="8571" xr:uid="{4FBB91BC-ACB9-4937-A0AE-33BAA87F30AB}"/>
    <cellStyle name="Comma 18 3 6 3" xfId="8572" xr:uid="{E8EE2C2B-155A-4941-AA0C-91FBB2E20CE5}"/>
    <cellStyle name="Comma 18 3 6 3 2" xfId="8573" xr:uid="{CA52DACE-D0AC-43D1-8AFB-D54B127DE929}"/>
    <cellStyle name="Comma 18 3 6 3 2 2" xfId="8574" xr:uid="{D3DFA3B0-AEA9-4404-8C4E-5C433BCEF2DB}"/>
    <cellStyle name="Comma 18 3 6 3 3" xfId="8575" xr:uid="{725B146A-2E2E-4C3E-8990-88DDCD85A495}"/>
    <cellStyle name="Comma 18 3 6 3 3 2" xfId="8576" xr:uid="{37E885FE-EEDA-4146-AF02-9AD5D48F9534}"/>
    <cellStyle name="Comma 18 3 6 3 4" xfId="8577" xr:uid="{BB9D6B1A-073F-46AE-AD77-C4BC45A19388}"/>
    <cellStyle name="Comma 18 3 6 3 4 2" xfId="8578" xr:uid="{686B2366-744E-417F-B295-BE59C1E9F270}"/>
    <cellStyle name="Comma 18 3 6 3 5" xfId="8579" xr:uid="{20D7B538-20B8-460B-BA68-EF39472A9C36}"/>
    <cellStyle name="Comma 18 3 6 4" xfId="8580" xr:uid="{A4C9EFEA-3C6D-4E2C-908B-37F10000B855}"/>
    <cellStyle name="Comma 18 3 6 4 2" xfId="8581" xr:uid="{C1DCBDA8-D3E9-4397-8F23-6B5E1BEE4408}"/>
    <cellStyle name="Comma 18 3 6 4 2 2" xfId="8582" xr:uid="{BBF4C9CE-8C06-43D7-942E-E713DFF9F024}"/>
    <cellStyle name="Comma 18 3 6 4 3" xfId="8583" xr:uid="{939C0DF4-44BF-45D6-980A-C5489C8C8EDB}"/>
    <cellStyle name="Comma 18 3 6 4 3 2" xfId="8584" xr:uid="{8C11E101-4037-4F11-ABF4-A43F10371562}"/>
    <cellStyle name="Comma 18 3 6 4 4" xfId="8585" xr:uid="{8A934FDE-9497-471D-9A4C-6C6108413A24}"/>
    <cellStyle name="Comma 18 3 6 4 4 2" xfId="8586" xr:uid="{B7D99106-C6B1-4518-AAC0-8BE5F02021CC}"/>
    <cellStyle name="Comma 18 3 6 4 5" xfId="8587" xr:uid="{3512A223-08CA-4706-8651-67EA73EAB83B}"/>
    <cellStyle name="Comma 18 3 6 5" xfId="8588" xr:uid="{A709AA23-DE70-46E0-8617-B6728716E96B}"/>
    <cellStyle name="Comma 18 3 6 5 2" xfId="8589" xr:uid="{2D7C2FEE-D4B7-4531-BBF7-A9D8981A6005}"/>
    <cellStyle name="Comma 18 3 6 6" xfId="8590" xr:uid="{871DC885-64E1-4127-B488-6FE03F3CB5E8}"/>
    <cellStyle name="Comma 18 3 6 6 2" xfId="8591" xr:uid="{3A15E70C-AA67-41DC-B4F6-FABE8EDF33DD}"/>
    <cellStyle name="Comma 18 3 6 7" xfId="8592" xr:uid="{4C88A12F-AD86-42C9-8DD1-8B7FC92D93AF}"/>
    <cellStyle name="Comma 18 3 6 7 2" xfId="8593" xr:uid="{49E42075-22E2-48CD-BEF3-CD19CDC96C6C}"/>
    <cellStyle name="Comma 18 3 6 8" xfId="8594" xr:uid="{22E2FB0B-EEDC-49FC-AF76-DEE5699A42D0}"/>
    <cellStyle name="Comma 18 3 6 8 2" xfId="8595" xr:uid="{D2494165-C0D4-4809-AB42-BF20970CF0FD}"/>
    <cellStyle name="Comma 18 3 6 9" xfId="8596" xr:uid="{FB5F166F-3E8A-453B-8590-B41B2EBBB413}"/>
    <cellStyle name="Comma 18 3 6 9 2" xfId="8597" xr:uid="{015E7ED8-ACE4-48D1-A1D6-AC1CAAB4A22E}"/>
    <cellStyle name="Comma 18 3 7" xfId="8598" xr:uid="{3A88DFCC-87D7-4D35-A2C3-C6865DD51A8A}"/>
    <cellStyle name="Comma 18 3 7 2" xfId="8599" xr:uid="{55EDC2B1-5328-469B-8F69-E2DEE7D1AB2C}"/>
    <cellStyle name="Comma 18 3 7 2 2" xfId="8600" xr:uid="{DB44725D-0E0A-423D-8FEC-02D1079F33F9}"/>
    <cellStyle name="Comma 18 3 7 2 2 2" xfId="8601" xr:uid="{E4DF6D8F-3CC3-44FF-8A38-09223990139F}"/>
    <cellStyle name="Comma 18 3 7 2 3" xfId="8602" xr:uid="{FA97ED89-61BF-49A9-85E8-BE951528F785}"/>
    <cellStyle name="Comma 18 3 7 2 3 2" xfId="8603" xr:uid="{304A5105-AAB9-4810-9CE8-7D48A70B1A35}"/>
    <cellStyle name="Comma 18 3 7 2 4" xfId="8604" xr:uid="{F4076016-3A3B-4625-9DE6-37134E61E1A9}"/>
    <cellStyle name="Comma 18 3 7 2 4 2" xfId="8605" xr:uid="{3656D778-7A57-40F2-9B26-E4E28D8230C2}"/>
    <cellStyle name="Comma 18 3 7 2 5" xfId="8606" xr:uid="{B2636AEA-EBD9-41B5-ADE4-80F6FE16F3E1}"/>
    <cellStyle name="Comma 18 3 7 3" xfId="8607" xr:uid="{91F8C7B8-AA81-4C64-8A89-899C776133C8}"/>
    <cellStyle name="Comma 18 3 7 3 2" xfId="8608" xr:uid="{7B506E18-DBD5-4A27-8CFD-308B8A5E3F18}"/>
    <cellStyle name="Comma 18 3 7 3 2 2" xfId="8609" xr:uid="{0B83862F-FF79-469C-8238-AD965E6A3F73}"/>
    <cellStyle name="Comma 18 3 7 3 3" xfId="8610" xr:uid="{9D6CA444-E363-4EFC-81D6-E5DADBABA702}"/>
    <cellStyle name="Comma 18 3 7 3 3 2" xfId="8611" xr:uid="{02B5BF2C-C253-484A-9BBE-88D4A60BF22C}"/>
    <cellStyle name="Comma 18 3 7 3 4" xfId="8612" xr:uid="{A9512544-CE56-4DCD-A71C-45B223410A4B}"/>
    <cellStyle name="Comma 18 3 7 3 4 2" xfId="8613" xr:uid="{FD9D23F7-4098-4EC9-9AD3-8BE24B4F812D}"/>
    <cellStyle name="Comma 18 3 7 3 5" xfId="8614" xr:uid="{2689CAB3-ABC3-4B68-A8E0-01FCD80BD27C}"/>
    <cellStyle name="Comma 18 3 7 4" xfId="8615" xr:uid="{41A3D553-BD6D-49DD-8E76-9CF02C102C9D}"/>
    <cellStyle name="Comma 18 3 7 4 2" xfId="8616" xr:uid="{DE90A8A1-61ED-4656-88E9-1B327AD654BE}"/>
    <cellStyle name="Comma 18 3 7 5" xfId="8617" xr:uid="{355AFDC4-A8A7-44F8-9828-C4B693B9C2AD}"/>
    <cellStyle name="Comma 18 3 7 5 2" xfId="8618" xr:uid="{34229F9E-F86A-4471-B3FF-40F35E2D3B68}"/>
    <cellStyle name="Comma 18 3 7 6" xfId="8619" xr:uid="{3C7D7834-A5F4-4189-8472-E9FF611AC066}"/>
    <cellStyle name="Comma 18 3 7 6 2" xfId="8620" xr:uid="{7F8F3438-B9FC-407F-B430-947988DA701F}"/>
    <cellStyle name="Comma 18 3 7 7" xfId="8621" xr:uid="{EE7DEC70-012B-4601-8748-F0F45F40A321}"/>
    <cellStyle name="Comma 18 3 7 7 2" xfId="8622" xr:uid="{D2BA913A-812B-4472-84F1-9F7997D6AB1B}"/>
    <cellStyle name="Comma 18 3 7 8" xfId="8623" xr:uid="{ECD55481-15CB-4A09-91CD-35EBF7D047B2}"/>
    <cellStyle name="Comma 18 3 7 8 2" xfId="8624" xr:uid="{B6E1FE98-73D1-4A11-A429-65F6B1AD2D35}"/>
    <cellStyle name="Comma 18 3 7 9" xfId="8625" xr:uid="{39F0D0AB-B65C-48DF-BE97-ECB4882FAEA4}"/>
    <cellStyle name="Comma 18 3 8" xfId="8626" xr:uid="{5F135CA4-0615-439F-AC2B-855C34137634}"/>
    <cellStyle name="Comma 18 3 8 2" xfId="8627" xr:uid="{A9B0FFBE-2599-444B-BF08-AA669EAB9E99}"/>
    <cellStyle name="Comma 18 3 8 2 2" xfId="8628" xr:uid="{86F7FDE7-33A3-4C6F-8249-87D5BBD976D0}"/>
    <cellStyle name="Comma 18 3 8 3" xfId="8629" xr:uid="{B06FF89F-98A2-4302-BBF5-7340DAA1168D}"/>
    <cellStyle name="Comma 18 3 8 3 2" xfId="8630" xr:uid="{00936FF4-8FDB-4A9A-A65D-3C5EAF0D7AC5}"/>
    <cellStyle name="Comma 18 3 8 4" xfId="8631" xr:uid="{281E9348-9855-467B-A307-88502A203306}"/>
    <cellStyle name="Comma 18 3 8 4 2" xfId="8632" xr:uid="{CC6757EF-D341-4082-B47F-1D510BA64BA4}"/>
    <cellStyle name="Comma 18 3 8 5" xfId="8633" xr:uid="{F1287C38-884B-44E6-A770-C1FED098DC91}"/>
    <cellStyle name="Comma 18 3 9" xfId="8634" xr:uid="{F9C7E964-811A-407F-98FB-A81EF9EBADED}"/>
    <cellStyle name="Comma 18 3 9 2" xfId="8635" xr:uid="{8F1859B4-E5E8-465B-9A69-BD8E04EEAFDA}"/>
    <cellStyle name="Comma 18 3 9 2 2" xfId="8636" xr:uid="{9691AE81-795F-4644-A850-4821A8877E0F}"/>
    <cellStyle name="Comma 18 3 9 3" xfId="8637" xr:uid="{850543C6-98D6-4F41-B32D-1A836951F1D6}"/>
    <cellStyle name="Comma 18 3 9 3 2" xfId="8638" xr:uid="{8AC0E35A-CBBB-4D87-AFFE-23E498D60CCA}"/>
    <cellStyle name="Comma 18 3 9 4" xfId="8639" xr:uid="{64F2DC6E-ABEE-4867-94FD-ABEDB8C1AABB}"/>
    <cellStyle name="Comma 18 3 9 4 2" xfId="8640" xr:uid="{83608D02-612E-48E1-B645-BF79DFD358B6}"/>
    <cellStyle name="Comma 18 3 9 5" xfId="8641" xr:uid="{B5817AA9-E1DB-4029-808F-5F483763356A}"/>
    <cellStyle name="Comma 18 4" xfId="8642" xr:uid="{1F3E480F-3699-471B-AC1A-FEA874F14DED}"/>
    <cellStyle name="Comma 18 4 10" xfId="8643" xr:uid="{448EA781-D42C-4A8F-8564-A9CBBD8994A6}"/>
    <cellStyle name="Comma 18 4 10 2" xfId="8644" xr:uid="{42925CCD-2179-483D-A901-901AE067A59D}"/>
    <cellStyle name="Comma 18 4 11" xfId="8645" xr:uid="{0E37C30B-C983-4CC9-A7CA-614071FA73B2}"/>
    <cellStyle name="Comma 18 4 2" xfId="8646" xr:uid="{937F337C-3CA8-46AA-A4E0-E4081B6F86BC}"/>
    <cellStyle name="Comma 18 4 2 10" xfId="8647" xr:uid="{1E235F2E-7B5F-4BC6-A520-6955E6B08AF1}"/>
    <cellStyle name="Comma 18 4 2 2" xfId="8648" xr:uid="{1CCE1067-D721-480A-AB84-CED11558C49D}"/>
    <cellStyle name="Comma 18 4 2 2 2" xfId="8649" xr:uid="{6FB21944-0F84-4D3F-82AB-63FD1DDD852E}"/>
    <cellStyle name="Comma 18 4 2 2 2 2" xfId="8650" xr:uid="{A6BC8B4D-B4D3-481C-B3EE-7AF1E43B50BA}"/>
    <cellStyle name="Comma 18 4 2 2 2 2 2" xfId="8651" xr:uid="{82EDFB80-BEF7-47DB-91F0-BEADB7793B1F}"/>
    <cellStyle name="Comma 18 4 2 2 2 3" xfId="8652" xr:uid="{6F48C5AF-E300-4922-9C18-643B715C9524}"/>
    <cellStyle name="Comma 18 4 2 2 2 3 2" xfId="8653" xr:uid="{C4AFF3CA-7C1B-4028-B039-937A7F79BFD6}"/>
    <cellStyle name="Comma 18 4 2 2 2 4" xfId="8654" xr:uid="{758A9FD2-1897-45D4-924A-333F00254C1E}"/>
    <cellStyle name="Comma 18 4 2 2 2 4 2" xfId="8655" xr:uid="{C76ABCFD-551A-40FF-9967-C462FD53F49B}"/>
    <cellStyle name="Comma 18 4 2 2 2 5" xfId="8656" xr:uid="{7E0B5091-B5CE-4D3A-B1D6-CD191D5D2B83}"/>
    <cellStyle name="Comma 18 4 2 2 3" xfId="8657" xr:uid="{3E5E5DAB-4ABC-432C-AC7E-8CE152FE2A3A}"/>
    <cellStyle name="Comma 18 4 2 2 3 2" xfId="8658" xr:uid="{2B68CA26-0AF2-4711-A8C3-7C483386F275}"/>
    <cellStyle name="Comma 18 4 2 2 3 2 2" xfId="8659" xr:uid="{427D155A-A598-4E5C-8A98-AA6E57467D77}"/>
    <cellStyle name="Comma 18 4 2 2 3 3" xfId="8660" xr:uid="{3A39F5C0-AA9C-455D-BE8C-3F31D0176F08}"/>
    <cellStyle name="Comma 18 4 2 2 3 3 2" xfId="8661" xr:uid="{6E9342BE-9402-4D49-945A-5A493C23DBF0}"/>
    <cellStyle name="Comma 18 4 2 2 3 4" xfId="8662" xr:uid="{2B671B65-A8CE-4992-B722-F269B2C96FB9}"/>
    <cellStyle name="Comma 18 4 2 2 3 4 2" xfId="8663" xr:uid="{433FBB59-AC3E-4C4D-A2E4-A3441A025F27}"/>
    <cellStyle name="Comma 18 4 2 2 3 5" xfId="8664" xr:uid="{8CC49AE5-A18F-4BB1-AC85-84CC35582584}"/>
    <cellStyle name="Comma 18 4 2 2 4" xfId="8665" xr:uid="{7A69C288-8CB4-49B2-B2EE-A4DFDA698215}"/>
    <cellStyle name="Comma 18 4 2 2 4 2" xfId="8666" xr:uid="{95376D94-463D-429A-BE6F-BDB602DB093C}"/>
    <cellStyle name="Comma 18 4 2 2 5" xfId="8667" xr:uid="{422C19D6-3C3C-464A-B1A9-3B71F2FCFD08}"/>
    <cellStyle name="Comma 18 4 2 2 5 2" xfId="8668" xr:uid="{0F129277-018D-400F-B901-B5D813CB355F}"/>
    <cellStyle name="Comma 18 4 2 2 6" xfId="8669" xr:uid="{7DC74DD2-5C86-4A7C-BD89-9F71F95FE760}"/>
    <cellStyle name="Comma 18 4 2 2 6 2" xfId="8670" xr:uid="{8ED1A8CB-3653-460B-853F-3590BD714BD6}"/>
    <cellStyle name="Comma 18 4 2 2 7" xfId="8671" xr:uid="{A9CBAFC9-8079-4A6A-91CA-DFA7D21D090F}"/>
    <cellStyle name="Comma 18 4 2 2 7 2" xfId="8672" xr:uid="{E7CD7F2B-BCC7-42F8-8FA4-543FD76D11A9}"/>
    <cellStyle name="Comma 18 4 2 2 8" xfId="8673" xr:uid="{7B09FF19-3EEB-4913-881E-4018EF9C2CA1}"/>
    <cellStyle name="Comma 18 4 2 2 8 2" xfId="8674" xr:uid="{9293B44E-01C7-401D-8E3F-426E55C69037}"/>
    <cellStyle name="Comma 18 4 2 2 9" xfId="8675" xr:uid="{0AB621B8-ECB0-4076-AA15-D2F5508DEC44}"/>
    <cellStyle name="Comma 18 4 2 3" xfId="8676" xr:uid="{3161253D-0B34-41BB-BAD3-523C81348E57}"/>
    <cellStyle name="Comma 18 4 2 3 2" xfId="8677" xr:uid="{E8D559F9-39AD-4CE2-A553-F93A7B75356F}"/>
    <cellStyle name="Comma 18 4 2 3 2 2" xfId="8678" xr:uid="{69FBBEBC-580F-4E82-982F-4898084A0F35}"/>
    <cellStyle name="Comma 18 4 2 3 3" xfId="8679" xr:uid="{04A509D3-FDF6-42CF-9F47-57AB1839E2E3}"/>
    <cellStyle name="Comma 18 4 2 3 3 2" xfId="8680" xr:uid="{E700DC00-F5E2-46AB-9B7E-900FE33F1700}"/>
    <cellStyle name="Comma 18 4 2 3 4" xfId="8681" xr:uid="{DF57A323-BAAB-4B51-8586-21C73DAACCAD}"/>
    <cellStyle name="Comma 18 4 2 3 4 2" xfId="8682" xr:uid="{505111BC-3180-429A-87E2-B808FAEB8B47}"/>
    <cellStyle name="Comma 18 4 2 3 5" xfId="8683" xr:uid="{0E478636-5DA0-4345-80FB-9C06E41A9C12}"/>
    <cellStyle name="Comma 18 4 2 4" xfId="8684" xr:uid="{0AB6E77D-A1F0-47A3-93CF-1BC96950B170}"/>
    <cellStyle name="Comma 18 4 2 4 2" xfId="8685" xr:uid="{889CE8B1-F4E4-497D-80F4-FE6396548BCF}"/>
    <cellStyle name="Comma 18 4 2 4 2 2" xfId="8686" xr:uid="{B1FD83F4-3BA4-41C0-8F96-A0EE208A9029}"/>
    <cellStyle name="Comma 18 4 2 4 3" xfId="8687" xr:uid="{D6B97525-63BA-4631-928C-01F603136BE7}"/>
    <cellStyle name="Comma 18 4 2 4 3 2" xfId="8688" xr:uid="{98181215-4013-492A-8678-B19A46DE4DD6}"/>
    <cellStyle name="Comma 18 4 2 4 4" xfId="8689" xr:uid="{8BF180D7-9667-4CBF-8A57-B378D4F81C2A}"/>
    <cellStyle name="Comma 18 4 2 4 4 2" xfId="8690" xr:uid="{C4F9297A-4E89-449B-B0F6-5D90BF3241E8}"/>
    <cellStyle name="Comma 18 4 2 4 5" xfId="8691" xr:uid="{A4EFC285-EF57-41B7-8D21-76B183F94697}"/>
    <cellStyle name="Comma 18 4 2 5" xfId="8692" xr:uid="{D3E1B789-4B76-4680-BD68-B89ACE9F3DC3}"/>
    <cellStyle name="Comma 18 4 2 5 2" xfId="8693" xr:uid="{56397A96-8AB1-4535-9F01-28E08E790EBD}"/>
    <cellStyle name="Comma 18 4 2 6" xfId="8694" xr:uid="{DA57D664-30F0-4A56-8269-3E14DAA12A0F}"/>
    <cellStyle name="Comma 18 4 2 6 2" xfId="8695" xr:uid="{2DBFE5C5-A8F3-4832-A9E0-5E7D38BC671E}"/>
    <cellStyle name="Comma 18 4 2 7" xfId="8696" xr:uid="{93DC8D72-CD76-42E9-995A-49AE91C28D2F}"/>
    <cellStyle name="Comma 18 4 2 7 2" xfId="8697" xr:uid="{1981B51C-2336-4420-B61E-8880FB4AF8C5}"/>
    <cellStyle name="Comma 18 4 2 8" xfId="8698" xr:uid="{6ED47844-1F68-4FFE-9BF2-4423EF89ECAB}"/>
    <cellStyle name="Comma 18 4 2 8 2" xfId="8699" xr:uid="{672D97FE-7A2E-4145-B920-530EC0C1F386}"/>
    <cellStyle name="Comma 18 4 2 9" xfId="8700" xr:uid="{55034496-1E74-42D3-8778-D7251AA33C08}"/>
    <cellStyle name="Comma 18 4 2 9 2" xfId="8701" xr:uid="{216CE791-CB30-44E9-A517-C1DE5746B075}"/>
    <cellStyle name="Comma 18 4 3" xfId="8702" xr:uid="{FD18DD7D-5783-4EB8-A2E0-17F6D2AF9303}"/>
    <cellStyle name="Comma 18 4 3 2" xfId="8703" xr:uid="{D39C7692-92D4-4192-8C45-7A0FF9FFFDFC}"/>
    <cellStyle name="Comma 18 4 3 2 2" xfId="8704" xr:uid="{320C541E-CBF4-416C-8C5C-CE13663064E8}"/>
    <cellStyle name="Comma 18 4 3 2 2 2" xfId="8705" xr:uid="{3849DF62-094F-4EA3-8752-1F2C50335920}"/>
    <cellStyle name="Comma 18 4 3 2 3" xfId="8706" xr:uid="{C4214B1D-3796-44E3-962F-B46AAEFB5CF2}"/>
    <cellStyle name="Comma 18 4 3 2 3 2" xfId="8707" xr:uid="{7499B72A-45B6-414A-A084-006558781B19}"/>
    <cellStyle name="Comma 18 4 3 2 4" xfId="8708" xr:uid="{F6410ED2-15B2-4C9F-AC67-9A28995B2974}"/>
    <cellStyle name="Comma 18 4 3 2 4 2" xfId="8709" xr:uid="{83C506CB-003E-46A3-A536-0D9EDAAF0F93}"/>
    <cellStyle name="Comma 18 4 3 2 5" xfId="8710" xr:uid="{A4EDE246-818B-48E1-89B9-A4E711271BA7}"/>
    <cellStyle name="Comma 18 4 3 3" xfId="8711" xr:uid="{1C435B8C-3E07-4352-8C16-01064E1064DC}"/>
    <cellStyle name="Comma 18 4 3 3 2" xfId="8712" xr:uid="{FE129F87-339F-449F-B0F2-9A50FC1B2DA5}"/>
    <cellStyle name="Comma 18 4 3 3 2 2" xfId="8713" xr:uid="{B531BDC3-2CE7-4322-83B9-FDEC2065F98F}"/>
    <cellStyle name="Comma 18 4 3 3 3" xfId="8714" xr:uid="{92314492-50C9-4D5E-8C90-7B1A8F19830E}"/>
    <cellStyle name="Comma 18 4 3 3 3 2" xfId="8715" xr:uid="{2FC4D8CF-1915-4BA9-8606-A2C934FE6E69}"/>
    <cellStyle name="Comma 18 4 3 3 4" xfId="8716" xr:uid="{9777B307-C1C3-4E73-ABDA-CA71EC3A9E4A}"/>
    <cellStyle name="Comma 18 4 3 3 4 2" xfId="8717" xr:uid="{0BC12EAC-0DA8-4A4D-B7DA-A27E35F0F396}"/>
    <cellStyle name="Comma 18 4 3 3 5" xfId="8718" xr:uid="{0EDA1E41-5B5B-4E5E-9D1C-816EA233F9F9}"/>
    <cellStyle name="Comma 18 4 3 4" xfId="8719" xr:uid="{53207456-8C27-4D94-A63F-986BEFD64978}"/>
    <cellStyle name="Comma 18 4 3 4 2" xfId="8720" xr:uid="{AB958EC4-8CC4-429E-B1AE-9365947FF563}"/>
    <cellStyle name="Comma 18 4 3 5" xfId="8721" xr:uid="{B6DF0219-9E45-4EFB-9596-20B220FD1792}"/>
    <cellStyle name="Comma 18 4 3 5 2" xfId="8722" xr:uid="{7BDEA7A2-F4B3-4163-B9C0-BD5C0F60C0BA}"/>
    <cellStyle name="Comma 18 4 3 6" xfId="8723" xr:uid="{B1C8868B-A7CE-481F-8210-0B3E319898C7}"/>
    <cellStyle name="Comma 18 4 3 6 2" xfId="8724" xr:uid="{03B4F1DD-1853-4739-9B72-32F7A0352F17}"/>
    <cellStyle name="Comma 18 4 3 7" xfId="8725" xr:uid="{1D3EEE54-BE0A-4CAC-8B55-5F910E7A38B3}"/>
    <cellStyle name="Comma 18 4 3 7 2" xfId="8726" xr:uid="{4F5BA3FB-1C4A-48A4-A938-D068E76CF5AD}"/>
    <cellStyle name="Comma 18 4 3 8" xfId="8727" xr:uid="{67A25DBE-B849-4287-BBA4-0EC6BC67DC70}"/>
    <cellStyle name="Comma 18 4 3 8 2" xfId="8728" xr:uid="{5A43313D-BF85-441A-B0F9-ABA0E78C0B45}"/>
    <cellStyle name="Comma 18 4 3 9" xfId="8729" xr:uid="{626C0521-B291-40C5-B9EE-23FB3C29FA24}"/>
    <cellStyle name="Comma 18 4 4" xfId="8730" xr:uid="{D6FF8F6D-C09F-4FF8-82A4-3270870177F8}"/>
    <cellStyle name="Comma 18 4 4 2" xfId="8731" xr:uid="{F77F1753-C2D7-40BE-ADF8-67A08EF76B98}"/>
    <cellStyle name="Comma 18 4 4 2 2" xfId="8732" xr:uid="{CF490204-86A9-46B1-BA0D-97DFBBE915D1}"/>
    <cellStyle name="Comma 18 4 4 3" xfId="8733" xr:uid="{18650195-73E1-4FDF-BE0C-770CE3894112}"/>
    <cellStyle name="Comma 18 4 4 3 2" xfId="8734" xr:uid="{D528631A-7655-4F52-82BA-15DBB75A8FF4}"/>
    <cellStyle name="Comma 18 4 4 4" xfId="8735" xr:uid="{1F2BEBDA-5C6B-4BF2-9115-2E2A07A7E0BC}"/>
    <cellStyle name="Comma 18 4 4 4 2" xfId="8736" xr:uid="{F6DA85BE-B389-430E-89BD-8E4526D8DED3}"/>
    <cellStyle name="Comma 18 4 4 5" xfId="8737" xr:uid="{2848D692-2D5E-4DC3-B905-BEF26702C0AF}"/>
    <cellStyle name="Comma 18 4 5" xfId="8738" xr:uid="{AF741EF2-8AE1-44BB-B707-C6D255D1D883}"/>
    <cellStyle name="Comma 18 4 5 2" xfId="8739" xr:uid="{153A0BC9-1929-455C-91D3-18F5E1698CC2}"/>
    <cellStyle name="Comma 18 4 5 2 2" xfId="8740" xr:uid="{3E90ECE4-6895-423C-B394-AC213F3EB6F7}"/>
    <cellStyle name="Comma 18 4 5 3" xfId="8741" xr:uid="{7A609F95-8626-4720-82CD-F3C974876B8C}"/>
    <cellStyle name="Comma 18 4 5 3 2" xfId="8742" xr:uid="{8A23ED21-641A-41FE-9FF1-0D0653ED0BD0}"/>
    <cellStyle name="Comma 18 4 5 4" xfId="8743" xr:uid="{6E8A424B-B0EB-4085-BD30-DD3EA9F639AB}"/>
    <cellStyle name="Comma 18 4 5 4 2" xfId="8744" xr:uid="{246E7F23-F3B3-4C83-BC1A-3E623822B94D}"/>
    <cellStyle name="Comma 18 4 5 5" xfId="8745" xr:uid="{61D1E838-D5FD-4A5F-9194-8B4B27E1F408}"/>
    <cellStyle name="Comma 18 4 6" xfId="8746" xr:uid="{198C675C-00AB-4923-B0D5-587AAEE7123A}"/>
    <cellStyle name="Comma 18 4 6 2" xfId="8747" xr:uid="{D2B2B193-781C-4216-8333-2393D9E60D7F}"/>
    <cellStyle name="Comma 18 4 7" xfId="8748" xr:uid="{DCF38182-FBC1-4EAF-A7CD-E29CB8A5EF21}"/>
    <cellStyle name="Comma 18 4 7 2" xfId="8749" xr:uid="{1627349F-C3B2-4401-BAFD-9D2DF631DB70}"/>
    <cellStyle name="Comma 18 4 8" xfId="8750" xr:uid="{57238868-7F2D-4F0C-A9C8-DAD8C98BCE11}"/>
    <cellStyle name="Comma 18 4 8 2" xfId="8751" xr:uid="{33C79BE0-0D24-4097-BD8E-1F48746C93DC}"/>
    <cellStyle name="Comma 18 4 9" xfId="8752" xr:uid="{E62D91AC-B1EE-4372-A0EA-00E3072C56CB}"/>
    <cellStyle name="Comma 18 4 9 2" xfId="8753" xr:uid="{D0BDA7C2-39DB-45BA-8723-78B6B88154E5}"/>
    <cellStyle name="Comma 18 5" xfId="8754" xr:uid="{0704F682-4365-4045-9370-FDA72990B1DD}"/>
    <cellStyle name="Comma 18 5 10" xfId="8755" xr:uid="{E958BFE2-03A2-4598-9CCC-C9BF6B82C559}"/>
    <cellStyle name="Comma 18 5 10 2" xfId="8756" xr:uid="{437E5083-CB8F-4428-A7D6-13E3EE3C8C96}"/>
    <cellStyle name="Comma 18 5 11" xfId="8757" xr:uid="{C3991631-94EF-4333-9E34-C355BA07B739}"/>
    <cellStyle name="Comma 18 5 2" xfId="8758" xr:uid="{99F92D1D-A2DB-41EE-BBF5-F60AB86C14B7}"/>
    <cellStyle name="Comma 18 5 2 10" xfId="8759" xr:uid="{F52243B8-74AF-4770-8F67-C628AFEDDDEF}"/>
    <cellStyle name="Comma 18 5 2 2" xfId="8760" xr:uid="{FC1BED0C-BEF4-4709-ADD9-8C00D71F5E62}"/>
    <cellStyle name="Comma 18 5 2 2 2" xfId="8761" xr:uid="{F0BCED28-7EA8-47C3-A90B-4B83F02BB568}"/>
    <cellStyle name="Comma 18 5 2 2 2 2" xfId="8762" xr:uid="{B48FD387-E10C-425E-99ED-17FC657C4D06}"/>
    <cellStyle name="Comma 18 5 2 2 2 2 2" xfId="8763" xr:uid="{69772B22-7221-49F8-AE0F-8621FFB42AE4}"/>
    <cellStyle name="Comma 18 5 2 2 2 3" xfId="8764" xr:uid="{43035E08-EB2F-4DC4-BCA5-442BEC6D677A}"/>
    <cellStyle name="Comma 18 5 2 2 2 3 2" xfId="8765" xr:uid="{B2A6EEC9-8D79-4D81-9D5F-FD800C40FEDA}"/>
    <cellStyle name="Comma 18 5 2 2 2 4" xfId="8766" xr:uid="{6EB127F9-4C38-4C63-8BB7-874B9F05DFD5}"/>
    <cellStyle name="Comma 18 5 2 2 2 4 2" xfId="8767" xr:uid="{033FF21F-982E-4CE6-8BC5-11A841C9D984}"/>
    <cellStyle name="Comma 18 5 2 2 2 5" xfId="8768" xr:uid="{38305EE1-1870-4B02-AB80-2112096BF77D}"/>
    <cellStyle name="Comma 18 5 2 2 3" xfId="8769" xr:uid="{FF081207-035E-49F8-B9E7-E6D5AA01B1BD}"/>
    <cellStyle name="Comma 18 5 2 2 3 2" xfId="8770" xr:uid="{93D1440C-CABF-426A-A1F7-F1C6956D95AF}"/>
    <cellStyle name="Comma 18 5 2 2 3 2 2" xfId="8771" xr:uid="{32C160BB-F1EB-4F84-92DF-F21995B52078}"/>
    <cellStyle name="Comma 18 5 2 2 3 3" xfId="8772" xr:uid="{ED621182-B6F5-4BA8-8105-657FB3D91062}"/>
    <cellStyle name="Comma 18 5 2 2 3 3 2" xfId="8773" xr:uid="{525947FA-F120-4E88-8D9A-8C26A9CA6272}"/>
    <cellStyle name="Comma 18 5 2 2 3 4" xfId="8774" xr:uid="{362B03C8-AEA9-4AE4-9646-6FFA3D82EA2B}"/>
    <cellStyle name="Comma 18 5 2 2 3 4 2" xfId="8775" xr:uid="{C01942C4-28CB-4094-9056-F5EA4791B35F}"/>
    <cellStyle name="Comma 18 5 2 2 3 5" xfId="8776" xr:uid="{84C6EDBE-220A-4318-BFC7-B7AFB4A6A523}"/>
    <cellStyle name="Comma 18 5 2 2 4" xfId="8777" xr:uid="{1C017C9A-2AC1-4D4A-B8E2-EABAD3D847B2}"/>
    <cellStyle name="Comma 18 5 2 2 4 2" xfId="8778" xr:uid="{AC02F05E-3041-4825-9DFB-39A7EE9F8537}"/>
    <cellStyle name="Comma 18 5 2 2 5" xfId="8779" xr:uid="{B40EF532-4077-4E83-946E-A5767A7D038A}"/>
    <cellStyle name="Comma 18 5 2 2 5 2" xfId="8780" xr:uid="{6B4FBC15-E636-40FD-8198-4C775D97A8EC}"/>
    <cellStyle name="Comma 18 5 2 2 6" xfId="8781" xr:uid="{F82756EA-03D6-4B16-B2FE-986A95799EA5}"/>
    <cellStyle name="Comma 18 5 2 2 6 2" xfId="8782" xr:uid="{83B22C13-42B2-4366-B5D1-182BE934B3B1}"/>
    <cellStyle name="Comma 18 5 2 2 7" xfId="8783" xr:uid="{6E097C63-4985-46D7-A5C1-DE7283BAA274}"/>
    <cellStyle name="Comma 18 5 2 2 7 2" xfId="8784" xr:uid="{A3CB1221-9004-47EE-A528-256536BE88C7}"/>
    <cellStyle name="Comma 18 5 2 2 8" xfId="8785" xr:uid="{18A7ED1B-F877-44FF-AD66-CBB6468ACA92}"/>
    <cellStyle name="Comma 18 5 2 2 8 2" xfId="8786" xr:uid="{A6654C45-6500-4C1E-9233-10BA325A7521}"/>
    <cellStyle name="Comma 18 5 2 2 9" xfId="8787" xr:uid="{8DADF58E-BC35-45E8-9A33-23FD4A937780}"/>
    <cellStyle name="Comma 18 5 2 3" xfId="8788" xr:uid="{59728E9E-87D0-4A9E-A512-F82BF2714A45}"/>
    <cellStyle name="Comma 18 5 2 3 2" xfId="8789" xr:uid="{6973078B-68C2-4D83-963E-79C96D7C30B3}"/>
    <cellStyle name="Comma 18 5 2 3 2 2" xfId="8790" xr:uid="{4CB22F52-A397-4270-9877-16C6C0794955}"/>
    <cellStyle name="Comma 18 5 2 3 3" xfId="8791" xr:uid="{46D97EC4-F427-478B-BB67-0B78FCB7C443}"/>
    <cellStyle name="Comma 18 5 2 3 3 2" xfId="8792" xr:uid="{5972C4F0-9BA3-4F5C-9246-A838804C1B9A}"/>
    <cellStyle name="Comma 18 5 2 3 4" xfId="8793" xr:uid="{E1FBEFF4-C04A-4D0E-9EC9-DA7172A1F23C}"/>
    <cellStyle name="Comma 18 5 2 3 4 2" xfId="8794" xr:uid="{EA9BDC6B-081E-48C3-8C97-F1FFFF02E133}"/>
    <cellStyle name="Comma 18 5 2 3 5" xfId="8795" xr:uid="{7E0FA612-2C91-4577-9922-F0C4FE3AAA64}"/>
    <cellStyle name="Comma 18 5 2 4" xfId="8796" xr:uid="{37E47427-41D5-40B0-808A-4601CEA37D0C}"/>
    <cellStyle name="Comma 18 5 2 4 2" xfId="8797" xr:uid="{57029E75-DE68-439D-89F6-8EF2F4114B64}"/>
    <cellStyle name="Comma 18 5 2 4 2 2" xfId="8798" xr:uid="{FEE70BCB-ABA2-41D0-A954-E624B3738F68}"/>
    <cellStyle name="Comma 18 5 2 4 3" xfId="8799" xr:uid="{A1C8D3C0-2E12-4A50-B6B9-23FC418DE978}"/>
    <cellStyle name="Comma 18 5 2 4 3 2" xfId="8800" xr:uid="{81883585-C7E4-4CD3-B537-1C674E05AD93}"/>
    <cellStyle name="Comma 18 5 2 4 4" xfId="8801" xr:uid="{E8F7D92A-66CD-47B5-B3A0-6FEBB4CF8EE0}"/>
    <cellStyle name="Comma 18 5 2 4 4 2" xfId="8802" xr:uid="{8D272DCD-44A2-4BAD-8560-64CDE04DB819}"/>
    <cellStyle name="Comma 18 5 2 4 5" xfId="8803" xr:uid="{620326BE-B61F-43FA-B55E-903B904B0B87}"/>
    <cellStyle name="Comma 18 5 2 5" xfId="8804" xr:uid="{4A93FD69-9F72-4675-9561-54D7A40F9BB2}"/>
    <cellStyle name="Comma 18 5 2 5 2" xfId="8805" xr:uid="{6E11A71A-6D66-4E19-ADE6-B7048BF0DC4E}"/>
    <cellStyle name="Comma 18 5 2 6" xfId="8806" xr:uid="{AD84A2CF-EB70-4CC0-9BE8-292595C9FE01}"/>
    <cellStyle name="Comma 18 5 2 6 2" xfId="8807" xr:uid="{3F2B97E8-9828-4293-9E71-3DB36997EAF8}"/>
    <cellStyle name="Comma 18 5 2 7" xfId="8808" xr:uid="{41AE0071-F134-4778-8E85-44DE9F665B5A}"/>
    <cellStyle name="Comma 18 5 2 7 2" xfId="8809" xr:uid="{C227E617-53FF-4D1F-9A5F-210664973E26}"/>
    <cellStyle name="Comma 18 5 2 8" xfId="8810" xr:uid="{26650C8E-3911-49D3-B140-47FDFAD00F3C}"/>
    <cellStyle name="Comma 18 5 2 8 2" xfId="8811" xr:uid="{E4A909D2-1375-4D65-9C5D-9B51016316CF}"/>
    <cellStyle name="Comma 18 5 2 9" xfId="8812" xr:uid="{34B48A95-FB0D-46BA-82B3-DF53712B3F9D}"/>
    <cellStyle name="Comma 18 5 2 9 2" xfId="8813" xr:uid="{CC5FE9AC-BA08-4B59-B137-DC31CD693750}"/>
    <cellStyle name="Comma 18 5 3" xfId="8814" xr:uid="{73EB6E1B-F015-4EE7-9FD8-789ECF7B5A42}"/>
    <cellStyle name="Comma 18 5 3 2" xfId="8815" xr:uid="{075447C7-591A-4CAC-B1A3-3552AD12F2E1}"/>
    <cellStyle name="Comma 18 5 3 2 2" xfId="8816" xr:uid="{872988FD-15AD-48B4-92C7-C6A9900D1048}"/>
    <cellStyle name="Comma 18 5 3 2 2 2" xfId="8817" xr:uid="{D738C64E-2843-4D2F-AD9B-A5F7760A9813}"/>
    <cellStyle name="Comma 18 5 3 2 3" xfId="8818" xr:uid="{34705366-41DD-4571-9A44-665B93345D7F}"/>
    <cellStyle name="Comma 18 5 3 2 3 2" xfId="8819" xr:uid="{DB25FDAF-FED3-40CD-9F6E-45DEC238CFB2}"/>
    <cellStyle name="Comma 18 5 3 2 4" xfId="8820" xr:uid="{E31E3597-EE20-4D69-9316-78ED3391477D}"/>
    <cellStyle name="Comma 18 5 3 2 4 2" xfId="8821" xr:uid="{A6038407-807B-4EFA-B106-3680697EA496}"/>
    <cellStyle name="Comma 18 5 3 2 5" xfId="8822" xr:uid="{92604309-0579-4E2F-8D0E-04C9B06A8116}"/>
    <cellStyle name="Comma 18 5 3 3" xfId="8823" xr:uid="{E14DEE2D-1EE6-40F6-A912-BF96FC7BABC6}"/>
    <cellStyle name="Comma 18 5 3 3 2" xfId="8824" xr:uid="{A570218F-CB4A-4EBE-9086-9DAAEDE02E50}"/>
    <cellStyle name="Comma 18 5 3 3 2 2" xfId="8825" xr:uid="{FE15A789-E0AE-499D-AD04-36B6485CAF14}"/>
    <cellStyle name="Comma 18 5 3 3 3" xfId="8826" xr:uid="{4A54BEBA-C568-495B-BC28-A176E1197D5C}"/>
    <cellStyle name="Comma 18 5 3 3 3 2" xfId="8827" xr:uid="{119510F0-28CE-4939-B94C-8C1F30D4D1A1}"/>
    <cellStyle name="Comma 18 5 3 3 4" xfId="8828" xr:uid="{BB9146FC-7472-47E1-8D67-81E0ADEB9F4C}"/>
    <cellStyle name="Comma 18 5 3 3 4 2" xfId="8829" xr:uid="{799BC9F2-367E-42C4-88D1-53928BF9F85A}"/>
    <cellStyle name="Comma 18 5 3 3 5" xfId="8830" xr:uid="{B88EA1A4-F0C5-46D5-8D95-2CCBEC138C7A}"/>
    <cellStyle name="Comma 18 5 3 4" xfId="8831" xr:uid="{13CE7F00-EF30-4FC5-827D-2092ED9AFF2E}"/>
    <cellStyle name="Comma 18 5 3 4 2" xfId="8832" xr:uid="{DEF0105C-8F56-4945-A8A8-F2AE46FF6418}"/>
    <cellStyle name="Comma 18 5 3 5" xfId="8833" xr:uid="{55E82536-11C2-421C-9E45-86239D872828}"/>
    <cellStyle name="Comma 18 5 3 5 2" xfId="8834" xr:uid="{B45E499B-ACF7-4397-84E1-C793EA963850}"/>
    <cellStyle name="Comma 18 5 3 6" xfId="8835" xr:uid="{68449381-FF95-47FA-93B2-D81CD294B378}"/>
    <cellStyle name="Comma 18 5 3 6 2" xfId="8836" xr:uid="{C1729DB9-B552-4FA8-90AA-1BC1BD226E02}"/>
    <cellStyle name="Comma 18 5 3 7" xfId="8837" xr:uid="{3C105B5B-5BAE-442D-85E6-70616D59EB12}"/>
    <cellStyle name="Comma 18 5 3 7 2" xfId="8838" xr:uid="{026A3A66-A968-4536-89DE-E239636369CF}"/>
    <cellStyle name="Comma 18 5 3 8" xfId="8839" xr:uid="{3970B958-AA32-43B3-BDE8-26E71A802779}"/>
    <cellStyle name="Comma 18 5 3 8 2" xfId="8840" xr:uid="{78D5A6EE-4C4F-4F28-AB29-09CE0B73DD27}"/>
    <cellStyle name="Comma 18 5 3 9" xfId="8841" xr:uid="{60C0C8A0-BBC1-4265-AF3E-C734C38399D0}"/>
    <cellStyle name="Comma 18 5 4" xfId="8842" xr:uid="{AB027EDA-08B5-4C8B-B64F-2045054E9D6B}"/>
    <cellStyle name="Comma 18 5 4 2" xfId="8843" xr:uid="{5EE39167-640F-48CB-AA4B-24B6BA959B9D}"/>
    <cellStyle name="Comma 18 5 4 2 2" xfId="8844" xr:uid="{122AF8AE-EB1B-4C51-BBA8-3DA3B1E94C47}"/>
    <cellStyle name="Comma 18 5 4 3" xfId="8845" xr:uid="{E6F6AB2A-EC1A-4CE5-91E9-D65748C5AE33}"/>
    <cellStyle name="Comma 18 5 4 3 2" xfId="8846" xr:uid="{403A5FF6-B349-4F58-B7A9-B610D338CD4C}"/>
    <cellStyle name="Comma 18 5 4 4" xfId="8847" xr:uid="{31833AAD-1570-4772-B057-F3397C3FCD0E}"/>
    <cellStyle name="Comma 18 5 4 4 2" xfId="8848" xr:uid="{1573AA80-C366-455E-BE63-E2EDE0670069}"/>
    <cellStyle name="Comma 18 5 4 5" xfId="8849" xr:uid="{871B3BA0-6891-472D-8D08-6D7FF5579A72}"/>
    <cellStyle name="Comma 18 5 5" xfId="8850" xr:uid="{79F2C1AB-1672-44B0-8526-DD2D62E2AA09}"/>
    <cellStyle name="Comma 18 5 5 2" xfId="8851" xr:uid="{F2F7F6F9-6ED7-48C1-AEBC-FA72799DAB99}"/>
    <cellStyle name="Comma 18 5 5 2 2" xfId="8852" xr:uid="{9DA8B177-43F8-410B-9865-18439806DE8A}"/>
    <cellStyle name="Comma 18 5 5 3" xfId="8853" xr:uid="{9FB75861-552B-4057-BC0B-010D5DA28CEB}"/>
    <cellStyle name="Comma 18 5 5 3 2" xfId="8854" xr:uid="{CEF7C96D-5612-4DBE-B9CD-0D2581E9ED21}"/>
    <cellStyle name="Comma 18 5 5 4" xfId="8855" xr:uid="{0DE32305-9F6F-4D35-8555-B44DECC41361}"/>
    <cellStyle name="Comma 18 5 5 4 2" xfId="8856" xr:uid="{DF899DCA-DAE5-4781-B3C6-75E47548F1AD}"/>
    <cellStyle name="Comma 18 5 5 5" xfId="8857" xr:uid="{AD6C18A6-F33F-4367-8FD1-71A8AAAC9E19}"/>
    <cellStyle name="Comma 18 5 6" xfId="8858" xr:uid="{859D4AAE-5D44-4610-850A-D45D9DD8FC0C}"/>
    <cellStyle name="Comma 18 5 6 2" xfId="8859" xr:uid="{AA3172FB-E8BB-4CB0-AB0C-FE7753AC95FB}"/>
    <cellStyle name="Comma 18 5 7" xfId="8860" xr:uid="{38D7BB7E-AC63-43AF-B6E5-2A0F5FB05027}"/>
    <cellStyle name="Comma 18 5 7 2" xfId="8861" xr:uid="{5828C492-1091-491B-A4FE-78A9E43DF974}"/>
    <cellStyle name="Comma 18 5 8" xfId="8862" xr:uid="{719218E4-5E1F-42D2-B1E3-5B9CA6CC1A94}"/>
    <cellStyle name="Comma 18 5 8 2" xfId="8863" xr:uid="{D7CF9B1B-3567-4AC7-8BD8-FB276E6C65EA}"/>
    <cellStyle name="Comma 18 5 9" xfId="8864" xr:uid="{5FA0865A-4A86-48CC-9FCF-8A7822529CE0}"/>
    <cellStyle name="Comma 18 5 9 2" xfId="8865" xr:uid="{9957851F-1558-4FF4-A31F-52E52816721A}"/>
    <cellStyle name="Comma 18 6" xfId="8866" xr:uid="{3182BE6B-48F1-4885-8079-5CD7B2A016A8}"/>
    <cellStyle name="Comma 18 6 10" xfId="8867" xr:uid="{02D297B1-5B71-4F17-AECD-2D485E784124}"/>
    <cellStyle name="Comma 18 6 10 2" xfId="8868" xr:uid="{84022A7F-9D45-41B6-AE1B-E6EC546481EC}"/>
    <cellStyle name="Comma 18 6 11" xfId="8869" xr:uid="{05480830-799F-4782-A001-747AB24000A1}"/>
    <cellStyle name="Comma 18 6 2" xfId="8870" xr:uid="{970C7929-1E0E-4534-8410-B05E259261AA}"/>
    <cellStyle name="Comma 18 6 2 10" xfId="8871" xr:uid="{8AE9ED0D-C580-48AB-B2BA-B4D62D808B15}"/>
    <cellStyle name="Comma 18 6 2 2" xfId="8872" xr:uid="{1D323F44-66C6-4B90-80EF-D2D58C0A3DCC}"/>
    <cellStyle name="Comma 18 6 2 2 2" xfId="8873" xr:uid="{7146AA1D-EBC2-456E-8931-5A0058605A60}"/>
    <cellStyle name="Comma 18 6 2 2 2 2" xfId="8874" xr:uid="{86EE0680-914F-4D9A-9A12-60471C29B4BA}"/>
    <cellStyle name="Comma 18 6 2 2 2 2 2" xfId="8875" xr:uid="{3C77288B-1ED5-4DB1-B23B-E31779376D6B}"/>
    <cellStyle name="Comma 18 6 2 2 2 3" xfId="8876" xr:uid="{21E76431-173B-4F01-9DA0-046ED66DCE6C}"/>
    <cellStyle name="Comma 18 6 2 2 2 3 2" xfId="8877" xr:uid="{BB07FC59-2943-4730-BF21-1EF281088A9C}"/>
    <cellStyle name="Comma 18 6 2 2 2 4" xfId="8878" xr:uid="{0A697F6C-73C4-4E9C-8DFA-D78AF8E17A5C}"/>
    <cellStyle name="Comma 18 6 2 2 2 4 2" xfId="8879" xr:uid="{1E10B23C-2400-4F9D-8D21-A65334B9AE8E}"/>
    <cellStyle name="Comma 18 6 2 2 2 5" xfId="8880" xr:uid="{553CBB1E-E928-4520-BBF6-222B1E7D3885}"/>
    <cellStyle name="Comma 18 6 2 2 3" xfId="8881" xr:uid="{E405C68C-7809-48B2-A654-E183F92D7F86}"/>
    <cellStyle name="Comma 18 6 2 2 3 2" xfId="8882" xr:uid="{1B4901CD-B27A-4CE7-BBB2-548D201FEAFB}"/>
    <cellStyle name="Comma 18 6 2 2 3 2 2" xfId="8883" xr:uid="{9440C9B0-7E55-47AD-8D8D-4AB35C1BA835}"/>
    <cellStyle name="Comma 18 6 2 2 3 3" xfId="8884" xr:uid="{393EDF72-418C-4C4C-A1E2-43E7E3AAA2EF}"/>
    <cellStyle name="Comma 18 6 2 2 3 3 2" xfId="8885" xr:uid="{E5BE2ED1-F5F4-4D61-8E34-7667995B8A61}"/>
    <cellStyle name="Comma 18 6 2 2 3 4" xfId="8886" xr:uid="{C8B62662-2D6D-4813-B9AE-B46DEFFD712E}"/>
    <cellStyle name="Comma 18 6 2 2 3 4 2" xfId="8887" xr:uid="{B09128F6-64D6-4CDE-BD1E-AA9572A5375E}"/>
    <cellStyle name="Comma 18 6 2 2 3 5" xfId="8888" xr:uid="{F132A32B-0B5D-4279-9ED2-9F5466005951}"/>
    <cellStyle name="Comma 18 6 2 2 4" xfId="8889" xr:uid="{818EF10B-4AF4-4B19-8947-C94108E243C9}"/>
    <cellStyle name="Comma 18 6 2 2 4 2" xfId="8890" xr:uid="{88675FBB-1463-4300-B304-81C50615E350}"/>
    <cellStyle name="Comma 18 6 2 2 5" xfId="8891" xr:uid="{E4D8A960-10E0-4853-B40D-DC87B9AEB780}"/>
    <cellStyle name="Comma 18 6 2 2 5 2" xfId="8892" xr:uid="{FE132E2A-F828-435F-AE83-6D244E7C2384}"/>
    <cellStyle name="Comma 18 6 2 2 6" xfId="8893" xr:uid="{04A1C19F-B4E0-41EB-92AE-8E133F707784}"/>
    <cellStyle name="Comma 18 6 2 2 6 2" xfId="8894" xr:uid="{37ED139A-E8CB-40F5-9601-9F30ED772E9A}"/>
    <cellStyle name="Comma 18 6 2 2 7" xfId="8895" xr:uid="{E4DD0FAF-BBA7-48B1-B9F4-FD184825ADE8}"/>
    <cellStyle name="Comma 18 6 2 2 7 2" xfId="8896" xr:uid="{00E14D06-FC59-47A1-892F-F614E2B918C9}"/>
    <cellStyle name="Comma 18 6 2 2 8" xfId="8897" xr:uid="{C5313AFD-15EF-4605-AE7D-AD7C80319C63}"/>
    <cellStyle name="Comma 18 6 2 2 8 2" xfId="8898" xr:uid="{EC903586-0BE1-4BA0-A07C-CBB94C584DF8}"/>
    <cellStyle name="Comma 18 6 2 2 9" xfId="8899" xr:uid="{410731EE-3AC9-4C22-AE75-C1E2F1729AE0}"/>
    <cellStyle name="Comma 18 6 2 3" xfId="8900" xr:uid="{C38E9C11-4AC0-4747-9DCC-8CC9A2576E00}"/>
    <cellStyle name="Comma 18 6 2 3 2" xfId="8901" xr:uid="{2EF12D63-D69A-42E0-9358-5F85BB245AAE}"/>
    <cellStyle name="Comma 18 6 2 3 2 2" xfId="8902" xr:uid="{FAC7D5FE-7467-41B2-B3CF-FFB244D863F7}"/>
    <cellStyle name="Comma 18 6 2 3 3" xfId="8903" xr:uid="{2D74D2E1-EA21-4C02-A1F2-223179BFAAB8}"/>
    <cellStyle name="Comma 18 6 2 3 3 2" xfId="8904" xr:uid="{38AA75DC-319F-4503-BD33-1EE2B8857FB6}"/>
    <cellStyle name="Comma 18 6 2 3 4" xfId="8905" xr:uid="{D64CC78E-9948-4C8C-966F-7756964D20BD}"/>
    <cellStyle name="Comma 18 6 2 3 4 2" xfId="8906" xr:uid="{0D784461-BFAE-4B68-BDD4-08DEE9D30700}"/>
    <cellStyle name="Comma 18 6 2 3 5" xfId="8907" xr:uid="{EBA4207E-CCDE-4C9D-93F8-B52EB3E1BD1A}"/>
    <cellStyle name="Comma 18 6 2 4" xfId="8908" xr:uid="{B4D3FD4E-5BBA-4CC7-96B8-5816CD26A35A}"/>
    <cellStyle name="Comma 18 6 2 4 2" xfId="8909" xr:uid="{0DF22D26-2831-4D03-843C-E906AEFC9F31}"/>
    <cellStyle name="Comma 18 6 2 4 2 2" xfId="8910" xr:uid="{065EC2BF-F489-45C9-B9EA-2B26EA22C095}"/>
    <cellStyle name="Comma 18 6 2 4 3" xfId="8911" xr:uid="{D33D397F-FC8D-444B-8FDD-D3356B7CE0DE}"/>
    <cellStyle name="Comma 18 6 2 4 3 2" xfId="8912" xr:uid="{ADC7CB25-C6D6-4351-960F-D5C64934D403}"/>
    <cellStyle name="Comma 18 6 2 4 4" xfId="8913" xr:uid="{02237A2F-AD57-426B-A894-69008FFF9339}"/>
    <cellStyle name="Comma 18 6 2 4 4 2" xfId="8914" xr:uid="{BA426AF8-AAFF-4DBF-B659-4D498F7F79F2}"/>
    <cellStyle name="Comma 18 6 2 4 5" xfId="8915" xr:uid="{6FE96BF2-961E-4CE5-8FA4-302B467A9A37}"/>
    <cellStyle name="Comma 18 6 2 5" xfId="8916" xr:uid="{52419784-49A9-4B88-B32A-5479DF4B9D1B}"/>
    <cellStyle name="Comma 18 6 2 5 2" xfId="8917" xr:uid="{88E08325-1162-4801-99F9-DA1310720AD8}"/>
    <cellStyle name="Comma 18 6 2 6" xfId="8918" xr:uid="{279CB6E8-BBD1-4514-B09A-66D5BEF5134F}"/>
    <cellStyle name="Comma 18 6 2 6 2" xfId="8919" xr:uid="{B9683B7B-AED1-459D-A627-5805FC48945F}"/>
    <cellStyle name="Comma 18 6 2 7" xfId="8920" xr:uid="{14D38DFD-1F19-4883-90A8-81575633BF4E}"/>
    <cellStyle name="Comma 18 6 2 7 2" xfId="8921" xr:uid="{D4775030-E15C-4C47-8368-67BE26D6BF1B}"/>
    <cellStyle name="Comma 18 6 2 8" xfId="8922" xr:uid="{32A9F5EF-DCF5-44FE-BABD-22AB87FEC979}"/>
    <cellStyle name="Comma 18 6 2 8 2" xfId="8923" xr:uid="{AA259C9B-A99B-4AAD-8832-B6B5B20A7D0D}"/>
    <cellStyle name="Comma 18 6 2 9" xfId="8924" xr:uid="{D8527D76-9B34-4771-B3EC-89A8C7FBC594}"/>
    <cellStyle name="Comma 18 6 2 9 2" xfId="8925" xr:uid="{90AA9CD5-8C49-45DA-8BAD-B5B5E9969E73}"/>
    <cellStyle name="Comma 18 6 3" xfId="8926" xr:uid="{437D7513-3697-4D55-8055-B75430623A48}"/>
    <cellStyle name="Comma 18 6 3 2" xfId="8927" xr:uid="{4D117CB9-4AF4-43F3-A86A-86E231890FBA}"/>
    <cellStyle name="Comma 18 6 3 2 2" xfId="8928" xr:uid="{386C1919-165E-4BB9-8928-B2D5F2D18CF1}"/>
    <cellStyle name="Comma 18 6 3 2 2 2" xfId="8929" xr:uid="{7544C6D5-85AF-41CD-B1DD-983357164D6D}"/>
    <cellStyle name="Comma 18 6 3 2 3" xfId="8930" xr:uid="{62604E31-45FA-49AB-99C4-CC270A0E6B4D}"/>
    <cellStyle name="Comma 18 6 3 2 3 2" xfId="8931" xr:uid="{C606F0D7-5AA0-4B28-A32C-5A0EBE29BDAB}"/>
    <cellStyle name="Comma 18 6 3 2 4" xfId="8932" xr:uid="{A12E6C60-02D1-4061-B0D7-C14A2C6E6A8B}"/>
    <cellStyle name="Comma 18 6 3 2 4 2" xfId="8933" xr:uid="{660DBE95-3677-4DC5-8880-3B0DEAF2EE9B}"/>
    <cellStyle name="Comma 18 6 3 2 5" xfId="8934" xr:uid="{8A16524A-2252-4F8B-B123-841DEEE72E8A}"/>
    <cellStyle name="Comma 18 6 3 3" xfId="8935" xr:uid="{3876A9E2-F9EC-455A-9A17-4C10E23332FA}"/>
    <cellStyle name="Comma 18 6 3 3 2" xfId="8936" xr:uid="{4942D68F-825B-4DB7-9623-25195CC06962}"/>
    <cellStyle name="Comma 18 6 3 3 2 2" xfId="8937" xr:uid="{01DAFFF8-6701-44AE-9B15-FC4A6523887B}"/>
    <cellStyle name="Comma 18 6 3 3 3" xfId="8938" xr:uid="{F807723D-B5F1-4420-9125-23C8A64429AE}"/>
    <cellStyle name="Comma 18 6 3 3 3 2" xfId="8939" xr:uid="{BC3184BF-D6B9-4C55-83D1-5FFD263A4C37}"/>
    <cellStyle name="Comma 18 6 3 3 4" xfId="8940" xr:uid="{F2CEB818-5994-47FB-AD87-4C5B9A532517}"/>
    <cellStyle name="Comma 18 6 3 3 4 2" xfId="8941" xr:uid="{56384A3D-8E0A-4C2C-B5E7-80F3BFADC38B}"/>
    <cellStyle name="Comma 18 6 3 3 5" xfId="8942" xr:uid="{F8370A26-5E18-4841-8C53-576D479F4310}"/>
    <cellStyle name="Comma 18 6 3 4" xfId="8943" xr:uid="{54C6B1EB-C8F6-4F14-8494-682082062F45}"/>
    <cellStyle name="Comma 18 6 3 4 2" xfId="8944" xr:uid="{BE04BB93-BCE4-459B-BDB0-B1CD1BB55044}"/>
    <cellStyle name="Comma 18 6 3 5" xfId="8945" xr:uid="{41A2F51E-A1F8-44FA-A53C-248BE0C86923}"/>
    <cellStyle name="Comma 18 6 3 5 2" xfId="8946" xr:uid="{49C1CF44-F3C7-41A0-A6D6-A2F357314E2D}"/>
    <cellStyle name="Comma 18 6 3 6" xfId="8947" xr:uid="{7B8BA3B6-1333-4792-A9C2-13D6E940D11D}"/>
    <cellStyle name="Comma 18 6 3 6 2" xfId="8948" xr:uid="{463C0DA9-971E-4209-BBFA-35B359234C20}"/>
    <cellStyle name="Comma 18 6 3 7" xfId="8949" xr:uid="{F4882504-A82F-415B-84C5-6C2F53730322}"/>
    <cellStyle name="Comma 18 6 3 7 2" xfId="8950" xr:uid="{25648452-F303-4DEE-9AD0-5A3964E84471}"/>
    <cellStyle name="Comma 18 6 3 8" xfId="8951" xr:uid="{A6A7DF18-8214-4EB8-BA8E-B660E6BADC64}"/>
    <cellStyle name="Comma 18 6 3 8 2" xfId="8952" xr:uid="{61FA4F7F-A2C6-4203-AC5C-164E95C7983D}"/>
    <cellStyle name="Comma 18 6 3 9" xfId="8953" xr:uid="{D3846A25-6F1C-4E37-B3E0-C69719B17214}"/>
    <cellStyle name="Comma 18 6 4" xfId="8954" xr:uid="{7574EA19-E920-463B-B6CF-2F95B8C2DB32}"/>
    <cellStyle name="Comma 18 6 4 2" xfId="8955" xr:uid="{F7C0FAAE-7F4B-430C-B871-44EC6FDA14D4}"/>
    <cellStyle name="Comma 18 6 4 2 2" xfId="8956" xr:uid="{F250FC55-EF62-4114-8E58-819CE8A479B1}"/>
    <cellStyle name="Comma 18 6 4 3" xfId="8957" xr:uid="{ABF9A2CE-FF15-4476-B4A7-841A474E001E}"/>
    <cellStyle name="Comma 18 6 4 3 2" xfId="8958" xr:uid="{3A287917-7AAB-420C-AF68-C0421C5C38FF}"/>
    <cellStyle name="Comma 18 6 4 4" xfId="8959" xr:uid="{044C9D8D-60EB-4F5C-B0B1-5AEAE53FD086}"/>
    <cellStyle name="Comma 18 6 4 4 2" xfId="8960" xr:uid="{EC00F49E-4D44-4DA0-B956-477310AEBA2A}"/>
    <cellStyle name="Comma 18 6 4 5" xfId="8961" xr:uid="{99E6DFC4-FEBD-490B-B3A5-FBE53C92474B}"/>
    <cellStyle name="Comma 18 6 5" xfId="8962" xr:uid="{3812A029-E364-427C-BF3A-B53F91F51894}"/>
    <cellStyle name="Comma 18 6 5 2" xfId="8963" xr:uid="{00D2299A-FE01-45D1-8B7E-3CD5CF34E461}"/>
    <cellStyle name="Comma 18 6 5 2 2" xfId="8964" xr:uid="{B210AB39-E8DE-4801-85D0-E64293E133C1}"/>
    <cellStyle name="Comma 18 6 5 3" xfId="8965" xr:uid="{949D5DB6-754A-47B1-80E6-67068E93F77B}"/>
    <cellStyle name="Comma 18 6 5 3 2" xfId="8966" xr:uid="{9D3684B0-77C5-4A23-A4EA-1829AC7976DA}"/>
    <cellStyle name="Comma 18 6 5 4" xfId="8967" xr:uid="{44A8E3F9-EC61-4B12-80A6-986EA239FF25}"/>
    <cellStyle name="Comma 18 6 5 4 2" xfId="8968" xr:uid="{210E059F-BA6F-4E8A-92C8-1EE5D1E7A246}"/>
    <cellStyle name="Comma 18 6 5 5" xfId="8969" xr:uid="{8AE51ABE-56E2-40C8-8B9B-B1989B5F2BB4}"/>
    <cellStyle name="Comma 18 6 6" xfId="8970" xr:uid="{B043369F-120E-43E4-83DA-804B7D4C4AB8}"/>
    <cellStyle name="Comma 18 6 6 2" xfId="8971" xr:uid="{A295774D-5B2C-4BE5-99E1-A6CD51E09B3B}"/>
    <cellStyle name="Comma 18 6 7" xfId="8972" xr:uid="{C91A2C61-F95C-483C-BB3F-95E2B397E032}"/>
    <cellStyle name="Comma 18 6 7 2" xfId="8973" xr:uid="{8D87FEFD-B40F-4BEA-ADAF-BC872C65A47A}"/>
    <cellStyle name="Comma 18 6 8" xfId="8974" xr:uid="{F0C19AD1-7949-4755-AA82-2035A02B87B5}"/>
    <cellStyle name="Comma 18 6 8 2" xfId="8975" xr:uid="{2FC6702D-5C11-4256-95E5-F3C1444A7D4B}"/>
    <cellStyle name="Comma 18 6 9" xfId="8976" xr:uid="{BC3D14F1-FB7D-408C-AE18-79BB8E934E24}"/>
    <cellStyle name="Comma 18 6 9 2" xfId="8977" xr:uid="{2C7149B0-C103-43DA-BB4B-293ACF0E2712}"/>
    <cellStyle name="Comma 18 7" xfId="8978" xr:uid="{0FD125EF-7350-4490-BF65-18CF4039AD2B}"/>
    <cellStyle name="Comma 18 7 10" xfId="8979" xr:uid="{49308129-CFB1-4BBC-B80A-5C1442DD332C}"/>
    <cellStyle name="Comma 18 7 10 2" xfId="8980" xr:uid="{81D76080-C847-41F2-86DB-9EA5F5822F8B}"/>
    <cellStyle name="Comma 18 7 11" xfId="8981" xr:uid="{6FA42BA2-E475-49BB-A544-E603387606E6}"/>
    <cellStyle name="Comma 18 7 2" xfId="8982" xr:uid="{1C979738-CB0B-47CB-8740-1B4ABCD1B552}"/>
    <cellStyle name="Comma 18 7 2 10" xfId="8983" xr:uid="{226573E2-8F34-4D2F-B6DE-265F07EF707A}"/>
    <cellStyle name="Comma 18 7 2 2" xfId="8984" xr:uid="{D885A40B-5285-46DF-ADF5-8D4D096C0F6C}"/>
    <cellStyle name="Comma 18 7 2 2 2" xfId="8985" xr:uid="{CDC11B73-A4C1-4D29-83C8-0DE6698A207E}"/>
    <cellStyle name="Comma 18 7 2 2 2 2" xfId="8986" xr:uid="{6C626DEC-C8CC-4DCA-80E1-FCE70E88C3DD}"/>
    <cellStyle name="Comma 18 7 2 2 2 2 2" xfId="8987" xr:uid="{7E74B6DC-A11F-40C6-BF54-9B8FFB4A28C8}"/>
    <cellStyle name="Comma 18 7 2 2 2 3" xfId="8988" xr:uid="{2F59B9C8-C18E-4A7D-808B-C616237DD8D7}"/>
    <cellStyle name="Comma 18 7 2 2 2 3 2" xfId="8989" xr:uid="{0955C6CC-317D-4D65-96D5-FEC36262FD60}"/>
    <cellStyle name="Comma 18 7 2 2 2 4" xfId="8990" xr:uid="{F2FA89AD-5F10-40C3-BD86-599357CDEEBC}"/>
    <cellStyle name="Comma 18 7 2 2 2 4 2" xfId="8991" xr:uid="{57E5FEA3-10BB-4851-87EE-5A6A4FCCBA63}"/>
    <cellStyle name="Comma 18 7 2 2 2 5" xfId="8992" xr:uid="{B5B3CE89-B5CF-4589-9D9B-C163D4FAACB5}"/>
    <cellStyle name="Comma 18 7 2 2 3" xfId="8993" xr:uid="{C71071C0-3B33-4A76-BAE8-0FF0E080898E}"/>
    <cellStyle name="Comma 18 7 2 2 3 2" xfId="8994" xr:uid="{83F4683E-288B-4FC9-9097-5386658A36BC}"/>
    <cellStyle name="Comma 18 7 2 2 3 2 2" xfId="8995" xr:uid="{7AC4F6DC-3E13-4850-B5F1-679393C8585F}"/>
    <cellStyle name="Comma 18 7 2 2 3 3" xfId="8996" xr:uid="{D0CDF588-863F-430B-8A7F-458BD5CBA771}"/>
    <cellStyle name="Comma 18 7 2 2 3 3 2" xfId="8997" xr:uid="{B218018A-9729-44AA-B198-B05A1CD168F9}"/>
    <cellStyle name="Comma 18 7 2 2 3 4" xfId="8998" xr:uid="{0204A77A-2C2E-4264-AC19-336A73A3C534}"/>
    <cellStyle name="Comma 18 7 2 2 3 4 2" xfId="8999" xr:uid="{B9C0B6E4-AA5F-422F-83C3-A573601BDC10}"/>
    <cellStyle name="Comma 18 7 2 2 3 5" xfId="9000" xr:uid="{8ED4CBCF-8C3E-4991-B159-16833B2DC924}"/>
    <cellStyle name="Comma 18 7 2 2 4" xfId="9001" xr:uid="{B0A4A408-D332-4D69-9CB8-6AFD49576461}"/>
    <cellStyle name="Comma 18 7 2 2 4 2" xfId="9002" xr:uid="{3186C273-A6AD-47C6-806C-C2F8321AD31A}"/>
    <cellStyle name="Comma 18 7 2 2 5" xfId="9003" xr:uid="{EBB11508-2503-4640-9B64-8250AEC8DCC6}"/>
    <cellStyle name="Comma 18 7 2 2 5 2" xfId="9004" xr:uid="{FE0E2804-0C1C-4DDD-8C37-4C71E063B64B}"/>
    <cellStyle name="Comma 18 7 2 2 6" xfId="9005" xr:uid="{FD85D4D1-8EBE-4036-B0EB-AC2E47E6F7FE}"/>
    <cellStyle name="Comma 18 7 2 2 6 2" xfId="9006" xr:uid="{7994A851-184D-4912-96DC-C5937FE0A93F}"/>
    <cellStyle name="Comma 18 7 2 2 7" xfId="9007" xr:uid="{0193422B-CE99-440D-AA5A-AFC6F2899840}"/>
    <cellStyle name="Comma 18 7 2 2 7 2" xfId="9008" xr:uid="{2880A20F-C57E-46D6-A374-70E8DE6117ED}"/>
    <cellStyle name="Comma 18 7 2 2 8" xfId="9009" xr:uid="{C99E2CB6-F2E5-4FF9-A734-26EA71859829}"/>
    <cellStyle name="Comma 18 7 2 2 8 2" xfId="9010" xr:uid="{A31E642B-2353-429E-8176-8A3695A564D1}"/>
    <cellStyle name="Comma 18 7 2 2 9" xfId="9011" xr:uid="{31AB0030-38D8-4EA1-9B07-E8F7F78DE358}"/>
    <cellStyle name="Comma 18 7 2 3" xfId="9012" xr:uid="{DD2E2D82-B90B-44BB-9FD6-2FDFD9B39A80}"/>
    <cellStyle name="Comma 18 7 2 3 2" xfId="9013" xr:uid="{CD9360B0-1F80-4E0C-8C83-57197CF79003}"/>
    <cellStyle name="Comma 18 7 2 3 2 2" xfId="9014" xr:uid="{A9CC8031-BBCD-444F-8848-64906B89338F}"/>
    <cellStyle name="Comma 18 7 2 3 3" xfId="9015" xr:uid="{42D95130-AFAA-4252-BF83-E364367975ED}"/>
    <cellStyle name="Comma 18 7 2 3 3 2" xfId="9016" xr:uid="{FB2497D4-BB9D-4365-871F-9B2A63C54287}"/>
    <cellStyle name="Comma 18 7 2 3 4" xfId="9017" xr:uid="{EB1CC248-5BF7-4935-9AA3-26F91F68D7C0}"/>
    <cellStyle name="Comma 18 7 2 3 4 2" xfId="9018" xr:uid="{661E9D45-6CE3-4B77-98F6-A75D0D137020}"/>
    <cellStyle name="Comma 18 7 2 3 5" xfId="9019" xr:uid="{F66D771E-C3BD-445A-8A68-C064865F842B}"/>
    <cellStyle name="Comma 18 7 2 4" xfId="9020" xr:uid="{60B34375-779F-4540-BBDD-B7B824C1A3C4}"/>
    <cellStyle name="Comma 18 7 2 4 2" xfId="9021" xr:uid="{A9095194-AE94-46A1-A692-9D9C22994CFF}"/>
    <cellStyle name="Comma 18 7 2 4 2 2" xfId="9022" xr:uid="{DC94B621-7CC7-47CB-9DCA-76D6080E3536}"/>
    <cellStyle name="Comma 18 7 2 4 3" xfId="9023" xr:uid="{B2C55BE0-4319-4A98-AA79-C16A7EF91873}"/>
    <cellStyle name="Comma 18 7 2 4 3 2" xfId="9024" xr:uid="{9CE0B356-72F8-42D6-AABE-B32F6F9C73EB}"/>
    <cellStyle name="Comma 18 7 2 4 4" xfId="9025" xr:uid="{46874D03-C6DF-4AB5-ABD5-E93C1561FE3E}"/>
    <cellStyle name="Comma 18 7 2 4 4 2" xfId="9026" xr:uid="{4C07F423-9F12-457C-ACE5-799A73B58C90}"/>
    <cellStyle name="Comma 18 7 2 4 5" xfId="9027" xr:uid="{DD6ADACD-49A4-4815-B8DF-A089B8A2A6C9}"/>
    <cellStyle name="Comma 18 7 2 5" xfId="9028" xr:uid="{4675A3BE-3B65-499E-901F-E5F342A965CC}"/>
    <cellStyle name="Comma 18 7 2 5 2" xfId="9029" xr:uid="{69A389F4-4EC8-4FF4-9C76-6A428458CC01}"/>
    <cellStyle name="Comma 18 7 2 6" xfId="9030" xr:uid="{638243F5-9EF0-4913-9A86-C56107AA5869}"/>
    <cellStyle name="Comma 18 7 2 6 2" xfId="9031" xr:uid="{FA064E34-4871-42D8-8CBB-810EA393AD5B}"/>
    <cellStyle name="Comma 18 7 2 7" xfId="9032" xr:uid="{2CCFC389-1FF4-410A-A276-5D47D0FF8935}"/>
    <cellStyle name="Comma 18 7 2 7 2" xfId="9033" xr:uid="{90A49368-7326-4CB3-844B-D395CB8C97FF}"/>
    <cellStyle name="Comma 18 7 2 8" xfId="9034" xr:uid="{7E38D955-0047-4532-AD90-4AF3BC8B2105}"/>
    <cellStyle name="Comma 18 7 2 8 2" xfId="9035" xr:uid="{13F0D1A6-0F79-4E12-8191-95FD3D6579F0}"/>
    <cellStyle name="Comma 18 7 2 9" xfId="9036" xr:uid="{1F5108E7-B2C6-4A39-B849-FC24EB767B89}"/>
    <cellStyle name="Comma 18 7 2 9 2" xfId="9037" xr:uid="{9C8B0F73-10D3-4176-88E8-79491F519423}"/>
    <cellStyle name="Comma 18 7 3" xfId="9038" xr:uid="{D89F5619-760F-41CC-9426-4A6AA144E3B8}"/>
    <cellStyle name="Comma 18 7 3 2" xfId="9039" xr:uid="{AFC2277E-237E-44BA-9255-6E25D06A6CCD}"/>
    <cellStyle name="Comma 18 7 3 2 2" xfId="9040" xr:uid="{A005DE2A-3757-40BD-B97D-CEC25996C1C9}"/>
    <cellStyle name="Comma 18 7 3 2 2 2" xfId="9041" xr:uid="{EE217AEC-454E-4041-85CD-F0D6F92CC76A}"/>
    <cellStyle name="Comma 18 7 3 2 3" xfId="9042" xr:uid="{0C7E2C78-8213-4211-AAF4-8E5220DC2B54}"/>
    <cellStyle name="Comma 18 7 3 2 3 2" xfId="9043" xr:uid="{CA11ABD5-66F2-4AD6-975D-FB3A4AA37CF9}"/>
    <cellStyle name="Comma 18 7 3 2 4" xfId="9044" xr:uid="{4273FBD5-B76A-4D4F-ABD9-92BDE88F0122}"/>
    <cellStyle name="Comma 18 7 3 2 4 2" xfId="9045" xr:uid="{C28583E3-5AF6-4B91-8DDE-15BCA4A41D5B}"/>
    <cellStyle name="Comma 18 7 3 2 5" xfId="9046" xr:uid="{C85CDC0D-AFCD-4BE8-80D1-F22C1AE89078}"/>
    <cellStyle name="Comma 18 7 3 3" xfId="9047" xr:uid="{5250BE10-61CA-4639-833A-3C0279A40440}"/>
    <cellStyle name="Comma 18 7 3 3 2" xfId="9048" xr:uid="{9B68DAD0-52A1-42A3-A29A-35962F9ED442}"/>
    <cellStyle name="Comma 18 7 3 3 2 2" xfId="9049" xr:uid="{C19071B2-C612-4B50-9844-91A7F367AB38}"/>
    <cellStyle name="Comma 18 7 3 3 3" xfId="9050" xr:uid="{2E839AC8-4657-4259-A469-B0E721B8F625}"/>
    <cellStyle name="Comma 18 7 3 3 3 2" xfId="9051" xr:uid="{F27CCA5E-A235-4592-AD85-4BF3ED18D761}"/>
    <cellStyle name="Comma 18 7 3 3 4" xfId="9052" xr:uid="{744A4747-F793-458C-ACDC-CC6419FAE00D}"/>
    <cellStyle name="Comma 18 7 3 3 4 2" xfId="9053" xr:uid="{067946AB-C0B0-4D70-8995-DADC89DFC89D}"/>
    <cellStyle name="Comma 18 7 3 3 5" xfId="9054" xr:uid="{5586B7D8-5624-4745-94E9-899CE0F3DE4D}"/>
    <cellStyle name="Comma 18 7 3 4" xfId="9055" xr:uid="{A365521D-5E09-41F4-A277-7911A354F90C}"/>
    <cellStyle name="Comma 18 7 3 4 2" xfId="9056" xr:uid="{821F5464-76F4-4A9F-9DCF-8B34A73186D8}"/>
    <cellStyle name="Comma 18 7 3 5" xfId="9057" xr:uid="{1C3FC17D-65D4-4E66-8E7E-CA68F72CEDDE}"/>
    <cellStyle name="Comma 18 7 3 5 2" xfId="9058" xr:uid="{438A5BDE-99E1-4A9B-B19E-D236D74BE4BD}"/>
    <cellStyle name="Comma 18 7 3 6" xfId="9059" xr:uid="{083E52FD-B064-44BA-9602-20122F2698DF}"/>
    <cellStyle name="Comma 18 7 3 6 2" xfId="9060" xr:uid="{C6F8820A-A407-4425-BEAA-8497DA938CBF}"/>
    <cellStyle name="Comma 18 7 3 7" xfId="9061" xr:uid="{A14DC8FA-2B37-49A5-9E4E-2D7C3091590F}"/>
    <cellStyle name="Comma 18 7 3 7 2" xfId="9062" xr:uid="{C3B2991D-9ED4-45EC-8F98-AB140910BF0D}"/>
    <cellStyle name="Comma 18 7 3 8" xfId="9063" xr:uid="{89671267-1B86-4D36-9958-DF213999E19B}"/>
    <cellStyle name="Comma 18 7 3 8 2" xfId="9064" xr:uid="{B1229341-592A-419B-AF5B-0DECA1B9AC53}"/>
    <cellStyle name="Comma 18 7 3 9" xfId="9065" xr:uid="{CC002FC7-B407-45E6-9E72-41FAA66743BE}"/>
    <cellStyle name="Comma 18 7 4" xfId="9066" xr:uid="{E6404024-085B-453C-991A-40F84A5DC38C}"/>
    <cellStyle name="Comma 18 7 4 2" xfId="9067" xr:uid="{4C307A74-B9B0-4F52-B8E6-94493F01D124}"/>
    <cellStyle name="Comma 18 7 4 2 2" xfId="9068" xr:uid="{DAE798D0-6564-401C-B5EA-9DB8F9503D34}"/>
    <cellStyle name="Comma 18 7 4 3" xfId="9069" xr:uid="{3455148D-5139-4E77-9ABF-3D03AF617881}"/>
    <cellStyle name="Comma 18 7 4 3 2" xfId="9070" xr:uid="{ABF23CC1-7316-4247-A88F-4C32772AACE8}"/>
    <cellStyle name="Comma 18 7 4 4" xfId="9071" xr:uid="{05D58772-21D9-457C-8205-C2CE4EDE290A}"/>
    <cellStyle name="Comma 18 7 4 4 2" xfId="9072" xr:uid="{7D2FD926-C5EF-402F-872B-E736B477A832}"/>
    <cellStyle name="Comma 18 7 4 5" xfId="9073" xr:uid="{D3A55F36-CFC3-46A1-BF14-736730E1213A}"/>
    <cellStyle name="Comma 18 7 5" xfId="9074" xr:uid="{7D330BBC-F609-4B77-9DC8-9B7789C64398}"/>
    <cellStyle name="Comma 18 7 5 2" xfId="9075" xr:uid="{6A7CFF0E-93C2-441B-BD9D-BF72583F3776}"/>
    <cellStyle name="Comma 18 7 5 2 2" xfId="9076" xr:uid="{BB18FEAF-8D09-42AF-AE2B-8F8D1684B2D7}"/>
    <cellStyle name="Comma 18 7 5 3" xfId="9077" xr:uid="{8A039CFA-F6E4-4DB7-B104-A21F325B1237}"/>
    <cellStyle name="Comma 18 7 5 3 2" xfId="9078" xr:uid="{C187D3FF-2288-48E4-B246-4E120C61C282}"/>
    <cellStyle name="Comma 18 7 5 4" xfId="9079" xr:uid="{3544F2AF-A31B-4E3B-813E-82BA6C64CBB8}"/>
    <cellStyle name="Comma 18 7 5 4 2" xfId="9080" xr:uid="{56A527A7-9F75-4A8F-9D1F-DC7F7BC4E363}"/>
    <cellStyle name="Comma 18 7 5 5" xfId="9081" xr:uid="{15E3E5C8-1DA1-4CC8-902A-D4CEE1A115EA}"/>
    <cellStyle name="Comma 18 7 6" xfId="9082" xr:uid="{51636810-22A3-4F31-83D5-C61A1402E058}"/>
    <cellStyle name="Comma 18 7 6 2" xfId="9083" xr:uid="{E0AD25B3-3042-4C36-A37B-9A1E6CD5A946}"/>
    <cellStyle name="Comma 18 7 7" xfId="9084" xr:uid="{F00849A8-B69F-4B24-9ADA-69868EFBABB8}"/>
    <cellStyle name="Comma 18 7 7 2" xfId="9085" xr:uid="{37308D84-2EB4-42F1-A18D-ABE6A323E09A}"/>
    <cellStyle name="Comma 18 7 8" xfId="9086" xr:uid="{7454A635-9812-48EB-BDD3-F89390382000}"/>
    <cellStyle name="Comma 18 7 8 2" xfId="9087" xr:uid="{B3B827A4-F07E-4086-B83B-8A247B252304}"/>
    <cellStyle name="Comma 18 7 9" xfId="9088" xr:uid="{CA297856-ADD7-4ECA-8691-A2ADF451D36C}"/>
    <cellStyle name="Comma 18 7 9 2" xfId="9089" xr:uid="{36A3FB17-DDCE-4613-A957-6E68A80CC00A}"/>
    <cellStyle name="Comma 18 8" xfId="9090" xr:uid="{931ACE6E-42C2-4001-BB87-5E9611C3EA73}"/>
    <cellStyle name="Comma 18 8 10" xfId="9091" xr:uid="{EACB9B78-DF12-4E67-8180-CB3C99F7E18E}"/>
    <cellStyle name="Comma 18 8 2" xfId="9092" xr:uid="{03FAFA1C-430F-42E6-8644-0E703E9D18CB}"/>
    <cellStyle name="Comma 18 8 2 2" xfId="9093" xr:uid="{4AE91A47-86D1-4001-9899-94BC31146097}"/>
    <cellStyle name="Comma 18 8 2 2 2" xfId="9094" xr:uid="{8E472497-5B56-492D-8840-6F0A3A64AA65}"/>
    <cellStyle name="Comma 18 8 2 2 2 2" xfId="9095" xr:uid="{8DE81EB2-7F2B-45FE-B7E0-FF90D0429518}"/>
    <cellStyle name="Comma 18 8 2 2 3" xfId="9096" xr:uid="{EA465242-CEB3-4F30-B9F5-E8DE2EB40C13}"/>
    <cellStyle name="Comma 18 8 2 2 3 2" xfId="9097" xr:uid="{302E7F9A-8D7E-457E-9F20-0A2416EB4B12}"/>
    <cellStyle name="Comma 18 8 2 2 4" xfId="9098" xr:uid="{B22651D6-D472-47BC-8A37-E6B535611FE7}"/>
    <cellStyle name="Comma 18 8 2 2 4 2" xfId="9099" xr:uid="{2E096566-A2BD-4503-B69F-747975B3D701}"/>
    <cellStyle name="Comma 18 8 2 2 5" xfId="9100" xr:uid="{1C1C3617-19DE-457E-9F04-1A99770928F4}"/>
    <cellStyle name="Comma 18 8 2 3" xfId="9101" xr:uid="{9FCB5F91-A3CF-48AF-9223-0C26F1965BAE}"/>
    <cellStyle name="Comma 18 8 2 3 2" xfId="9102" xr:uid="{6A7536A6-8AEA-41F2-B6DE-176CE1F05000}"/>
    <cellStyle name="Comma 18 8 2 3 2 2" xfId="9103" xr:uid="{12DCBE2C-D384-4A9F-A98E-BC8D32926EBE}"/>
    <cellStyle name="Comma 18 8 2 3 3" xfId="9104" xr:uid="{CF1FAE54-B309-4793-BBFC-25C635BDB1B2}"/>
    <cellStyle name="Comma 18 8 2 3 3 2" xfId="9105" xr:uid="{34AA522A-1E69-45D2-AC4E-841DCEADC6DC}"/>
    <cellStyle name="Comma 18 8 2 3 4" xfId="9106" xr:uid="{B924EC42-7C14-467F-A1F3-97F86C298E1E}"/>
    <cellStyle name="Comma 18 8 2 3 4 2" xfId="9107" xr:uid="{350CC7FB-EA01-4BF0-9059-DD79585929C3}"/>
    <cellStyle name="Comma 18 8 2 3 5" xfId="9108" xr:uid="{EC570322-05D3-4F71-B2CF-32884A456660}"/>
    <cellStyle name="Comma 18 8 2 4" xfId="9109" xr:uid="{E9A2F165-16F4-4428-8A31-1CA5DFDB8CF3}"/>
    <cellStyle name="Comma 18 8 2 4 2" xfId="9110" xr:uid="{29920382-CE36-4884-8799-A31E2EEC9D38}"/>
    <cellStyle name="Comma 18 8 2 5" xfId="9111" xr:uid="{9E04F4DF-B219-476B-9982-8F413DE87B3A}"/>
    <cellStyle name="Comma 18 8 2 5 2" xfId="9112" xr:uid="{6C43F865-A13A-433E-8D4D-F236A839E967}"/>
    <cellStyle name="Comma 18 8 2 6" xfId="9113" xr:uid="{36712A91-5B09-4706-A066-65014D6EEF03}"/>
    <cellStyle name="Comma 18 8 2 6 2" xfId="9114" xr:uid="{B6A0E1AB-F222-407A-B393-A6AA174B469D}"/>
    <cellStyle name="Comma 18 8 2 7" xfId="9115" xr:uid="{AB91F553-7809-4AF0-AF4B-DB8BE72E1F93}"/>
    <cellStyle name="Comma 18 8 2 7 2" xfId="9116" xr:uid="{FFC338BC-5FBF-423C-8FFC-EDD48F3CFE3C}"/>
    <cellStyle name="Comma 18 8 2 8" xfId="9117" xr:uid="{D02099C2-D700-455F-A55F-ADE3C5E3FCEA}"/>
    <cellStyle name="Comma 18 8 2 8 2" xfId="9118" xr:uid="{A3AEEA03-CF99-407A-9E4F-A894DA2CC758}"/>
    <cellStyle name="Comma 18 8 2 9" xfId="9119" xr:uid="{F6C81C34-3FAB-4D53-97FF-94317BF637F4}"/>
    <cellStyle name="Comma 18 8 3" xfId="9120" xr:uid="{FFE9D16A-8D3C-4A86-8A62-F3CC1C9CD05E}"/>
    <cellStyle name="Comma 18 8 3 2" xfId="9121" xr:uid="{FAC995FF-7386-44DE-B69A-D361763DA6DA}"/>
    <cellStyle name="Comma 18 8 3 2 2" xfId="9122" xr:uid="{8715B301-6A63-4B4E-B142-E39878E00416}"/>
    <cellStyle name="Comma 18 8 3 3" xfId="9123" xr:uid="{38C262D4-2D94-4607-BFC9-9C8DDA1C78BD}"/>
    <cellStyle name="Comma 18 8 3 3 2" xfId="9124" xr:uid="{37A7E938-7007-4434-8D14-BB2AD808D36E}"/>
    <cellStyle name="Comma 18 8 3 4" xfId="9125" xr:uid="{1C820B0B-7D5C-4469-AAC5-F3D464C35369}"/>
    <cellStyle name="Comma 18 8 3 4 2" xfId="9126" xr:uid="{DFC94A0F-959F-42CD-B20B-1B0FB5DDF9E2}"/>
    <cellStyle name="Comma 18 8 3 5" xfId="9127" xr:uid="{F11A668B-8CE7-44AE-830A-861FA1B7FA3D}"/>
    <cellStyle name="Comma 18 8 4" xfId="9128" xr:uid="{C445D1CB-F1AE-4905-B2F3-4E354CAEC4D6}"/>
    <cellStyle name="Comma 18 8 4 2" xfId="9129" xr:uid="{4A45DD3C-85E3-4567-9AF0-FE9620861902}"/>
    <cellStyle name="Comma 18 8 4 2 2" xfId="9130" xr:uid="{35494950-C754-4DA9-9463-09A54C79A9CA}"/>
    <cellStyle name="Comma 18 8 4 3" xfId="9131" xr:uid="{67199F2A-0AC6-40F4-BCA2-9477DBD51906}"/>
    <cellStyle name="Comma 18 8 4 3 2" xfId="9132" xr:uid="{3FA88EA8-2919-40CB-AAF8-747FF96DDD09}"/>
    <cellStyle name="Comma 18 8 4 4" xfId="9133" xr:uid="{EE0DD1C8-2C4B-4BAF-80E5-39B4DC4569D1}"/>
    <cellStyle name="Comma 18 8 4 4 2" xfId="9134" xr:uid="{56EFB4DE-CD26-4322-B805-16DA117588DF}"/>
    <cellStyle name="Comma 18 8 4 5" xfId="9135" xr:uid="{E260D04F-FB99-4E88-91D1-3AAFFB5D98AE}"/>
    <cellStyle name="Comma 18 8 5" xfId="9136" xr:uid="{8A298C1E-5D4D-4AA9-AE6A-8A61E275DF5C}"/>
    <cellStyle name="Comma 18 8 5 2" xfId="9137" xr:uid="{5DE69CFC-2712-4C74-859C-4B22388AB75A}"/>
    <cellStyle name="Comma 18 8 6" xfId="9138" xr:uid="{301D0CE5-A765-4054-B606-D6163FA53241}"/>
    <cellStyle name="Comma 18 8 6 2" xfId="9139" xr:uid="{159936D1-CA70-4A65-B4FF-B27566243A41}"/>
    <cellStyle name="Comma 18 8 7" xfId="9140" xr:uid="{00E8567D-5A40-4993-A181-DB830E48AD98}"/>
    <cellStyle name="Comma 18 8 7 2" xfId="9141" xr:uid="{52537936-D714-4C7B-8BEA-28B2067FBD34}"/>
    <cellStyle name="Comma 18 8 8" xfId="9142" xr:uid="{38A0206F-3658-4A8D-AF20-754E78314BFA}"/>
    <cellStyle name="Comma 18 8 8 2" xfId="9143" xr:uid="{A5EB5153-B4DC-4288-8755-7B7A37628D4E}"/>
    <cellStyle name="Comma 18 8 9" xfId="9144" xr:uid="{FC0B3C31-A3B6-4E92-A91C-93B822CB80A6}"/>
    <cellStyle name="Comma 18 8 9 2" xfId="9145" xr:uid="{26C494ED-7956-4AF4-92B8-14F844E2D3E5}"/>
    <cellStyle name="Comma 18 9" xfId="9146" xr:uid="{E7CCF075-04F8-49A4-89BE-BDA08CE7E080}"/>
    <cellStyle name="Comma 18 9 2" xfId="9147" xr:uid="{6045CADE-B13F-4CF2-B077-AE80A2CC0FFE}"/>
    <cellStyle name="Comma 18 9 2 2" xfId="9148" xr:uid="{C08CDE05-5CBA-414C-9611-42532E1B6362}"/>
    <cellStyle name="Comma 18 9 2 2 2" xfId="9149" xr:uid="{4B1B8D0A-835B-4EE9-BD68-4B81A5B420E8}"/>
    <cellStyle name="Comma 18 9 2 3" xfId="9150" xr:uid="{58F227EE-5F7B-4C36-8A19-7BD4FB4560C5}"/>
    <cellStyle name="Comma 18 9 2 3 2" xfId="9151" xr:uid="{4745676D-EF01-4166-869A-16B381747A27}"/>
    <cellStyle name="Comma 18 9 2 4" xfId="9152" xr:uid="{EA01B7F8-C888-44E0-AA5C-47D5357B395A}"/>
    <cellStyle name="Comma 18 9 2 4 2" xfId="9153" xr:uid="{F8E9384F-7AF4-468F-B891-911406F8976C}"/>
    <cellStyle name="Comma 18 9 2 5" xfId="9154" xr:uid="{0767E166-E19A-42DD-BB31-CD36818231FC}"/>
    <cellStyle name="Comma 18 9 3" xfId="9155" xr:uid="{F655871C-D589-4964-8CEE-26FC12B3D3C4}"/>
    <cellStyle name="Comma 18 9 3 2" xfId="9156" xr:uid="{4FD4B9B0-FF16-429B-AF78-542F31977915}"/>
    <cellStyle name="Comma 18 9 3 2 2" xfId="9157" xr:uid="{E8B1379C-3F53-440E-8B24-BA25AF65AB5C}"/>
    <cellStyle name="Comma 18 9 3 3" xfId="9158" xr:uid="{F4680272-CE95-483F-A9EE-B0CBFA4FE19C}"/>
    <cellStyle name="Comma 18 9 3 3 2" xfId="9159" xr:uid="{D29F0CF7-F3FA-4B5F-91F1-582AE40A8520}"/>
    <cellStyle name="Comma 18 9 3 4" xfId="9160" xr:uid="{2C83C2F3-07B3-4B15-A694-28C47E03D30F}"/>
    <cellStyle name="Comma 18 9 3 4 2" xfId="9161" xr:uid="{1F3D16B8-570B-427C-AA5E-C6953237E231}"/>
    <cellStyle name="Comma 18 9 3 5" xfId="9162" xr:uid="{E50FF50E-B8FD-4BB1-8CC8-57BEB616E0F2}"/>
    <cellStyle name="Comma 18 9 4" xfId="9163" xr:uid="{12860BA5-D5D4-491A-98FE-9CFC6E029B43}"/>
    <cellStyle name="Comma 18 9 4 2" xfId="9164" xr:uid="{740386FD-1CE9-45E3-8A08-756F8F1664FA}"/>
    <cellStyle name="Comma 18 9 5" xfId="9165" xr:uid="{19D62D7A-A3E9-46D5-B9EB-237F012A25A4}"/>
    <cellStyle name="Comma 18 9 5 2" xfId="9166" xr:uid="{1E3DAFF0-0DEC-42A0-9EA1-9131EDD49C21}"/>
    <cellStyle name="Comma 18 9 6" xfId="9167" xr:uid="{295877CA-0C24-4E51-B1FC-3EB935BA24A4}"/>
    <cellStyle name="Comma 18 9 6 2" xfId="9168" xr:uid="{B868F33B-5FC9-418A-909A-5CAEFA876C27}"/>
    <cellStyle name="Comma 18 9 7" xfId="9169" xr:uid="{1FAC33C2-D73F-4845-9B03-776881F9A7B9}"/>
    <cellStyle name="Comma 18 9 7 2" xfId="9170" xr:uid="{6773416F-2E8C-4371-AA96-51199DD028A7}"/>
    <cellStyle name="Comma 18 9 8" xfId="9171" xr:uid="{77829147-58DF-4A09-91B9-1CD8FFD7B756}"/>
    <cellStyle name="Comma 18 9 8 2" xfId="9172" xr:uid="{03386735-5AA7-400A-8384-BE70EEA012B8}"/>
    <cellStyle name="Comma 18 9 9" xfId="9173" xr:uid="{E5F40B18-BFB5-4B7F-A542-E283E8A87406}"/>
    <cellStyle name="Comma 180" xfId="9174" xr:uid="{743C04A1-8B21-4297-B1C0-30241E3614D4}"/>
    <cellStyle name="Comma 181" xfId="9175" xr:uid="{147AAEE2-58C8-47C8-8A31-EC75D583C7D7}"/>
    <cellStyle name="Comma 182" xfId="9176" xr:uid="{FBF10340-E281-41D3-A724-4540AAC0FB11}"/>
    <cellStyle name="Comma 183" xfId="9177" xr:uid="{F0F3E6FC-8A1B-4BD8-A7A8-A664137C18A6}"/>
    <cellStyle name="Comma 184" xfId="9178" xr:uid="{1F2AB139-279F-4657-A700-AD5ADC4D176A}"/>
    <cellStyle name="Comma 185" xfId="9179" xr:uid="{56AAF2B5-DD53-48B0-93FC-920A9CF770E2}"/>
    <cellStyle name="Comma 186" xfId="9180" xr:uid="{96829B9D-A828-41B5-93A3-A1781947EFD2}"/>
    <cellStyle name="Comma 187" xfId="9181" xr:uid="{B890CE40-6F86-410F-B876-59C99C7F1FC7}"/>
    <cellStyle name="Comma 188" xfId="9182" xr:uid="{915FA1A6-4190-417A-BD98-399FB0D10DD4}"/>
    <cellStyle name="Comma 189" xfId="9183" xr:uid="{E17D4CB5-71A0-418A-A4DF-F121B7AAFF15}"/>
    <cellStyle name="Comma 19" xfId="9184" xr:uid="{8020BDB6-FC31-4205-AB60-EFA237FE0241}"/>
    <cellStyle name="Comma 19 2" xfId="9185" xr:uid="{5B4F2BAE-1DEC-4940-A4D2-EE5C8B492275}"/>
    <cellStyle name="Comma 19 2 2" xfId="9186" xr:uid="{F368849D-B8C2-4A25-82FF-59481DF62753}"/>
    <cellStyle name="Comma 19 2 3" xfId="9187" xr:uid="{8E2D1BE3-C755-4DED-BE36-27BB4B5670E3}"/>
    <cellStyle name="Comma 19 3" xfId="9188" xr:uid="{7A438211-B7B0-4B4C-8AD4-C17C09887151}"/>
    <cellStyle name="Comma 19 3 2" xfId="9189" xr:uid="{3A992DE1-218A-4CDA-86B3-769E166582FC}"/>
    <cellStyle name="Comma 19 4" xfId="9190" xr:uid="{F6E37E2E-EBF7-4B90-AE2F-12CAB911145C}"/>
    <cellStyle name="Comma 19 4 2" xfId="9191" xr:uid="{751BBEEE-13A5-4D71-BEA3-93039D22EEC4}"/>
    <cellStyle name="Comma 19 5" xfId="9192" xr:uid="{169FF02D-C9E5-43C4-BD6F-877FFAC496E9}"/>
    <cellStyle name="Comma 19 5 2" xfId="9193" xr:uid="{AE0CB0B1-E0A3-45CA-849B-8980695CC0CF}"/>
    <cellStyle name="Comma 190" xfId="9194" xr:uid="{7AA7EB66-BC7F-4296-9685-A75ED2C298FE}"/>
    <cellStyle name="Comma 191" xfId="9195" xr:uid="{E5C29682-4BA1-4F2B-8271-171B9140C3E7}"/>
    <cellStyle name="Comma 192" xfId="9196" xr:uid="{13CF52E7-5970-49F0-8D15-566298E1E451}"/>
    <cellStyle name="Comma 193" xfId="9197" xr:uid="{C441B16C-7605-4C6B-99B7-3BADE70CCCAF}"/>
    <cellStyle name="Comma 194" xfId="9198" xr:uid="{66A82DD0-3060-42FE-8EBB-4D63042AD563}"/>
    <cellStyle name="Comma 195" xfId="9199" xr:uid="{E354E366-5422-4A1B-856C-B181DF8AB7DD}"/>
    <cellStyle name="Comma 196" xfId="9200" xr:uid="{6D449A11-4C7A-4BC9-922B-1A0D4D129D88}"/>
    <cellStyle name="Comma 197" xfId="9201" xr:uid="{E36841B1-B24A-4A3F-B806-3C58DB877E35}"/>
    <cellStyle name="Comma 198" xfId="9202" xr:uid="{50A8E523-A2DE-44F2-B743-8E9DD5A4C4B8}"/>
    <cellStyle name="Comma 199" xfId="9203" xr:uid="{A8E517E1-4100-4C1B-84D6-A5D091142949}"/>
    <cellStyle name="Comma 2" xfId="9" xr:uid="{00000000-0005-0000-0000-000002000000}"/>
    <cellStyle name="Comma 2 10" xfId="11" xr:uid="{00000000-0005-0000-0000-000003000000}"/>
    <cellStyle name="Comma 2 10 2" xfId="9204" xr:uid="{CD06B679-4545-4B0F-9844-1AAE428E58A0}"/>
    <cellStyle name="Comma 2 10 2 2" xfId="40664" xr:uid="{F53FB1D9-9D12-4B1A-9CB0-5C9212135206}"/>
    <cellStyle name="Comma 2 10 3" xfId="40665" xr:uid="{7D91C0F6-B625-4941-8286-011C564D365B}"/>
    <cellStyle name="Comma 2 100" xfId="33031" xr:uid="{E6A6DEAB-2820-497E-B94D-C211AA73EEEF}"/>
    <cellStyle name="Comma 2 101" xfId="40666" xr:uid="{2A51B7DB-85EA-4055-8B88-92E9E465F067}"/>
    <cellStyle name="Comma 2 102" xfId="40667" xr:uid="{B9A486C0-3B2D-4C7F-B04C-34D272C4E06D}"/>
    <cellStyle name="Comma 2 11" xfId="9205" xr:uid="{40C5B50E-4958-4E40-B299-7A33DA9914C4}"/>
    <cellStyle name="Comma 2 11 2" xfId="9206" xr:uid="{6897408B-258B-410F-8D93-8CCB89D1DD20}"/>
    <cellStyle name="Comma 2 11 2 2" xfId="40668" xr:uid="{6A19BE7A-BC69-400F-8BCD-A4CA3FF089CD}"/>
    <cellStyle name="Comma 2 11 3" xfId="40669" xr:uid="{5B2BB664-146B-415C-A9CE-8751B214EADB}"/>
    <cellStyle name="Comma 2 12" xfId="9207" xr:uid="{F3F050FE-38FD-4F64-93F4-4573589461B1}"/>
    <cellStyle name="Comma 2 12 2" xfId="9208" xr:uid="{ED031D85-1C38-4899-83C9-B59BFC6BAA4B}"/>
    <cellStyle name="Comma 2 12 2 2" xfId="40670" xr:uid="{B864DED0-7542-4CBB-92D5-F73BAC189CCB}"/>
    <cellStyle name="Comma 2 12 3" xfId="40671" xr:uid="{C8F37ED9-BDD7-4AA3-A841-A59FC9AA83F4}"/>
    <cellStyle name="Comma 2 13" xfId="9209" xr:uid="{BAC533BC-CFDA-42D1-B930-89A7EACE41AC}"/>
    <cellStyle name="Comma 2 13 2" xfId="9210" xr:uid="{A0FB948F-CE8A-4BD1-9C7A-A87E7D145B9B}"/>
    <cellStyle name="Comma 2 13 2 2" xfId="40672" xr:uid="{7C66EF32-FA3F-4AE5-8AAB-2762C283F46F}"/>
    <cellStyle name="Comma 2 13 3" xfId="40673" xr:uid="{A8D05DFB-0DD7-4C42-9337-E6E5EAA6BA70}"/>
    <cellStyle name="Comma 2 14" xfId="9211" xr:uid="{DC9082D4-959C-467D-B43E-B0289638B86B}"/>
    <cellStyle name="Comma 2 14 2" xfId="9212" xr:uid="{ADFDCE44-A82B-471D-89F1-E1888AEF1D50}"/>
    <cellStyle name="Comma 2 14 2 2" xfId="40674" xr:uid="{D943C750-BB86-4AB2-87F8-7F06A5C04B50}"/>
    <cellStyle name="Comma 2 14 3" xfId="40675" xr:uid="{5B057564-D03C-46D9-96C4-2414073B297F}"/>
    <cellStyle name="Comma 2 15" xfId="9213" xr:uid="{CF988A9F-6679-4051-8CF4-7E756D68EC0B}"/>
    <cellStyle name="Comma 2 15 2" xfId="9214" xr:uid="{ED3EE66A-0C7A-4F08-941C-1864CE590259}"/>
    <cellStyle name="Comma 2 15 2 2" xfId="40676" xr:uid="{45D85A02-C432-43A9-BF5B-D4DEC88992D8}"/>
    <cellStyle name="Comma 2 15 3" xfId="40677" xr:uid="{A0F79026-B7F3-4FF0-B9AA-6E4978206408}"/>
    <cellStyle name="Comma 2 16" xfId="9215" xr:uid="{E91644AE-4A4C-4EC9-AB0E-1C0B54028693}"/>
    <cellStyle name="Comma 2 16 2" xfId="9216" xr:uid="{A0AC1737-1AA2-4F47-84AF-BDA63976924D}"/>
    <cellStyle name="Comma 2 16 2 2" xfId="40678" xr:uid="{C552359D-9539-408C-97BB-33CE7F0A9F9D}"/>
    <cellStyle name="Comma 2 16 3" xfId="40679" xr:uid="{012BA537-AD41-444C-938A-3E45322582C4}"/>
    <cellStyle name="Comma 2 17" xfId="9217" xr:uid="{716F2289-E3F8-49DD-A9F1-E531CFB3E21A}"/>
    <cellStyle name="Comma 2 17 2" xfId="9218" xr:uid="{23BBDB3B-1F61-42B8-86CB-D1B6252D4092}"/>
    <cellStyle name="Comma 2 17 2 2" xfId="40680" xr:uid="{FAB2F1A2-DBB4-4E52-A4B8-191BAC4410BF}"/>
    <cellStyle name="Comma 2 17 3" xfId="40681" xr:uid="{AFAD6B4E-F641-482E-A858-4F0ECCF3FE4A}"/>
    <cellStyle name="Comma 2 18" xfId="9219" xr:uid="{D5B665BF-4F02-44B8-819C-BD3135D8FDD3}"/>
    <cellStyle name="Comma 2 18 2" xfId="9220" xr:uid="{03E21356-22E4-468E-BE00-4E03158C99D1}"/>
    <cellStyle name="Comma 2 18 2 2" xfId="40682" xr:uid="{79F419F4-C906-4D64-B9DB-CE52B03BAF71}"/>
    <cellStyle name="Comma 2 18 3" xfId="40683" xr:uid="{39EEC9F6-25B6-4819-BC5F-18A9A5D91EF9}"/>
    <cellStyle name="Comma 2 19" xfId="9221" xr:uid="{A3BEE89E-F8F4-4648-A766-6733A90C3153}"/>
    <cellStyle name="Comma 2 19 2" xfId="9222" xr:uid="{0892DC98-08B3-479E-A532-9565B925BAEB}"/>
    <cellStyle name="Comma 2 19 2 2" xfId="40684" xr:uid="{C964DFA7-0799-4154-BFD3-35EFFB740FC8}"/>
    <cellStyle name="Comma 2 19 3" xfId="40685" xr:uid="{F9D0F805-88B5-4236-BF7B-1B3E2884B7C4}"/>
    <cellStyle name="Comma 2 2" xfId="218" xr:uid="{3536BE0D-E3AE-4D8D-8EC9-7800F2C5BDF4}"/>
    <cellStyle name="Comma 2 2 10" xfId="9223" xr:uid="{629065F1-863E-47B8-AD5A-6D1542AA9426}"/>
    <cellStyle name="Comma 2 2 11" xfId="9224" xr:uid="{96885B25-9837-42A7-AB15-FE64CF161668}"/>
    <cellStyle name="Comma 2 2 12" xfId="9225" xr:uid="{13ABB98D-60D7-4730-B7FF-0E08C722902A}"/>
    <cellStyle name="Comma 2 2 13" xfId="9226" xr:uid="{6445157C-8FAC-414E-AD0E-A24D62F64EAF}"/>
    <cellStyle name="Comma 2 2 14" xfId="9227" xr:uid="{3A5996D0-6FED-42F2-B939-5D2ED2693AA1}"/>
    <cellStyle name="Comma 2 2 15" xfId="9228" xr:uid="{DD7BBE35-32D4-4385-8C4A-8B252B06A934}"/>
    <cellStyle name="Comma 2 2 16" xfId="9229" xr:uid="{A061310C-BE28-45BA-8377-8D0BE8F589C2}"/>
    <cellStyle name="Comma 2 2 17" xfId="9230" xr:uid="{0B331259-ABE8-47D8-8620-61FD7130263C}"/>
    <cellStyle name="Comma 2 2 18" xfId="9231" xr:uid="{9B70B437-FF0F-4879-92F7-BE3E78D276B6}"/>
    <cellStyle name="Comma 2 2 19" xfId="9232" xr:uid="{F2457DAA-0EAF-4210-885A-0141E6E6CC66}"/>
    <cellStyle name="Comma 2 2 2" xfId="9233" xr:uid="{BE806DDC-FC76-4DCD-8F48-36B26A4B3FD5}"/>
    <cellStyle name="Comma 2 2 2 2" xfId="9234" xr:uid="{9F6928E2-3CC5-47E6-BC2F-ABC656C7DF5A}"/>
    <cellStyle name="Comma 2 2 2 2 2" xfId="40686" xr:uid="{123B00E0-0A8F-4668-B563-22B8DE25406E}"/>
    <cellStyle name="Comma 2 2 2 3" xfId="9235" xr:uid="{5F4E1367-1D9F-4F73-A16E-AC3724D86803}"/>
    <cellStyle name="Comma 2 2 2 3 2" xfId="40687" xr:uid="{5EADAB95-834D-4711-BC3C-A3938D020E69}"/>
    <cellStyle name="Comma 2 2 2 4" xfId="40688" xr:uid="{ADD98C53-6481-4BE5-917D-2D447457DD7C}"/>
    <cellStyle name="Comma 2 2 20" xfId="9236" xr:uid="{33C76C51-07B7-4F26-9ECF-975ED73BE9F0}"/>
    <cellStyle name="Comma 2 2 21" xfId="9237" xr:uid="{46222C7C-1A60-43DA-8684-B9CC2276A48B}"/>
    <cellStyle name="Comma 2 2 22" xfId="9238" xr:uid="{CFAAE4F4-D8A5-43C2-99A5-8FFFACBD373D}"/>
    <cellStyle name="Comma 2 2 23" xfId="9239" xr:uid="{8699771B-8A74-45B6-AEB3-5F107E358A8C}"/>
    <cellStyle name="Comma 2 2 24" xfId="40689" xr:uid="{4DFD8EC2-AE37-4DA8-A380-7A5E607422B8}"/>
    <cellStyle name="Comma 2 2 25" xfId="43525" xr:uid="{FD25B103-64A2-4ED0-9F43-05FA499D1184}"/>
    <cellStyle name="Comma 2 2 3" xfId="9240" xr:uid="{68D41A39-0609-4620-81B8-3409D9C36ED0}"/>
    <cellStyle name="Comma 2 2 3 2" xfId="40690" xr:uid="{69B086E5-6344-4F08-BC22-A6828C752965}"/>
    <cellStyle name="Comma 2 2 4" xfId="9241" xr:uid="{CB99E7CA-57C6-4E2C-BDE7-4D312B83FDB7}"/>
    <cellStyle name="Comma 2 2 4 2" xfId="40691" xr:uid="{1C18DB53-6575-42B2-823E-935F27C94EE4}"/>
    <cellStyle name="Comma 2 2 5" xfId="9242" xr:uid="{5D51CDC9-68D9-4962-AFE2-317AAF9AD655}"/>
    <cellStyle name="Comma 2 2 6" xfId="9243" xr:uid="{A07FC7F8-414A-46DF-A103-8BCF075177C8}"/>
    <cellStyle name="Comma 2 2 7" xfId="9244" xr:uid="{BD2EEF03-CD19-4314-96A3-0632C95060C2}"/>
    <cellStyle name="Comma 2 2 8" xfId="9245" xr:uid="{6395FFA7-4E00-450A-ABFB-32601FBB7195}"/>
    <cellStyle name="Comma 2 2 9" xfId="9246" xr:uid="{EA41DECB-F5B9-451E-9472-D750973474BE}"/>
    <cellStyle name="Comma 2 20" xfId="9247" xr:uid="{96A8C19D-0D93-4781-9FAE-05617C9151F6}"/>
    <cellStyle name="Comma 2 20 2" xfId="9248" xr:uid="{88A37F5B-1E22-4F68-B168-1B697253434E}"/>
    <cellStyle name="Comma 2 20 2 2" xfId="40692" xr:uid="{78EFDBC9-5115-466A-868C-F5C90247F06B}"/>
    <cellStyle name="Comma 2 20 3" xfId="40693" xr:uid="{4CE46BE4-5C36-43EE-ACF9-8EE84E834635}"/>
    <cellStyle name="Comma 2 21" xfId="9249" xr:uid="{BA688764-EB89-49B0-ADAD-ABEBF85F812A}"/>
    <cellStyle name="Comma 2 21 2" xfId="9250" xr:uid="{1EEAB4EE-2CE7-4FCD-9ED0-59F9269E9194}"/>
    <cellStyle name="Comma 2 21 2 2" xfId="40694" xr:uid="{97CC1815-88E4-4330-A27C-528641033B59}"/>
    <cellStyle name="Comma 2 21 3" xfId="40695" xr:uid="{34246EE9-9475-438E-B0F6-37E7DDE4158A}"/>
    <cellStyle name="Comma 2 22" xfId="9251" xr:uid="{EB2C5B62-4121-4AC4-B520-1DBC448A0FC3}"/>
    <cellStyle name="Comma 2 22 2" xfId="9252" xr:uid="{D421E18A-D4AD-462A-AD81-C05F26E5BBBA}"/>
    <cellStyle name="Comma 2 22 2 2" xfId="40696" xr:uid="{5093CBBF-420D-436F-8C78-66A46CFEEE94}"/>
    <cellStyle name="Comma 2 22 3" xfId="40697" xr:uid="{04FA9598-4B33-4D05-AB68-20EAF53B819D}"/>
    <cellStyle name="Comma 2 23" xfId="9253" xr:uid="{34101D7A-091A-430A-86D3-319A74261608}"/>
    <cellStyle name="Comma 2 23 2" xfId="9254" xr:uid="{35D69CE9-E1B5-4E10-9E42-72E9DFEA41BD}"/>
    <cellStyle name="Comma 2 23 2 2" xfId="40698" xr:uid="{A3BEFE89-2CC4-4169-9018-1AE39C313F33}"/>
    <cellStyle name="Comma 2 23 3" xfId="40699" xr:uid="{C2DAE4B8-7B8A-4AFF-BD7F-A9F4A873398A}"/>
    <cellStyle name="Comma 2 24" xfId="9255" xr:uid="{3BEED055-A18F-48A0-884C-D61DCA06FBB9}"/>
    <cellStyle name="Comma 2 24 2" xfId="9256" xr:uid="{996322CE-DED7-41B9-B07F-4F7346A1BB06}"/>
    <cellStyle name="Comma 2 24 2 2" xfId="40700" xr:uid="{8812B27D-8864-4102-B9C1-E730D244697B}"/>
    <cellStyle name="Comma 2 24 3" xfId="40701" xr:uid="{5AB204F1-57AD-49F2-B820-03E161ED7E94}"/>
    <cellStyle name="Comma 2 25" xfId="9257" xr:uid="{878C95F4-7CC9-4B37-94C6-678DEA4892D8}"/>
    <cellStyle name="Comma 2 25 2" xfId="9258" xr:uid="{A1D9CCD2-4240-49FF-81B6-DA48C1C9AAFD}"/>
    <cellStyle name="Comma 2 25 2 2" xfId="40702" xr:uid="{B2E28513-41B1-4614-8B15-0FA639DB136F}"/>
    <cellStyle name="Comma 2 25 3" xfId="40703" xr:uid="{6514918F-5303-4D47-96DE-DE734B7A797A}"/>
    <cellStyle name="Comma 2 26" xfId="9259" xr:uid="{D573764C-1FF5-40AF-9DC5-A69294AB995A}"/>
    <cellStyle name="Comma 2 26 2" xfId="9260" xr:uid="{9DA96849-2784-43E9-80D0-E17311EC5A0F}"/>
    <cellStyle name="Comma 2 26 2 2" xfId="40704" xr:uid="{8191D084-311D-4E8A-A5C1-029D208AE9A6}"/>
    <cellStyle name="Comma 2 26 3" xfId="40705" xr:uid="{FB3BC68C-7E6B-4DE1-BD20-B98657B7F044}"/>
    <cellStyle name="Comma 2 27" xfId="9261" xr:uid="{19D7F417-265C-4060-8E11-A022949069B6}"/>
    <cellStyle name="Comma 2 27 2" xfId="9262" xr:uid="{56DD6070-68CB-4B46-AB90-29FE045CE8E2}"/>
    <cellStyle name="Comma 2 27 2 2" xfId="40706" xr:uid="{82F05515-DCE9-43CB-A464-4A43FB6E1861}"/>
    <cellStyle name="Comma 2 27 3" xfId="40707" xr:uid="{9D2A6E3D-0FD6-47AD-87A8-3E4B34541864}"/>
    <cellStyle name="Comma 2 28" xfId="9263" xr:uid="{E81ACAB0-138C-48FC-9EC0-74CDCA45449C}"/>
    <cellStyle name="Comma 2 28 2" xfId="9264" xr:uid="{9269BA7E-9CC7-4140-89A9-75F26C0F41B2}"/>
    <cellStyle name="Comma 2 28 2 2" xfId="40708" xr:uid="{F45210CD-C9CD-4FBB-A5AF-57D77A211BE5}"/>
    <cellStyle name="Comma 2 28 3" xfId="40709" xr:uid="{A9A1E212-BA02-42CC-A494-CD835858DEFD}"/>
    <cellStyle name="Comma 2 29" xfId="9265" xr:uid="{CB1C134D-BF1A-431E-B1E3-9F3D54FC5CD7}"/>
    <cellStyle name="Comma 2 29 2" xfId="9266" xr:uid="{0D8693A7-A1FA-4D37-BCD0-8F8949F7A37E}"/>
    <cellStyle name="Comma 2 29 2 2" xfId="40710" xr:uid="{1D80427C-EBE8-44B4-A291-1DE130FDB33C}"/>
    <cellStyle name="Comma 2 29 3" xfId="40711" xr:uid="{E7C53635-E1C0-4787-AE87-FA17AD96F7C7}"/>
    <cellStyle name="Comma 2 3" xfId="9267" xr:uid="{17A12A10-46B1-4120-9009-9AF62255B4AC}"/>
    <cellStyle name="Comma 2 3 10" xfId="9268" xr:uid="{92B13D9F-3212-4254-976B-FC3A978B2E2D}"/>
    <cellStyle name="Comma 2 3 11" xfId="9269" xr:uid="{55826F81-30D2-47EE-990B-8BDEFF4E3FAF}"/>
    <cellStyle name="Comma 2 3 12" xfId="9270" xr:uid="{4A1750DC-71A1-4BA7-96A9-7F7AC718F486}"/>
    <cellStyle name="Comma 2 3 13" xfId="9271" xr:uid="{22515EEA-48D4-41C4-B30D-F6365D334506}"/>
    <cellStyle name="Comma 2 3 14" xfId="9272" xr:uid="{D3B08C9D-8E2D-4EFF-AD3E-F1B82E76BDB7}"/>
    <cellStyle name="Comma 2 3 15" xfId="9273" xr:uid="{CC5ED775-B026-4FBD-BF1A-BA7B7EA694D8}"/>
    <cellStyle name="Comma 2 3 16" xfId="9274" xr:uid="{F84A12EC-E015-4C44-8AF2-05F4BCFB64BF}"/>
    <cellStyle name="Comma 2 3 17" xfId="9275" xr:uid="{273061BB-D2E9-4D2B-85E7-E955961B4EDA}"/>
    <cellStyle name="Comma 2 3 18" xfId="9276" xr:uid="{B773C730-5B68-4E16-AFBC-A68FC8F8A2ED}"/>
    <cellStyle name="Comma 2 3 19" xfId="9277" xr:uid="{A5C66531-EFF4-43A6-BD8A-82D67BC687F4}"/>
    <cellStyle name="Comma 2 3 2" xfId="9278" xr:uid="{C3EFEC0B-2BDB-4A71-ADB7-BCDA0AF935A4}"/>
    <cellStyle name="Comma 2 3 2 2" xfId="9279" xr:uid="{4E2CEE53-F7A1-45E5-8BD3-1BDFC586E1AB}"/>
    <cellStyle name="Comma 2 3 2 2 2" xfId="40712" xr:uid="{E4BEC600-7AD0-4CB0-B29B-E0AE2E360D3A}"/>
    <cellStyle name="Comma 2 3 2 3" xfId="9280" xr:uid="{8F2BD88C-6222-4657-8FE5-D4A813EB0A5D}"/>
    <cellStyle name="Comma 2 3 2 3 2" xfId="40713" xr:uid="{0407FBE4-6EB1-4B99-BBAA-B32EA5B1E56E}"/>
    <cellStyle name="Comma 2 3 2 4" xfId="40714" xr:uid="{BE796326-9B8C-41F2-83A6-DEA90A200EB5}"/>
    <cellStyle name="Comma 2 3 20" xfId="9281" xr:uid="{44B84106-193B-4169-B112-D002491F6786}"/>
    <cellStyle name="Comma 2 3 21" xfId="9282" xr:uid="{DEE765F2-F5F0-4CF5-94E8-5C9339073264}"/>
    <cellStyle name="Comma 2 3 22" xfId="9283" xr:uid="{C116B747-24B3-4940-8994-72A6304B13B2}"/>
    <cellStyle name="Comma 2 3 23" xfId="9284" xr:uid="{45547F97-2393-49CE-BC3A-4E5EE9474A9F}"/>
    <cellStyle name="Comma 2 3 24" xfId="40715" xr:uid="{0AAD9EAE-ADEF-4DBC-815E-0441B5C54C0B}"/>
    <cellStyle name="Comma 2 3 3" xfId="9285" xr:uid="{D2941AAB-BF1F-45B5-A2AC-F11651A2E374}"/>
    <cellStyle name="Comma 2 3 3 2" xfId="40716" xr:uid="{0DE381F7-68B7-461A-B142-ED8CF793BFCE}"/>
    <cellStyle name="Comma 2 3 4" xfId="9286" xr:uid="{9249C915-A59C-4C23-BF59-195E5DF5AB48}"/>
    <cellStyle name="Comma 2 3 4 2" xfId="40717" xr:uid="{7EE3CF1F-FF02-412F-B91F-AB8BCD0BFF03}"/>
    <cellStyle name="Comma 2 3 5" xfId="9287" xr:uid="{E478CC82-4D83-4A4F-9D75-A1D49C6E39CA}"/>
    <cellStyle name="Comma 2 3 6" xfId="9288" xr:uid="{947F6910-3F1A-452E-9B62-5714E2D44CDF}"/>
    <cellStyle name="Comma 2 3 7" xfId="9289" xr:uid="{C97FD342-FBE8-4D45-B6E0-6723DEEA6507}"/>
    <cellStyle name="Comma 2 3 8" xfId="9290" xr:uid="{1783909D-E817-4EE8-AE5C-87A8FCE8225F}"/>
    <cellStyle name="Comma 2 3 9" xfId="9291" xr:uid="{F9543DA6-9FE8-4B94-9506-83D14A1D791E}"/>
    <cellStyle name="Comma 2 30" xfId="9292" xr:uid="{C27C1471-9143-428D-975C-B40E1CABB1CE}"/>
    <cellStyle name="Comma 2 30 2" xfId="9293" xr:uid="{00FB3470-AC8A-42BB-AF51-1CC38AE3223C}"/>
    <cellStyle name="Comma 2 30 2 2" xfId="40718" xr:uid="{8E829FFC-786C-485E-825F-2FC1C657FDC8}"/>
    <cellStyle name="Comma 2 30 3" xfId="40719" xr:uid="{574CEDBF-CC06-41A2-9188-DAB2313E604A}"/>
    <cellStyle name="Comma 2 31" xfId="9294" xr:uid="{5E3F38FF-EAEA-4479-9B4B-17622AE89172}"/>
    <cellStyle name="Comma 2 31 2" xfId="9295" xr:uid="{23F55D22-7E66-4623-B070-EBA69096DF3E}"/>
    <cellStyle name="Comma 2 31 2 2" xfId="40720" xr:uid="{B80B41B7-99B4-481E-8BBF-F9A803F55EF8}"/>
    <cellStyle name="Comma 2 31 3" xfId="40721" xr:uid="{2801278A-3589-4D51-9CE9-231FBD6D2FEE}"/>
    <cellStyle name="Comma 2 32" xfId="9296" xr:uid="{BAB2E2DC-AF54-4E73-8BD5-7C6D010EDBB8}"/>
    <cellStyle name="Comma 2 32 2" xfId="9297" xr:uid="{276B9355-AF39-4106-8072-F5C268159725}"/>
    <cellStyle name="Comma 2 32 2 2" xfId="40722" xr:uid="{BEEB0AE7-EF0C-46AA-AD2B-4A258AE86F0F}"/>
    <cellStyle name="Comma 2 32 3" xfId="40723" xr:uid="{E98BE29F-E16F-4415-B46D-6F3F6B788372}"/>
    <cellStyle name="Comma 2 33" xfId="9298" xr:uid="{04C01167-2325-4C45-98E2-70DAC03D1989}"/>
    <cellStyle name="Comma 2 33 2" xfId="9299" xr:uid="{FE0DA4D1-BBDD-46A2-B6B6-243C547D9364}"/>
    <cellStyle name="Comma 2 33 2 2" xfId="40724" xr:uid="{1144C47A-9352-4278-8545-43EAB4060292}"/>
    <cellStyle name="Comma 2 33 3" xfId="40725" xr:uid="{F4653DD8-AEAA-49DF-8529-41516CF1ACFB}"/>
    <cellStyle name="Comma 2 34" xfId="9300" xr:uid="{62568FEF-5FF4-4125-84FA-55478D5F4F25}"/>
    <cellStyle name="Comma 2 34 2" xfId="9301" xr:uid="{8390DB98-2F0E-4B3F-AB52-F2793BD449C4}"/>
    <cellStyle name="Comma 2 34 2 2" xfId="40726" xr:uid="{9C6B8E65-37C9-4A5F-AB29-324FD12BBA28}"/>
    <cellStyle name="Comma 2 34 3" xfId="40727" xr:uid="{D8BE88FB-2DC8-4AD0-AD54-0E5706F01556}"/>
    <cellStyle name="Comma 2 35" xfId="9302" xr:uid="{3596A202-1145-4DD3-8FA0-2702DB7C84BA}"/>
    <cellStyle name="Comma 2 35 2" xfId="9303" xr:uid="{4C5602EB-6EB6-422C-AB21-4EA65AFB9402}"/>
    <cellStyle name="Comma 2 35 2 2" xfId="40728" xr:uid="{96BC8217-6C3D-4020-AE57-655ADFDE6BF0}"/>
    <cellStyle name="Comma 2 35 3" xfId="40729" xr:uid="{849AA99F-FAF0-4641-940A-5A32FEC9727F}"/>
    <cellStyle name="Comma 2 36" xfId="9304" xr:uid="{A75E9D4A-1B67-42D4-B4C9-6BF097DA0A81}"/>
    <cellStyle name="Comma 2 36 2" xfId="9305" xr:uid="{37385B0E-067E-4587-9B14-742E0B4C7867}"/>
    <cellStyle name="Comma 2 36 2 2" xfId="40730" xr:uid="{71DE9EDF-D9C8-4692-8504-07E9BED11B88}"/>
    <cellStyle name="Comma 2 36 3" xfId="40731" xr:uid="{96CB7F85-DA21-456F-8397-D46CF27BA268}"/>
    <cellStyle name="Comma 2 37" xfId="9306" xr:uid="{8E45426E-232D-477E-9244-3E6337B4E3C8}"/>
    <cellStyle name="Comma 2 37 2" xfId="9307" xr:uid="{FE23007B-A769-4271-BD25-961CD5DFD1AC}"/>
    <cellStyle name="Comma 2 37 2 2" xfId="40732" xr:uid="{EEA52F31-8DEA-4F5A-8E70-CF3BBAAC365E}"/>
    <cellStyle name="Comma 2 37 3" xfId="40733" xr:uid="{2638D270-4A96-4F31-BAC1-F824799CED23}"/>
    <cellStyle name="Comma 2 38" xfId="9308" xr:uid="{5AB4FC61-857E-4693-AC99-2100A7E504DC}"/>
    <cellStyle name="Comma 2 38 2" xfId="9309" xr:uid="{525C1326-2CA1-41A0-B016-50DE5893E45F}"/>
    <cellStyle name="Comma 2 38 2 2" xfId="40734" xr:uid="{B24E2309-99B0-466D-9957-E7CA96C5F922}"/>
    <cellStyle name="Comma 2 38 3" xfId="40735" xr:uid="{64696F26-4601-47D0-BE3B-2EF908D967EE}"/>
    <cellStyle name="Comma 2 39" xfId="9310" xr:uid="{80A66663-6E30-46DA-9390-6FFF0C5BF80B}"/>
    <cellStyle name="Comma 2 39 2" xfId="9311" xr:uid="{664973F5-C7BA-468F-976F-6F752231FDD5}"/>
    <cellStyle name="Comma 2 39 2 2" xfId="40736" xr:uid="{9B8E99DE-BD51-460D-8F4E-B50D99EAB0C3}"/>
    <cellStyle name="Comma 2 39 3" xfId="40737" xr:uid="{7A7446EF-7707-4099-AEF0-72073DB57D36}"/>
    <cellStyle name="Comma 2 4" xfId="9312" xr:uid="{F1BF538C-9DAC-4B98-843C-66394CA11BF1}"/>
    <cellStyle name="Comma 2 4 10" xfId="9313" xr:uid="{EC8E3331-3B3C-4C94-84D7-6C83E2223D10}"/>
    <cellStyle name="Comma 2 4 11" xfId="9314" xr:uid="{F9E31A06-03DA-470B-9713-5E21BF0C4642}"/>
    <cellStyle name="Comma 2 4 12" xfId="9315" xr:uid="{CAF12F83-23B9-44DD-97F6-34DA8EB50817}"/>
    <cellStyle name="Comma 2 4 13" xfId="9316" xr:uid="{AF94F904-AA30-4D73-A0A2-6ABEE53AF14E}"/>
    <cellStyle name="Comma 2 4 14" xfId="9317" xr:uid="{DEBAD44A-9225-4F9A-9BB5-CA9FA4E305DE}"/>
    <cellStyle name="Comma 2 4 15" xfId="9318" xr:uid="{77A3CCEB-81A8-4C54-BD80-81C2F363A1A2}"/>
    <cellStyle name="Comma 2 4 16" xfId="9319" xr:uid="{7FD1715A-A305-41F9-9BA9-3FF48ACD733B}"/>
    <cellStyle name="Comma 2 4 17" xfId="9320" xr:uid="{B0C8E12F-0296-49BC-BD6F-9E601B42F969}"/>
    <cellStyle name="Comma 2 4 18" xfId="9321" xr:uid="{6381B7CD-7540-4092-9EE7-A33E18F9666C}"/>
    <cellStyle name="Comma 2 4 19" xfId="9322" xr:uid="{182F47CD-BCFE-4915-A20A-E1FCE93574CB}"/>
    <cellStyle name="Comma 2 4 2" xfId="9323" xr:uid="{54E11FC8-6DE0-48B1-B866-43AACD0EC7BB}"/>
    <cellStyle name="Comma 2 4 2 2" xfId="9324" xr:uid="{71310B3A-0736-46FC-A612-DCCF8433CCB8}"/>
    <cellStyle name="Comma 2 4 2 2 2" xfId="40738" xr:uid="{EE2EF596-91C9-404B-9970-45E8FA0C3034}"/>
    <cellStyle name="Comma 2 4 2 3" xfId="9325" xr:uid="{5F0E81BF-8A68-451E-A69B-11AD1675B01B}"/>
    <cellStyle name="Comma 2 4 2 3 2" xfId="40739" xr:uid="{115CC958-DB48-44B2-9718-0B02604D2791}"/>
    <cellStyle name="Comma 2 4 2 4" xfId="9326" xr:uid="{FD08B5D8-F951-43BC-846B-9D40207757D7}"/>
    <cellStyle name="Comma 2 4 2 5" xfId="40740" xr:uid="{15F6540C-5B5E-409F-9D0E-456E148C45D6}"/>
    <cellStyle name="Comma 2 4 20" xfId="9327" xr:uid="{B66B753D-C28D-4189-992F-ED8C82FCB42C}"/>
    <cellStyle name="Comma 2 4 21" xfId="9328" xr:uid="{62EC72DB-A391-48A6-801E-E231FD95EA44}"/>
    <cellStyle name="Comma 2 4 22" xfId="9329" xr:uid="{4F981F77-4CE8-4C11-AA21-CF0C0D8D7450}"/>
    <cellStyle name="Comma 2 4 23" xfId="9330" xr:uid="{97BC6BCD-8A65-4633-8076-AFD740273124}"/>
    <cellStyle name="Comma 2 4 24" xfId="40741" xr:uid="{13BE5621-6869-4F55-89FD-8743313FCD6A}"/>
    <cellStyle name="Comma 2 4 3" xfId="9331" xr:uid="{C520AE76-AAEF-4088-A4C9-1D6C0C9FF013}"/>
    <cellStyle name="Comma 2 4 3 2" xfId="9332" xr:uid="{5A822932-A8BD-48F4-ABBF-D0F92C356863}"/>
    <cellStyle name="Comma 2 4 3 3" xfId="40742" xr:uid="{4F6AC674-F0EE-487B-AA8B-811699D707D5}"/>
    <cellStyle name="Comma 2 4 4" xfId="9333" xr:uid="{3B386CCF-1D7F-4C29-BE62-235300595C43}"/>
    <cellStyle name="Comma 2 4 4 2" xfId="9334" xr:uid="{2CA9D28B-359E-4436-B28D-1434475F1664}"/>
    <cellStyle name="Comma 2 4 4 3" xfId="40743" xr:uid="{3D490CF7-55F5-42CD-9E10-E140657A6995}"/>
    <cellStyle name="Comma 2 4 5" xfId="9335" xr:uid="{0F172531-908D-47F9-92E1-2A2D0F79779D}"/>
    <cellStyle name="Comma 2 4 6" xfId="9336" xr:uid="{0E954FAA-FB70-4390-B2A6-DD4A3D748AB1}"/>
    <cellStyle name="Comma 2 4 7" xfId="9337" xr:uid="{B0F502B9-B130-4677-A984-98C689736AAE}"/>
    <cellStyle name="Comma 2 4 8" xfId="9338" xr:uid="{CAEBB1C3-C54B-4622-AD02-230B6A8DCE5C}"/>
    <cellStyle name="Comma 2 4 9" xfId="9339" xr:uid="{20027790-0532-4021-9535-EB03C37AF415}"/>
    <cellStyle name="Comma 2 40" xfId="9340" xr:uid="{9811C39A-A0B4-4839-B1C3-E93BA42344C1}"/>
    <cellStyle name="Comma 2 40 2" xfId="9341" xr:uid="{8D93BC76-1971-4B79-BA90-6DC2F0AD5160}"/>
    <cellStyle name="Comma 2 40 2 2" xfId="40744" xr:uid="{5A189C8E-E9AC-4515-9885-177E4F25FC6C}"/>
    <cellStyle name="Comma 2 40 3" xfId="40745" xr:uid="{21375539-CD30-42B4-B0B0-E367A282D65B}"/>
    <cellStyle name="Comma 2 41" xfId="9342" xr:uid="{4572E505-5765-4F2D-B932-E78E936A799B}"/>
    <cellStyle name="Comma 2 41 2" xfId="9343" xr:uid="{77B1CDCC-8C6C-4E68-8A4C-6B4C876DCCD1}"/>
    <cellStyle name="Comma 2 41 2 2" xfId="40746" xr:uid="{3EAC665E-7CB3-4605-A610-B902AA44CB63}"/>
    <cellStyle name="Comma 2 41 3" xfId="40747" xr:uid="{84F799F6-8765-49E6-8A79-FE6FECA76460}"/>
    <cellStyle name="Comma 2 42" xfId="9344" xr:uid="{3E07111C-D2FE-4BF8-8280-B201C9587A91}"/>
    <cellStyle name="Comma 2 42 2" xfId="9345" xr:uid="{FE424AA8-F34E-46BC-81EC-EDEF06207B17}"/>
    <cellStyle name="Comma 2 42 2 2" xfId="40748" xr:uid="{735395C8-2EBB-4C46-8259-57EBF1AE2127}"/>
    <cellStyle name="Comma 2 42 3" xfId="40749" xr:uid="{3FBC3A37-AB10-40D2-8737-2BAADB728933}"/>
    <cellStyle name="Comma 2 43" xfId="9346" xr:uid="{90D2B41F-8093-4B16-9857-83CC5D7E5E45}"/>
    <cellStyle name="Comma 2 43 2" xfId="9347" xr:uid="{4F034310-34DD-4AEF-ABDA-597189A2DCE3}"/>
    <cellStyle name="Comma 2 43 2 2" xfId="40750" xr:uid="{DD68EB90-8892-46E7-928E-96D23910BCCE}"/>
    <cellStyle name="Comma 2 43 3" xfId="40751" xr:uid="{59A9FB3B-A2B7-4200-8882-C583C5494CAC}"/>
    <cellStyle name="Comma 2 44" xfId="9348" xr:uid="{33F2D78B-CB15-44A9-A4F9-36A0415B1287}"/>
    <cellStyle name="Comma 2 44 2" xfId="9349" xr:uid="{7354BE50-1B15-43A4-A85E-1398F29DAE22}"/>
    <cellStyle name="Comma 2 44 2 2" xfId="40752" xr:uid="{79D5B23C-7E3B-4A47-9154-8811A3385D87}"/>
    <cellStyle name="Comma 2 44 3" xfId="40753" xr:uid="{45CF9AAB-68CC-4C5F-8767-7713A383629F}"/>
    <cellStyle name="Comma 2 45" xfId="9350" xr:uid="{FE85E05A-060B-4DC4-A7B7-BEBFDCEB47D8}"/>
    <cellStyle name="Comma 2 45 2" xfId="9351" xr:uid="{22B67DE8-09FA-4101-A576-77BB476AA2DF}"/>
    <cellStyle name="Comma 2 45 2 2" xfId="40754" xr:uid="{4A329D51-8BD2-415B-BAA3-C41EB332FE01}"/>
    <cellStyle name="Comma 2 45 3" xfId="40755" xr:uid="{726B5B9E-582E-4089-A380-D2D175B6154B}"/>
    <cellStyle name="Comma 2 46" xfId="9352" xr:uid="{BD99736D-1C4F-4142-9A6F-C7C9B56BDCE0}"/>
    <cellStyle name="Comma 2 46 2" xfId="9353" xr:uid="{64E1511C-2E0D-42EE-9983-58E6A7B867D5}"/>
    <cellStyle name="Comma 2 46 2 2" xfId="40756" xr:uid="{C8CEA377-6580-4139-BFEB-966FDB10C9A4}"/>
    <cellStyle name="Comma 2 46 3" xfId="40757" xr:uid="{EB17526A-7974-4BFE-9160-B2FC90A88314}"/>
    <cellStyle name="Comma 2 47" xfId="9354" xr:uid="{2D0EBF0F-6A83-404F-8954-41DF16833433}"/>
    <cellStyle name="Comma 2 47 2" xfId="9355" xr:uid="{99F2CAEC-15BC-4769-B819-F36B0879311C}"/>
    <cellStyle name="Comma 2 47 2 2" xfId="40758" xr:uid="{20DB7348-A127-4271-A2D8-91B39BA1D12D}"/>
    <cellStyle name="Comma 2 47 3" xfId="40759" xr:uid="{1A3F5CC4-FE84-468A-953F-A757D1D4E95F}"/>
    <cellStyle name="Comma 2 48" xfId="9356" xr:uid="{AF380BCC-BCFB-4C34-AD84-1AB3F64292E1}"/>
    <cellStyle name="Comma 2 48 2" xfId="9357" xr:uid="{EE2ABF34-B17C-42D8-AE46-85FEFE761A7B}"/>
    <cellStyle name="Comma 2 48 2 2" xfId="40760" xr:uid="{94428C3E-9EE8-4756-9763-8365F7A1CD93}"/>
    <cellStyle name="Comma 2 48 3" xfId="40761" xr:uid="{4A00F985-7779-4A67-9980-8073DCE8DD94}"/>
    <cellStyle name="Comma 2 49" xfId="9358" xr:uid="{DCF1EF97-868A-49E4-888B-1187DA36EE40}"/>
    <cellStyle name="Comma 2 49 2" xfId="9359" xr:uid="{428977C3-DAA6-4DEE-BDC9-2F92631DB48A}"/>
    <cellStyle name="Comma 2 49 2 2" xfId="40762" xr:uid="{4FB125D8-8F66-432E-BC92-930AA1386F1F}"/>
    <cellStyle name="Comma 2 49 3" xfId="40763" xr:uid="{BD754F73-3F76-470B-838C-C03CED88CD4A}"/>
    <cellStyle name="Comma 2 5" xfId="9360" xr:uid="{528A3D51-A583-4069-A865-AC02FC4CEB7B}"/>
    <cellStyle name="Comma 2 5 10" xfId="9361" xr:uid="{321BD1E4-A9B5-4EED-A18A-01F954818B61}"/>
    <cellStyle name="Comma 2 5 11" xfId="9362" xr:uid="{EED24E96-29D1-41E3-898A-BF43DB4C640B}"/>
    <cellStyle name="Comma 2 5 12" xfId="9363" xr:uid="{3E503AD9-5525-4C04-BEB3-B9844B99F0DB}"/>
    <cellStyle name="Comma 2 5 13" xfId="9364" xr:uid="{17714F8D-E160-44AE-AA59-2022D462F8B1}"/>
    <cellStyle name="Comma 2 5 14" xfId="9365" xr:uid="{C212D3EB-BB65-4951-9078-377CF227513A}"/>
    <cellStyle name="Comma 2 5 15" xfId="9366" xr:uid="{D9D09883-E8A9-4CDC-81D6-0C932A6C6574}"/>
    <cellStyle name="Comma 2 5 16" xfId="9367" xr:uid="{3B0C2BBA-9EF6-46E6-A359-178E231DF7BC}"/>
    <cellStyle name="Comma 2 5 17" xfId="9368" xr:uid="{28BE9186-ED35-4212-A4BF-119982207CEC}"/>
    <cellStyle name="Comma 2 5 18" xfId="9369" xr:uid="{C4D38FBD-1B4F-43D4-AF70-584C62ED67A3}"/>
    <cellStyle name="Comma 2 5 19" xfId="9370" xr:uid="{720D80F4-37B4-4F55-ABA4-4EF3F811EA2B}"/>
    <cellStyle name="Comma 2 5 2" xfId="9371" xr:uid="{4B5D81DA-BF42-4D98-B127-5DFD62F82EF5}"/>
    <cellStyle name="Comma 2 5 2 2" xfId="9372" xr:uid="{A64D68BC-9228-45EF-8DD9-CB9CF32A06A5}"/>
    <cellStyle name="Comma 2 5 2 2 2" xfId="40764" xr:uid="{877DD09A-60FD-425E-B82E-D7ADD1120B07}"/>
    <cellStyle name="Comma 2 5 2 3" xfId="9373" xr:uid="{79A954E1-F943-4470-964B-65C9026C5C1E}"/>
    <cellStyle name="Comma 2 5 2 3 2" xfId="40765" xr:uid="{964F8DD4-4CC6-4839-B6D9-229B0B1C10BD}"/>
    <cellStyle name="Comma 2 5 2 4" xfId="9374" xr:uid="{98551C3B-D20D-4741-BE16-E1291CCA3972}"/>
    <cellStyle name="Comma 2 5 2 5" xfId="40766" xr:uid="{D76D93EB-87A3-440B-B384-ECC67B4A086A}"/>
    <cellStyle name="Comma 2 5 20" xfId="9375" xr:uid="{5510521E-D924-4A3B-BCEA-38221A0DEB5A}"/>
    <cellStyle name="Comma 2 5 21" xfId="9376" xr:uid="{F4C5FE0F-9CA6-430A-BE6F-FA3274C18782}"/>
    <cellStyle name="Comma 2 5 22" xfId="9377" xr:uid="{21FB2BC7-B66E-437D-8BFB-3CC7A8B22498}"/>
    <cellStyle name="Comma 2 5 23" xfId="9378" xr:uid="{AF941ADD-4A6B-46C4-94E3-21576B2E50B5}"/>
    <cellStyle name="Comma 2 5 24" xfId="40767" xr:uid="{9B87088F-1D7A-43FC-A675-F994EF6483E3}"/>
    <cellStyle name="Comma 2 5 3" xfId="9379" xr:uid="{A3C1203D-EAEB-4E5C-845B-98725C285F12}"/>
    <cellStyle name="Comma 2 5 3 2" xfId="9380" xr:uid="{C260303E-C5E2-4E75-8B7A-E9E734D4FEC4}"/>
    <cellStyle name="Comma 2 5 3 3" xfId="40768" xr:uid="{78A79778-8DBE-4C20-A228-8D94A48B4CBF}"/>
    <cellStyle name="Comma 2 5 4" xfId="9381" xr:uid="{D989DA70-4F19-46AA-8156-6CB3E04C9687}"/>
    <cellStyle name="Comma 2 5 4 2" xfId="9382" xr:uid="{46CEBDBA-C6BD-45BF-BDF7-4B8AE3A1DCD1}"/>
    <cellStyle name="Comma 2 5 4 3" xfId="40769" xr:uid="{595E84E4-0271-4974-8415-62BE2C55A05E}"/>
    <cellStyle name="Comma 2 5 5" xfId="9383" xr:uid="{28AF2D86-C21B-4319-B6CC-F2C6ECD1039F}"/>
    <cellStyle name="Comma 2 5 6" xfId="9384" xr:uid="{E1E01E40-E36D-410D-980E-309D53600181}"/>
    <cellStyle name="Comma 2 5 7" xfId="9385" xr:uid="{EA144FD0-C478-449E-AD99-0C73860E8DE8}"/>
    <cellStyle name="Comma 2 5 8" xfId="9386" xr:uid="{A363B374-0F20-4FFB-8185-D09E20CF5C8F}"/>
    <cellStyle name="Comma 2 5 9" xfId="9387" xr:uid="{BB25C522-DAE7-4D34-B671-1629B5CF5C6F}"/>
    <cellStyle name="Comma 2 50" xfId="9388" xr:uid="{D4E528EA-78F6-4859-9F88-FE91F9B94FDE}"/>
    <cellStyle name="Comma 2 50 2" xfId="9389" xr:uid="{3AC510D6-D90E-4BF7-8B61-7DF36E96B2F2}"/>
    <cellStyle name="Comma 2 50 2 2" xfId="40770" xr:uid="{574F107C-9DF8-4B82-A4E6-F07C408AD73A}"/>
    <cellStyle name="Comma 2 50 3" xfId="40771" xr:uid="{30786F6C-EF61-4DD5-934B-EFA83886392D}"/>
    <cellStyle name="Comma 2 51" xfId="9390" xr:uid="{2345D72A-4548-44C3-AB0B-7C763F52CD46}"/>
    <cellStyle name="Comma 2 51 2" xfId="9391" xr:uid="{5AA44196-40CF-491B-A03C-2257E53F7A6F}"/>
    <cellStyle name="Comma 2 51 2 2" xfId="40772" xr:uid="{F334ABD5-4D63-4F78-8EAE-6F10B5C9C8A2}"/>
    <cellStyle name="Comma 2 51 3" xfId="40773" xr:uid="{D0667238-44DF-471C-948A-1AAA696F0449}"/>
    <cellStyle name="Comma 2 52" xfId="9392" xr:uid="{6BF344CE-1116-462B-BB6F-65AC06278EBC}"/>
    <cellStyle name="Comma 2 52 2" xfId="9393" xr:uid="{694B5F4C-47AF-4039-8F11-3570E86371A4}"/>
    <cellStyle name="Comma 2 52 2 2" xfId="40774" xr:uid="{30D1CB7C-4415-47F6-90FF-96976E7C0950}"/>
    <cellStyle name="Comma 2 52 3" xfId="40775" xr:uid="{3AF25150-F412-4F0A-AD05-528F69E78DB4}"/>
    <cellStyle name="Comma 2 53" xfId="9394" xr:uid="{B72EBC19-D905-4913-A6DE-13960E4CE8EF}"/>
    <cellStyle name="Comma 2 53 2" xfId="9395" xr:uid="{C51492F1-439E-4FF9-9B18-244569AA1317}"/>
    <cellStyle name="Comma 2 53 2 2" xfId="40776" xr:uid="{2B30E1A8-0F05-4E55-BF02-951731690708}"/>
    <cellStyle name="Comma 2 53 3" xfId="40777" xr:uid="{9BEA43AD-7236-4924-8605-CE3E1876E651}"/>
    <cellStyle name="Comma 2 54" xfId="9396" xr:uid="{E472EE23-31C0-430E-B73B-82397D6468B7}"/>
    <cellStyle name="Comma 2 54 2" xfId="9397" xr:uid="{6BBA4BD1-58B1-4740-B6E2-9A9901F805BD}"/>
    <cellStyle name="Comma 2 54 2 2" xfId="40778" xr:uid="{9FADC26E-A5B4-4A4F-9DCC-83850C93C0B9}"/>
    <cellStyle name="Comma 2 54 3" xfId="40779" xr:uid="{0CEBDB8C-E0D0-4FF9-BF78-849657ECD996}"/>
    <cellStyle name="Comma 2 55" xfId="9398" xr:uid="{8E2C93AD-F60D-4DCD-9B02-09C2B2E8C6DE}"/>
    <cellStyle name="Comma 2 55 2" xfId="9399" xr:uid="{74B8A9C4-3DC7-451D-B80D-65A1E50E487B}"/>
    <cellStyle name="Comma 2 55 2 2" xfId="40780" xr:uid="{13C7AEBC-5E0E-4474-8611-46C6ECE1DCAA}"/>
    <cellStyle name="Comma 2 55 3" xfId="40781" xr:uid="{AEBB396A-7A64-4293-9CAA-36D1A98027E4}"/>
    <cellStyle name="Comma 2 56" xfId="9400" xr:uid="{0128C899-37F6-4020-B2D9-5B382B506C43}"/>
    <cellStyle name="Comma 2 56 2" xfId="9401" xr:uid="{4D474626-35E1-47F9-9F16-911D5BB86599}"/>
    <cellStyle name="Comma 2 56 2 2" xfId="40782" xr:uid="{70941395-4B90-4A10-BAFD-57FE01BB2AE1}"/>
    <cellStyle name="Comma 2 56 3" xfId="40783" xr:uid="{F432014B-85D0-46A9-BD83-D9F5F8FF6977}"/>
    <cellStyle name="Comma 2 57" xfId="9402" xr:uid="{E5532756-282D-4CF8-BE48-D7D295918E34}"/>
    <cellStyle name="Comma 2 57 2" xfId="9403" xr:uid="{E9EBC63E-8505-45F5-A4FF-80C9953F0856}"/>
    <cellStyle name="Comma 2 57 2 2" xfId="40784" xr:uid="{F9E06B01-57F4-4D30-98A8-596D73F8EE60}"/>
    <cellStyle name="Comma 2 57 3" xfId="40785" xr:uid="{FB6AAA9B-B9F8-4270-9C9B-89677F6875AA}"/>
    <cellStyle name="Comma 2 58" xfId="9404" xr:uid="{443B20B3-DF39-46F6-9B0A-2FADD212424C}"/>
    <cellStyle name="Comma 2 58 2" xfId="9405" xr:uid="{9DF187BD-4171-4AF1-BA36-24A0486D8A69}"/>
    <cellStyle name="Comma 2 58 2 2" xfId="40786" xr:uid="{F4C7D0EF-C6A2-4437-89B2-F5884946AF3C}"/>
    <cellStyle name="Comma 2 58 3" xfId="40787" xr:uid="{B34DADE6-1A27-45B1-9868-A6CC63A24453}"/>
    <cellStyle name="Comma 2 59" xfId="9406" xr:uid="{0EA21054-F396-4F49-A53D-660EAE0F01DA}"/>
    <cellStyle name="Comma 2 59 2" xfId="9407" xr:uid="{40FEF675-D9F6-4512-B2A5-7A7D932D4682}"/>
    <cellStyle name="Comma 2 59 2 2" xfId="40788" xr:uid="{DA154A1A-08AF-45CF-921D-F0C1EB09D215}"/>
    <cellStyle name="Comma 2 59 3" xfId="40789" xr:uid="{C7AC7086-997F-41F4-8649-925D8C1B0988}"/>
    <cellStyle name="Comma 2 6" xfId="9408" xr:uid="{934F80AC-EBA7-414A-B9F1-A8D111E27662}"/>
    <cellStyle name="Comma 2 6 2" xfId="9409" xr:uid="{397DB03C-E659-49F9-B373-09948BDE8D1F}"/>
    <cellStyle name="Comma 2 6 2 2" xfId="40790" xr:uid="{BCB287DA-A997-43FC-A63D-CD7276AC3FB9}"/>
    <cellStyle name="Comma 2 6 3" xfId="9410" xr:uid="{4395ED0F-6984-4586-86B1-13E5F797256B}"/>
    <cellStyle name="Comma 2 6 3 2" xfId="40791" xr:uid="{14BB9DEE-B14B-4EFD-B817-A8E5D7F36F48}"/>
    <cellStyle name="Comma 2 6 4" xfId="40792" xr:uid="{939D748C-E2D3-41D6-9F95-47E583CA7CF1}"/>
    <cellStyle name="Comma 2 60" xfId="9411" xr:uid="{733B2203-99BB-4DF9-B00A-1A7134F677D8}"/>
    <cellStyle name="Comma 2 60 2" xfId="9412" xr:uid="{CAFC3510-406D-467D-A573-4665A1F9050B}"/>
    <cellStyle name="Comma 2 60 2 2" xfId="40793" xr:uid="{215A14CC-A2CE-4058-B8AA-2ED0EB8BC185}"/>
    <cellStyle name="Comma 2 60 3" xfId="40794" xr:uid="{0B1BDD41-275B-437A-9AD1-1E43C21398FD}"/>
    <cellStyle name="Comma 2 61" xfId="9413" xr:uid="{774D6B01-2C25-40EB-B331-873319FA7F06}"/>
    <cellStyle name="Comma 2 61 2" xfId="9414" xr:uid="{E5168FC2-9C9E-469E-89C7-27254EF4262E}"/>
    <cellStyle name="Comma 2 61 2 2" xfId="40795" xr:uid="{2FF59199-14AB-4044-8525-D6688DECCCA0}"/>
    <cellStyle name="Comma 2 61 3" xfId="40796" xr:uid="{319CA7C7-55FF-4D15-8571-B896B048706F}"/>
    <cellStyle name="Comma 2 62" xfId="9415" xr:uid="{DB47CAE2-A1EC-4004-937C-D7D4606C510A}"/>
    <cellStyle name="Comma 2 62 2" xfId="9416" xr:uid="{40CCC06F-96A9-4AA2-A075-767CE5C897BB}"/>
    <cellStyle name="Comma 2 62 2 2" xfId="40797" xr:uid="{50283CCC-D9F7-426F-B614-B503ADCA3B57}"/>
    <cellStyle name="Comma 2 62 3" xfId="40798" xr:uid="{A66B22C2-63A3-48EC-9011-24C26CC671FE}"/>
    <cellStyle name="Comma 2 63" xfId="9417" xr:uid="{68BDD22F-8FCD-48D8-9794-4E70F8FB4218}"/>
    <cellStyle name="Comma 2 63 2" xfId="9418" xr:uid="{48F8F061-8EBA-49B4-B607-F0F9F1F1767F}"/>
    <cellStyle name="Comma 2 63 2 2" xfId="40799" xr:uid="{0C5F2500-F19F-47DF-9CF2-36D0C560F4D9}"/>
    <cellStyle name="Comma 2 63 3" xfId="40800" xr:uid="{CB4D5426-F6A6-4C26-94D1-89C0B73F3BFF}"/>
    <cellStyle name="Comma 2 64" xfId="9419" xr:uid="{6FC58EA2-5254-4B11-A451-DBA2CFCD28B6}"/>
    <cellStyle name="Comma 2 64 2" xfId="9420" xr:uid="{42096D67-3DB6-42D0-8794-CA14F5BF4C2F}"/>
    <cellStyle name="Comma 2 64 2 2" xfId="40801" xr:uid="{AE50BC1D-1127-4A7A-ADE1-42644DE80E36}"/>
    <cellStyle name="Comma 2 64 3" xfId="40802" xr:uid="{C86B714E-ED51-47C1-89C3-2ACE30595D9A}"/>
    <cellStyle name="Comma 2 65" xfId="9421" xr:uid="{1D160AB8-A76D-41C6-A655-2A65B482BACC}"/>
    <cellStyle name="Comma 2 65 2" xfId="9422" xr:uid="{9845E4D6-DC31-46B0-B99A-AF839900D4B7}"/>
    <cellStyle name="Comma 2 65 2 2" xfId="40803" xr:uid="{67C7B04C-B9E4-4EDB-B29E-A671119DB73C}"/>
    <cellStyle name="Comma 2 65 3" xfId="40804" xr:uid="{C9EEF53A-0CA6-46D3-A4C8-982FFD59B20E}"/>
    <cellStyle name="Comma 2 66" xfId="9423" xr:uid="{DCEB1BB7-6FF1-4FD8-B403-02B62EB154E9}"/>
    <cellStyle name="Comma 2 66 2" xfId="9424" xr:uid="{E8A7F7A3-8F2F-4276-BDA3-B0CEE619808E}"/>
    <cellStyle name="Comma 2 66 2 2" xfId="40805" xr:uid="{C3428AB5-F603-4504-84D1-723488A23D86}"/>
    <cellStyle name="Comma 2 66 3" xfId="40806" xr:uid="{54861751-7D49-431E-A9B1-D1E1D21B85E8}"/>
    <cellStyle name="Comma 2 67" xfId="9425" xr:uid="{20E22EE5-ADDD-4CB6-94AB-826595C7740E}"/>
    <cellStyle name="Comma 2 67 2" xfId="9426" xr:uid="{1680F51D-75B2-4D30-922A-7993F68817FA}"/>
    <cellStyle name="Comma 2 67 2 2" xfId="40807" xr:uid="{A784E115-4927-44C7-9131-94F647A42590}"/>
    <cellStyle name="Comma 2 67 3" xfId="40808" xr:uid="{6B247E80-5E7A-4D96-9780-CF58D604FFC8}"/>
    <cellStyle name="Comma 2 68" xfId="9427" xr:uid="{8CD36227-6B0B-4ACD-B84E-89F579297623}"/>
    <cellStyle name="Comma 2 68 2" xfId="9428" xr:uid="{B70BC1B1-9A31-4C2C-B923-9E7477DD8D61}"/>
    <cellStyle name="Comma 2 68 2 2" xfId="40809" xr:uid="{FB867ED4-9D31-4D38-8A60-62826C0F1C71}"/>
    <cellStyle name="Comma 2 68 3" xfId="40810" xr:uid="{4A70F517-F217-4307-9705-A77D788D7D56}"/>
    <cellStyle name="Comma 2 69" xfId="9429" xr:uid="{E354A205-D5EB-4376-B476-6778505E735B}"/>
    <cellStyle name="Comma 2 69 2" xfId="9430" xr:uid="{6498CBD6-4D52-41EF-9DBB-B34399C135A9}"/>
    <cellStyle name="Comma 2 69 2 2" xfId="40811" xr:uid="{176C3717-FB1D-494D-A7E1-C2DB6D1A05BA}"/>
    <cellStyle name="Comma 2 69 3" xfId="40812" xr:uid="{91566D26-80EA-4D0E-8B5E-C98D7E84FBA8}"/>
    <cellStyle name="Comma 2 7" xfId="9431" xr:uid="{8E53F203-BEC0-42BA-86E8-D9952689FB1D}"/>
    <cellStyle name="Comma 2 7 2" xfId="9432" xr:uid="{DFCEF4DD-4CCC-4F68-B35D-896B803D4104}"/>
    <cellStyle name="Comma 2 7 2 2" xfId="40813" xr:uid="{D30E6788-725F-496E-B17C-0475108934B3}"/>
    <cellStyle name="Comma 2 7 3" xfId="40814" xr:uid="{EB6062A8-EE2B-43BD-AE5F-003E8611C852}"/>
    <cellStyle name="Comma 2 70" xfId="9433" xr:uid="{759F47BC-87A6-4A53-AB3E-C90ABAFF0E65}"/>
    <cellStyle name="Comma 2 70 2" xfId="9434" xr:uid="{6B071DDE-D86B-402B-A004-977BDFE411D4}"/>
    <cellStyle name="Comma 2 70 2 2" xfId="40815" xr:uid="{1DD2D093-F39D-4A88-8786-9C727AAA2419}"/>
    <cellStyle name="Comma 2 70 3" xfId="40816" xr:uid="{372AC1B0-1CD8-441B-8F26-DE91944C53FC}"/>
    <cellStyle name="Comma 2 71" xfId="9435" xr:uid="{5A601DA3-D6FE-41AD-B50A-018FE2364D3E}"/>
    <cellStyle name="Comma 2 71 2" xfId="9436" xr:uid="{3656AEB6-79FC-411D-A5F8-8150DCE62EE1}"/>
    <cellStyle name="Comma 2 71 2 2" xfId="40817" xr:uid="{56A8FD10-E024-415A-87F8-A2F0A5CD6EFD}"/>
    <cellStyle name="Comma 2 71 3" xfId="40818" xr:uid="{9A5B3490-2A0E-4EF5-A157-DC9D8AC80690}"/>
    <cellStyle name="Comma 2 72" xfId="9437" xr:uid="{D2D22B94-516B-49E8-A28F-115DCD00A0F0}"/>
    <cellStyle name="Comma 2 72 2" xfId="9438" xr:uid="{20A8298C-E5F6-4391-AE0C-9B5DB2BE6C8C}"/>
    <cellStyle name="Comma 2 72 2 2" xfId="40819" xr:uid="{5D1682F1-613A-4E6E-B017-25A2EB7EC0DB}"/>
    <cellStyle name="Comma 2 72 3" xfId="40820" xr:uid="{F674C3A8-C6EF-4797-8A55-B0ADB471BBE3}"/>
    <cellStyle name="Comma 2 73" xfId="9439" xr:uid="{ED32661F-D072-4E0A-A8F6-44F91DA23E18}"/>
    <cellStyle name="Comma 2 73 2" xfId="9440" xr:uid="{D38A22CA-0AF9-4551-A188-D69DB250B165}"/>
    <cellStyle name="Comma 2 73 2 2" xfId="40821" xr:uid="{AF5364DF-80DD-42E7-B2A4-4C4B6DCADCC2}"/>
    <cellStyle name="Comma 2 73 3" xfId="40822" xr:uid="{7BC1F76E-FDD6-4AC5-A779-87DA820D417E}"/>
    <cellStyle name="Comma 2 74" xfId="9441" xr:uid="{CEF2AF9D-82AC-4E44-83E8-515D0EB40717}"/>
    <cellStyle name="Comma 2 74 2" xfId="9442" xr:uid="{104C305D-6793-4264-92EE-2357E22D6B12}"/>
    <cellStyle name="Comma 2 74 2 2" xfId="40823" xr:uid="{07371085-547B-4DFA-944A-95155037B660}"/>
    <cellStyle name="Comma 2 74 3" xfId="40824" xr:uid="{04F5D49D-5914-4933-97DD-357E9F6CE9D2}"/>
    <cellStyle name="Comma 2 75" xfId="9443" xr:uid="{C1CB0497-BA15-4699-80BF-A4E64B557E05}"/>
    <cellStyle name="Comma 2 75 2" xfId="9444" xr:uid="{CF14374A-CB98-4876-8066-A0A9B34DA6BC}"/>
    <cellStyle name="Comma 2 75 2 2" xfId="40825" xr:uid="{6AB2890C-34AC-4189-A45F-E7DA0D8E4FBE}"/>
    <cellStyle name="Comma 2 75 3" xfId="40826" xr:uid="{667077EC-B5B9-44A1-9068-E750D159B64E}"/>
    <cellStyle name="Comma 2 76" xfId="9445" xr:uid="{BCA2648A-6ADC-438F-9B23-0E46A9FA2790}"/>
    <cellStyle name="Comma 2 76 2" xfId="9446" xr:uid="{E42463DC-BF1A-48DA-A97C-FA38571C2EE5}"/>
    <cellStyle name="Comma 2 76 2 2" xfId="40827" xr:uid="{70FD5EC9-FEA3-4580-A962-45F8E230142F}"/>
    <cellStyle name="Comma 2 76 3" xfId="40828" xr:uid="{5C7FF7EB-C095-423E-BDB6-1CB7B41D5B21}"/>
    <cellStyle name="Comma 2 77" xfId="9447" xr:uid="{340C63EC-B28B-4B8E-AD9C-927E05FC7A2F}"/>
    <cellStyle name="Comma 2 77 2" xfId="9448" xr:uid="{C9EDD2DD-7FB6-499D-9366-FB544033D545}"/>
    <cellStyle name="Comma 2 77 2 2" xfId="40829" xr:uid="{4B80F769-417C-4E9B-8FB4-C54C4235DCFA}"/>
    <cellStyle name="Comma 2 77 3" xfId="40830" xr:uid="{6F2A556F-B328-49F0-9245-98F0D334EC43}"/>
    <cellStyle name="Comma 2 78" xfId="9449" xr:uid="{E9E1A0EF-FFDE-4135-80F2-56E97866479C}"/>
    <cellStyle name="Comma 2 78 2" xfId="9450" xr:uid="{853DAE6C-0D21-43C5-93D7-FC1904D26FB5}"/>
    <cellStyle name="Comma 2 78 2 2" xfId="40831" xr:uid="{D6416401-F21D-42AB-842C-ED4780878774}"/>
    <cellStyle name="Comma 2 78 3" xfId="40832" xr:uid="{C5E80D0F-15FC-4982-A81E-9EE31D5AB850}"/>
    <cellStyle name="Comma 2 79" xfId="9451" xr:uid="{7CC44019-F608-4055-ABEA-80E4E2DF1E7C}"/>
    <cellStyle name="Comma 2 79 2" xfId="9452" xr:uid="{E093C370-D699-4240-AB74-5C50B471F93A}"/>
    <cellStyle name="Comma 2 79 2 2" xfId="40833" xr:uid="{AD1DFAF0-1808-4382-ABC7-C3EE2BDE7C96}"/>
    <cellStyle name="Comma 2 79 3" xfId="40834" xr:uid="{C14D2D66-1840-4FAB-A3D1-B1FB165C13FA}"/>
    <cellStyle name="Comma 2 8" xfId="9453" xr:uid="{E692A956-EE63-4EA6-B8F6-D439F23D701B}"/>
    <cellStyle name="Comma 2 8 2" xfId="9454" xr:uid="{BD37024B-A855-4DBC-8C6F-56DDF74D22F0}"/>
    <cellStyle name="Comma 2 8 2 2" xfId="40835" xr:uid="{684EA914-2B3C-4415-BE8A-14A54A33E1AE}"/>
    <cellStyle name="Comma 2 8 3" xfId="40836" xr:uid="{F00E637B-0AE3-470B-8A5E-A34636E175F3}"/>
    <cellStyle name="Comma 2 80" xfId="9455" xr:uid="{87794039-4B47-485D-ACEE-E1B804390177}"/>
    <cellStyle name="Comma 2 80 2" xfId="9456" xr:uid="{3B07FBC3-277C-4FD6-9568-DDEF93B0E7C7}"/>
    <cellStyle name="Comma 2 80 2 2" xfId="40837" xr:uid="{44E7A366-E45D-4785-8C92-FE1A9ABB4013}"/>
    <cellStyle name="Comma 2 80 3" xfId="40838" xr:uid="{0FE9C06A-B48A-4C05-AB56-727478F65B65}"/>
    <cellStyle name="Comma 2 81" xfId="9457" xr:uid="{D60DA387-A2DF-455E-849D-75CAA7DE11EB}"/>
    <cellStyle name="Comma 2 81 2" xfId="9458" xr:uid="{ECCE9922-E577-4BC5-8521-973C6392E457}"/>
    <cellStyle name="Comma 2 81 2 2" xfId="40839" xr:uid="{E596B758-6AA1-4F5E-B31E-70132C8104FB}"/>
    <cellStyle name="Comma 2 81 3" xfId="40840" xr:uid="{6762CDFD-3BBF-4A17-B485-D219C4FA48AC}"/>
    <cellStyle name="Comma 2 82" xfId="9459" xr:uid="{F6050A7D-BDDA-4A0B-A3DE-5155EE373896}"/>
    <cellStyle name="Comma 2 82 2" xfId="9460" xr:uid="{2CFD49CC-416A-4DC8-9095-BF332A8BF0DA}"/>
    <cellStyle name="Comma 2 82 2 2" xfId="40841" xr:uid="{4AC73398-3CC6-4A1A-B9D1-AA494F5A9C02}"/>
    <cellStyle name="Comma 2 82 3" xfId="40842" xr:uid="{6583553A-72E2-437B-AD14-6E784D13E311}"/>
    <cellStyle name="Comma 2 83" xfId="9461" xr:uid="{0957E2D9-2772-4836-8672-A71B066635F2}"/>
    <cellStyle name="Comma 2 83 2" xfId="9462" xr:uid="{F110DD8C-423B-45FE-8F53-A08CCB3ED91A}"/>
    <cellStyle name="Comma 2 83 2 2" xfId="40843" xr:uid="{B89B549F-BD05-4A5B-A406-0006773DC0ED}"/>
    <cellStyle name="Comma 2 83 3" xfId="40844" xr:uid="{133EA34C-59A2-4F82-B365-E443A9789499}"/>
    <cellStyle name="Comma 2 84" xfId="9463" xr:uid="{C87CCD9F-58D6-4A06-A8EE-6444EE2D9360}"/>
    <cellStyle name="Comma 2 84 2" xfId="9464" xr:uid="{6C2E205A-50E3-4919-8B5B-532D1AC1B272}"/>
    <cellStyle name="Comma 2 84 2 2" xfId="40845" xr:uid="{B77263DE-D58D-4735-8717-2AEBA10F0ED3}"/>
    <cellStyle name="Comma 2 84 3" xfId="40846" xr:uid="{8930E51A-F382-4226-889D-15C3B05F752B}"/>
    <cellStyle name="Comma 2 85" xfId="9465" xr:uid="{FA1B2461-2D36-441B-945B-971E66720593}"/>
    <cellStyle name="Comma 2 85 2" xfId="9466" xr:uid="{5ED56122-0BED-4CE2-A69B-FD4424E370BD}"/>
    <cellStyle name="Comma 2 85 2 2" xfId="40847" xr:uid="{214ADDFD-BC82-40EF-94E4-6EF0BBA48820}"/>
    <cellStyle name="Comma 2 85 3" xfId="40848" xr:uid="{1143825A-8AA7-4C8D-A42A-0DC8697765DB}"/>
    <cellStyle name="Comma 2 86" xfId="9467" xr:uid="{3C2C1ECB-1589-4A38-9E88-9D655D58D684}"/>
    <cellStyle name="Comma 2 86 2" xfId="9468" xr:uid="{CB5B2FA2-7987-41B8-AC0F-9E14FD91C1B1}"/>
    <cellStyle name="Comma 2 86 2 2" xfId="40849" xr:uid="{22835667-F299-455E-99E8-EA2167056F33}"/>
    <cellStyle name="Comma 2 86 3" xfId="40850" xr:uid="{D10E8159-BBAD-48B3-95D1-E262F0F13D56}"/>
    <cellStyle name="Comma 2 87" xfId="9469" xr:uid="{428348CD-F239-487E-98A0-8A9F7F2A4E29}"/>
    <cellStyle name="Comma 2 87 2" xfId="9470" xr:uid="{A74BB9B3-4248-412F-8393-C17719CFAA25}"/>
    <cellStyle name="Comma 2 87 2 2" xfId="40851" xr:uid="{8A354495-E069-4B4C-9E2E-4F71191EC545}"/>
    <cellStyle name="Comma 2 87 3" xfId="40852" xr:uid="{BFAB26BC-1FD9-403E-BD98-44DAC3EB7E5A}"/>
    <cellStyle name="Comma 2 88" xfId="9471" xr:uid="{B01546F4-4D21-46F8-A14E-60591A38A6F4}"/>
    <cellStyle name="Comma 2 88 2" xfId="9472" xr:uid="{12A419E3-2A86-40D3-AB70-20683F0AC295}"/>
    <cellStyle name="Comma 2 88 2 2" xfId="40853" xr:uid="{7FAEF431-535C-4181-B03C-177F23B8FEF7}"/>
    <cellStyle name="Comma 2 88 3" xfId="40854" xr:uid="{5B3CECA5-750C-4E1C-BCDE-C8D4627C6B22}"/>
    <cellStyle name="Comma 2 89" xfId="9473" xr:uid="{26A3DCE6-F1D7-4C32-96CF-48CDA32FD2A3}"/>
    <cellStyle name="Comma 2 89 2" xfId="9474" xr:uid="{AA8A3E79-3A5F-4977-ADFB-F9CF9EB2718B}"/>
    <cellStyle name="Comma 2 89 2 2" xfId="40855" xr:uid="{5A63C521-342C-4E3E-8AD9-94133DB67C86}"/>
    <cellStyle name="Comma 2 89 3" xfId="40856" xr:uid="{9128783A-E77A-4359-BC7E-8F7B0322A56C}"/>
    <cellStyle name="Comma 2 9" xfId="9475" xr:uid="{11C66AA8-A497-4F73-B41C-309918A4A90F}"/>
    <cellStyle name="Comma 2 9 2" xfId="9476" xr:uid="{BE749CC8-0312-4329-BE0A-1A926F4103CA}"/>
    <cellStyle name="Comma 2 9 2 2" xfId="40857" xr:uid="{69250E41-9DFD-4DE1-BA55-718E168995ED}"/>
    <cellStyle name="Comma 2 9 3" xfId="40858" xr:uid="{ED1B18FB-50C1-4DCF-BF87-A463D4A2D09D}"/>
    <cellStyle name="Comma 2 90" xfId="9477" xr:uid="{7B4D7CFB-9A82-49FF-8D41-8FDB3736D77B}"/>
    <cellStyle name="Comma 2 90 2" xfId="9478" xr:uid="{D1284A74-0057-4EC6-B139-F91235A58221}"/>
    <cellStyle name="Comma 2 90 2 2" xfId="40859" xr:uid="{51AC8F9F-E533-4F8F-92A1-70907F6C39FC}"/>
    <cellStyle name="Comma 2 90 3" xfId="40860" xr:uid="{3314A853-369F-4280-919A-5431054FB207}"/>
    <cellStyle name="Comma 2 91" xfId="9479" xr:uid="{FA5148B8-E59B-457C-9F9F-C1E2A236884A}"/>
    <cellStyle name="Comma 2 91 2" xfId="9480" xr:uid="{AC3A9708-CF46-40E9-A7C6-AC745673E9AF}"/>
    <cellStyle name="Comma 2 91 2 2" xfId="40861" xr:uid="{EC284E78-CD0D-481A-92A6-4E133CDDA905}"/>
    <cellStyle name="Comma 2 91 3" xfId="40862" xr:uid="{96E8E335-2644-4796-84F6-E6FA91E69657}"/>
    <cellStyle name="Comma 2 92" xfId="9481" xr:uid="{4A5AE713-07A5-4289-994C-9860A0DB4396}"/>
    <cellStyle name="Comma 2 92 2" xfId="9482" xr:uid="{C619EEDA-6BB5-4B4C-AD0B-B7503596702B}"/>
    <cellStyle name="Comma 2 92 2 2" xfId="40863" xr:uid="{E1CDF775-13A1-4938-953E-48358EED1971}"/>
    <cellStyle name="Comma 2 92 3" xfId="40864" xr:uid="{3CD2C0DD-4DCE-4EC9-9F77-F7A840534BC9}"/>
    <cellStyle name="Comma 2 93" xfId="9483" xr:uid="{4C439E8D-52B0-4B07-8B52-593C6CB82322}"/>
    <cellStyle name="Comma 2 93 2" xfId="9484" xr:uid="{A5B80951-A5AE-4C0E-8300-EE99CBD97232}"/>
    <cellStyle name="Comma 2 93 2 2" xfId="40865" xr:uid="{D1FF67EF-E248-4F11-B28D-B70493890E83}"/>
    <cellStyle name="Comma 2 93 3" xfId="40866" xr:uid="{26745282-B3F9-49C9-AF83-E870EAAD167A}"/>
    <cellStyle name="Comma 2 94" xfId="9485" xr:uid="{CBA6DB7C-14DA-4C44-8B08-423F9CCEBAA2}"/>
    <cellStyle name="Comma 2 94 2" xfId="9486" xr:uid="{D2E3C29C-5C90-400C-9C71-BACB66288DA4}"/>
    <cellStyle name="Comma 2 94 2 2" xfId="40867" xr:uid="{AD3645A9-4D17-46BC-A437-3868EE197716}"/>
    <cellStyle name="Comma 2 94 3" xfId="40868" xr:uid="{FC7112A5-6DA1-4044-B74A-44BC82F7182D}"/>
    <cellStyle name="Comma 2 95" xfId="9487" xr:uid="{87B4FD9B-7917-4F06-9A8A-B1180BECBD89}"/>
    <cellStyle name="Comma 2 95 2" xfId="9488" xr:uid="{DA9CCCCE-EF47-43FA-BA89-EBBE13F3CB67}"/>
    <cellStyle name="Comma 2 95 2 2" xfId="40869" xr:uid="{DF58EB41-159B-4CE2-8567-1AFE6061BB8C}"/>
    <cellStyle name="Comma 2 95 3" xfId="40870" xr:uid="{A227C390-4677-463A-A621-8499CFE542FF}"/>
    <cellStyle name="Comma 2 96" xfId="9489" xr:uid="{525DC0E3-4468-4085-AFDE-AEDCAC5EE6E6}"/>
    <cellStyle name="Comma 2 96 2" xfId="9490" xr:uid="{8B602DAE-663C-4C7D-A317-6F272DC5908B}"/>
    <cellStyle name="Comma 2 96 2 2" xfId="40871" xr:uid="{B24706DA-0D44-4B59-84D1-3F33559F5D22}"/>
    <cellStyle name="Comma 2 96 3" xfId="40872" xr:uid="{9267AF22-B134-46BA-8098-94108A0DA50F}"/>
    <cellStyle name="Comma 2 97" xfId="9491" xr:uid="{73275F98-8CB2-47CF-AD11-7208A46475D3}"/>
    <cellStyle name="Comma 2 97 2" xfId="9492" xr:uid="{BCC6FD2E-AC50-4F8B-A3E0-D9875C799D15}"/>
    <cellStyle name="Comma 2 97 2 2" xfId="40873" xr:uid="{F76B7D74-DC2E-4D74-8682-22857667423D}"/>
    <cellStyle name="Comma 2 97 3" xfId="40874" xr:uid="{B313C776-332F-48CC-A0DA-3F5F61BB571B}"/>
    <cellStyle name="Comma 2 98" xfId="9493" xr:uid="{60A2F742-802D-4C97-8AFB-619D83C8E283}"/>
    <cellStyle name="Comma 2 98 2" xfId="9494" xr:uid="{C66D2B6B-220B-44D1-B2EB-8051524959C7}"/>
    <cellStyle name="Comma 2 98 2 2" xfId="40875" xr:uid="{723BA1DB-4417-49E8-A483-818FB521DF51}"/>
    <cellStyle name="Comma 2 98 3" xfId="40876" xr:uid="{DDDA8258-54FC-4FCA-BD8B-545EBBA5E51E}"/>
    <cellStyle name="Comma 2 99" xfId="9495" xr:uid="{003B40D3-D9DE-4385-BDDE-12CF126AB86C}"/>
    <cellStyle name="Comma 2 99 2" xfId="40877" xr:uid="{5E11172F-DC73-46B4-BA71-8DFDB7E4206D}"/>
    <cellStyle name="Comma 20" xfId="9496" xr:uid="{2ABDDB4E-C9B1-408C-B103-1A3DDF8D8F35}"/>
    <cellStyle name="Comma 20 2" xfId="9497" xr:uid="{8069F2E0-B8EF-4DDF-9008-D18479C71F58}"/>
    <cellStyle name="Comma 20 2 2" xfId="9498" xr:uid="{DE543CF7-C563-4A3E-94E1-C15045F0FD46}"/>
    <cellStyle name="Comma 20 2 2 2" xfId="40878" xr:uid="{8876C0EF-DEFB-4C18-8C8D-1AB2B9F3AB1E}"/>
    <cellStyle name="Comma 20 2 3" xfId="9499" xr:uid="{BB5215EB-747A-4A4A-96B5-9D32F93B6300}"/>
    <cellStyle name="Comma 20 2 4" xfId="40879" xr:uid="{5E50817C-F0B2-43D4-B63A-52376EEFB63F}"/>
    <cellStyle name="Comma 20 3" xfId="9500" xr:uid="{712A0C9B-A6F7-4D86-9F2F-4B43313DE7D6}"/>
    <cellStyle name="Comma 20 3 2" xfId="40880" xr:uid="{D3D0EE81-9498-4E65-B759-6E78DA5197DC}"/>
    <cellStyle name="Comma 20 4" xfId="9501" xr:uid="{7B238EE3-0A18-47EE-B51C-6AD6FF7D54E6}"/>
    <cellStyle name="Comma 20 5" xfId="40881" xr:uid="{40738C87-49D3-4123-A29D-486878CE6FD6}"/>
    <cellStyle name="Comma 200" xfId="9502" xr:uid="{B61D1D1B-9987-47E9-B09B-2C8447056072}"/>
    <cellStyle name="Comma 201" xfId="33028" xr:uid="{E437C943-9721-48AF-AF50-A0F974F6C2BF}"/>
    <cellStyle name="Comma 202" xfId="68" xr:uid="{3A4AACEB-BD8C-4DDE-BDDF-B85B03D58B55}"/>
    <cellStyle name="Comma 202 2" xfId="43639" xr:uid="{910218D4-763D-40FF-8CFE-DCB1C0F8C01B}"/>
    <cellStyle name="Comma 203" xfId="40882" xr:uid="{F225058E-DF04-4267-BB7B-E9429EC9888C}"/>
    <cellStyle name="Comma 203 2" xfId="40883" xr:uid="{60CE502A-D9BC-49D7-95BE-5F32460DD074}"/>
    <cellStyle name="Comma 204" xfId="40884" xr:uid="{2B9AA42C-73C0-4584-850B-8E1D21BBC404}"/>
    <cellStyle name="Comma 204 2" xfId="66" xr:uid="{4C192BCA-A7DB-4F43-A404-AE981DDBFC69}"/>
    <cellStyle name="Comma 205" xfId="40885" xr:uid="{03B0FA54-3FE9-45D4-A0D4-B96A26495A92}"/>
    <cellStyle name="Comma 206" xfId="40886" xr:uid="{137B3B45-C5BF-4AF9-BEA1-2F1B4A92B99D}"/>
    <cellStyle name="Comma 207" xfId="40887" xr:uid="{D609831B-70DC-44C7-83A8-5C320C0719D2}"/>
    <cellStyle name="Comma 208" xfId="40888" xr:uid="{8C1EFB40-16C6-48BA-994B-12145DC6BDC3}"/>
    <cellStyle name="Comma 209" xfId="40889" xr:uid="{CCA5F93C-1AE3-4B22-8F12-19E26BFF6310}"/>
    <cellStyle name="Comma 21" xfId="9503" xr:uid="{4B9856A8-23F7-4141-9FBB-65AA71776E3A}"/>
    <cellStyle name="Comma 21 2" xfId="9504" xr:uid="{5092DF98-37FC-4E1F-959B-D62738DE7C5D}"/>
    <cellStyle name="Comma 21 2 2" xfId="9505" xr:uid="{CEA73C20-C60F-46E9-BBA8-DE18FCF1ABB2}"/>
    <cellStyle name="Comma 21 2 2 2" xfId="40890" xr:uid="{B8104078-F7ED-4A73-BA93-4183C8804F91}"/>
    <cellStyle name="Comma 21 2 3" xfId="9506" xr:uid="{E082D889-0D6E-43C4-8039-DAFC7E3F6D93}"/>
    <cellStyle name="Comma 21 2 4" xfId="40891" xr:uid="{684385A7-E4E6-405A-8D3A-983C37A2B1D3}"/>
    <cellStyle name="Comma 21 3" xfId="9507" xr:uid="{BFAE4149-03A1-498D-9D32-EDD045DE0ECD}"/>
    <cellStyle name="Comma 21 3 2" xfId="9508" xr:uid="{6C37AF3D-6E7E-4FF8-A5A8-59910A106256}"/>
    <cellStyle name="Comma 21 4" xfId="9509" xr:uid="{7BA51E5A-E95D-411B-AAE4-411889B7129D}"/>
    <cellStyle name="Comma 21 4 2" xfId="9510" xr:uid="{765868A8-3276-4D70-9B02-F328F068E3B4}"/>
    <cellStyle name="Comma 21 5" xfId="9511" xr:uid="{CBD1A001-97D6-4958-B76F-6D9F66BED286}"/>
    <cellStyle name="Comma 21 6" xfId="9512" xr:uid="{9B5B1D75-3DCF-442D-82F5-F832028DA65E}"/>
    <cellStyle name="Comma 210" xfId="40892" xr:uid="{A535EE51-FF7B-4C2C-8716-58EDCFD4939B}"/>
    <cellStyle name="Comma 211" xfId="40893" xr:uid="{E6C5193D-C1D6-4C33-A001-BB70E9AFE06F}"/>
    <cellStyle name="Comma 212" xfId="40894" xr:uid="{DB218665-9052-43C9-BF50-972BF963ACD3}"/>
    <cellStyle name="Comma 213" xfId="40895" xr:uid="{825C2973-4346-4F9A-A864-CAAA28E4D5F0}"/>
    <cellStyle name="Comma 214" xfId="40896" xr:uid="{76F3F553-DBA7-4CA8-A0F4-D394D6472BA1}"/>
    <cellStyle name="Comma 215" xfId="40897" xr:uid="{3C5A3A21-604C-4E4B-9468-A6B7B4EE7098}"/>
    <cellStyle name="Comma 216" xfId="40898" xr:uid="{F1D6F220-95EF-4733-9B22-DDADE49F71EE}"/>
    <cellStyle name="Comma 217" xfId="40899" xr:uid="{E125184F-6772-4297-961B-CA2539F34367}"/>
    <cellStyle name="Comma 218" xfId="40900" xr:uid="{4B599754-60FE-429C-AD34-80408DDB4A09}"/>
    <cellStyle name="Comma 219" xfId="40901" xr:uid="{CF4BBBEF-8003-4533-B641-376B29F96799}"/>
    <cellStyle name="Comma 22" xfId="9513" xr:uid="{7D1BACB5-82D4-4F78-A57F-624047F7B27D}"/>
    <cellStyle name="Comma 22 2" xfId="9514" xr:uid="{A232CF68-D4F9-49D3-A246-13043118134E}"/>
    <cellStyle name="Comma 22 2 2" xfId="9515" xr:uid="{B4AC951B-3558-46F8-9094-FE38684544CD}"/>
    <cellStyle name="Comma 22 2 2 2" xfId="40902" xr:uid="{68B413D7-12D5-4582-BB79-10A3C5080880}"/>
    <cellStyle name="Comma 22 2 3" xfId="9516" xr:uid="{962F4643-E8EF-410A-A81B-1889D740C043}"/>
    <cellStyle name="Comma 22 2 4" xfId="40903" xr:uid="{98F33CAC-45C6-4943-9351-A434B9FDED65}"/>
    <cellStyle name="Comma 22 3" xfId="9517" xr:uid="{CBDB05D5-ADD9-48BD-BAFC-2E1BE8BFB643}"/>
    <cellStyle name="Comma 22 3 2" xfId="9518" xr:uid="{8E5CD1F3-475F-4EAB-B938-4C3269F3F1CE}"/>
    <cellStyle name="Comma 22 3 3" xfId="40904" xr:uid="{A175A31F-01DA-490D-B147-062138CD504F}"/>
    <cellStyle name="Comma 22 4" xfId="9519" xr:uid="{213D5463-87DA-4F77-ABA3-2938DF6E882A}"/>
    <cellStyle name="Comma 22 4 2" xfId="9520" xr:uid="{5CCA7EBC-94D4-459D-8E65-90B7B0D80BA9}"/>
    <cellStyle name="Comma 22 5" xfId="9521" xr:uid="{A8A9D4EE-F2A2-4477-8028-A37B515C65B2}"/>
    <cellStyle name="Comma 22 6" xfId="9522" xr:uid="{E6C1B5F3-4BAE-4364-9BEA-F4018F282D7F}"/>
    <cellStyle name="Comma 22 7" xfId="9523" xr:uid="{C07C90C6-0CDD-4213-A703-945DB2FBADFF}"/>
    <cellStyle name="Comma 220" xfId="40905" xr:uid="{B18FF098-9DA0-4A80-BA2F-C54059259A6B}"/>
    <cellStyle name="Comma 221" xfId="40906" xr:uid="{C8A47A7B-5216-4C32-895C-1EA528ECBFAD}"/>
    <cellStyle name="Comma 222" xfId="40907" xr:uid="{2739A55F-F622-4FB1-A5CA-4479A7CD43B7}"/>
    <cellStyle name="Comma 223" xfId="40908" xr:uid="{E7B78F4D-42A7-4516-A00C-F89FA32E4102}"/>
    <cellStyle name="Comma 224" xfId="40909" xr:uid="{E6DC1DF3-C702-40A8-9F17-C58AC8308E69}"/>
    <cellStyle name="Comma 225" xfId="40910" xr:uid="{C69A28C8-DD60-41F5-B6F3-9D9453664DB4}"/>
    <cellStyle name="Comma 226" xfId="40911" xr:uid="{D92B8A2E-6E8A-46A6-8ED3-7E952995EA23}"/>
    <cellStyle name="Comma 227" xfId="40912" xr:uid="{DD7B9D62-2198-4428-95A6-3497B23DC875}"/>
    <cellStyle name="Comma 228" xfId="40913" xr:uid="{3C9EDFC9-AAC7-4B2E-8981-10F6212E5139}"/>
    <cellStyle name="Comma 229" xfId="40914" xr:uid="{B2B5C4B2-75DA-45AB-9329-7CF79FE60744}"/>
    <cellStyle name="Comma 23" xfId="16" xr:uid="{00000000-0005-0000-0000-000004000000}"/>
    <cellStyle name="Comma 23 2" xfId="9524" xr:uid="{6288C0BC-D2C6-486C-A8A5-398DBDDD4AB5}"/>
    <cellStyle name="Comma 23 2 2" xfId="9525" xr:uid="{21FCFD2A-8572-4F72-96DC-E7C63E4A70D9}"/>
    <cellStyle name="Comma 23 2 3" xfId="40915" xr:uid="{62266D80-09D2-490A-BC82-BF166794A15A}"/>
    <cellStyle name="Comma 23 3" xfId="9526" xr:uid="{9C7D5FAC-A474-452F-B6A9-D6540B20A588}"/>
    <cellStyle name="Comma 23 3 2" xfId="40916" xr:uid="{44D2C9AD-832A-4C63-BA1D-81EB0396A00E}"/>
    <cellStyle name="Comma 23 3 3" xfId="40917" xr:uid="{CBAA63D3-D3E8-4BB0-A754-09C5A6036DC4}"/>
    <cellStyle name="Comma 23 4" xfId="9527" xr:uid="{617BFDC6-8DC5-40ED-BD72-56A172AE4813}"/>
    <cellStyle name="Comma 23 4 2" xfId="9528" xr:uid="{439940D5-64CB-4DF1-B6EB-8B736ED87C42}"/>
    <cellStyle name="Comma 23 5" xfId="9529" xr:uid="{613E4BF4-24CF-48F6-BB22-D269F0FFAA53}"/>
    <cellStyle name="Comma 23 5 2" xfId="9530" xr:uid="{0C7A81F3-7D89-4E88-ABB7-A0EF8AEC719D}"/>
    <cellStyle name="Comma 23 5 3" xfId="9531" xr:uid="{6E689E8A-E9E5-48C3-8F65-9D28FA294F77}"/>
    <cellStyle name="Comma 230" xfId="40918" xr:uid="{228B460E-9605-4BAB-9E1C-6312B16D24AF}"/>
    <cellStyle name="Comma 231" xfId="40919" xr:uid="{507D90F9-58C0-43AD-9707-21DE417557C1}"/>
    <cellStyle name="Comma 232" xfId="40920" xr:uid="{553F599A-44A4-4A1C-A108-E496C2DFA6C0}"/>
    <cellStyle name="Comma 233" xfId="40921" xr:uid="{46B80EA7-A4CE-4A64-B4CA-82E94C968B80}"/>
    <cellStyle name="Comma 234" xfId="40922" xr:uid="{079026AF-E99E-43F2-85B8-54D53F6ABF02}"/>
    <cellStyle name="Comma 235" xfId="40923" xr:uid="{957CCD40-B356-4C37-A457-607489AF1A1F}"/>
    <cellStyle name="Comma 236" xfId="40924" xr:uid="{67C72FB7-71C5-445C-9A37-17B841F3AB4F}"/>
    <cellStyle name="Comma 237" xfId="40925" xr:uid="{3357137A-EBBE-400F-8098-5ADB06C6CCAC}"/>
    <cellStyle name="Comma 238" xfId="40926" xr:uid="{A2B63581-BEEB-43F2-98F2-7014A919CD06}"/>
    <cellStyle name="Comma 239" xfId="40927" xr:uid="{72C33063-C76D-4E0F-9204-9DF86168A661}"/>
    <cellStyle name="Comma 24" xfId="9532" xr:uid="{3639950D-AC7A-4B39-8F62-EE4A27D00EAC}"/>
    <cellStyle name="Comma 24 2" xfId="9533" xr:uid="{8932E15B-B781-4B92-B3A8-89188D86613B}"/>
    <cellStyle name="Comma 24 2 2" xfId="9534" xr:uid="{7DBD8B95-9736-4FFC-B0C8-63F78255BD54}"/>
    <cellStyle name="Comma 24 2 3" xfId="40928" xr:uid="{53C7016B-65E1-45D8-876E-C744CDE11790}"/>
    <cellStyle name="Comma 24 3" xfId="9535" xr:uid="{0E9FB96D-7D3D-403D-99F9-DC5F6AF6E188}"/>
    <cellStyle name="Comma 24 3 2" xfId="40929" xr:uid="{B315299D-699E-4089-A9E7-AE91EEF84DF3}"/>
    <cellStyle name="Comma 24 4" xfId="9536" xr:uid="{9E9F7711-55B3-40E5-8E9A-5DA6E52127EB}"/>
    <cellStyle name="Comma 24 4 2" xfId="9537" xr:uid="{73472029-4BF2-40AD-BDDC-52FC57828B54}"/>
    <cellStyle name="Comma 240" xfId="40930" xr:uid="{5EF5DAE5-F5D7-47AB-9FBE-6E85DEDBFB32}"/>
    <cellStyle name="Comma 241" xfId="40931" xr:uid="{E5063FA0-8529-4915-BA66-CA5A3A7BEB56}"/>
    <cellStyle name="Comma 242" xfId="40932" xr:uid="{484A1056-3184-4030-AD7D-8F7669F035CF}"/>
    <cellStyle name="Comma 243" xfId="40933" xr:uid="{BF5A78C9-B66F-425A-A67B-301FD54499C9}"/>
    <cellStyle name="Comma 244" xfId="40934" xr:uid="{2794374C-00D1-48BF-A4A8-550793DD1810}"/>
    <cellStyle name="Comma 245" xfId="40935" xr:uid="{D89B7F5C-C095-4A1B-A279-4CCD9CEB3E59}"/>
    <cellStyle name="Comma 246" xfId="40936" xr:uid="{34DC70B5-85F8-4E94-A49D-BF6337CDAC3F}"/>
    <cellStyle name="Comma 247" xfId="40937" xr:uid="{864106E7-61EF-462C-937F-7E4DEBE47FFC}"/>
    <cellStyle name="Comma 248" xfId="40938" xr:uid="{5F069BBF-D8CA-4EF5-A359-D6DEB77868F0}"/>
    <cellStyle name="Comma 249" xfId="43458" xr:uid="{8DBD09A4-1C00-44D2-BFE7-8544218EAA32}"/>
    <cellStyle name="Comma 25" xfId="9538" xr:uid="{73A2A142-0B94-44B9-A30A-953AA3DB16E8}"/>
    <cellStyle name="Comma 25 2" xfId="9539" xr:uid="{56D13B9C-5EA6-41F6-982B-57F4A96C7FA5}"/>
    <cellStyle name="Comma 25 2 2" xfId="9540" xr:uid="{0EC8E03D-D43E-4074-A2E2-F342C57B165A}"/>
    <cellStyle name="Comma 25 2 3" xfId="40939" xr:uid="{33878F31-1311-4617-8A67-B627545E807F}"/>
    <cellStyle name="Comma 25 3" xfId="9541" xr:uid="{204BACD3-E5F5-4288-95D7-5006D26CD77B}"/>
    <cellStyle name="Comma 25 3 2" xfId="9542" xr:uid="{6CC14173-8A8E-4D4F-B1B7-67D4997BB1FF}"/>
    <cellStyle name="Comma 25 3 3" xfId="40940" xr:uid="{104F69CB-1FBC-4D79-B0D6-18F898B11BDC}"/>
    <cellStyle name="Comma 25 4" xfId="9543" xr:uid="{79D35115-81FF-489E-9BCF-833A3BEE24FC}"/>
    <cellStyle name="Comma 250" xfId="24" xr:uid="{00000000-0005-0000-0000-000005000000}"/>
    <cellStyle name="Comma 250 2" xfId="43617" xr:uid="{14CD0507-581A-4C8B-943D-C1BB94AC61FA}"/>
    <cellStyle name="Comma 251" xfId="43580" xr:uid="{49D9E906-F086-478E-AD35-0FD9F4380BCA}"/>
    <cellStyle name="Comma 252" xfId="43581" xr:uid="{E14C9E10-6219-45B2-A2D3-A21564881D72}"/>
    <cellStyle name="Comma 253" xfId="43582" xr:uid="{D31C19A3-9F60-4504-937F-9598FED816E1}"/>
    <cellStyle name="Comma 254" xfId="43634" xr:uid="{896ACC1D-9393-48CC-9E3A-F974A25F6DC2}"/>
    <cellStyle name="Comma 255" xfId="189" xr:uid="{9C29A650-5A8E-416A-9C62-013BA9E77AB6}"/>
    <cellStyle name="Comma 26" xfId="9544" xr:uid="{9E27B77A-8DDB-4459-86C3-F265FE597746}"/>
    <cellStyle name="Comma 26 2" xfId="9545" xr:uid="{10BBEA2A-AB49-423C-8986-BEA15DD6EDE5}"/>
    <cellStyle name="Comma 26 2 2" xfId="9546" xr:uid="{DE0563BF-97EA-4CFC-A651-BC4EA1E20CD5}"/>
    <cellStyle name="Comma 26 2 3" xfId="9547" xr:uid="{6D75C96D-C652-4A24-9461-D76066ECB534}"/>
    <cellStyle name="Comma 26 2 4" xfId="9548" xr:uid="{0A16E2CD-14E9-4DD6-A575-F03F0C0D0826}"/>
    <cellStyle name="Comma 26 3" xfId="9549" xr:uid="{4D621775-486C-4010-8B56-DDD86255370B}"/>
    <cellStyle name="Comma 26 3 2" xfId="9550" xr:uid="{91C6E77B-A327-41BD-B48E-38D8434EE90F}"/>
    <cellStyle name="Comma 26 3 3" xfId="40941" xr:uid="{5FBDEBE0-B846-43A0-952A-5747E5A0EDA8}"/>
    <cellStyle name="Comma 26 4" xfId="9551" xr:uid="{1A096737-41BA-4038-8B32-8DBF51394113}"/>
    <cellStyle name="Comma 27" xfId="9552" xr:uid="{1345E83D-30DF-4ABB-BA74-E64D357C1A8B}"/>
    <cellStyle name="Comma 27 2" xfId="9553" xr:uid="{5DC0FC40-FDCD-4D16-9CB7-83CA69006A5F}"/>
    <cellStyle name="Comma 27 2 2" xfId="9554" xr:uid="{13E6F889-50A0-4EAC-A9F7-E0F7A8176632}"/>
    <cellStyle name="Comma 27 2 3" xfId="9555" xr:uid="{D279D199-E9AB-4A6C-9C22-814D3A2131A9}"/>
    <cellStyle name="Comma 27 2 4" xfId="9556" xr:uid="{35B5092F-4CD3-4FB5-B801-E1D922ADA3D3}"/>
    <cellStyle name="Comma 27 2 5" xfId="40942" xr:uid="{A9B2ADD9-5B51-439D-A787-089F6702595E}"/>
    <cellStyle name="Comma 27 3" xfId="9557" xr:uid="{6E5B3BE8-87CF-48E0-84CA-B7E740086014}"/>
    <cellStyle name="Comma 27 3 2" xfId="9558" xr:uid="{53645306-C7FF-414B-A992-39BE58EFE427}"/>
    <cellStyle name="Comma 27 3 3" xfId="9559" xr:uid="{1C8DB43B-E012-4F08-B6A8-FCD3A7046D0D}"/>
    <cellStyle name="Comma 27 3 4" xfId="40943" xr:uid="{DBCACBF9-B589-49CE-B096-519DB7D473FF}"/>
    <cellStyle name="Comma 27 4" xfId="9560" xr:uid="{6DEFFC63-E789-4182-9C31-CF630FEF06E5}"/>
    <cellStyle name="Comma 278" xfId="43607" xr:uid="{DA69C8DF-0960-4664-9A7B-3E3E2A5FC882}"/>
    <cellStyle name="Comma 279" xfId="43608" xr:uid="{66BC15EB-A4F2-4791-B847-25D214879B25}"/>
    <cellStyle name="Comma 28" xfId="9561" xr:uid="{C1C345E5-1CEA-41EB-9263-957EAEAA86D6}"/>
    <cellStyle name="Comma 28 2" xfId="9562" xr:uid="{83A20B6A-E3A5-413B-AAC3-10E4741B3D76}"/>
    <cellStyle name="Comma 28 2 2" xfId="9563" xr:uid="{5CBFDF66-4D3A-4677-9757-D7CDDC4924EB}"/>
    <cellStyle name="Comma 28 2 3" xfId="9564" xr:uid="{55B01430-D087-441E-996A-0EB2B60D4606}"/>
    <cellStyle name="Comma 28 2 4" xfId="9565" xr:uid="{A0112755-2463-4944-AC78-2CC8B2DCC7FE}"/>
    <cellStyle name="Comma 28 2 5" xfId="40944" xr:uid="{13F5136A-B61A-4583-8E26-9D51465CB305}"/>
    <cellStyle name="Comma 28 3" xfId="9566" xr:uid="{F2CF0F99-B36A-480A-84D6-C541992AD748}"/>
    <cellStyle name="Comma 28 3 2" xfId="9567" xr:uid="{BE883B90-F636-47BD-9345-7C277EF86E89}"/>
    <cellStyle name="Comma 28 3 3" xfId="9568" xr:uid="{311DFCC7-6909-4BEB-9B25-E66E08AA5DBF}"/>
    <cellStyle name="Comma 28 3 4" xfId="40945" xr:uid="{A2FCBF6F-9E9C-4E6D-A6CF-592CC50D6398}"/>
    <cellStyle name="Comma 28 4" xfId="9569" xr:uid="{0E8B5C18-E45C-4590-903D-67C35926EE0B}"/>
    <cellStyle name="Comma 280" xfId="43609" xr:uid="{9762523E-FCE2-428F-B3D6-8489045A2877}"/>
    <cellStyle name="Comma 282" xfId="43610" xr:uid="{0D501154-250C-4977-83E9-233001496ADD}"/>
    <cellStyle name="Comma 29" xfId="9570" xr:uid="{C83073FE-6ADE-45E3-B4D3-74CD0647FE0B}"/>
    <cellStyle name="Comma 29 2" xfId="9571" xr:uid="{842450A2-27B3-4868-BC37-CE07D92C5EC5}"/>
    <cellStyle name="Comma 29 2 2" xfId="9572" xr:uid="{33E981C9-7BB0-413B-9D76-440FCB651C1A}"/>
    <cellStyle name="Comma 29 2 3" xfId="40946" xr:uid="{F457BBAE-9BF3-4217-96F2-2A635E27DD0A}"/>
    <cellStyle name="Comma 29 3" xfId="9573" xr:uid="{15ECA785-B3EE-409D-B114-07C6B3E4250E}"/>
    <cellStyle name="Comma 29 3 2" xfId="40947" xr:uid="{D999F1CC-FBF5-48F7-B44A-351C59802CBB}"/>
    <cellStyle name="Comma 29 4" xfId="40948" xr:uid="{12D079C6-A25C-49CD-A3CF-5705780125A4}"/>
    <cellStyle name="Comma 3" xfId="151" xr:uid="{90CEACF5-94F4-4ECF-9781-6DF475E855B4}"/>
    <cellStyle name="Comma 3 10" xfId="9574" xr:uid="{84AF77E5-41AD-4C34-87DB-C4C37EC61D4F}"/>
    <cellStyle name="Comma 3 11" xfId="9575" xr:uid="{7D5C8A6E-B8CE-413A-873B-61E808BC1262}"/>
    <cellStyle name="Comma 3 12" xfId="9576" xr:uid="{B575FCC4-ACAF-4EE6-BF1B-1E7B31EBADCD}"/>
    <cellStyle name="Comma 3 13" xfId="9577" xr:uid="{5FD09F58-D32A-40A7-8B71-22C7FAEFE121}"/>
    <cellStyle name="Comma 3 14" xfId="9578" xr:uid="{5C383DB8-CE20-4915-ABC6-445F65C7ED0A}"/>
    <cellStyle name="Comma 3 15" xfId="9579" xr:uid="{15902E18-3B2F-4295-8B35-2763E50AE690}"/>
    <cellStyle name="Comma 3 16" xfId="9580" xr:uid="{2CCA2054-EFDB-4BCE-8768-A8D7308C180A}"/>
    <cellStyle name="Comma 3 17" xfId="9581" xr:uid="{30433FD1-F41E-4B81-A3A2-F6D4E81F7C0C}"/>
    <cellStyle name="Comma 3 18" xfId="9582" xr:uid="{4253D398-7AC0-4020-933D-9C9CAF47FAA4}"/>
    <cellStyle name="Comma 3 19" xfId="9583" xr:uid="{E957D311-3349-464C-A321-690E6F6335D5}"/>
    <cellStyle name="Comma 3 2" xfId="219" xr:uid="{1B57156C-5D4B-4C1A-A940-F539745270B0}"/>
    <cellStyle name="Comma 3 2 2" xfId="9584" xr:uid="{C3FA6BD0-D37C-466D-84CB-187A6FDE733D}"/>
    <cellStyle name="Comma 3 2 2 2" xfId="158" xr:uid="{255958DD-1819-40F7-98BF-71C34A7E5E47}"/>
    <cellStyle name="Comma 3 2 2 2 2" xfId="9585" xr:uid="{0F6B98AD-3B09-49A8-82C7-4633809B6057}"/>
    <cellStyle name="Comma 3 2 2 2 2 2" xfId="9586" xr:uid="{1519EBBF-C635-42D2-A814-D4DA5749CFF3}"/>
    <cellStyle name="Comma 3 2 2 2 3" xfId="9587" xr:uid="{460A50FB-FFC4-406C-B3F2-9A2A7E5D7EB1}"/>
    <cellStyle name="Comma 3 2 2 3" xfId="9588" xr:uid="{B7285AA6-3B84-4350-A02A-536878D4B350}"/>
    <cellStyle name="Comma 3 2 2 3 2" xfId="9589" xr:uid="{4CB43015-973C-46A3-9630-B8EF88A2E3F6}"/>
    <cellStyle name="Comma 3 2 2 4" xfId="9590" xr:uid="{BBE950E7-F694-4DF5-A4D9-AC9DD6F06A83}"/>
    <cellStyle name="Comma 3 2 2 5" xfId="9591" xr:uid="{2872331D-A6DB-4125-98A7-09CF8B4CDADC}"/>
    <cellStyle name="Comma 3 2 2 6" xfId="40949" xr:uid="{18E53B2F-2213-428B-B242-75091726EBE5}"/>
    <cellStyle name="Comma 3 2 3" xfId="9592" xr:uid="{5A6AD0D7-C53E-4009-8D0F-CC021CDB21B2}"/>
    <cellStyle name="Comma 3 2 3 2" xfId="9593" xr:uid="{85D5B48F-DC65-4C10-A5BC-9730902EF66A}"/>
    <cellStyle name="Comma 3 2 3 2 2" xfId="9594" xr:uid="{B03257AA-B534-4F2C-B351-F73702DFA529}"/>
    <cellStyle name="Comma 3 2 3 2 2 2" xfId="9595" xr:uid="{47303D68-D008-45A9-9680-41F3CAFCE2F4}"/>
    <cellStyle name="Comma 3 2 3 2 3" xfId="9596" xr:uid="{AA26B7C6-5E9F-4255-A0DE-0695A2077322}"/>
    <cellStyle name="Comma 3 2 3 3" xfId="9597" xr:uid="{7E215AC3-74A9-4C41-AC18-035D1F8BA7F2}"/>
    <cellStyle name="Comma 3 2 3 3 2" xfId="9598" xr:uid="{A3A8E133-441B-4536-895B-885BD9DFF86B}"/>
    <cellStyle name="Comma 3 2 3 4" xfId="9599" xr:uid="{DCF93633-586F-4E9F-A938-5F939B607047}"/>
    <cellStyle name="Comma 3 2 4" xfId="9600" xr:uid="{49A7FBAC-DE7A-466C-A1CC-855E67EB97DF}"/>
    <cellStyle name="Comma 3 2 5" xfId="9601" xr:uid="{74DAB9E0-0DD6-45CF-81C7-50C0B3295B2C}"/>
    <cellStyle name="Comma 3 2 6" xfId="9602" xr:uid="{A33559BB-53A8-45C6-9B6C-FFC843F9B86B}"/>
    <cellStyle name="Comma 3 2 7" xfId="40950" xr:uid="{44B8C487-3423-4B19-AFFC-C51EF4A28719}"/>
    <cellStyle name="Comma 3 2 8" xfId="43539" xr:uid="{D33A43D1-A9D5-4556-925F-C927F14294B0}"/>
    <cellStyle name="Comma 3 20" xfId="9603" xr:uid="{D1D22ADE-08C8-44B6-8C88-B58557009784}"/>
    <cellStyle name="Comma 3 21" xfId="9604" xr:uid="{F1EBCA9A-95FD-48B3-89AE-4DA984E2AB9E}"/>
    <cellStyle name="Comma 3 22" xfId="40951" xr:uid="{C3FEC28C-F88B-42E3-9ED7-891BED6D96D4}"/>
    <cellStyle name="Comma 3 23" xfId="190" xr:uid="{985C2364-4E30-418B-8E7B-C112DA95EE1D}"/>
    <cellStyle name="Comma 3 3" xfId="9605" xr:uid="{A113467D-C975-45F4-9991-1298A76BF935}"/>
    <cellStyle name="Comma 3 3 2" xfId="9606" xr:uid="{CEFE97A5-B8A9-46BC-B42A-EE335A86B929}"/>
    <cellStyle name="Comma 3 3 2 2" xfId="9607" xr:uid="{1BA5450A-26DE-4EA1-B0E4-F12811900CAC}"/>
    <cellStyle name="Comma 3 3 2 3" xfId="9608" xr:uid="{606C4199-B787-47D0-B5C1-0381199CF5AE}"/>
    <cellStyle name="Comma 3 3 2 4" xfId="40952" xr:uid="{6165E600-4321-4247-9DCF-85E18BDD600C}"/>
    <cellStyle name="Comma 3 3 3" xfId="9609" xr:uid="{D8FAE807-286E-4513-9E9B-3871282A4B56}"/>
    <cellStyle name="Comma 3 3 4" xfId="9610" xr:uid="{C8048B71-7342-4289-BADF-E42E69DFD14D}"/>
    <cellStyle name="Comma 3 3 5" xfId="9611" xr:uid="{53EAD1C9-070A-40AE-B5C4-D7F646E08D1D}"/>
    <cellStyle name="Comma 3 3 6" xfId="9612" xr:uid="{69D5DF26-0E4E-4C4F-8367-1801CE315759}"/>
    <cellStyle name="Comma 3 3 7" xfId="40953" xr:uid="{4D056A22-23B7-4E84-81A1-E484F66D071E}"/>
    <cellStyle name="Comma 3 4" xfId="9613" xr:uid="{8DED07AF-4413-454A-9821-B2066071F13F}"/>
    <cellStyle name="Comma 3 4 2" xfId="9614" xr:uid="{8845B71C-F8BB-4B9E-9EDA-B423A4530326}"/>
    <cellStyle name="Comma 3 4 2 2" xfId="9615" xr:uid="{AB1ED98F-4AB2-4EDB-8384-C2D23727A3E7}"/>
    <cellStyle name="Comma 3 4 2 2 2" xfId="9616" xr:uid="{4EB81C59-E69E-4E89-859A-94A7DC7BDF3C}"/>
    <cellStyle name="Comma 3 4 2 3" xfId="9617" xr:uid="{2528F51E-B7AC-4901-97B3-487E37A83CBE}"/>
    <cellStyle name="Comma 3 4 2 4" xfId="40954" xr:uid="{25C89FF9-2D24-48A5-BD56-DC5C7A4AAC7F}"/>
    <cellStyle name="Comma 3 4 3" xfId="9618" xr:uid="{C3189AAF-301C-4322-8826-3FF3C99790B9}"/>
    <cellStyle name="Comma 3 4 3 2" xfId="9619" xr:uid="{A9D9F370-3000-4493-A5AD-E910BEDAB771}"/>
    <cellStyle name="Comma 3 4 4" xfId="9620" xr:uid="{DDEFF911-334C-4E16-9DD6-9C8DD60D7023}"/>
    <cellStyle name="Comma 3 4 5" xfId="9621" xr:uid="{57D96FA8-5F37-460F-8A12-CCEDE62294C6}"/>
    <cellStyle name="Comma 3 4 6" xfId="40955" xr:uid="{0D3D82B0-C049-4921-8686-1E5B9E1D03A9}"/>
    <cellStyle name="Comma 3 5" xfId="9622" xr:uid="{4631116F-AF2B-49E1-98CE-424346E31ADE}"/>
    <cellStyle name="Comma 3 5 2" xfId="9623" xr:uid="{94AE8976-8F6A-4706-ADA1-BF88891F9FDA}"/>
    <cellStyle name="Comma 3 5 2 2" xfId="9624" xr:uid="{E19C46BC-82E8-4AF6-8B3E-9E127CC92BE8}"/>
    <cellStyle name="Comma 3 5 2 2 2" xfId="9625" xr:uid="{7B0E8B5A-4184-43E1-A952-09785FDA5E17}"/>
    <cellStyle name="Comma 3 5 2 3" xfId="9626" xr:uid="{50ACFF9E-3429-461C-A327-097461490DAF}"/>
    <cellStyle name="Comma 3 5 3" xfId="9627" xr:uid="{C01DFF05-8EFF-432C-A593-84BC8C0F9994}"/>
    <cellStyle name="Comma 3 5 3 2" xfId="9628" xr:uid="{DCD3E0D9-8FAE-4BFE-9C35-CFD1A42B59DC}"/>
    <cellStyle name="Comma 3 5 4" xfId="9629" xr:uid="{AFDA5A1F-5362-4765-AD9B-9499B573EF70}"/>
    <cellStyle name="Comma 3 5 5" xfId="9630" xr:uid="{CBCBC9F2-4484-423B-81D1-11DE08E25E0A}"/>
    <cellStyle name="Comma 3 5 6" xfId="40956" xr:uid="{0A2DC093-2908-4821-BB8E-597DC2303E48}"/>
    <cellStyle name="Comma 3 6" xfId="9631" xr:uid="{01841001-C24F-45FA-ACCC-A34FB7B4D7E3}"/>
    <cellStyle name="Comma 3 6 2" xfId="9632" xr:uid="{E428444C-D71E-4B92-A947-FCD6B936B92F}"/>
    <cellStyle name="Comma 3 6 2 2" xfId="9633" xr:uid="{6BAF7ABA-0EF8-4CB9-9850-122CB0D6644A}"/>
    <cellStyle name="Comma 3 6 2 2 2" xfId="9634" xr:uid="{5DBDE6B0-8114-4FE2-9723-66A9B48EA10C}"/>
    <cellStyle name="Comma 3 6 2 3" xfId="9635" xr:uid="{0DE369ED-CCBE-4066-B2ED-EE5E6A36F7EB}"/>
    <cellStyle name="Comma 3 6 3" xfId="9636" xr:uid="{6122EEBA-F38F-4D72-A540-E482C78E6CD3}"/>
    <cellStyle name="Comma 3 6 3 2" xfId="9637" xr:uid="{7BCC6FA9-325D-4262-B170-B3A38682BC8E}"/>
    <cellStyle name="Comma 3 6 4" xfId="9638" xr:uid="{F689CC65-4203-4F22-83E5-1B238B6896D7}"/>
    <cellStyle name="Comma 3 6 5" xfId="40957" xr:uid="{84F55F5D-955E-467F-B77F-AC694D4374A8}"/>
    <cellStyle name="Comma 3 7" xfId="9639" xr:uid="{0160D952-3BCE-49C3-B824-ABC5A3FCB97C}"/>
    <cellStyle name="Comma 3 8" xfId="9640" xr:uid="{32574389-7CEE-4798-B893-32B06153B325}"/>
    <cellStyle name="Comma 3 9" xfId="9641" xr:uid="{9F92BD89-AD52-464B-932F-9266C658E15C}"/>
    <cellStyle name="Comma 30" xfId="9642" xr:uid="{CEFFBD2E-96BF-4CA3-8950-766533EC3415}"/>
    <cellStyle name="Comma 30 2" xfId="9643" xr:uid="{6316C905-5EE1-4061-A307-2583A358A976}"/>
    <cellStyle name="Comma 30 2 2" xfId="9644" xr:uid="{4FBCA6BF-5B1B-4F0A-9EBA-557F3B7389D2}"/>
    <cellStyle name="Comma 30 2 3" xfId="40958" xr:uid="{934C5AA8-EFCA-45F2-95A4-4008F068183F}"/>
    <cellStyle name="Comma 30 3" xfId="9645" xr:uid="{0D6B9B84-E30D-4BB2-B9E8-F2D2E69D7CA0}"/>
    <cellStyle name="Comma 30 3 2" xfId="40959" xr:uid="{1AF2EEFE-8D8F-461D-8C9D-FA621E67CF27}"/>
    <cellStyle name="Comma 30 4" xfId="40960" xr:uid="{EAB526E0-8A3D-4328-BADB-584891095C6B}"/>
    <cellStyle name="Comma 30 5" xfId="40961" xr:uid="{D9FFA54B-5D2E-4201-AD26-45EE6CEDFB3A}"/>
    <cellStyle name="Comma 31" xfId="9646" xr:uid="{61984264-FBDB-4C93-87B5-E3997860FB26}"/>
    <cellStyle name="Comma 31 2" xfId="9647" xr:uid="{2486E274-A672-4D1E-9AD0-457CA28CB600}"/>
    <cellStyle name="Comma 31 2 2" xfId="9648" xr:uid="{AD360012-2354-4197-A5F5-F915F270AA9D}"/>
    <cellStyle name="Comma 31 2 3" xfId="40962" xr:uid="{CF6D189E-88A5-4408-88C2-E99869384B8E}"/>
    <cellStyle name="Comma 31 3" xfId="9649" xr:uid="{44A6FE5F-8AE7-437B-82A1-00F082E8D6F0}"/>
    <cellStyle name="Comma 31 3 2" xfId="40963" xr:uid="{9CDD2378-D63A-4706-A2C5-3FF42A0DA82B}"/>
    <cellStyle name="Comma 31 4" xfId="40964" xr:uid="{8A009920-2BD9-4448-BFAF-BA5D784077F2}"/>
    <cellStyle name="Comma 31 5" xfId="40965" xr:uid="{058A99BA-47EC-470B-BB7F-CC3731E0E69F}"/>
    <cellStyle name="Comma 32" xfId="220" xr:uid="{408F16CA-19DB-4AA6-A485-5DC31AFB1214}"/>
    <cellStyle name="Comma 32 2" xfId="9650" xr:uid="{113A7646-472E-4719-BEE6-A97A9E4D42A6}"/>
    <cellStyle name="Comma 32 2 2" xfId="9651" xr:uid="{0CC966FB-258B-4D75-A14B-E805072C7732}"/>
    <cellStyle name="Comma 32 2 2 2" xfId="40966" xr:uid="{9DAAD7DE-4461-40B4-9029-779FBF0FCD90}"/>
    <cellStyle name="Comma 32 2 3" xfId="9652" xr:uid="{179F69D1-830A-49BE-94F4-17B4474029FD}"/>
    <cellStyle name="Comma 32 2 4" xfId="40967" xr:uid="{51DE4A7C-E3B3-4307-96B9-5E5FF4A24E73}"/>
    <cellStyle name="Comma 32 3" xfId="9653" xr:uid="{FA66993B-1A5B-414D-A9A4-96C5FE7C144C}"/>
    <cellStyle name="Comma 32 3 2" xfId="9654" xr:uid="{D859E003-EC75-4394-B848-C908E3C3D5BC}"/>
    <cellStyle name="Comma 32 3 2 2" xfId="40968" xr:uid="{7ECA9E80-4FBE-4028-94A6-86FE842F31CA}"/>
    <cellStyle name="Comma 32 3 3" xfId="40969" xr:uid="{1A0CE1A4-AE0E-4221-89BB-F0514D6B7A7B}"/>
    <cellStyle name="Comma 32 4" xfId="9655" xr:uid="{1C5B4891-2426-4742-B32D-E54D3CCCCEF4}"/>
    <cellStyle name="Comma 32 4 2" xfId="9656" xr:uid="{E3E94676-BA0F-430A-98E9-534B7EC52FB7}"/>
    <cellStyle name="Comma 32 4 2 2" xfId="40970" xr:uid="{774B27A0-ED38-404A-914F-BC2BB2AD19DE}"/>
    <cellStyle name="Comma 32 4 3" xfId="40971" xr:uid="{C7DF977D-3B8E-41EA-B040-99C392B6C8AE}"/>
    <cellStyle name="Comma 32 5" xfId="9657" xr:uid="{D3936094-8A98-4824-A406-1635B241F00D}"/>
    <cellStyle name="Comma 32 5 2" xfId="40972" xr:uid="{A784B24E-EA20-4E58-BFFC-A68393F02AC9}"/>
    <cellStyle name="Comma 32 6" xfId="40973" xr:uid="{623DC921-851B-47E0-9D34-BCFC79A26E89}"/>
    <cellStyle name="Comma 33" xfId="9658" xr:uid="{B88E2761-C894-4F65-926B-ECEFA4744E63}"/>
    <cellStyle name="Comma 33 2" xfId="9659" xr:uid="{B0B9814C-8573-40E2-A280-AC85C050DAF6}"/>
    <cellStyle name="Comma 33 2 2" xfId="9660" xr:uid="{31ABF575-E004-4126-94C6-17D80D3B6B20}"/>
    <cellStyle name="Comma 33 2 3" xfId="40974" xr:uid="{13D31E57-463C-4ABB-B771-DF34669A504B}"/>
    <cellStyle name="Comma 33 3" xfId="9661" xr:uid="{7178507C-DF0C-4EF5-88B1-824FC564A3AC}"/>
    <cellStyle name="Comma 33 3 2" xfId="40975" xr:uid="{242AF738-4C60-453B-9DD0-CE7516E8A173}"/>
    <cellStyle name="Comma 33 4" xfId="40976" xr:uid="{A87A8E74-A4AF-445E-8602-671C61D0AA24}"/>
    <cellStyle name="Comma 33 5" xfId="40977" xr:uid="{B3E2FC08-2558-46CA-BD83-288997CB9F78}"/>
    <cellStyle name="Comma 34" xfId="9662" xr:uid="{D535C2CE-E29D-486A-8316-D14A684EF833}"/>
    <cellStyle name="Comma 34 2" xfId="9663" xr:uid="{2A0780C1-F6A2-4E34-B8C4-F81A43BDFD03}"/>
    <cellStyle name="Comma 34 2 2" xfId="9664" xr:uid="{229FF3BD-44B8-4B25-9B73-1DC4D0F7217B}"/>
    <cellStyle name="Comma 34 2 3" xfId="40978" xr:uid="{50EAE449-B524-4EDA-A2A4-4D7F362A513E}"/>
    <cellStyle name="Comma 34 3" xfId="9665" xr:uid="{E28DE820-48DB-4BFC-93A3-4053AB63E104}"/>
    <cellStyle name="Comma 34 3 2" xfId="40979" xr:uid="{68E586E6-9F56-4C1B-BF00-79332B4BCAD0}"/>
    <cellStyle name="Comma 34 4" xfId="9666" xr:uid="{99322F18-5B58-460F-9794-BFF49C941B19}"/>
    <cellStyle name="Comma 34 5" xfId="40980" xr:uid="{E82FC711-AB18-48BC-BCAE-1A1A6D01B24C}"/>
    <cellStyle name="Comma 34 6" xfId="40981" xr:uid="{8C8A84B1-6B67-4432-9D8A-4C4AF55680D8}"/>
    <cellStyle name="Comma 35" xfId="9667" xr:uid="{237C4397-CA70-4347-A707-A9ACDBCCF0CD}"/>
    <cellStyle name="Comma 35 2" xfId="9668" xr:uid="{763186EE-3BE3-4489-BA3D-719E04534C41}"/>
    <cellStyle name="Comma 35 2 2" xfId="9669" xr:uid="{6199E742-4F53-4C3B-94C0-91B1DE3EEA3C}"/>
    <cellStyle name="Comma 35 2 3" xfId="40982" xr:uid="{E4AF467A-24A0-47FF-87F5-B21DC8609FE7}"/>
    <cellStyle name="Comma 35 3" xfId="9670" xr:uid="{B4BE674A-3119-4AC0-B4FC-524391F00183}"/>
    <cellStyle name="Comma 35 3 2" xfId="40983" xr:uid="{E1AFB569-05A7-42D6-A731-43FDC64AF97B}"/>
    <cellStyle name="Comma 35 4" xfId="40984" xr:uid="{36509F9F-22BB-495F-A7A6-AF37BA23F1BB}"/>
    <cellStyle name="Comma 35 5" xfId="40985" xr:uid="{3DA8FF28-7907-4CD9-931E-13837A2791DB}"/>
    <cellStyle name="Comma 36" xfId="9671" xr:uid="{DDEC8C45-7FBB-47D9-9C78-325BDF9FDD1F}"/>
    <cellStyle name="Comma 36 2" xfId="9672" xr:uid="{4EE3A42E-A0D7-42C4-9DEE-3B41BDA18EFA}"/>
    <cellStyle name="Comma 36 2 2" xfId="9673" xr:uid="{534F91E6-FC81-4CB1-BAFF-2C17BA40DFCC}"/>
    <cellStyle name="Comma 36 2 3" xfId="40986" xr:uid="{C2A53F97-AD47-4D83-A915-DDCC06D65A2D}"/>
    <cellStyle name="Comma 36 3" xfId="9674" xr:uid="{4889266E-EF13-4C4F-8868-85850C7F1D14}"/>
    <cellStyle name="Comma 36 3 2" xfId="40987" xr:uid="{9338D022-CEC1-4658-AAF8-5D6195F2A3AA}"/>
    <cellStyle name="Comma 36 4" xfId="40988" xr:uid="{53E66EDD-F404-439E-8C0B-7BBF514495DE}"/>
    <cellStyle name="Comma 37" xfId="9675" xr:uid="{AABA10B2-2612-4364-B50F-F31B65FC4485}"/>
    <cellStyle name="Comma 37 2" xfId="9676" xr:uid="{755A3DC5-D04C-4BE7-85EE-BFB779CBD8D7}"/>
    <cellStyle name="Comma 37 2 2" xfId="9677" xr:uid="{4257E2E6-8963-48A7-9D97-0B486AA72C83}"/>
    <cellStyle name="Comma 37 2 3" xfId="40989" xr:uid="{81DFF247-9399-4A99-B9B4-2F7CF105332A}"/>
    <cellStyle name="Comma 37 3" xfId="9678" xr:uid="{7CE13DA7-58C8-41C7-9C7A-1D3836940581}"/>
    <cellStyle name="Comma 37 3 2" xfId="40990" xr:uid="{AFED3F71-2C84-4581-9B61-627577903304}"/>
    <cellStyle name="Comma 37 4" xfId="40991" xr:uid="{2C406AC2-F724-4459-A45C-E0DFD4799898}"/>
    <cellStyle name="Comma 38" xfId="9679" xr:uid="{A7DBE3D3-ABE2-4D4D-927D-2B6F969FFC4A}"/>
    <cellStyle name="Comma 38 2" xfId="9680" xr:uid="{14AAECFD-41D1-4B6D-8CC2-3A114B6B2460}"/>
    <cellStyle name="Comma 38 2 2" xfId="9681" xr:uid="{7BE571F0-8B42-401C-897D-56F5404F46AB}"/>
    <cellStyle name="Comma 38 2 3" xfId="40992" xr:uid="{D058E963-36DD-4D49-846C-AA341D413314}"/>
    <cellStyle name="Comma 38 3" xfId="9682" xr:uid="{0F02CC53-2178-4308-A7E3-92D40D11293D}"/>
    <cellStyle name="Comma 38 3 2" xfId="40993" xr:uid="{C54DD86F-D59D-4528-9849-6DCD98707894}"/>
    <cellStyle name="Comma 38 4" xfId="40994" xr:uid="{F1942D29-60BF-4248-811F-DD32C9B61EEF}"/>
    <cellStyle name="Comma 39" xfId="9683" xr:uid="{324B7CDF-4FA8-43DA-8D10-5B52FB695CAE}"/>
    <cellStyle name="Comma 39 2" xfId="9684" xr:uid="{8A651230-43EC-49C2-87A1-F3D155EB0795}"/>
    <cellStyle name="Comma 39 2 2" xfId="9685" xr:uid="{CD871512-9F66-45A6-98AE-E8E1B63A2CFF}"/>
    <cellStyle name="Comma 39 2 3" xfId="40995" xr:uid="{5DBBB96A-96B8-4A0A-85A6-BD97A35FBF56}"/>
    <cellStyle name="Comma 39 3" xfId="9686" xr:uid="{37693713-895A-4E8A-935D-0C77AA5248B8}"/>
    <cellStyle name="Comma 39 3 2" xfId="40996" xr:uid="{E940CC45-5898-4862-82EB-AD3D52D5E9C2}"/>
    <cellStyle name="Comma 39 4" xfId="40997" xr:uid="{8CAB20A0-D986-451A-8233-6473A0334AEC}"/>
    <cellStyle name="Comma 4" xfId="1" xr:uid="{00000000-0005-0000-0000-000006000000}"/>
    <cellStyle name="Comma 4 10" xfId="9687" xr:uid="{4C0A8FBE-88E4-4590-ACEB-C2CF1DB487B6}"/>
    <cellStyle name="Comma 4 11" xfId="9688" xr:uid="{532BF65F-00E5-4147-BD04-BD91F573F2F4}"/>
    <cellStyle name="Comma 4 12" xfId="9689" xr:uid="{A92F5522-DCE3-4412-A15B-25B788D0054A}"/>
    <cellStyle name="Comma 4 13" xfId="9690" xr:uid="{4EF1514E-B340-48BB-97A4-0F3A200BC4E0}"/>
    <cellStyle name="Comma 4 14" xfId="9691" xr:uid="{A45C4D35-2261-496C-9AE4-E507A0BA1BB9}"/>
    <cellStyle name="Comma 4 15" xfId="9692" xr:uid="{3F607793-DB8D-4C5E-87CC-90F71516EEAF}"/>
    <cellStyle name="Comma 4 16" xfId="9693" xr:uid="{0A2C1127-D5B2-4F5D-B411-E278427B7AD4}"/>
    <cellStyle name="Comma 4 17" xfId="9694" xr:uid="{BA65474F-0F84-4319-A8E4-F15C7241937C}"/>
    <cellStyle name="Comma 4 18" xfId="9695" xr:uid="{7F8F44B3-34F0-43F7-8FAC-EACD6E9AD0EE}"/>
    <cellStyle name="Comma 4 19" xfId="9696" xr:uid="{5081FD97-3E41-4029-A88A-CA0CDE5B9ABB}"/>
    <cellStyle name="Comma 4 2" xfId="221" xr:uid="{67A107CE-DFEC-4373-ACCB-F61790D5F06C}"/>
    <cellStyle name="Comma 4 2 10" xfId="9697" xr:uid="{AD8F11D3-E0F2-408C-955A-750774FBE472}"/>
    <cellStyle name="Comma 4 2 11" xfId="9698" xr:uid="{126263E0-6762-46D4-BEFE-B8BB3AAAF10C}"/>
    <cellStyle name="Comma 4 2 12" xfId="9699" xr:uid="{904D38D2-9366-44B9-91C9-528BF5C29203}"/>
    <cellStyle name="Comma 4 2 13" xfId="9700" xr:uid="{66FC9A64-30AA-4177-BD6B-9A36892CC246}"/>
    <cellStyle name="Comma 4 2 14" xfId="9701" xr:uid="{5E2A8ABE-FBD6-42D6-9108-871E13CD4FF7}"/>
    <cellStyle name="Comma 4 2 15" xfId="9702" xr:uid="{99AB21C1-79D0-4A5F-AEE2-F39F06F93A8F}"/>
    <cellStyle name="Comma 4 2 16" xfId="9703" xr:uid="{4E837AAF-3FBE-4E22-B5BB-E65551F5800D}"/>
    <cellStyle name="Comma 4 2 17" xfId="9704" xr:uid="{52938DD6-18B1-413F-8AFF-668ABD06B59B}"/>
    <cellStyle name="Comma 4 2 18" xfId="9705" xr:uid="{E82D2843-83B6-4B6B-A81D-89CBC7830E9D}"/>
    <cellStyle name="Comma 4 2 19" xfId="9706" xr:uid="{58828CA3-1019-49BA-B7A0-A3A7823447DF}"/>
    <cellStyle name="Comma 4 2 2" xfId="4" xr:uid="{00000000-0005-0000-0000-000007000000}"/>
    <cellStyle name="Comma 4 2 2 2" xfId="9707" xr:uid="{FB56E82D-4DE6-4593-AE72-2CE43FD23C96}"/>
    <cellStyle name="Comma 4 2 2 3" xfId="40998" xr:uid="{4BA8488B-5F0E-4EA2-BA55-3C586E9B3943}"/>
    <cellStyle name="Comma 4 2 20" xfId="9708" xr:uid="{6E0FA559-3E99-47AA-8BCE-29ACEEECC297}"/>
    <cellStyle name="Comma 4 2 21" xfId="9709" xr:uid="{19788005-0EA6-4EFF-9235-3C72F3031AC9}"/>
    <cellStyle name="Comma 4 2 22" xfId="9710" xr:uid="{75E9D120-1BEA-4131-BCBA-30C085D0DFCD}"/>
    <cellStyle name="Comma 4 2 23" xfId="9711" xr:uid="{4145D280-AD04-4797-B016-89BE39FAD509}"/>
    <cellStyle name="Comma 4 2 24" xfId="9712" xr:uid="{5EECCD5B-1A1E-40D3-8D96-150AFC6B0DD9}"/>
    <cellStyle name="Comma 4 2 25" xfId="9713" xr:uid="{4B730881-4032-4BA8-BD34-539BA8E27C1E}"/>
    <cellStyle name="Comma 4 2 3" xfId="9714" xr:uid="{5326C61B-93C0-4D18-BF44-29DC50FC0F0F}"/>
    <cellStyle name="Comma 4 2 4" xfId="9715" xr:uid="{ADB37053-129B-46AA-A383-B6A816C8E806}"/>
    <cellStyle name="Comma 4 2 5" xfId="9716" xr:uid="{D78B7F28-B5AB-4A50-A96A-0E05FA3E7B7A}"/>
    <cellStyle name="Comma 4 2 6" xfId="9717" xr:uid="{6407C2C5-B58E-451C-99DA-32C885A8ABB2}"/>
    <cellStyle name="Comma 4 2 7" xfId="9718" xr:uid="{37C269E2-3F97-4FEC-B8CF-4862FCB57C33}"/>
    <cellStyle name="Comma 4 2 8" xfId="9719" xr:uid="{A5E81CE8-BB5E-4B06-B1B7-EADCE8600567}"/>
    <cellStyle name="Comma 4 2 9" xfId="9720" xr:uid="{F6F93FCA-4032-402F-8DD2-3F944E3F86C3}"/>
    <cellStyle name="Comma 4 20" xfId="9721" xr:uid="{94B77C47-C407-4012-AF41-9E811E3CD349}"/>
    <cellStyle name="Comma 4 21" xfId="9722" xr:uid="{29BEA69E-1D19-4D05-A215-70152FA617FA}"/>
    <cellStyle name="Comma 4 22" xfId="9723" xr:uid="{2845B581-4DFF-4AC9-8E54-BE8AD9B03747}"/>
    <cellStyle name="Comma 4 23" xfId="9724" xr:uid="{AA0967AC-0B5F-45FE-A32D-56D55AC56F51}"/>
    <cellStyle name="Comma 4 24" xfId="9725" xr:uid="{45EE6D94-59B5-4391-A91D-6241876E87B2}"/>
    <cellStyle name="Comma 4 3" xfId="9726" xr:uid="{DD7F9962-9338-4ACC-841D-90F8AF62BFF7}"/>
    <cellStyle name="Comma 4 3 10" xfId="9727" xr:uid="{FF2670E8-BEB6-4EE6-A443-EEA8E933A2C6}"/>
    <cellStyle name="Comma 4 3 11" xfId="9728" xr:uid="{C7A90E50-A685-4AA5-A7DB-EB97FD202C4E}"/>
    <cellStyle name="Comma 4 3 12" xfId="9729" xr:uid="{8CCB203D-3801-4C7B-B4C3-3263DBEE6DFD}"/>
    <cellStyle name="Comma 4 3 13" xfId="9730" xr:uid="{3817D6A5-DFD0-49A3-85BB-96F193033423}"/>
    <cellStyle name="Comma 4 3 14" xfId="9731" xr:uid="{C9919E73-0E1F-4A1D-AA06-DCA540A23CAC}"/>
    <cellStyle name="Comma 4 3 15" xfId="9732" xr:uid="{025AD755-212E-43D2-B237-213B0854DADD}"/>
    <cellStyle name="Comma 4 3 16" xfId="9733" xr:uid="{C26C17E0-CE5E-403A-BF14-E2A0FA8CE32C}"/>
    <cellStyle name="Comma 4 3 17" xfId="9734" xr:uid="{D2492609-40BF-4218-AFF3-38FA8AD8FCEE}"/>
    <cellStyle name="Comma 4 3 18" xfId="9735" xr:uid="{3722BFF4-5A20-4A83-B136-57F4442ED98C}"/>
    <cellStyle name="Comma 4 3 19" xfId="9736" xr:uid="{90A13125-671F-4838-9DBD-676ECFA2136E}"/>
    <cellStyle name="Comma 4 3 2" xfId="9737" xr:uid="{04A6B695-F8E3-4EA1-8C67-6641F747DCC0}"/>
    <cellStyle name="Comma 4 3 2 2" xfId="9738" xr:uid="{46E194BC-6A82-460B-AEE5-4AFF6319A461}"/>
    <cellStyle name="Comma 4 3 2 3" xfId="40999" xr:uid="{6F02FDB4-51A4-429D-BA73-88A2A292B1C6}"/>
    <cellStyle name="Comma 4 3 20" xfId="9739" xr:uid="{0D7F0EE2-0AD9-4CC8-9FDA-C4DB75FF2185}"/>
    <cellStyle name="Comma 4 3 21" xfId="9740" xr:uid="{DCA9A29C-A924-498A-8EC3-1988EDEFF007}"/>
    <cellStyle name="Comma 4 3 22" xfId="9741" xr:uid="{E74D2C41-9C13-43D1-B617-B96CF93A44CF}"/>
    <cellStyle name="Comma 4 3 23" xfId="9742" xr:uid="{02AB1B9C-9F4B-4FC3-B94A-726B435D0E5A}"/>
    <cellStyle name="Comma 4 3 24" xfId="43554" xr:uid="{7892FE35-737F-4F13-A604-2E6A16A35ADD}"/>
    <cellStyle name="Comma 4 3 3" xfId="9743" xr:uid="{4FF959CF-2361-41DF-B276-808D2BE3494F}"/>
    <cellStyle name="Comma 4 3 4" xfId="9744" xr:uid="{8CCF32F0-20C0-48FB-85BE-629BE34D5C33}"/>
    <cellStyle name="Comma 4 3 5" xfId="9745" xr:uid="{68CA66AE-7CBF-4130-9795-608EBC772B58}"/>
    <cellStyle name="Comma 4 3 6" xfId="9746" xr:uid="{A2AC5B67-D95C-442F-9919-38D20F39FEDB}"/>
    <cellStyle name="Comma 4 3 7" xfId="9747" xr:uid="{B5063406-FFFC-42D7-9DB5-84BD375B2A53}"/>
    <cellStyle name="Comma 4 3 8" xfId="9748" xr:uid="{D8504ADE-D5B3-4D04-94D5-3FD4D9FF8D02}"/>
    <cellStyle name="Comma 4 3 9" xfId="9749" xr:uid="{C064ED69-FA58-447F-A9D3-220C4C60CA08}"/>
    <cellStyle name="Comma 4 4" xfId="9750" xr:uid="{10572D8E-CB55-4123-B615-B4ACFFF03FAC}"/>
    <cellStyle name="Comma 4 4 10" xfId="9751" xr:uid="{68419816-99A3-4C90-9B30-20532F7D59DC}"/>
    <cellStyle name="Comma 4 4 11" xfId="9752" xr:uid="{103D5198-7BF9-4AAE-A117-7A4E1C30CA1A}"/>
    <cellStyle name="Comma 4 4 12" xfId="9753" xr:uid="{FD92573B-4F84-4AE4-AC73-430577C38823}"/>
    <cellStyle name="Comma 4 4 13" xfId="9754" xr:uid="{99F11121-F6C1-48B1-BE08-B65A999B7FB6}"/>
    <cellStyle name="Comma 4 4 14" xfId="9755" xr:uid="{2E507F4F-6209-4DC3-A6D8-578CA526B663}"/>
    <cellStyle name="Comma 4 4 15" xfId="9756" xr:uid="{88C731F9-CB4C-47EC-8693-818ADE9FE739}"/>
    <cellStyle name="Comma 4 4 16" xfId="9757" xr:uid="{67970FCC-527C-4728-8B8E-E4CD944F09B6}"/>
    <cellStyle name="Comma 4 4 17" xfId="9758" xr:uid="{202C3C78-4C3E-44DE-BD34-6B315EADC51A}"/>
    <cellStyle name="Comma 4 4 18" xfId="9759" xr:uid="{32A0EEFC-FD0D-4E51-9B47-A138C8703252}"/>
    <cellStyle name="Comma 4 4 19" xfId="9760" xr:uid="{091B7190-D59B-4F63-B33D-1D0E170DF182}"/>
    <cellStyle name="Comma 4 4 2" xfId="9761" xr:uid="{EE4B95B0-6204-48ED-83A0-B44DAEDEBC1C}"/>
    <cellStyle name="Comma 4 4 2 2" xfId="9762" xr:uid="{59B313DD-BDC2-44B3-9050-503F12F3B0FD}"/>
    <cellStyle name="Comma 4 4 20" xfId="9763" xr:uid="{DD8619E8-7D58-43BF-B713-CFF650703366}"/>
    <cellStyle name="Comma 4 4 21" xfId="9764" xr:uid="{7EEBDE3A-0858-4329-BD97-72DD3CB852F1}"/>
    <cellStyle name="Comma 4 4 22" xfId="9765" xr:uid="{87DC3C15-2BA4-49ED-A9A2-675305472D9F}"/>
    <cellStyle name="Comma 4 4 23" xfId="9766" xr:uid="{D2942195-B72A-49D8-BDC6-7F66D603AAAA}"/>
    <cellStyle name="Comma 4 4 3" xfId="9767" xr:uid="{5CE8E557-4A46-4B16-94F4-B4F1E788B645}"/>
    <cellStyle name="Comma 4 4 4" xfId="9768" xr:uid="{F220BA14-2884-4B2A-9595-D08AE7B1DB5D}"/>
    <cellStyle name="Comma 4 4 5" xfId="9769" xr:uid="{57AD5432-EB91-4AB2-AA48-86A1EE1BC49B}"/>
    <cellStyle name="Comma 4 4 6" xfId="9770" xr:uid="{3D7EBB30-2749-4FEE-AD24-D45B697E3DE0}"/>
    <cellStyle name="Comma 4 4 7" xfId="9771" xr:uid="{CB969DC1-D9F6-4446-8C45-B345EACEB050}"/>
    <cellStyle name="Comma 4 4 8" xfId="9772" xr:uid="{FABA23BE-728B-40EF-AFBB-2F6ED8FD718C}"/>
    <cellStyle name="Comma 4 4 9" xfId="9773" xr:uid="{B88730BE-27CA-4439-8712-7A1BE45216E6}"/>
    <cellStyle name="Comma 4 5" xfId="9774" xr:uid="{9B529B6E-4693-42E8-B677-CC88BE24C350}"/>
    <cellStyle name="Comma 4 5 10" xfId="9775" xr:uid="{E8E8B071-7927-475C-B684-76FC4A710C43}"/>
    <cellStyle name="Comma 4 5 11" xfId="9776" xr:uid="{9562145D-4F23-4FC3-BB38-6CA65064753E}"/>
    <cellStyle name="Comma 4 5 12" xfId="9777" xr:uid="{B85BE102-FD3E-4E98-BF3E-59804BC60A73}"/>
    <cellStyle name="Comma 4 5 13" xfId="9778" xr:uid="{0AD2F28D-488B-412C-B586-460877668B8A}"/>
    <cellStyle name="Comma 4 5 14" xfId="9779" xr:uid="{6BA770BD-C11A-443E-9FBD-428A96EBD6C6}"/>
    <cellStyle name="Comma 4 5 15" xfId="9780" xr:uid="{2C8BEC6C-3E78-4713-9822-D3A414A7FFE5}"/>
    <cellStyle name="Comma 4 5 16" xfId="9781" xr:uid="{AB67001F-0923-4E7F-AA2D-4B2AFB131AA9}"/>
    <cellStyle name="Comma 4 5 17" xfId="9782" xr:uid="{3BBB4F57-8050-4309-8F80-F1527A842635}"/>
    <cellStyle name="Comma 4 5 18" xfId="9783" xr:uid="{280E268B-BDCC-409B-942B-DBDFD354B99C}"/>
    <cellStyle name="Comma 4 5 19" xfId="9784" xr:uid="{06477878-EA46-40BD-8D42-07A95436FCE8}"/>
    <cellStyle name="Comma 4 5 2" xfId="9785" xr:uid="{19F72ADD-4122-4D28-9C5D-AD5E89164FFE}"/>
    <cellStyle name="Comma 4 5 20" xfId="9786" xr:uid="{727F7A69-37F2-47B4-BF6B-D4BB5BDDA6B2}"/>
    <cellStyle name="Comma 4 5 21" xfId="9787" xr:uid="{4B398D5B-CD36-4269-90D6-495D77F85BAD}"/>
    <cellStyle name="Comma 4 5 22" xfId="9788" xr:uid="{030773B2-4D8D-40EB-B216-FC6365A2576C}"/>
    <cellStyle name="Comma 4 5 23" xfId="9789" xr:uid="{815EBB19-8361-44DA-9E4A-4349F877A21D}"/>
    <cellStyle name="Comma 4 5 3" xfId="9790" xr:uid="{74409245-D4D1-4E78-9D42-77598055EE7C}"/>
    <cellStyle name="Comma 4 5 4" xfId="9791" xr:uid="{C2A1E82E-5BBE-4576-801E-825FE2577084}"/>
    <cellStyle name="Comma 4 5 5" xfId="9792" xr:uid="{E486BC1D-8C3E-4086-8548-CB259A7EC720}"/>
    <cellStyle name="Comma 4 5 6" xfId="9793" xr:uid="{CD021935-3E3E-46CB-B8A3-24F9220ABC69}"/>
    <cellStyle name="Comma 4 5 7" xfId="9794" xr:uid="{13F748B6-8352-4D94-99FF-F6D2975FC2D5}"/>
    <cellStyle name="Comma 4 5 8" xfId="9795" xr:uid="{756B82D8-43DB-458E-91F5-B62C0DA1721E}"/>
    <cellStyle name="Comma 4 5 9" xfId="9796" xr:uid="{5FE62FCF-B660-4DDF-8631-D0AE15AEB973}"/>
    <cellStyle name="Comma 4 6" xfId="9797" xr:uid="{A54FFB20-7309-4BBE-8133-65A5D1423889}"/>
    <cellStyle name="Comma 4 7" xfId="9798" xr:uid="{265986CA-9398-41BD-AA0E-6AACDF27C9D8}"/>
    <cellStyle name="Comma 4 8" xfId="9799" xr:uid="{461790D5-9756-44BC-AA9D-9F936044E3B3}"/>
    <cellStyle name="Comma 4 9" xfId="9800" xr:uid="{DB534B60-A1D5-434B-B8C8-2FAA7E087CE5}"/>
    <cellStyle name="Comma 40" xfId="9801" xr:uid="{D6E302D7-C260-41CE-AF31-355D8162037A}"/>
    <cellStyle name="Comma 40 2" xfId="9802" xr:uid="{303505CF-5E72-4483-A78B-D503901F0D26}"/>
    <cellStyle name="Comma 40 2 2" xfId="9803" xr:uid="{805AEF90-C8B3-4E31-91A4-2741155922E3}"/>
    <cellStyle name="Comma 40 2 3" xfId="41000" xr:uid="{1AFA079F-A61B-403A-A201-E207DFFF9E6F}"/>
    <cellStyle name="Comma 40 3" xfId="9804" xr:uid="{DD9C998F-E71C-4350-BAEF-E7E2D7978895}"/>
    <cellStyle name="Comma 40 3 2" xfId="41001" xr:uid="{515E725B-4E50-4692-8C02-215C86F1D808}"/>
    <cellStyle name="Comma 40 4" xfId="41002" xr:uid="{68384326-CE43-4639-A39A-ED86F0C6841A}"/>
    <cellStyle name="Comma 41" xfId="9805" xr:uid="{03918944-108E-4948-9987-5AB67A16885D}"/>
    <cellStyle name="Comma 41 2" xfId="9806" xr:uid="{CA3D1E78-B8D2-4331-B186-9B6BA5E4ADB4}"/>
    <cellStyle name="Comma 41 2 2" xfId="9807" xr:uid="{B397AA81-B652-4457-995F-BBCCDEA76D01}"/>
    <cellStyle name="Comma 41 2 3" xfId="41003" xr:uid="{5CE32A55-BF00-4FC7-9143-5BFA172FDDD9}"/>
    <cellStyle name="Comma 41 3" xfId="9808" xr:uid="{F4ED7DAB-F544-4C0B-8D92-1CD73E14DB1A}"/>
    <cellStyle name="Comma 41 3 2" xfId="41004" xr:uid="{90BA3657-60D3-4A11-B75A-F80404861056}"/>
    <cellStyle name="Comma 41 4" xfId="41005" xr:uid="{361F825F-7F17-4EA4-AD64-3174CDDF8C87}"/>
    <cellStyle name="Comma 42" xfId="9809" xr:uid="{DB3EA472-9C35-4240-A23F-F08EACEF0D3E}"/>
    <cellStyle name="Comma 42 2" xfId="9810" xr:uid="{49CFBC94-AE89-458A-BCAF-83F10A1F83D4}"/>
    <cellStyle name="Comma 42 2 2" xfId="9811" xr:uid="{02CDCF60-FA75-443F-8F00-C2BB5ADE3053}"/>
    <cellStyle name="Comma 42 2 3" xfId="41006" xr:uid="{6F60AFD8-F156-4DF5-B2D4-A88136773577}"/>
    <cellStyle name="Comma 42 3" xfId="9812" xr:uid="{C0986984-C469-4CD2-8D86-BF50626EE567}"/>
    <cellStyle name="Comma 42 3 2" xfId="41007" xr:uid="{9862430E-C1BC-40CB-9DCB-812742F4D92A}"/>
    <cellStyle name="Comma 42 4" xfId="41008" xr:uid="{A053289A-7077-4504-AB72-6AB702999C16}"/>
    <cellStyle name="Comma 43" xfId="9813" xr:uid="{76944AE6-093E-4779-9B99-C23F7F431FEF}"/>
    <cellStyle name="Comma 43 2" xfId="9814" xr:uid="{05C8388D-5042-44ED-923A-3CD025208E84}"/>
    <cellStyle name="Comma 43 2 2" xfId="9815" xr:uid="{70610E8E-B95F-4641-A5DD-29CA4695BEF4}"/>
    <cellStyle name="Comma 43 2 3" xfId="41009" xr:uid="{D2B16A92-6577-4FAE-9EC2-E5614D62DC6B}"/>
    <cellStyle name="Comma 43 3" xfId="9816" xr:uid="{F94AC62C-568F-4404-9B75-AF639A3ED3FE}"/>
    <cellStyle name="Comma 43 3 2" xfId="41010" xr:uid="{FCE55C18-70B8-4112-9972-DADA772A16D8}"/>
    <cellStyle name="Comma 43 4" xfId="41011" xr:uid="{72DF210B-9828-4D44-BE6D-7FECD679557D}"/>
    <cellStyle name="Comma 44" xfId="9817" xr:uid="{21388F2C-0CB4-41DA-87DA-79F926B603BA}"/>
    <cellStyle name="Comma 44 2" xfId="9818" xr:uid="{51A51572-9828-42BB-A129-A6F65A10F52C}"/>
    <cellStyle name="Comma 44 2 2" xfId="41012" xr:uid="{F138833E-225B-4B98-8FD4-1D2ABF9D52A0}"/>
    <cellStyle name="Comma 44 3" xfId="9819" xr:uid="{21123ACB-D961-443C-902F-A23B0113CAC4}"/>
    <cellStyle name="Comma 44 3 2" xfId="41013" xr:uid="{32EEBD39-9909-4441-9D87-54EE33371B56}"/>
    <cellStyle name="Comma 44 4" xfId="41014" xr:uid="{DC6CEC3F-01F5-4277-90FC-8963301663E2}"/>
    <cellStyle name="Comma 45" xfId="9820" xr:uid="{C56B99DB-530F-4C28-9BA5-6F3250EF7F65}"/>
    <cellStyle name="Comma 45 2" xfId="9821" xr:uid="{B44D06B5-843B-455A-96AC-49FEE9375F97}"/>
    <cellStyle name="Comma 45 2 2" xfId="41015" xr:uid="{C8D77F0C-7ABB-4B7B-B7BE-B2B57B03BBB1}"/>
    <cellStyle name="Comma 45 3" xfId="9822" xr:uid="{5DC80FF0-2F9C-4956-92DF-607233EA5A42}"/>
    <cellStyle name="Comma 45 3 2" xfId="41016" xr:uid="{93FE46FF-1842-4632-9429-B77845ECC5C3}"/>
    <cellStyle name="Comma 45 4" xfId="41017" xr:uid="{EB83D773-48A2-4318-9D2E-AA5EB2DD7A09}"/>
    <cellStyle name="Comma 46" xfId="9823" xr:uid="{676A14AA-5B23-4796-AF47-0C1DF6815B50}"/>
    <cellStyle name="Comma 46 2" xfId="9824" xr:uid="{02BEB906-C32B-4EB5-9A1A-FE7925561A27}"/>
    <cellStyle name="Comma 46 2 2" xfId="41018" xr:uid="{AE002535-6F07-4339-A669-074CBA6F6C90}"/>
    <cellStyle name="Comma 46 3" xfId="9825" xr:uid="{F6F54BE1-0299-4272-9250-CE86615FFCB8}"/>
    <cellStyle name="Comma 46 3 2" xfId="41019" xr:uid="{B47A259D-0F46-453D-8754-9EC3E92FEDB0}"/>
    <cellStyle name="Comma 46 4" xfId="41020" xr:uid="{3E59A4AB-EBC3-4E33-A77B-0DBE637B09F9}"/>
    <cellStyle name="Comma 47" xfId="9826" xr:uid="{C8534832-8F40-4399-BC21-29446BCDA019}"/>
    <cellStyle name="Comma 47 2" xfId="9827" xr:uid="{C88DC70D-A4C9-45BC-AD57-62DA9031C9C3}"/>
    <cellStyle name="Comma 47 2 2" xfId="41021" xr:uid="{8EC99FB7-75B0-4BDA-917E-C3CD84A27C37}"/>
    <cellStyle name="Comma 47 3" xfId="9828" xr:uid="{163D764F-4AD2-4965-9F45-8961ADB5E51C}"/>
    <cellStyle name="Comma 47 3 2" xfId="41022" xr:uid="{7CB5AEC6-E7F6-4209-AA2E-0715672BBA43}"/>
    <cellStyle name="Comma 47 4" xfId="41023" xr:uid="{35182812-077A-4AE4-A416-02200225B4D6}"/>
    <cellStyle name="Comma 48" xfId="9829" xr:uid="{F1D1B441-6341-46DB-84B5-FB7D1B98548B}"/>
    <cellStyle name="Comma 48 2" xfId="9830" xr:uid="{80344081-0EB7-4353-B615-BE218620BC2D}"/>
    <cellStyle name="Comma 48 2 2" xfId="41024" xr:uid="{2129B7AF-C9FD-4766-BF7E-A659D6F6040A}"/>
    <cellStyle name="Comma 48 3" xfId="9831" xr:uid="{8DF69047-7863-4B78-89A9-4EAD39560B38}"/>
    <cellStyle name="Comma 48 3 2" xfId="41025" xr:uid="{DE858D65-E97B-4522-8095-49F5D174226F}"/>
    <cellStyle name="Comma 48 4" xfId="41026" xr:uid="{1A568101-9CAA-4577-AD70-89D24549F801}"/>
    <cellStyle name="Comma 49" xfId="9832" xr:uid="{443DB8ED-A9D9-4BC9-AB53-9243B1F43882}"/>
    <cellStyle name="Comma 49 2" xfId="9833" xr:uid="{24BF50D3-1779-46D6-81D5-3AEDD3212DCD}"/>
    <cellStyle name="Comma 49 2 2" xfId="41027" xr:uid="{D3DBC51A-19FB-42C6-99CB-DC3523D21C7F}"/>
    <cellStyle name="Comma 49 3" xfId="9834" xr:uid="{4BD03254-56D3-42FF-85E9-AEAA5DDFAACC}"/>
    <cellStyle name="Comma 49 3 2" xfId="41028" xr:uid="{3C810EC9-5FAB-41C2-ACE6-6772EF7CDD79}"/>
    <cellStyle name="Comma 49 4" xfId="41029" xr:uid="{F26EA249-04CB-4124-9CFD-98C0A623E6CF}"/>
    <cellStyle name="Comma 5" xfId="222" xr:uid="{97FB21E0-A158-42C5-BF04-F541A1E54351}"/>
    <cellStyle name="Comma 5 10" xfId="9835" xr:uid="{1777900D-65A9-41C0-B512-08266811A819}"/>
    <cellStyle name="Comma 5 11" xfId="9836" xr:uid="{D232DBF3-AAF9-4FCA-8BC5-2620B6ABD70C}"/>
    <cellStyle name="Comma 5 12" xfId="9837" xr:uid="{EA1A710E-EE04-419D-BF72-6FC6E4F8863E}"/>
    <cellStyle name="Comma 5 13" xfId="9838" xr:uid="{0A409405-455A-4561-92E3-5ADD1C0B2F03}"/>
    <cellStyle name="Comma 5 14" xfId="9839" xr:uid="{0DBA8A4E-DD3C-4574-8C9C-E9325D6079AC}"/>
    <cellStyle name="Comma 5 15" xfId="9840" xr:uid="{AA6193E5-2DE6-4E3F-B600-203DEF37073A}"/>
    <cellStyle name="Comma 5 16" xfId="9841" xr:uid="{B67BEC59-5B69-44B1-933E-1EB1D5014F8F}"/>
    <cellStyle name="Comma 5 17" xfId="9842" xr:uid="{D4880AE2-A709-42C4-B5AE-F1CE242A8D7D}"/>
    <cellStyle name="Comma 5 18" xfId="9843" xr:uid="{35D702CF-6498-4413-9310-4C195C3FDA14}"/>
    <cellStyle name="Comma 5 19" xfId="9844" xr:uid="{86577FB0-629B-4C98-8D58-B219462773E3}"/>
    <cellStyle name="Comma 5 2" xfId="9845" xr:uid="{787F846C-F1BC-4DE2-BCFC-2A9ED2C2C799}"/>
    <cellStyle name="Comma 5 2 2" xfId="9846" xr:uid="{29E76142-D5AD-4CA1-A249-212CB52841B5}"/>
    <cellStyle name="Comma 5 2 2 2" xfId="9847" xr:uid="{1A90B53A-3930-4FE2-8CA9-0677A126A2AC}"/>
    <cellStyle name="Comma 5 2 2 2 2" xfId="41030" xr:uid="{9A579142-4773-4B0C-AD8B-2E1D579C2947}"/>
    <cellStyle name="Comma 5 2 2 3" xfId="41031" xr:uid="{F14AE562-C311-4F85-BE7C-59A31ADCE9DF}"/>
    <cellStyle name="Comma 5 2 3" xfId="9848" xr:uid="{F3071B02-EBFA-4342-817E-36E7BD7B2E04}"/>
    <cellStyle name="Comma 5 2 3 2" xfId="41032" xr:uid="{14F39100-90D2-4F86-AE63-3F3C83E57BEA}"/>
    <cellStyle name="Comma 5 2 4" xfId="9849" xr:uid="{E6A4D1EB-02F6-441E-A182-871212423FC0}"/>
    <cellStyle name="Comma 5 2 5" xfId="41033" xr:uid="{5B9EBE5B-ABC9-4E40-901E-8BAC6C5CCEE7}"/>
    <cellStyle name="Comma 5 20" xfId="9850" xr:uid="{371032F3-CC84-44A4-A43D-E9A035CC0EB3}"/>
    <cellStyle name="Comma 5 21" xfId="9851" xr:uid="{3A673604-BE75-4FB6-923F-2956D7FC960B}"/>
    <cellStyle name="Comma 5 22" xfId="9852" xr:uid="{35874D67-0C9A-4ECE-87BD-393B91E6589C}"/>
    <cellStyle name="Comma 5 23" xfId="9853" xr:uid="{4CF41344-3862-42BD-B40C-017656D58F28}"/>
    <cellStyle name="Comma 5 24" xfId="41034" xr:uid="{8256CDA0-47BB-4AE4-84D0-0B0F430BFEA5}"/>
    <cellStyle name="Comma 5 3" xfId="9854" xr:uid="{E67D4378-8082-480D-A429-D07A22BB4943}"/>
    <cellStyle name="Comma 5 3 2" xfId="9855" xr:uid="{6E5FE132-F57E-4FF7-95AD-308FB7AF0720}"/>
    <cellStyle name="Comma 5 3 2 2" xfId="9856" xr:uid="{D9EEEBD0-03F0-417B-919D-A7040FE731A3}"/>
    <cellStyle name="Comma 5 3 3" xfId="9857" xr:uid="{B4107434-C356-4E0C-B7CE-B6796B130BAD}"/>
    <cellStyle name="Comma 5 3 4" xfId="9858" xr:uid="{96F65E9C-89A4-4E09-8187-EDD06B74BDFC}"/>
    <cellStyle name="Comma 5 3 5" xfId="9859" xr:uid="{EE71D39E-B876-4C4A-BE04-D14E465B9D61}"/>
    <cellStyle name="Comma 5 3 6" xfId="41035" xr:uid="{55C6DA39-C0E0-42D5-AE88-82C2D9C1D019}"/>
    <cellStyle name="Comma 5 4" xfId="9860" xr:uid="{E0977270-D5F6-4925-96F6-E016D72BA98E}"/>
    <cellStyle name="Comma 5 4 2" xfId="9861" xr:uid="{77A86E8D-B503-4C09-AFDC-BC83C0767976}"/>
    <cellStyle name="Comma 5 4 2 2" xfId="9862" xr:uid="{CA5D40A5-6EF6-413A-8178-81DFD1AF3469}"/>
    <cellStyle name="Comma 5 4 2 3" xfId="9863" xr:uid="{11986FF8-65FE-414E-91A4-84BC84CDD138}"/>
    <cellStyle name="Comma 5 4 2 4" xfId="9864" xr:uid="{15127BB8-98D7-4612-A7D5-318B2EA1EC48}"/>
    <cellStyle name="Comma 5 4 3" xfId="9865" xr:uid="{62C90EF5-8DE3-4AAE-9A3F-C6884C1CC295}"/>
    <cellStyle name="Comma 5 4 4" xfId="9866" xr:uid="{ABE41904-5D68-42D5-83E7-92F3B9C0FCE7}"/>
    <cellStyle name="Comma 5 4 5" xfId="41036" xr:uid="{F2896CA7-0DFB-4BB6-90FA-4A23CE11D1BB}"/>
    <cellStyle name="Comma 5 5" xfId="9867" xr:uid="{B3E256F7-9571-4806-ACF1-95AF13EA5B56}"/>
    <cellStyle name="Comma 5 5 2" xfId="9868" xr:uid="{8EEA19FC-B6C7-4527-AD44-16BA9E590520}"/>
    <cellStyle name="Comma 5 5 3" xfId="9869" xr:uid="{C4BE137B-5DC0-4F67-89E4-0D3953593B05}"/>
    <cellStyle name="Comma 5 5 4" xfId="41037" xr:uid="{A0CA4AAC-1009-41BB-9569-3C4A734EFB72}"/>
    <cellStyle name="Comma 5 6" xfId="9870" xr:uid="{2B571631-E6E5-4035-85B9-EBE3605F0E30}"/>
    <cellStyle name="Comma 5 6 2" xfId="41038" xr:uid="{DB8B64B3-F3AC-421C-819F-F5DCD56F33A7}"/>
    <cellStyle name="Comma 5 7" xfId="9871" xr:uid="{376F1A90-898C-4BEC-BFA4-105046C09DA0}"/>
    <cellStyle name="Comma 5 8" xfId="9872" xr:uid="{31375DC9-7B98-4121-83E5-3C7929021A40}"/>
    <cellStyle name="Comma 5 9" xfId="9873" xr:uid="{CAA439B8-2B3E-4FB2-96F6-5DF76128664B}"/>
    <cellStyle name="Comma 50" xfId="9874" xr:uid="{F77B31F9-6B39-4158-B72F-281ED2B10A04}"/>
    <cellStyle name="Comma 50 2" xfId="9875" xr:uid="{CEDDB438-84A9-410C-A0C0-52E494B6EA1E}"/>
    <cellStyle name="Comma 50 2 2" xfId="41039" xr:uid="{FB1DA434-78BF-48D6-8957-EC6D7B756585}"/>
    <cellStyle name="Comma 50 3" xfId="9876" xr:uid="{28EFE4B1-B620-44A5-AEBC-7E15548ADCD3}"/>
    <cellStyle name="Comma 50 3 2" xfId="41040" xr:uid="{E0C26D9D-6535-43F0-8EAF-4A02067A4DAA}"/>
    <cellStyle name="Comma 50 4" xfId="41041" xr:uid="{E60A2043-B4ED-4560-A880-CBAABF30C246}"/>
    <cellStyle name="Comma 51" xfId="9877" xr:uid="{B6223117-0C6D-4EF1-8948-9A069DBDD412}"/>
    <cellStyle name="Comma 51 2" xfId="9878" xr:uid="{01961972-5B0B-4827-B10F-2C14B339729D}"/>
    <cellStyle name="Comma 51 2 2" xfId="41042" xr:uid="{44D419FF-26CC-42F5-9D0F-C41754D88532}"/>
    <cellStyle name="Comma 51 3" xfId="9879" xr:uid="{94584816-C8B5-4895-9228-4D43AC3A896B}"/>
    <cellStyle name="Comma 51 3 2" xfId="41043" xr:uid="{65B99E67-1BCB-484D-A4B4-FDB3D11B074E}"/>
    <cellStyle name="Comma 51 4" xfId="41044" xr:uid="{63B29870-651B-4340-AFD8-75E860E0625C}"/>
    <cellStyle name="Comma 52" xfId="9880" xr:uid="{D482664B-C8E7-4C33-97C9-07A834269EAD}"/>
    <cellStyle name="Comma 52 2" xfId="9881" xr:uid="{ADA8EC48-66F2-4E73-9E36-96E647AFAFA2}"/>
    <cellStyle name="Comma 52 2 2" xfId="41045" xr:uid="{79D43919-CEB3-4550-AFB5-3EBED6CE7DFA}"/>
    <cellStyle name="Comma 52 3" xfId="9882" xr:uid="{1067ED87-2A43-4F71-BEC9-E579CE2D626F}"/>
    <cellStyle name="Comma 52 3 2" xfId="41046" xr:uid="{D4066583-26EF-4D7B-9054-598D56E4EE19}"/>
    <cellStyle name="Comma 52 4" xfId="41047" xr:uid="{B2E59208-8068-4348-8B54-E3E7D5CCFAEB}"/>
    <cellStyle name="Comma 53" xfId="9883" xr:uid="{26816B0B-E13F-47BF-8012-D4183605CC6B}"/>
    <cellStyle name="Comma 53 2" xfId="9884" xr:uid="{E91E1591-8B30-4AB5-9ED5-39997DED6907}"/>
    <cellStyle name="Comma 53 2 2" xfId="41048" xr:uid="{331FA9A9-9490-4182-A70A-0348A2C97BF5}"/>
    <cellStyle name="Comma 53 3" xfId="9885" xr:uid="{2602342B-EB0E-4DDD-B99C-0F732EF3825F}"/>
    <cellStyle name="Comma 53 3 2" xfId="41049" xr:uid="{57333A0F-B2DA-4108-9D51-57CCF36275F3}"/>
    <cellStyle name="Comma 53 4" xfId="41050" xr:uid="{4DD6258F-EB91-4F57-8763-6BAFA2A38C99}"/>
    <cellStyle name="Comma 54" xfId="9886" xr:uid="{C89B5A3D-5AD8-453F-9C26-CECC24EFEE39}"/>
    <cellStyle name="Comma 54 2" xfId="9887" xr:uid="{EBB71FD7-DFD0-4936-AB06-4FD1AD9A9719}"/>
    <cellStyle name="Comma 54 2 2" xfId="41051" xr:uid="{19D4C261-59A6-4BBA-8C45-3392B9F6BC81}"/>
    <cellStyle name="Comma 54 3" xfId="9888" xr:uid="{217FBEBC-24FA-4E8E-9316-0730C18E226A}"/>
    <cellStyle name="Comma 54 3 2" xfId="41052" xr:uid="{45D7B057-AD59-44A6-BCDC-3914D7C3BCC7}"/>
    <cellStyle name="Comma 54 4" xfId="41053" xr:uid="{29D4F1A6-A0EB-44A9-B53C-D8662761BA2F}"/>
    <cellStyle name="Comma 55" xfId="9889" xr:uid="{53A92E76-B335-4926-94F3-62E0B72E0769}"/>
    <cellStyle name="Comma 55 2" xfId="9890" xr:uid="{38D0D956-7CD2-4A74-A028-B8087C40437D}"/>
    <cellStyle name="Comma 55 2 2" xfId="41054" xr:uid="{CCF8E6ED-D56C-4E8E-B933-7C2B03AAA56B}"/>
    <cellStyle name="Comma 55 3" xfId="9891" xr:uid="{B1395D27-72A9-47DB-B03F-517F8ACECBEF}"/>
    <cellStyle name="Comma 55 3 2" xfId="41055" xr:uid="{CA629FFD-C8FB-4C6F-B61B-83CC6FE03156}"/>
    <cellStyle name="Comma 55 4" xfId="41056" xr:uid="{556A8750-72BD-4230-966E-D7C348D619F7}"/>
    <cellStyle name="Comma 56" xfId="9892" xr:uid="{CDDE5FFD-DE2C-4CBA-9B22-3D9A8739C2B8}"/>
    <cellStyle name="Comma 56 2" xfId="9893" xr:uid="{1B7EC352-02C3-4FA2-8B98-9AFC744F5AF8}"/>
    <cellStyle name="Comma 56 2 2" xfId="41057" xr:uid="{9ED86D3E-2EE7-4D76-8370-4B33E9882127}"/>
    <cellStyle name="Comma 56 3" xfId="9894" xr:uid="{5BD3781C-28E6-408C-8F77-41C4A0FAADF3}"/>
    <cellStyle name="Comma 56 3 2" xfId="41058" xr:uid="{05267D4C-F3EE-4613-998B-04BEDD20AA4D}"/>
    <cellStyle name="Comma 56 4" xfId="41059" xr:uid="{5B50AB6C-1E8E-405C-9AE1-EE6CD502ECF6}"/>
    <cellStyle name="Comma 57" xfId="9895" xr:uid="{AD846AB7-B74E-4C97-9673-4D9A3496CEC2}"/>
    <cellStyle name="Comma 57 2" xfId="9896" xr:uid="{EEB85569-66A1-4F8D-98C1-5AFEA8F0FB4E}"/>
    <cellStyle name="Comma 57 2 2" xfId="41060" xr:uid="{BA1CE712-1404-449D-ABDF-DC17FF3EE9F3}"/>
    <cellStyle name="Comma 57 3" xfId="9897" xr:uid="{95B71295-D37A-4AE6-AE5E-544CCE1260B0}"/>
    <cellStyle name="Comma 57 3 2" xfId="41061" xr:uid="{66725121-0E56-4845-A66A-1C3D3C66DA8B}"/>
    <cellStyle name="Comma 57 4" xfId="41062" xr:uid="{82D169E9-CD6C-4B3A-BD42-6E67BE327536}"/>
    <cellStyle name="Comma 58" xfId="9898" xr:uid="{244769C9-7FC6-4BE6-9DEC-A85A14040308}"/>
    <cellStyle name="Comma 58 2" xfId="9899" xr:uid="{CD6041E2-8363-40F5-BE16-A1C80158ED06}"/>
    <cellStyle name="Comma 58 2 2" xfId="41063" xr:uid="{EA0B06AD-4AEC-4BC5-919D-2AA2F5E84F38}"/>
    <cellStyle name="Comma 58 3" xfId="9900" xr:uid="{59D351FE-FC18-48EA-BDAC-4A855F73D8A5}"/>
    <cellStyle name="Comma 58 3 2" xfId="41064" xr:uid="{8E04E1E6-F706-4005-A028-2A54038146D2}"/>
    <cellStyle name="Comma 58 4" xfId="41065" xr:uid="{97E7161C-E8BC-4788-9A5D-1D2B0E4D86DB}"/>
    <cellStyle name="Comma 59" xfId="9901" xr:uid="{F3869953-7035-409B-8C41-3F9440050353}"/>
    <cellStyle name="Comma 59 2" xfId="9902" xr:uid="{E16FCC28-7013-4B0B-9202-B8BD133B026D}"/>
    <cellStyle name="Comma 59 2 2" xfId="41066" xr:uid="{08F12647-F33F-4A48-8BB7-42A2788395A2}"/>
    <cellStyle name="Comma 59 3" xfId="9903" xr:uid="{31E49348-880C-4C43-A2F9-8A314B4B7E83}"/>
    <cellStyle name="Comma 59 3 2" xfId="41067" xr:uid="{252F0037-9FDA-4FED-AA34-199308561027}"/>
    <cellStyle name="Comma 59 4" xfId="41068" xr:uid="{077E2647-6E39-4B3F-AEEE-1834441B79FD}"/>
    <cellStyle name="Comma 6" xfId="223" xr:uid="{461C50E8-CB18-4518-8E03-8750C707BA9D}"/>
    <cellStyle name="Comma 6 10" xfId="9904" xr:uid="{F02EFA0E-E1EA-4FDD-BCAE-262202126A8C}"/>
    <cellStyle name="Comma 6 11" xfId="9905" xr:uid="{64C46F4D-758D-4AF6-8D94-EAA93E99C377}"/>
    <cellStyle name="Comma 6 12" xfId="9906" xr:uid="{21360BAA-E06F-429D-AE82-820317554E73}"/>
    <cellStyle name="Comma 6 13" xfId="9907" xr:uid="{45C78319-F506-4EDB-8784-A37E8EDB82D2}"/>
    <cellStyle name="Comma 6 14" xfId="9908" xr:uid="{83A97C30-C232-4DE3-8EAD-130242F2A52A}"/>
    <cellStyle name="Comma 6 15" xfId="9909" xr:uid="{D8302E31-F52F-44E4-888E-C7399AF27DE3}"/>
    <cellStyle name="Comma 6 16" xfId="9910" xr:uid="{A2794F1C-66E6-400A-91F0-CC8EB0D86D81}"/>
    <cellStyle name="Comma 6 17" xfId="9911" xr:uid="{64F6258E-6590-4285-B46B-FC9D3B67C508}"/>
    <cellStyle name="Comma 6 18" xfId="41069" xr:uid="{D6AA91C9-7231-4FCC-B748-7C98F4B15907}"/>
    <cellStyle name="Comma 6 2" xfId="9912" xr:uid="{DCDB8B0B-B304-4946-977B-AD6C1D656990}"/>
    <cellStyle name="Comma 6 2 2" xfId="9913" xr:uid="{29EEBDF9-FC4C-45AC-9AB6-A1F61467052C}"/>
    <cellStyle name="Comma 6 2 2 2" xfId="41070" xr:uid="{3C15528B-9F9B-4608-BF99-8A4644038009}"/>
    <cellStyle name="Comma 6 2 2 3" xfId="43515" xr:uid="{BB2394BC-4D88-4968-BF9B-37ABEBA84A4B}"/>
    <cellStyle name="Comma 6 2 3" xfId="9914" xr:uid="{80369B77-939A-4585-B196-2A0481452658}"/>
    <cellStyle name="Comma 6 2 4" xfId="41071" xr:uid="{893AD7A5-08C5-4CE3-9924-ABA78CC70BAF}"/>
    <cellStyle name="Comma 6 3" xfId="9915" xr:uid="{6A404894-051D-43A2-BFB1-BC17C5222388}"/>
    <cellStyle name="Comma 6 3 2" xfId="9916" xr:uid="{E1090F93-3052-4ADB-BF12-084917CB3EF4}"/>
    <cellStyle name="Comma 6 3 2 2" xfId="41072" xr:uid="{5CEA7E0D-81F7-4539-893A-8E17678F8A41}"/>
    <cellStyle name="Comma 6 3 3" xfId="41073" xr:uid="{F9163F62-ED1C-4737-A4A6-088FAB61F077}"/>
    <cellStyle name="Comma 6 3 4" xfId="43499" xr:uid="{4C4DC208-752F-4974-B606-4BF5B4C08B6D}"/>
    <cellStyle name="Comma 6 4" xfId="224" xr:uid="{236A7351-BD4A-43B5-9833-AE4B250DCEA4}"/>
    <cellStyle name="Comma 6 4 2" xfId="9917" xr:uid="{8EFD56FA-344E-4873-8BE3-E523AA65163E}"/>
    <cellStyle name="Comma 6 4 2 2" xfId="9918" xr:uid="{EC3B336E-2C18-4D2B-8332-217F34366A01}"/>
    <cellStyle name="Comma 6 4 2 2 2" xfId="41074" xr:uid="{BA0694BB-F2BA-4824-8CD0-BABB1554DE2C}"/>
    <cellStyle name="Comma 6 4 2 3" xfId="41075" xr:uid="{25F9DBF0-4018-4171-A34C-BAFA04639164}"/>
    <cellStyle name="Comma 6 4 3" xfId="9919" xr:uid="{C3A514E8-CD44-4F6C-BE2A-BD9F5D74CFB4}"/>
    <cellStyle name="Comma 6 4 3 2" xfId="9920" xr:uid="{F0EDC206-7659-4B35-AC37-B72CCA4DFDED}"/>
    <cellStyle name="Comma 6 4 3 2 2" xfId="41076" xr:uid="{4D7A23BD-FC1B-41D8-89B1-94B603A97807}"/>
    <cellStyle name="Comma 6 4 3 3" xfId="41077" xr:uid="{3203111E-77A6-4F5C-8440-31887E39C42D}"/>
    <cellStyle name="Comma 6 4 4" xfId="9921" xr:uid="{42E4BB7E-789B-4E10-AF0A-CB6DBEDC84DA}"/>
    <cellStyle name="Comma 6 4 4 2" xfId="9922" xr:uid="{48C63680-9F26-4318-8D85-F2F1EA4623F5}"/>
    <cellStyle name="Comma 6 4 4 2 2" xfId="41078" xr:uid="{8FEDA16A-4CC4-4505-9279-BDEA81AF9977}"/>
    <cellStyle name="Comma 6 4 4 3" xfId="41079" xr:uid="{9EA1094A-F815-45DA-B435-9A04557DF7E9}"/>
    <cellStyle name="Comma 6 4 5" xfId="9923" xr:uid="{3D9B5797-62B8-4822-9B8D-036CC613741E}"/>
    <cellStyle name="Comma 6 4 5 2" xfId="41080" xr:uid="{F577BCAC-7128-4877-85D0-C87B110F0D39}"/>
    <cellStyle name="Comma 6 4 6" xfId="41081" xr:uid="{FFD5D48B-D458-4457-8E60-254E85CF18B6}"/>
    <cellStyle name="Comma 6 5" xfId="9924" xr:uid="{61F357E7-7CE0-40E7-948C-67D86E4BD1ED}"/>
    <cellStyle name="Comma 6 5 2" xfId="9925" xr:uid="{18466590-0615-4FE0-9214-8383B6124EA5}"/>
    <cellStyle name="Comma 6 5 2 2" xfId="41082" xr:uid="{8D25D820-D4D6-47E6-AC87-329831E993AD}"/>
    <cellStyle name="Comma 6 5 3" xfId="41083" xr:uid="{B9CD7AEB-5B08-4C14-BA82-133029D4D651}"/>
    <cellStyle name="Comma 6 6" xfId="9926" xr:uid="{A0A52E5E-81C7-41DB-9359-BC07FB8AF092}"/>
    <cellStyle name="Comma 6 6 2" xfId="41084" xr:uid="{3F03663F-94AC-4F08-9E77-DADDD807ADBC}"/>
    <cellStyle name="Comma 6 7" xfId="9927" xr:uid="{BA53231D-A84C-4988-9FB3-65C684942C62}"/>
    <cellStyle name="Comma 6 8" xfId="9928" xr:uid="{352C4365-C167-47C8-8F51-CAC59A18DE4F}"/>
    <cellStyle name="Comma 6 8 2" xfId="41085" xr:uid="{20D6F298-81FA-4A11-B7F1-B1F732C8F4AD}"/>
    <cellStyle name="Comma 6 9" xfId="9929" xr:uid="{93354546-8536-41CB-96B6-D975DAB869F7}"/>
    <cellStyle name="Comma 60" xfId="9930" xr:uid="{5D2F525C-9B99-43A3-B911-87E62EB190A6}"/>
    <cellStyle name="Comma 60 2" xfId="9931" xr:uid="{9E79EBD6-7CC7-4F30-997A-866307D15978}"/>
    <cellStyle name="Comma 60 2 2" xfId="41086" xr:uid="{9E595000-6E9C-4F53-AA22-2CC360B67B07}"/>
    <cellStyle name="Comma 60 3" xfId="9932" xr:uid="{022D8B6C-CB29-4E2B-B9CA-9BDD92218FE1}"/>
    <cellStyle name="Comma 60 3 2" xfId="41087" xr:uid="{55353A78-F196-4510-8A1A-7459A516ACF8}"/>
    <cellStyle name="Comma 60 4" xfId="41088" xr:uid="{1368A839-3FB6-4B56-944F-1B7A5A751246}"/>
    <cellStyle name="Comma 61" xfId="9933" xr:uid="{449FE304-4FA0-4C64-918A-8BF51BF66DA6}"/>
    <cellStyle name="Comma 61 2" xfId="9934" xr:uid="{D35EDB23-5321-4402-9363-474733C391D9}"/>
    <cellStyle name="Comma 61 2 2" xfId="41089" xr:uid="{2BA08782-063A-4FC5-8A57-53C5C75C8AC0}"/>
    <cellStyle name="Comma 61 3" xfId="9935" xr:uid="{87115ADE-F183-4244-A171-B4D79B42295D}"/>
    <cellStyle name="Comma 61 3 2" xfId="41090" xr:uid="{C16AB160-DA9F-402F-8816-5B3C5C97478A}"/>
    <cellStyle name="Comma 61 4" xfId="41091" xr:uid="{61B49BAF-1A01-47B4-90A2-8B22A680635E}"/>
    <cellStyle name="Comma 62" xfId="9936" xr:uid="{536A0CF0-86C6-461E-AD4E-340943028659}"/>
    <cellStyle name="Comma 62 2" xfId="9937" xr:uid="{402FEE7C-6C66-4A4E-89AB-719FA3FEE8C3}"/>
    <cellStyle name="Comma 62 2 2" xfId="41092" xr:uid="{D81AFF12-5C9E-4873-8BBC-A7012EF1D634}"/>
    <cellStyle name="Comma 62 3" xfId="9938" xr:uid="{256E635C-FFA0-4A92-BE04-3E140330B6C6}"/>
    <cellStyle name="Comma 62 3 2" xfId="41093" xr:uid="{920640E8-3CA3-49C3-BDAA-4CB019046A77}"/>
    <cellStyle name="Comma 62 4" xfId="41094" xr:uid="{832E7082-FD04-42D7-A2AD-0933A411EEFA}"/>
    <cellStyle name="Comma 63" xfId="9939" xr:uid="{C8C214E2-3905-4A99-9CD7-981FF7E0C3E2}"/>
    <cellStyle name="Comma 63 2" xfId="9940" xr:uid="{4FB7EBA9-6434-463B-9D13-027ED798DADA}"/>
    <cellStyle name="Comma 63 2 2" xfId="41095" xr:uid="{9711BF65-FFF9-45AF-9EF6-33BCA58165C0}"/>
    <cellStyle name="Comma 63 3" xfId="9941" xr:uid="{29DF339D-0C52-48EF-BC67-04C40AB70A13}"/>
    <cellStyle name="Comma 63 3 2" xfId="41096" xr:uid="{52177764-DAC3-46CE-BB72-244B16DBBE56}"/>
    <cellStyle name="Comma 63 4" xfId="41097" xr:uid="{604D8B13-92C8-4F89-B480-E9FB71A3456F}"/>
    <cellStyle name="Comma 64" xfId="9942" xr:uid="{97197CFF-9883-4FCF-9FC0-C86D1ECE6B79}"/>
    <cellStyle name="Comma 64 2" xfId="9943" xr:uid="{15F5AF13-82D2-4D01-A218-034B91086DAE}"/>
    <cellStyle name="Comma 64 2 2" xfId="41098" xr:uid="{3E3F6F55-805D-4812-A18F-7030C8212050}"/>
    <cellStyle name="Comma 64 3" xfId="9944" xr:uid="{AAB10F78-BEFA-490C-AFAA-E5966E3698F3}"/>
    <cellStyle name="Comma 64 3 2" xfId="41099" xr:uid="{2012DE16-8592-4BBF-B6C5-0077CE019AF7}"/>
    <cellStyle name="Comma 64 4" xfId="41100" xr:uid="{DA2764E7-1024-407B-9D2E-45A752757F6C}"/>
    <cellStyle name="Comma 65" xfId="9945" xr:uid="{33C151E0-FB9E-448F-9670-073325CF53F9}"/>
    <cellStyle name="Comma 65 2" xfId="9946" xr:uid="{3DB809C1-EAB5-40CB-BBAD-3B34441E5B86}"/>
    <cellStyle name="Comma 65 2 2" xfId="41101" xr:uid="{ED7B8314-7A7D-4DCF-BBFB-A0F1B3DA3196}"/>
    <cellStyle name="Comma 65 3" xfId="9947" xr:uid="{5DB7E86B-0133-4156-B9DD-709AFCC9E164}"/>
    <cellStyle name="Comma 65 3 2" xfId="41102" xr:uid="{D186A5CC-31D7-4CFC-A60A-701402A50A56}"/>
    <cellStyle name="Comma 65 4" xfId="41103" xr:uid="{548A7A97-DB25-480A-9B54-F75320EA8D7F}"/>
    <cellStyle name="Comma 66" xfId="9948" xr:uid="{94BBB904-EF02-47A9-859C-3062163F93C4}"/>
    <cellStyle name="Comma 66 2" xfId="9949" xr:uid="{00C017FC-C1DD-41AF-94A2-697417CAA3F8}"/>
    <cellStyle name="Comma 66 2 2" xfId="41104" xr:uid="{08CB4283-86AD-453F-B7FE-C73225EDF4AF}"/>
    <cellStyle name="Comma 66 3" xfId="9950" xr:uid="{B8E1EE15-F7AF-4260-82CC-6889777092B5}"/>
    <cellStyle name="Comma 66 3 2" xfId="41105" xr:uid="{D7A426ED-3F61-4B01-994C-FB63F1EE2B27}"/>
    <cellStyle name="Comma 66 4" xfId="41106" xr:uid="{9F62DD2D-A6A7-4373-8286-A3206681472E}"/>
    <cellStyle name="Comma 67" xfId="9951" xr:uid="{4934E619-4B0E-42C1-B9C7-9F52B7F21EC0}"/>
    <cellStyle name="Comma 67 2" xfId="9952" xr:uid="{74B57E1F-A107-4FD2-BBDC-EB8744F6F56B}"/>
    <cellStyle name="Comma 67 2 2" xfId="41107" xr:uid="{F9AD155F-14DD-451C-A3E0-25B7CDABD542}"/>
    <cellStyle name="Comma 67 3" xfId="9953" xr:uid="{EB1E1043-D99D-4395-A4C1-4592572CA78A}"/>
    <cellStyle name="Comma 67 3 2" xfId="41108" xr:uid="{03197AAF-9414-409B-93BE-E19225919119}"/>
    <cellStyle name="Comma 67 4" xfId="41109" xr:uid="{98036FEF-56C5-4E38-8F63-853CEE385579}"/>
    <cellStyle name="Comma 68" xfId="9954" xr:uid="{69A2B7B2-B7F6-47E6-8F4C-FBDB09BFA176}"/>
    <cellStyle name="Comma 68 2" xfId="9955" xr:uid="{63C0DC19-1014-4C58-BBE3-287EA143C715}"/>
    <cellStyle name="Comma 68 2 2" xfId="41110" xr:uid="{C2ECEC2E-B98B-42DD-9F01-89842404B37B}"/>
    <cellStyle name="Comma 68 3" xfId="9956" xr:uid="{B6DC3C7C-809A-475A-9E64-8BD806CFCACD}"/>
    <cellStyle name="Comma 68 3 2" xfId="41111" xr:uid="{6B6BB949-77D4-473C-BEB3-6FC441A52172}"/>
    <cellStyle name="Comma 68 4" xfId="41112" xr:uid="{0C9F15AC-40E4-4E12-A982-196F44449A89}"/>
    <cellStyle name="Comma 69" xfId="9957" xr:uid="{FA5F20C7-D6BE-4449-B7FE-D1BC1D2019CC}"/>
    <cellStyle name="Comma 69 2" xfId="9958" xr:uid="{E8EC5820-E50D-43AD-BD70-1BD24C766F80}"/>
    <cellStyle name="Comma 69 2 2" xfId="41113" xr:uid="{0311A029-1640-46DC-B28D-100C8769DEDE}"/>
    <cellStyle name="Comma 69 3" xfId="9959" xr:uid="{9481F963-E182-43ED-AE52-C02663AA21FB}"/>
    <cellStyle name="Comma 69 3 2" xfId="41114" xr:uid="{B41B4AB7-06C8-491A-B2AA-B933640D86B7}"/>
    <cellStyle name="Comma 69 4" xfId="41115" xr:uid="{06125D93-09AC-46C9-8684-CCF7E477BE04}"/>
    <cellStyle name="Comma 7" xfId="225" xr:uid="{066877F9-E60E-4559-B2DD-9ACFE50F45D8}"/>
    <cellStyle name="Comma 7 10" xfId="9960" xr:uid="{D5CD777B-F5E3-4A6A-917B-7733D4B2C31E}"/>
    <cellStyle name="Comma 7 11" xfId="9961" xr:uid="{749CA204-FDF7-42F5-AFB0-DC374DF4B65D}"/>
    <cellStyle name="Comma 7 12" xfId="9962" xr:uid="{DFC76616-BD6D-4FA6-8CD7-DE9F9903EBD4}"/>
    <cellStyle name="Comma 7 13" xfId="9963" xr:uid="{4408687D-DCFA-4C0F-A712-CA6B82257DD3}"/>
    <cellStyle name="Comma 7 14" xfId="9964" xr:uid="{DC39698F-EE9A-4561-A3F0-E6677C93B394}"/>
    <cellStyle name="Comma 7 15" xfId="9965" xr:uid="{629E7AD5-AA75-4466-9360-072FE2CA0F4F}"/>
    <cellStyle name="Comma 7 16" xfId="9966" xr:uid="{9549868B-388C-4C7D-8272-3D75EB45D3CB}"/>
    <cellStyle name="Comma 7 17" xfId="9967" xr:uid="{E2D0C0EA-1BEF-4AED-BCCF-A14C7930D309}"/>
    <cellStyle name="Comma 7 18" xfId="9968" xr:uid="{9B1478FD-650A-41D1-B757-FE97385A9CEC}"/>
    <cellStyle name="Comma 7 2" xfId="9969" xr:uid="{6C1A3412-642C-4FDE-B8C5-D24E8987D18E}"/>
    <cellStyle name="Comma 7 2 2" xfId="9970" xr:uid="{A6A657D4-6719-4D32-A8E9-4DE4A653A58E}"/>
    <cellStyle name="Comma 7 2 3" xfId="9971" xr:uid="{CE35157A-3CE5-432C-9877-3E0D01F27A94}"/>
    <cellStyle name="Comma 7 2 4" xfId="41116" xr:uid="{956E0067-7350-4C33-8E44-13AC5A029EC9}"/>
    <cellStyle name="Comma 7 3" xfId="9972" xr:uid="{CB2A2843-0A8A-4C13-AE3A-5A7D459769E6}"/>
    <cellStyle name="Comma 7 3 2" xfId="9973" xr:uid="{964D1DA7-8030-46EE-828A-C701CF83F93A}"/>
    <cellStyle name="Comma 7 3 3" xfId="9974" xr:uid="{2B6641F4-F4E6-49CB-A2AB-1B9E956FA346}"/>
    <cellStyle name="Comma 7 4" xfId="9975" xr:uid="{072B558E-BFE9-4AB0-892C-0DE8C654A253}"/>
    <cellStyle name="Comma 7 4 2" xfId="9976" xr:uid="{E6D22CE8-0B22-4B2C-BBEB-35C90380A478}"/>
    <cellStyle name="Comma 7 4 3" xfId="41117" xr:uid="{6897D2DD-1E56-428B-8B1D-9DCF36EB583B}"/>
    <cellStyle name="Comma 7 5" xfId="9977" xr:uid="{DCC483FC-283D-43AE-9A47-143EC8A256B3}"/>
    <cellStyle name="Comma 7 5 2" xfId="9978" xr:uid="{F4C988A1-3D30-4512-ACCD-0B399C8CEDDB}"/>
    <cellStyle name="Comma 7 6" xfId="226" xr:uid="{37F75AF7-FB0B-4756-8309-8578FCC12902}"/>
    <cellStyle name="Comma 7 6 2" xfId="9979" xr:uid="{8536DA71-E378-48A2-BCD7-26C22200AC09}"/>
    <cellStyle name="Comma 7 7" xfId="9980" xr:uid="{C277B44E-D9D7-4D43-8511-8CB860AEC0E6}"/>
    <cellStyle name="Comma 7 8" xfId="9981" xr:uid="{AEF05730-C899-479E-8044-4403A1728339}"/>
    <cellStyle name="Comma 7 9" xfId="9982" xr:uid="{65671615-BC85-4D20-99EF-229D2B0BA8E9}"/>
    <cellStyle name="Comma 70" xfId="9983" xr:uid="{1852532D-E402-4080-945B-2D3DA792EE04}"/>
    <cellStyle name="Comma 70 2" xfId="9984" xr:uid="{348A6B72-FDD8-4792-911D-D14FA6B41453}"/>
    <cellStyle name="Comma 70 2 2" xfId="41118" xr:uid="{0605A715-F9F4-4352-A392-BC8CA432C818}"/>
    <cellStyle name="Comma 70 3" xfId="9985" xr:uid="{14C4F434-849B-4647-B084-7D5C48B1CBAB}"/>
    <cellStyle name="Comma 70 3 2" xfId="41119" xr:uid="{4ECBE3F6-5DAA-4FAA-9F43-40FD3BB47C92}"/>
    <cellStyle name="Comma 70 4" xfId="41120" xr:uid="{3A2705F1-36D5-4B74-A6AA-F2F1ADAB7579}"/>
    <cellStyle name="Comma 71" xfId="9986" xr:uid="{0A426108-C36E-48B9-AC76-F5E3805729FB}"/>
    <cellStyle name="Comma 71 2" xfId="9987" xr:uid="{EF7B3A3B-9F4D-4493-A0FF-24F2FEF99902}"/>
    <cellStyle name="Comma 71 2 2" xfId="41121" xr:uid="{26D30528-AADC-4273-9122-1CBCD16A7891}"/>
    <cellStyle name="Comma 71 3" xfId="9988" xr:uid="{61393FDA-BACB-4E66-88E2-5960CFF4E664}"/>
    <cellStyle name="Comma 71 3 2" xfId="41122" xr:uid="{21003C56-556B-4101-AF19-2FEB1A294ABE}"/>
    <cellStyle name="Comma 71 4" xfId="41123" xr:uid="{A6DC6EAB-A79A-47FE-BCE6-714D284A22B5}"/>
    <cellStyle name="Comma 72" xfId="9989" xr:uid="{11814139-272C-4410-801A-FF051B69800C}"/>
    <cellStyle name="Comma 72 2" xfId="9990" xr:uid="{B3CBEF49-29F4-4CCE-A1D6-615F153DD7EF}"/>
    <cellStyle name="Comma 72 2 2" xfId="41124" xr:uid="{343F1403-F7D7-4CB2-A40F-CC0D1DC03493}"/>
    <cellStyle name="Comma 72 3" xfId="9991" xr:uid="{28B2E597-F7F9-479E-B4B7-28BF3442F0AC}"/>
    <cellStyle name="Comma 72 3 2" xfId="41125" xr:uid="{C39CB194-3F74-49F5-8906-E3DD981AD6F3}"/>
    <cellStyle name="Comma 72 4" xfId="41126" xr:uid="{53641AA3-BA54-473B-86B4-C42B0B7F83A7}"/>
    <cellStyle name="Comma 73" xfId="9992" xr:uid="{66510EF1-82E2-4146-9DF5-B05E374DFD09}"/>
    <cellStyle name="Comma 73 2" xfId="9993" xr:uid="{82B81EB8-D930-4C9D-9A8A-7858CBD25EF8}"/>
    <cellStyle name="Comma 73 2 2" xfId="9994" xr:uid="{35A6D2EF-7875-4E4E-AA5A-526852FE90FA}"/>
    <cellStyle name="Comma 73 2 3" xfId="41127" xr:uid="{B57A913E-EC52-48B8-9397-F838DE8DC555}"/>
    <cellStyle name="Comma 73 3" xfId="9995" xr:uid="{79B04644-FD56-4B22-8603-03DDE800FB76}"/>
    <cellStyle name="Comma 73 3 2" xfId="41128" xr:uid="{66B82274-B6FC-4D76-97E0-30BC807CB977}"/>
    <cellStyle name="Comma 73 4" xfId="41129" xr:uid="{251391E0-E476-479B-BB12-B05AABE68083}"/>
    <cellStyle name="Comma 74" xfId="9996" xr:uid="{C2AF58F8-C619-4D3C-9456-D2503C97B880}"/>
    <cellStyle name="Comma 74 2" xfId="9997" xr:uid="{D929BF31-A906-49A7-A9F0-8D314A5807AF}"/>
    <cellStyle name="Comma 74 2 2" xfId="41130" xr:uid="{AB9BDA62-C9AF-44B3-B0F4-2F54B9600A00}"/>
    <cellStyle name="Comma 74 3" xfId="9998" xr:uid="{2E9B2D3B-EFE0-4A10-8893-026F9ABBAEDE}"/>
    <cellStyle name="Comma 74 3 2" xfId="41131" xr:uid="{C4F2DC23-71B8-43A3-A15A-8949DA5F3CC7}"/>
    <cellStyle name="Comma 74 4" xfId="41132" xr:uid="{D32E3B74-3279-4D11-B3F6-16485FD989DC}"/>
    <cellStyle name="Comma 75" xfId="9999" xr:uid="{FC047A27-5C9A-4730-83A5-F1DCF4CBB2FD}"/>
    <cellStyle name="Comma 75 2" xfId="10000" xr:uid="{6731ADDE-6B05-40C7-A1AB-86611D4903F2}"/>
    <cellStyle name="Comma 75 2 2" xfId="41133" xr:uid="{7C271F1F-8367-495B-A8EF-2D919A73108A}"/>
    <cellStyle name="Comma 75 3" xfId="10001" xr:uid="{C9E012AC-3DC7-4ED4-BD01-FD7A90C0843B}"/>
    <cellStyle name="Comma 75 3 2" xfId="41134" xr:uid="{125EBAD0-5F2E-4629-B41D-E6B408D666D0}"/>
    <cellStyle name="Comma 75 4" xfId="41135" xr:uid="{1B602719-B4B0-4F02-B8D9-1B692602B5BD}"/>
    <cellStyle name="Comma 76" xfId="10002" xr:uid="{AE5C9699-9AAB-430C-9437-852F834E8D8E}"/>
    <cellStyle name="Comma 76 2" xfId="10003" xr:uid="{3AFC8F7A-C463-4B22-86E8-BB5B69F69AC6}"/>
    <cellStyle name="Comma 76 2 2" xfId="41136" xr:uid="{CFCF853A-52AD-46ED-B678-7BCDE073D9AF}"/>
    <cellStyle name="Comma 76 3" xfId="10004" xr:uid="{AE530BC4-5A31-463A-AEF6-B3E45206EC54}"/>
    <cellStyle name="Comma 76 3 2" xfId="41137" xr:uid="{7B5BD4D2-263A-47C0-9E06-A459503D81FC}"/>
    <cellStyle name="Comma 76 4" xfId="41138" xr:uid="{CB4762E0-2D68-4BEC-A9E9-C4262C89DC5A}"/>
    <cellStyle name="Comma 77" xfId="10005" xr:uid="{262128D0-3302-4F76-B031-9C193A1122C6}"/>
    <cellStyle name="Comma 77 2" xfId="10006" xr:uid="{3A45BA74-F0C2-46CF-ADF8-5F5997DC72A8}"/>
    <cellStyle name="Comma 77 2 2" xfId="41139" xr:uid="{4BF62C64-EAB8-468C-99B2-65BEBD21680E}"/>
    <cellStyle name="Comma 77 3" xfId="10007" xr:uid="{CEE7D189-1463-46F3-B9F2-CB2462887564}"/>
    <cellStyle name="Comma 77 3 2" xfId="41140" xr:uid="{9E37AAB1-1BF3-4C85-9302-35C28FC958CF}"/>
    <cellStyle name="Comma 77 4" xfId="41141" xr:uid="{7AA38B1F-9B73-4C97-BCA8-97CDBC9A9A1E}"/>
    <cellStyle name="Comma 78" xfId="10008" xr:uid="{D0BD8717-19C1-4C3F-B0C0-66CB426117C0}"/>
    <cellStyle name="Comma 78 2" xfId="10009" xr:uid="{33FEDA45-8E05-45F1-A08F-4D5C48243949}"/>
    <cellStyle name="Comma 78 2 2" xfId="41142" xr:uid="{724AC287-6592-458B-BEFF-F1C36D273FB7}"/>
    <cellStyle name="Comma 78 3" xfId="10010" xr:uid="{04A9E0DD-EDE6-45FA-9827-17046432CE1B}"/>
    <cellStyle name="Comma 78 3 2" xfId="41143" xr:uid="{EFDBD432-5B98-48DB-9EF9-24A53D09311A}"/>
    <cellStyle name="Comma 78 4" xfId="41144" xr:uid="{70FE6D97-98DD-47D8-95FB-CFEC3E8E4118}"/>
    <cellStyle name="Comma 79" xfId="10011" xr:uid="{528F3E38-9285-4AF1-8255-A493440DBF4D}"/>
    <cellStyle name="Comma 79 2" xfId="10012" xr:uid="{34AEA1F3-7B32-4E49-A153-42F34FB2D69B}"/>
    <cellStyle name="Comma 79 2 2" xfId="41145" xr:uid="{5EDB9685-F493-4A51-A51A-9007C39ADE2E}"/>
    <cellStyle name="Comma 79 3" xfId="10013" xr:uid="{CD0551D6-62B4-449F-8128-EFF1DC60DBA8}"/>
    <cellStyle name="Comma 79 3 2" xfId="41146" xr:uid="{D587B0DC-5A3C-417B-A710-4E2C16C31C67}"/>
    <cellStyle name="Comma 79 4" xfId="41147" xr:uid="{1032C9D0-DA6F-4D1A-8ADB-F834ABA5F6DD}"/>
    <cellStyle name="Comma 8" xfId="227" xr:uid="{25900C82-021F-4EC3-890F-7C038D3D0165}"/>
    <cellStyle name="Comma 8 10" xfId="10014" xr:uid="{174C4FCE-E391-4CBC-AC00-CF7A4AA65A03}"/>
    <cellStyle name="Comma 8 11" xfId="10015" xr:uid="{221850BB-483E-4671-8BC2-A431F2E45A24}"/>
    <cellStyle name="Comma 8 12" xfId="10016" xr:uid="{6E778AEE-87CB-4676-AD43-15B758610A26}"/>
    <cellStyle name="Comma 8 13" xfId="10017" xr:uid="{5A681BF3-20CB-4DF8-8BB7-75EEF12E6962}"/>
    <cellStyle name="Comma 8 14" xfId="10018" xr:uid="{21520C93-3F50-40C8-A42B-4707A33B9CDD}"/>
    <cellStyle name="Comma 8 15" xfId="10019" xr:uid="{6909EA2F-3A99-4A57-8CAA-36351EDD8953}"/>
    <cellStyle name="Comma 8 16" xfId="10020" xr:uid="{701BF02E-AEEA-4ED1-81BB-4CEBC6B6718B}"/>
    <cellStyle name="Comma 8 17" xfId="10021" xr:uid="{E5337FEC-60FA-423F-91A8-5B571A20F042}"/>
    <cellStyle name="Comma 8 18" xfId="10022" xr:uid="{83115982-B104-435D-B1EF-A511C6AB2990}"/>
    <cellStyle name="Comma 8 19" xfId="41148" xr:uid="{18AB96FC-0065-4B6C-AB00-59CDAC435B8F}"/>
    <cellStyle name="Comma 8 2" xfId="228" xr:uid="{E0A9DAC7-164D-43AB-95A0-D497D20E407E}"/>
    <cellStyle name="Comma 8 2 2" xfId="10023" xr:uid="{7BD612DA-AB12-47B8-AADD-317ED5D937D1}"/>
    <cellStyle name="Comma 8 2 2 2" xfId="10024" xr:uid="{E3E59DAB-2510-4528-8B41-72FBFBD90CCB}"/>
    <cellStyle name="Comma 8 2 2 2 2" xfId="41149" xr:uid="{4E590882-787B-470A-B133-02B7D1D32208}"/>
    <cellStyle name="Comma 8 2 2 3" xfId="41150" xr:uid="{9CA17FA3-93C5-40D3-BED6-FD537C11A9EB}"/>
    <cellStyle name="Comma 8 2 3" xfId="10025" xr:uid="{0C144413-39DC-47CB-B0CB-446AE9FEC501}"/>
    <cellStyle name="Comma 8 2 3 2" xfId="10026" xr:uid="{7CAD3862-2FB9-4824-92B5-530999BE917B}"/>
    <cellStyle name="Comma 8 2 3 2 2" xfId="41151" xr:uid="{7EA37EB6-B1A7-4574-9EEB-6ECFB300CE8D}"/>
    <cellStyle name="Comma 8 2 3 3" xfId="10027" xr:uid="{3380B9F8-184F-4779-81C0-CF6805D80CED}"/>
    <cellStyle name="Comma 8 2 3 4" xfId="41152" xr:uid="{A202ED96-F135-4578-9ACC-7C42AEC318E0}"/>
    <cellStyle name="Comma 8 2 4" xfId="10028" xr:uid="{C0A4BDA3-1823-4BED-B13A-350460532F5B}"/>
    <cellStyle name="Comma 8 2 4 2" xfId="10029" xr:uid="{4D581218-BAD5-483D-8A10-90ABF2A2CBB4}"/>
    <cellStyle name="Comma 8 2 4 2 2" xfId="41153" xr:uid="{D42EFD84-3A8E-490A-BB4E-0B9C5167987A}"/>
    <cellStyle name="Comma 8 2 4 3" xfId="41154" xr:uid="{660112CF-5A4E-44FE-9506-37E0FF317C73}"/>
    <cellStyle name="Comma 8 2 5" xfId="10030" xr:uid="{E722AE34-110C-4D18-8A9C-78FEE0B4ECCF}"/>
    <cellStyle name="Comma 8 2 5 2" xfId="41155" xr:uid="{726087FA-7A90-43FD-AE0F-DB1E4E95B4AC}"/>
    <cellStyle name="Comma 8 2 6" xfId="41156" xr:uid="{DD2A2BD7-40B8-4069-B33B-221AE686867A}"/>
    <cellStyle name="Comma 8 3" xfId="10031" xr:uid="{2F32B7B1-925F-4457-9FDE-D2CDDA93C88F}"/>
    <cellStyle name="Comma 8 3 2" xfId="10032" xr:uid="{E792BE39-D3E8-4276-9889-9AF98A57CF0C}"/>
    <cellStyle name="Comma 8 3 2 2" xfId="10033" xr:uid="{7D7CA62B-AEF0-422C-8A67-AC0A30EC75D7}"/>
    <cellStyle name="Comma 8 3 2 3" xfId="10034" xr:uid="{D2670A05-6F0B-4CE2-B693-B5C615C6448B}"/>
    <cellStyle name="Comma 8 3 3" xfId="10035" xr:uid="{E9495568-B5F9-4DED-84DF-363C9D8A6C3C}"/>
    <cellStyle name="Comma 8 3 4" xfId="10036" xr:uid="{50F7B701-9A11-4CA1-9706-982D19447648}"/>
    <cellStyle name="Comma 8 4" xfId="10037" xr:uid="{8EA6D1B5-B686-4164-AC76-4E2EC3690EC1}"/>
    <cellStyle name="Comma 8 4 2" xfId="10038" xr:uid="{465551CD-8C04-4CA9-A398-8CA455FE0BCA}"/>
    <cellStyle name="Comma 8 4 2 2" xfId="10039" xr:uid="{B1A75776-81A2-4120-8D11-6EEB08175A8F}"/>
    <cellStyle name="Comma 8 4 3" xfId="10040" xr:uid="{6194E093-3932-4DAE-BDB0-EBC52883BF82}"/>
    <cellStyle name="Comma 8 4 3 2" xfId="10041" xr:uid="{2E0A70B1-7C00-439E-955F-49DE06371000}"/>
    <cellStyle name="Comma 8 4 3 3" xfId="10042" xr:uid="{54D302FE-335E-4157-9851-BBBCE09820FC}"/>
    <cellStyle name="Comma 8 4 4" xfId="10043" xr:uid="{A8CA2691-C699-4FC8-ACE1-305D6720E1D8}"/>
    <cellStyle name="Comma 8 4 5" xfId="10044" xr:uid="{64462C60-21BD-4397-B4CF-4B20E9D06F66}"/>
    <cellStyle name="Comma 8 4 6" xfId="10045" xr:uid="{1BAA4DE1-9A0D-4BBC-B0C1-24A0F372CF34}"/>
    <cellStyle name="Comma 8 5" xfId="10046" xr:uid="{2CED7E88-154B-413F-824D-DED4676CCB5B}"/>
    <cellStyle name="Comma 8 5 2" xfId="10047" xr:uid="{E08FF836-1175-4BB1-839E-679AA347038E}"/>
    <cellStyle name="Comma 8 6" xfId="10048" xr:uid="{5F3D9E74-0211-4B78-A561-15865745D8E1}"/>
    <cellStyle name="Comma 8 6 2" xfId="41157" xr:uid="{46B8F811-BCC7-4D02-AE43-CFAC3B173982}"/>
    <cellStyle name="Comma 8 7" xfId="10049" xr:uid="{A6406086-7AF9-414B-9461-EF02CC4AF8DA}"/>
    <cellStyle name="Comma 8 8" xfId="10050" xr:uid="{0548FCF8-ED43-4B2B-826D-5714EB767783}"/>
    <cellStyle name="Comma 8 9" xfId="10051" xr:uid="{50D27A01-89B0-4F02-9E76-3B5952D90CA0}"/>
    <cellStyle name="Comma 80" xfId="10052" xr:uid="{EA3034D7-CF62-4289-8215-744260E36DB1}"/>
    <cellStyle name="Comma 80 2" xfId="10053" xr:uid="{6DFA19C0-9FCB-4BC0-85E4-31DFF4617BE2}"/>
    <cellStyle name="Comma 80 2 2" xfId="41158" xr:uid="{5DB0B3DE-761B-4031-A542-35D10A1D9D91}"/>
    <cellStyle name="Comma 80 3" xfId="10054" xr:uid="{79C18840-1E32-435C-A943-4BBF21430177}"/>
    <cellStyle name="Comma 80 3 2" xfId="41159" xr:uid="{C3B90443-DB79-40D7-B0F5-DFA0C169C418}"/>
    <cellStyle name="Comma 80 4" xfId="41160" xr:uid="{2259DF2E-6AC6-4190-B892-63C318CCD683}"/>
    <cellStyle name="Comma 81" xfId="10055" xr:uid="{8980E676-0474-40A4-A2E6-58DB9271B149}"/>
    <cellStyle name="Comma 81 2" xfId="10056" xr:uid="{96241EC8-0E49-4BB2-8A01-415B3E541A9F}"/>
    <cellStyle name="Comma 81 2 2" xfId="41161" xr:uid="{7A2C8393-1052-4568-9A9C-FF85DF595169}"/>
    <cellStyle name="Comma 81 3" xfId="10057" xr:uid="{E3B82E50-0221-4BC2-B0AB-126B212EECAA}"/>
    <cellStyle name="Comma 81 3 2" xfId="41162" xr:uid="{A0E2AFFE-6B47-4B05-9121-F2F4039004FF}"/>
    <cellStyle name="Comma 81 4" xfId="41163" xr:uid="{DE704276-B17F-40F5-AF05-114131EF2F84}"/>
    <cellStyle name="Comma 82" xfId="10058" xr:uid="{433BF06E-2059-4013-93D0-026490A30A9E}"/>
    <cellStyle name="Comma 82 2" xfId="10059" xr:uid="{F6FCF68F-62C6-4215-8556-583BC27BF805}"/>
    <cellStyle name="Comma 82 2 2" xfId="41164" xr:uid="{9D7B93CC-D3C3-4620-9536-E2E58F3B68EC}"/>
    <cellStyle name="Comma 82 3" xfId="10060" xr:uid="{8EDCAB3D-DFFC-4FFD-891F-A32E34DF36B7}"/>
    <cellStyle name="Comma 82 3 2" xfId="41165" xr:uid="{AC8A021C-2656-4BAB-8E85-D7DDFA522961}"/>
    <cellStyle name="Comma 82 4" xfId="41166" xr:uid="{E7F69844-DDF4-48F3-9C72-D8ABADCF286F}"/>
    <cellStyle name="Comma 83" xfId="10061" xr:uid="{4DB6E774-01DA-4060-816E-539D6F70F8C6}"/>
    <cellStyle name="Comma 83 2" xfId="10062" xr:uid="{DBFD165A-1BF2-4C89-B90A-5B53D7B8580A}"/>
    <cellStyle name="Comma 83 2 2" xfId="41167" xr:uid="{2019FC7F-D0BD-4234-BD1D-18B1DE7F352B}"/>
    <cellStyle name="Comma 83 3" xfId="10063" xr:uid="{BB57A855-1A09-419B-858A-597D63ED6AF4}"/>
    <cellStyle name="Comma 83 3 2" xfId="41168" xr:uid="{A07D2B66-8C4D-49C4-A78C-106F807934A7}"/>
    <cellStyle name="Comma 83 4" xfId="41169" xr:uid="{61B0099A-FD9C-4C37-ACCF-7F46DB519B3C}"/>
    <cellStyle name="Comma 84" xfId="10064" xr:uid="{9F235361-3F0A-4034-B4BE-951A3A8C06A9}"/>
    <cellStyle name="Comma 84 2" xfId="10065" xr:uid="{4BA93012-D467-4151-860C-21605B44361D}"/>
    <cellStyle name="Comma 84 2 2" xfId="41170" xr:uid="{3F63D173-9518-4628-93C6-BDE78758E737}"/>
    <cellStyle name="Comma 84 3" xfId="10066" xr:uid="{9BE661E1-3885-4242-A302-CF7445C64292}"/>
    <cellStyle name="Comma 84 3 2" xfId="41171" xr:uid="{3BB80492-18F3-4F33-94CF-A6B8A0947EC4}"/>
    <cellStyle name="Comma 84 4" xfId="41172" xr:uid="{0E473A7A-5BB6-44EE-96D0-E54A2BB3772A}"/>
    <cellStyle name="Comma 85" xfId="10067" xr:uid="{FEF7F200-13E5-4587-8494-C57E885847DC}"/>
    <cellStyle name="Comma 85 2" xfId="10068" xr:uid="{902DFFD5-71AE-488B-B6EA-37DF0C4960E9}"/>
    <cellStyle name="Comma 85 2 2" xfId="41173" xr:uid="{9933A392-E5A9-4F1A-976E-0600AD54D9E2}"/>
    <cellStyle name="Comma 85 3" xfId="10069" xr:uid="{4E345188-0887-409F-A9CD-257C123C66C3}"/>
    <cellStyle name="Comma 85 3 2" xfId="41174" xr:uid="{AC8123DF-D6DF-447E-A120-AD43DDC6E240}"/>
    <cellStyle name="Comma 85 4" xfId="41175" xr:uid="{51F74C1C-493D-4B72-AF08-4B5EFFF22D41}"/>
    <cellStyle name="Comma 86" xfId="10070" xr:uid="{0CABD53A-9201-4091-8226-CDC7441281AA}"/>
    <cellStyle name="Comma 86 2" xfId="10071" xr:uid="{CE22B77D-F894-43E6-9D11-91451675A951}"/>
    <cellStyle name="Comma 86 2 2" xfId="41176" xr:uid="{EA368FBF-18D9-4467-A1EE-40AD60B197F6}"/>
    <cellStyle name="Comma 86 3" xfId="10072" xr:uid="{25C54E16-8ACC-4E31-ADEC-5AB54F609239}"/>
    <cellStyle name="Comma 86 3 2" xfId="41177" xr:uid="{EE102508-C045-4B9C-8F6C-CDA864D8B883}"/>
    <cellStyle name="Comma 86 4" xfId="41178" xr:uid="{792ECD75-1D81-4F83-B4C1-D2B671FB8DBC}"/>
    <cellStyle name="Comma 87" xfId="10073" xr:uid="{C5547BB9-9172-4EEC-91B6-0D0EAAE823EB}"/>
    <cellStyle name="Comma 87 2" xfId="10074" xr:uid="{0591F9F7-1CF3-4C22-902C-EA17AD1B1875}"/>
    <cellStyle name="Comma 87 2 2" xfId="41179" xr:uid="{8332F2D3-C951-4BEE-ACE7-D8722EC29849}"/>
    <cellStyle name="Comma 87 3" xfId="10075" xr:uid="{B0694A0D-ACF9-4795-BBC7-7482F12C0D89}"/>
    <cellStyle name="Comma 87 3 2" xfId="41180" xr:uid="{A6794B0D-AE6A-438C-84E1-3C7A8F44A00C}"/>
    <cellStyle name="Comma 87 4" xfId="41181" xr:uid="{357F96BC-A275-4D41-9B4C-5B789FC743F6}"/>
    <cellStyle name="Comma 88" xfId="10076" xr:uid="{EDC36C8B-F813-4B97-B106-24566A8F3422}"/>
    <cellStyle name="Comma 88 2" xfId="10077" xr:uid="{635626AD-2C5D-4F10-B6D3-0D818C203727}"/>
    <cellStyle name="Comma 88 2 2" xfId="41182" xr:uid="{9BE8F3D5-A58A-48D5-A653-2312F6B0085D}"/>
    <cellStyle name="Comma 88 3" xfId="10078" xr:uid="{3E508A63-4CD7-4138-B532-3EE653A980D1}"/>
    <cellStyle name="Comma 88 3 2" xfId="41183" xr:uid="{B3608BAC-50FF-40EC-BE98-84C1DE084BF7}"/>
    <cellStyle name="Comma 88 4" xfId="41184" xr:uid="{DBF6D4E5-F36D-4C63-B0C8-9596BE609EF9}"/>
    <cellStyle name="Comma 89" xfId="10079" xr:uid="{9AA3E9F7-48CA-4136-ABD0-3198DED52965}"/>
    <cellStyle name="Comma 89 2" xfId="10080" xr:uid="{0903E319-FD17-4636-B7C3-CFC7A35826CE}"/>
    <cellStyle name="Comma 89 2 2" xfId="41185" xr:uid="{56D1F840-AD68-4D04-A5E6-F5732E651EF4}"/>
    <cellStyle name="Comma 89 3" xfId="10081" xr:uid="{AF85F0A8-29F8-4ADB-A25C-F9D77D83D2A8}"/>
    <cellStyle name="Comma 89 3 2" xfId="41186" xr:uid="{97274A97-1AD4-4776-97EE-24A8469BF75F}"/>
    <cellStyle name="Comma 89 4" xfId="41187" xr:uid="{2677AE3B-E59B-4359-BFFB-067ECECDE6CE}"/>
    <cellStyle name="Comma 9" xfId="229" xr:uid="{798DFF2A-E2B6-4B5F-91E9-E818DF6A3B42}"/>
    <cellStyle name="Comma 9 10" xfId="10082" xr:uid="{0CE2E22F-9FD9-46B8-8274-C8A0E7A1B629}"/>
    <cellStyle name="Comma 9 11" xfId="10083" xr:uid="{10131800-BAD7-437D-8723-DA5AD14DC1C0}"/>
    <cellStyle name="Comma 9 12" xfId="10084" xr:uid="{A070BAFD-5623-42E1-8C04-61AD8C5C71FB}"/>
    <cellStyle name="Comma 9 2" xfId="10085" xr:uid="{8A049EA3-9C89-4CE3-B743-1463217D82F9}"/>
    <cellStyle name="Comma 9 2 2" xfId="10086" xr:uid="{E094593C-88FE-4F7B-ABEA-B5D03A2ECE53}"/>
    <cellStyle name="Comma 9 2 2 2" xfId="10087" xr:uid="{5715BF76-791B-41AD-9056-7EDAD1BDBDF3}"/>
    <cellStyle name="Comma 9 2 3" xfId="10088" xr:uid="{646B2511-6BB8-4EF3-B0D9-81704AF2AEF4}"/>
    <cellStyle name="Comma 9 2 4" xfId="10089" xr:uid="{4D88C2D4-041D-4AFB-AE84-8D8A3BD8E53E}"/>
    <cellStyle name="Comma 9 3" xfId="10090" xr:uid="{2A5CEE2B-C99E-44D7-834F-198AF1F54A7F}"/>
    <cellStyle name="Comma 9 3 2" xfId="10091" xr:uid="{350B8BF9-4C85-4323-B9A3-AFFD05BE07C4}"/>
    <cellStyle name="Comma 9 3 3" xfId="10092" xr:uid="{3F8E90F2-AEDB-48AA-90F5-E47DD6806E9A}"/>
    <cellStyle name="Comma 9 4" xfId="10093" xr:uid="{ECD444ED-604C-45CC-8392-80166AD9C19A}"/>
    <cellStyle name="Comma 9 4 2" xfId="10094" xr:uid="{7EB883EE-4E1D-4BDC-979B-CFBBCCF0BC50}"/>
    <cellStyle name="Comma 9 4 3" xfId="10095" xr:uid="{F505357F-3172-4EA2-B711-71681D204B6A}"/>
    <cellStyle name="Comma 9 5" xfId="10096" xr:uid="{C0FCA7E0-CED2-49EC-9BC7-A51E8C29E533}"/>
    <cellStyle name="Comma 9 5 2" xfId="10097" xr:uid="{18B2B402-178A-48A9-9BF9-4CC2B73E51BF}"/>
    <cellStyle name="Comma 9 5 3" xfId="41188" xr:uid="{5FAE978D-0743-471B-9A50-341DC7CE4D6C}"/>
    <cellStyle name="Comma 9 6" xfId="10098" xr:uid="{E30C56A9-2BBE-4A55-91A9-A0E0BC4279A0}"/>
    <cellStyle name="Comma 9 6 2" xfId="10099" xr:uid="{C237EE4E-6DFC-4BC0-926D-E9FE1BEC22F0}"/>
    <cellStyle name="Comma 9 6 3" xfId="41189" xr:uid="{3210F9F8-4EB3-43D0-AA5F-622703C4DF08}"/>
    <cellStyle name="Comma 9 7" xfId="10100" xr:uid="{9D1FBCA7-DDEB-4CD8-B7F2-72D3644E247D}"/>
    <cellStyle name="Comma 9 8" xfId="10101" xr:uid="{6BBF39FA-7900-4FFC-8AFE-4F983895067F}"/>
    <cellStyle name="Comma 9 9" xfId="10102" xr:uid="{B7875B35-6B63-47B9-A7A5-9FFD55F92255}"/>
    <cellStyle name="Comma 90" xfId="10103" xr:uid="{D8745EBC-97CF-4CD6-AF25-FD0196703431}"/>
    <cellStyle name="Comma 90 2" xfId="10104" xr:uid="{D50E0A97-C3D3-4042-B793-53F0E4497AB2}"/>
    <cellStyle name="Comma 90 2 2" xfId="41190" xr:uid="{450666D6-C1CE-492C-AA23-E2400D65263F}"/>
    <cellStyle name="Comma 90 3" xfId="10105" xr:uid="{F317336E-9F30-4CD7-BF41-4ECD34E9A4C3}"/>
    <cellStyle name="Comma 90 3 2" xfId="41191" xr:uid="{87123EB9-97EE-4653-88D0-15C1027BB326}"/>
    <cellStyle name="Comma 90 4" xfId="41192" xr:uid="{DEA17EC9-28E7-409C-AD01-CF81AA3589A6}"/>
    <cellStyle name="Comma 91" xfId="10106" xr:uid="{38D13887-15F6-46C1-BE3D-2014F4CE6C86}"/>
    <cellStyle name="Comma 91 2" xfId="10107" xr:uid="{90D083F7-9FD9-4D87-BB28-C805F5268B2D}"/>
    <cellStyle name="Comma 91 2 2" xfId="41193" xr:uid="{89F75230-1EF0-48C7-B31F-33166E11BEA0}"/>
    <cellStyle name="Comma 91 3" xfId="10108" xr:uid="{330DB626-BC2C-438D-9B24-7722D89FA600}"/>
    <cellStyle name="Comma 91 3 2" xfId="41194" xr:uid="{087BFFF7-BF98-4625-A854-0B973C399AE1}"/>
    <cellStyle name="Comma 91 4" xfId="41195" xr:uid="{D90D7873-3D96-4A30-BBCF-90AC93C98F82}"/>
    <cellStyle name="Comma 92" xfId="10109" xr:uid="{648FFF52-2836-49A4-A738-AD3D586B7747}"/>
    <cellStyle name="Comma 92 2" xfId="10110" xr:uid="{7BBC38B3-7EE5-4093-878F-3315721F74D2}"/>
    <cellStyle name="Comma 92 2 2" xfId="41196" xr:uid="{DD776F39-B4C7-4CF5-834D-3EEA5CBE5892}"/>
    <cellStyle name="Comma 92 3" xfId="10111" xr:uid="{B862094D-2C75-4221-A667-5C73E808D535}"/>
    <cellStyle name="Comma 92 3 2" xfId="41197" xr:uid="{C8B79121-5972-47F5-B1E6-9C2DBB47577E}"/>
    <cellStyle name="Comma 92 4" xfId="41198" xr:uid="{06831E0E-7B94-413E-A8FC-6F497B154F14}"/>
    <cellStyle name="Comma 93" xfId="10112" xr:uid="{1BC4E847-CE30-4743-A4E6-A5F82182F51C}"/>
    <cellStyle name="Comma 93 2" xfId="10113" xr:uid="{4D9B3F57-F546-48C5-A30A-3FDF0DBCF34D}"/>
    <cellStyle name="Comma 93 2 2" xfId="41199" xr:uid="{3E74D782-CD8D-4300-86E3-81F797BB1D1A}"/>
    <cellStyle name="Comma 93 3" xfId="10114" xr:uid="{603C16CC-08B0-496C-A806-39F687968CB7}"/>
    <cellStyle name="Comma 93 3 2" xfId="41200" xr:uid="{A26F4714-2D51-4F6A-9D67-1FA31C4D7051}"/>
    <cellStyle name="Comma 93 4" xfId="41201" xr:uid="{77BEF9B8-C993-4E4D-9370-826283E1796C}"/>
    <cellStyle name="Comma 94" xfId="91" xr:uid="{31F9AFAC-5C0D-43D5-BA41-0B1249F04827}"/>
    <cellStyle name="Comma 94 2" xfId="10115" xr:uid="{57128A4A-BC8B-470F-914B-DBE21A89B334}"/>
    <cellStyle name="Comma 94 2 2" xfId="41202" xr:uid="{AE700F2A-2539-4430-89F9-68A9884F0F54}"/>
    <cellStyle name="Comma 94 3" xfId="10116" xr:uid="{33B7FEA5-8FAA-4121-BDDF-5854B3525FD7}"/>
    <cellStyle name="Comma 94 3 2" xfId="41203" xr:uid="{A16AE4CC-741D-4C4F-A685-4608C60154C6}"/>
    <cellStyle name="Comma 94 4" xfId="41204" xr:uid="{4401BFE7-4C67-4D0D-AEFC-E3F895400D77}"/>
    <cellStyle name="Comma 95" xfId="10117" xr:uid="{50852226-B5C8-4436-8FF1-D519E9A3B060}"/>
    <cellStyle name="Comma 95 2" xfId="10118" xr:uid="{B7862551-4581-4186-9DA4-A23D4613AAFD}"/>
    <cellStyle name="Comma 95 2 2" xfId="41205" xr:uid="{335669B6-5306-4AEA-B6CF-493B4B7D676D}"/>
    <cellStyle name="Comma 95 3" xfId="10119" xr:uid="{4A250FBC-6FB0-4CCC-9951-092DA03832FF}"/>
    <cellStyle name="Comma 95 3 2" xfId="41206" xr:uid="{CD017FB8-70AB-4A44-A4A5-9A2680E7EE8C}"/>
    <cellStyle name="Comma 95 4" xfId="41207" xr:uid="{FF3E3FA4-8B52-4528-A22C-664D009B98DE}"/>
    <cellStyle name="Comma 96" xfId="10120" xr:uid="{553CFF96-BB14-47A2-A83A-E1614AFEE0AF}"/>
    <cellStyle name="Comma 96 2" xfId="10121" xr:uid="{6F157572-2510-4F87-B527-629FF19794B8}"/>
    <cellStyle name="Comma 96 2 2" xfId="41208" xr:uid="{B009D895-038E-4188-AC0F-94803127D85B}"/>
    <cellStyle name="Comma 96 3" xfId="10122" xr:uid="{24C9174D-418F-49E4-B636-BE75F2FE5200}"/>
    <cellStyle name="Comma 96 3 2" xfId="41209" xr:uid="{09835221-815A-4231-8257-1C6094604372}"/>
    <cellStyle name="Comma 96 4" xfId="41210" xr:uid="{AA82AA7D-2768-4E65-AC57-45DDFC524BD5}"/>
    <cellStyle name="Comma 97" xfId="10123" xr:uid="{F0D8471D-523D-49DB-97DD-D62329D7EBEB}"/>
    <cellStyle name="Comma 97 2" xfId="10124" xr:uid="{C528E224-B94F-4F61-8AEC-3D0D205D7422}"/>
    <cellStyle name="Comma 97 2 2" xfId="41211" xr:uid="{DFDE1CA9-40C2-41DC-8B16-2B063ADAB175}"/>
    <cellStyle name="Comma 97 3" xfId="10125" xr:uid="{E5FEE1B6-A7F6-4A1F-8C10-687736DB520B}"/>
    <cellStyle name="Comma 97 3 2" xfId="41212" xr:uid="{35D08F12-A806-411D-97CB-AD365DE14FA3}"/>
    <cellStyle name="Comma 97 4" xfId="10126" xr:uid="{B6DE2F51-C943-4434-BF92-CDC25A7E9540}"/>
    <cellStyle name="Comma 97 5" xfId="41213" xr:uid="{08BF4220-902C-4F45-A245-6B741D473C8A}"/>
    <cellStyle name="Comma 98" xfId="10127" xr:uid="{E466D2B5-F26E-4290-9363-25445A7F751E}"/>
    <cellStyle name="Comma 98 2" xfId="10128" xr:uid="{3B9476BA-3497-4BC7-9E95-4E671A2A37F1}"/>
    <cellStyle name="Comma 98 2 2" xfId="41214" xr:uid="{FA4E2347-3852-45BA-B67F-6DEAA4F76D7E}"/>
    <cellStyle name="Comma 98 3" xfId="10129" xr:uid="{534F2A81-339B-4E4E-B9B4-4C70B4139F06}"/>
    <cellStyle name="Comma 98 3 2" xfId="41215" xr:uid="{AEFB6010-92A8-4FDC-BE40-F376C7F82978}"/>
    <cellStyle name="Comma 98 4" xfId="10130" xr:uid="{5A6C62C1-FD38-463D-B337-976020EA5E61}"/>
    <cellStyle name="Comma 98 5" xfId="41216" xr:uid="{E6EA0CA1-6197-4E33-A2D9-304A983EB464}"/>
    <cellStyle name="Comma 99" xfId="10131" xr:uid="{2220EDBC-120B-45B0-B2E9-94D60796D6F7}"/>
    <cellStyle name="Comma 99 2" xfId="10132" xr:uid="{82599007-ECEB-43F2-B008-4E1C6436463E}"/>
    <cellStyle name="Comma 99 2 2" xfId="41217" xr:uid="{C78E7CE6-20E7-426C-B859-42A1A5920483}"/>
    <cellStyle name="Comma 99 3" xfId="10133" xr:uid="{93A4DFA1-70B1-46C6-B99B-516C5C46CF49}"/>
    <cellStyle name="Comma 99 3 2" xfId="41218" xr:uid="{011E97E1-71A1-4EFF-84FF-C05263A412AA}"/>
    <cellStyle name="Comma 99 4" xfId="10134" xr:uid="{6070C580-38BC-473D-A17B-1D6457FA2BE9}"/>
    <cellStyle name="Comma 99 5" xfId="41219" xr:uid="{ACA2E068-BBD3-4524-B2FF-8D6578EA79CB}"/>
    <cellStyle name="Comma0" xfId="230" xr:uid="{F1554029-32B7-43A2-87FE-B3817B334A60}"/>
    <cellStyle name="Comma0 2" xfId="10135" xr:uid="{8C840971-440E-4CA5-87EB-19FBEF52AD34}"/>
    <cellStyle name="Comma0 2 10" xfId="10136" xr:uid="{D395A315-1F19-4ED0-9E75-880F877A0139}"/>
    <cellStyle name="Comma0 2 11" xfId="10137" xr:uid="{426302EE-7DAA-4E2E-A49D-7B24036A7B78}"/>
    <cellStyle name="Comma0 2 12" xfId="10138" xr:uid="{555FDB73-27D1-439C-8FF6-43871840122F}"/>
    <cellStyle name="Comma0 2 13" xfId="10139" xr:uid="{FA7957B8-71EB-4444-ACFA-EB3741064148}"/>
    <cellStyle name="Comma0 2 14" xfId="10140" xr:uid="{1BC95C15-EED9-4269-B2DB-D22043B8EFFC}"/>
    <cellStyle name="Comma0 2 15" xfId="10141" xr:uid="{0C25FDF4-2D7D-40EF-A859-E36E959CDD11}"/>
    <cellStyle name="Comma0 2 16" xfId="10142" xr:uid="{FEDAF999-32AC-4936-BC20-D7644C02E61B}"/>
    <cellStyle name="Comma0 2 17" xfId="10143" xr:uid="{227A2B18-C6A5-40FC-9FEA-945462EC991C}"/>
    <cellStyle name="Comma0 2 18" xfId="10144" xr:uid="{1748F7AA-B75D-463A-BCC0-CDFED772D329}"/>
    <cellStyle name="Comma0 2 19" xfId="10145" xr:uid="{64210E1E-1D64-4965-A8C0-C561A06865EA}"/>
    <cellStyle name="Comma0 2 2" xfId="10146" xr:uid="{36AE46BA-266B-45EC-9076-5692E72BF883}"/>
    <cellStyle name="Comma0 2 2 2" xfId="10147" xr:uid="{9F0E0505-16F0-410E-B74C-254FD24A9D88}"/>
    <cellStyle name="Comma0 2 2 3" xfId="10148" xr:uid="{DCDAAB8B-3EAE-451D-9913-1CE576427789}"/>
    <cellStyle name="Comma0 2 2 4" xfId="10149" xr:uid="{D68341C6-3558-4417-A04A-10D2D5EFB2CA}"/>
    <cellStyle name="Comma0 2 20" xfId="10150" xr:uid="{D1D2E7BB-AD45-4FF5-A29D-429D6FF302ED}"/>
    <cellStyle name="Comma0 2 21" xfId="10151" xr:uid="{A8739A63-5541-4924-A6C1-BB964B5907A7}"/>
    <cellStyle name="Comma0 2 22" xfId="10152" xr:uid="{83BB3AF0-AEA2-4DE1-81EC-DD620B5E5BCD}"/>
    <cellStyle name="Comma0 2 23" xfId="10153" xr:uid="{26B123C0-46D3-49FC-9755-CF93A80BF61B}"/>
    <cellStyle name="Comma0 2 24" xfId="10154" xr:uid="{8E194CF8-1526-4BBB-A43E-A56D86D1DDA8}"/>
    <cellStyle name="Comma0 2 25" xfId="10155" xr:uid="{AA5AAC77-601E-45D2-8F9B-4DE0A2A0EDBB}"/>
    <cellStyle name="Comma0 2 26" xfId="10156" xr:uid="{63E33482-5CB0-4595-8F0A-00D9E0C73A0A}"/>
    <cellStyle name="Comma0 2 27" xfId="10157" xr:uid="{ECC65407-8B24-426E-A055-D6E345F85C19}"/>
    <cellStyle name="Comma0 2 3" xfId="10158" xr:uid="{51DD4C0D-6CDE-4B68-9B53-B3BB34150661}"/>
    <cellStyle name="Comma0 2 3 2" xfId="10159" xr:uid="{93E16EA5-7D32-49CE-AF49-799711418EB2}"/>
    <cellStyle name="Comma0 2 3 3" xfId="10160" xr:uid="{C1047113-EBED-4EF8-B223-DACDED86E67F}"/>
    <cellStyle name="Comma0 2 3 4" xfId="10161" xr:uid="{2279EC4E-7321-46BE-8662-C6F5460FF234}"/>
    <cellStyle name="Comma0 2 4" xfId="10162" xr:uid="{6A5ACFFB-FAB7-4B11-8491-4BD848D06A6E}"/>
    <cellStyle name="Comma0 2 4 2" xfId="10163" xr:uid="{C60D6D15-FBBD-44D2-8EC2-3B0ADFD4BC2F}"/>
    <cellStyle name="Comma0 2 4 3" xfId="10164" xr:uid="{D078A51B-9688-4AEA-AD9A-BCA7FC1339ED}"/>
    <cellStyle name="Comma0 2 4 4" xfId="10165" xr:uid="{C4675FF8-19A6-4C31-8781-CCB1DAD927B2}"/>
    <cellStyle name="Comma0 2 5" xfId="10166" xr:uid="{1A308F80-3449-4E38-ABA4-CBF39FC18022}"/>
    <cellStyle name="Comma0 2 5 2" xfId="10167" xr:uid="{9106F087-3091-4F27-A7B3-990275AFB071}"/>
    <cellStyle name="Comma0 2 5 3" xfId="10168" xr:uid="{8C445C91-7A8D-4525-8576-9BC24B6B54CC}"/>
    <cellStyle name="Comma0 2 5 4" xfId="10169" xr:uid="{53A19E8D-C9CB-42BB-A3CC-98C49A83299E}"/>
    <cellStyle name="Comma0 2 6" xfId="10170" xr:uid="{FEBD4614-0C8F-413C-869C-6397AE369162}"/>
    <cellStyle name="Comma0 2 7" xfId="10171" xr:uid="{48E95365-C367-4A4F-8983-AF5773471709}"/>
    <cellStyle name="Comma0 2 8" xfId="10172" xr:uid="{BF9BCF14-4D77-4BEA-96B1-9141584375EA}"/>
    <cellStyle name="Comma0 2 9" xfId="10173" xr:uid="{41FF0AE5-A457-4686-831F-69961CD333A7}"/>
    <cellStyle name="Comma0 3" xfId="10174" xr:uid="{3F72B163-8A6F-46B9-9981-E174D3462ECB}"/>
    <cellStyle name="Comma0 4" xfId="10175" xr:uid="{51186265-D946-4488-A07B-423BFB86F8A6}"/>
    <cellStyle name="Comma0 5" xfId="41220" xr:uid="{FAC8F95C-312B-4C75-9FE8-EEB7C1D173C6}"/>
    <cellStyle name="Currency" xfId="46" builtinId="4"/>
    <cellStyle name="Currency [0] 2" xfId="10176" xr:uid="{C11B4560-BB27-4EBC-AC69-F62E9DD6AE80}"/>
    <cellStyle name="Currency [0] 2 2" xfId="41221" xr:uid="{8349B368-6EE7-420B-AB18-1DFABD4EA44E}"/>
    <cellStyle name="Currency [0] 3" xfId="10177" xr:uid="{5FD1F374-6D76-4A0E-AF23-03935ABCEEB6}"/>
    <cellStyle name="Currency [0] 3 2" xfId="41222" xr:uid="{1201A85F-516D-44C1-9BE4-CB14212C1C6D}"/>
    <cellStyle name="Currency [0] 4" xfId="10178" xr:uid="{6F4DE926-DB2E-432A-9C44-2D3CC1F9883C}"/>
    <cellStyle name="Currency [1]" xfId="231" xr:uid="{D23A07E9-AE2D-4F1A-B94E-F5F55CF2C5F2}"/>
    <cellStyle name="Currency [1] 2" xfId="10179" xr:uid="{54A127E7-E002-42F3-B9D3-2C77969C74A4}"/>
    <cellStyle name="Currency [1] 2 2" xfId="10180" xr:uid="{857D42A6-EEDC-4A0F-B057-422844643811}"/>
    <cellStyle name="Currency [1] 2 2 2" xfId="10181" xr:uid="{5EC581BD-C401-4D43-ACB9-10CD0D5366AB}"/>
    <cellStyle name="Currency [1] 2 2 2 2" xfId="41223" xr:uid="{00C20DE8-27F5-497D-ACA8-3989FDC318CC}"/>
    <cellStyle name="Currency [1] 2 2 3" xfId="41224" xr:uid="{417068CC-9470-46E4-8B5F-17B8EEC5FCC3}"/>
    <cellStyle name="Currency [1] 2 3" xfId="10182" xr:uid="{A410890F-E30C-471F-9C42-34EC856ADA93}"/>
    <cellStyle name="Currency [1] 2 3 2" xfId="41225" xr:uid="{63ABFEC3-6837-4A9B-90C9-4F63AB470D5B}"/>
    <cellStyle name="Currency [1] 2 4" xfId="41226" xr:uid="{69EED225-DAD7-49FE-873F-602768717D65}"/>
    <cellStyle name="Currency [1] 3" xfId="10183" xr:uid="{E2557D21-32DF-4FAF-B493-CDBD61092777}"/>
    <cellStyle name="Currency [1] 3 2" xfId="41227" xr:uid="{8F1508E2-2DEE-44EC-81AC-73EC443CD291}"/>
    <cellStyle name="Currency [1] 4" xfId="41228" xr:uid="{08EB7B1F-E1D7-48C5-9374-63636490D4B5}"/>
    <cellStyle name="Currency [1] 4 2" xfId="41229" xr:uid="{D0D4848C-3618-44F3-8EB2-FB3EAF18E6B6}"/>
    <cellStyle name="Currency [1] 5" xfId="41230" xr:uid="{13E649AB-1030-49C3-8779-F0AB807E76BF}"/>
    <cellStyle name="Currency [1] 5 2" xfId="41231" xr:uid="{0069F3D2-5391-4470-B0E9-78D23A7E7D03}"/>
    <cellStyle name="Currency [1] 6" xfId="41232" xr:uid="{735875A2-9A28-43E0-98D2-E29466BE550C}"/>
    <cellStyle name="Currency [1] 7" xfId="41233" xr:uid="{56B2D537-E717-4DE7-82FB-67F6D3429FC1}"/>
    <cellStyle name="Currency [2]" xfId="10184" xr:uid="{CFAE7EE6-CEAB-4EAA-9A6E-DEEDD6A29B95}"/>
    <cellStyle name="Currency [2] 10" xfId="10185" xr:uid="{8FFB3837-BA40-477D-A2F7-3D9C65886470}"/>
    <cellStyle name="Currency [2] 10 10" xfId="10186" xr:uid="{5006DC51-2260-4238-8071-E21F4439392E}"/>
    <cellStyle name="Currency [2] 10 11" xfId="10187" xr:uid="{5F4DBDC5-46F0-43B3-AFBA-F8AD35250248}"/>
    <cellStyle name="Currency [2] 10 12" xfId="10188" xr:uid="{64C6ACAC-C782-4F77-980D-9B6D29B5474F}"/>
    <cellStyle name="Currency [2] 10 13" xfId="10189" xr:uid="{6A9F5FAA-C2AB-47A1-96ED-8992DAB5E943}"/>
    <cellStyle name="Currency [2] 10 14" xfId="10190" xr:uid="{D0B4F3C3-60AD-464C-9FFF-4D4445AA6AB8}"/>
    <cellStyle name="Currency [2] 10 15" xfId="10191" xr:uid="{2C03736D-6E1B-49FF-86B4-641D2DEC0A7C}"/>
    <cellStyle name="Currency [2] 10 16" xfId="10192" xr:uid="{87F27ACF-1687-492B-92A4-8FF3E29843A2}"/>
    <cellStyle name="Currency [2] 10 17" xfId="10193" xr:uid="{3F1D1438-C469-4778-BDBE-6442F938AEBD}"/>
    <cellStyle name="Currency [2] 10 18" xfId="10194" xr:uid="{FA410B6A-85CA-4640-82D7-40DD5B0846AA}"/>
    <cellStyle name="Currency [2] 10 19" xfId="10195" xr:uid="{1DACB045-04BF-4BAA-A26F-A84F51E50490}"/>
    <cellStyle name="Currency [2] 10 2" xfId="10196" xr:uid="{D9370E99-E3E0-46D5-844C-5721BBD87F1E}"/>
    <cellStyle name="Currency [2] 10 20" xfId="10197" xr:uid="{2A56BE99-E5C6-4E3B-9ACC-9C3279BE4936}"/>
    <cellStyle name="Currency [2] 10 21" xfId="10198" xr:uid="{5F82350F-C317-484F-92D3-D441486F0A56}"/>
    <cellStyle name="Currency [2] 10 22" xfId="10199" xr:uid="{F7087674-2A68-470F-8BCC-A22C7937C59D}"/>
    <cellStyle name="Currency [2] 10 23" xfId="10200" xr:uid="{98F4B09C-D665-4352-9728-B81B2F6613F7}"/>
    <cellStyle name="Currency [2] 10 3" xfId="10201" xr:uid="{5883A4F2-098B-4556-89D1-6EA1EE6438A0}"/>
    <cellStyle name="Currency [2] 10 4" xfId="10202" xr:uid="{7B4603E9-A994-4E4A-855F-A69BB4636606}"/>
    <cellStyle name="Currency [2] 10 5" xfId="10203" xr:uid="{0B24882B-E29F-4F78-95F5-A8816AE6E363}"/>
    <cellStyle name="Currency [2] 10 6" xfId="10204" xr:uid="{D0C9BB56-2880-4F36-9459-3403A56AD8A9}"/>
    <cellStyle name="Currency [2] 10 7" xfId="10205" xr:uid="{36435227-E456-462F-8257-DE8D3EB68B2C}"/>
    <cellStyle name="Currency [2] 10 8" xfId="10206" xr:uid="{2348C1F7-CC58-41BC-AF8B-91D1A5F58942}"/>
    <cellStyle name="Currency [2] 10 9" xfId="10207" xr:uid="{2DF6216A-87A3-4FCF-9690-5105A15A9D0D}"/>
    <cellStyle name="Currency [2] 11" xfId="10208" xr:uid="{B8848206-61C9-4690-9328-91045BADA64E}"/>
    <cellStyle name="Currency [2] 11 10" xfId="10209" xr:uid="{309CFE27-44D9-433A-B543-A0A843EE6ED8}"/>
    <cellStyle name="Currency [2] 11 11" xfId="10210" xr:uid="{0984F10A-29F7-4209-9834-9D32A74B6A00}"/>
    <cellStyle name="Currency [2] 11 12" xfId="10211" xr:uid="{3E6C485A-5C6A-42E3-B77B-C3A3B554EC60}"/>
    <cellStyle name="Currency [2] 11 13" xfId="10212" xr:uid="{1D85710D-A40B-4501-A217-97AA9AC11A58}"/>
    <cellStyle name="Currency [2] 11 14" xfId="10213" xr:uid="{13CCAD09-6508-4D13-8DEF-24D11DB402C3}"/>
    <cellStyle name="Currency [2] 11 15" xfId="10214" xr:uid="{6185F9B4-0522-4076-88AF-0ACB9EBA733B}"/>
    <cellStyle name="Currency [2] 11 16" xfId="10215" xr:uid="{CFD06107-5DEF-4029-81DE-246F9059102D}"/>
    <cellStyle name="Currency [2] 11 17" xfId="10216" xr:uid="{6B7FACFA-F8A2-4467-A69F-05D94DF9E243}"/>
    <cellStyle name="Currency [2] 11 18" xfId="10217" xr:uid="{D0BAD722-0EC8-4EC6-B247-0EC5F0EE7A91}"/>
    <cellStyle name="Currency [2] 11 19" xfId="10218" xr:uid="{50FCF3C0-F58E-4877-B89B-B4E276145C92}"/>
    <cellStyle name="Currency [2] 11 2" xfId="10219" xr:uid="{CF58A484-A6DF-4FA9-9D9C-F6EB75EB7290}"/>
    <cellStyle name="Currency [2] 11 20" xfId="10220" xr:uid="{A0141A0C-E068-435E-8B8B-E064F2B949BD}"/>
    <cellStyle name="Currency [2] 11 21" xfId="10221" xr:uid="{DF8B4050-FDA3-4EEF-B2AC-38C2FFD26D39}"/>
    <cellStyle name="Currency [2] 11 22" xfId="10222" xr:uid="{6C5F38B6-9850-40A6-84B6-6CBF371E36D5}"/>
    <cellStyle name="Currency [2] 11 23" xfId="10223" xr:uid="{090FF93D-63CB-4038-97CA-9DBD487EB4C3}"/>
    <cellStyle name="Currency [2] 11 3" xfId="10224" xr:uid="{4B3BC2DD-405D-4275-B120-80DB4B63E9C6}"/>
    <cellStyle name="Currency [2] 11 4" xfId="10225" xr:uid="{7C1CC46E-4386-4540-B0B7-DD52B233E871}"/>
    <cellStyle name="Currency [2] 11 5" xfId="10226" xr:uid="{11A2DE58-D0B5-4899-A389-7F5731137D35}"/>
    <cellStyle name="Currency [2] 11 6" xfId="10227" xr:uid="{12766FBE-C4C7-4AE9-A924-B4126FEC9D39}"/>
    <cellStyle name="Currency [2] 11 7" xfId="10228" xr:uid="{ACA131CF-DFF4-4831-AA36-840CAC45FF02}"/>
    <cellStyle name="Currency [2] 11 8" xfId="10229" xr:uid="{B4641D8E-7B0B-4816-B036-8A2FD1D19831}"/>
    <cellStyle name="Currency [2] 11 9" xfId="10230" xr:uid="{A4760DF5-0233-4673-A02E-407AA7A0F270}"/>
    <cellStyle name="Currency [2] 12" xfId="10231" xr:uid="{016A6E56-0608-4AF8-B3D9-75E67AB77D15}"/>
    <cellStyle name="Currency [2] 12 2" xfId="10232" xr:uid="{9DC82046-6AA0-4C66-B83D-76F5FE1DD0AB}"/>
    <cellStyle name="Currency [2] 12 3" xfId="10233" xr:uid="{F7BF5AF6-3E6D-45C5-A276-81B67E6964F8}"/>
    <cellStyle name="Currency [2] 12 4" xfId="10234" xr:uid="{EC5C6CB3-F19F-4632-AA38-12BD9DC26FA3}"/>
    <cellStyle name="Currency [2] 13" xfId="10235" xr:uid="{3E8E5A0F-03F2-430D-88F6-298280333A01}"/>
    <cellStyle name="Currency [2] 14" xfId="10236" xr:uid="{8D9A3B11-04ED-4307-B858-30F1715741C5}"/>
    <cellStyle name="Currency [2] 15" xfId="10237" xr:uid="{6575AE8C-5EC8-4EC7-A3F3-6E92527CBBE5}"/>
    <cellStyle name="Currency [2] 16" xfId="10238" xr:uid="{7B7C91D2-9347-4515-B717-4BC5CC263D37}"/>
    <cellStyle name="Currency [2] 2" xfId="10239" xr:uid="{DDB77536-2533-4D34-903D-AD168D46708F}"/>
    <cellStyle name="Currency [2] 2 10" xfId="10240" xr:uid="{D9D0FE9F-85F1-40D9-8A66-70E4468E995F}"/>
    <cellStyle name="Currency [2] 2 11" xfId="10241" xr:uid="{2BD5A56D-4EEE-4744-91B7-137635948A4D}"/>
    <cellStyle name="Currency [2] 2 12" xfId="10242" xr:uid="{6F6490B3-F708-4C78-8D8C-042A4C3325FF}"/>
    <cellStyle name="Currency [2] 2 13" xfId="10243" xr:uid="{023A13A0-A9A0-4319-B366-F730EAD1DFCA}"/>
    <cellStyle name="Currency [2] 2 14" xfId="10244" xr:uid="{180C84E7-7D34-4C7C-9272-89B1D199E5C4}"/>
    <cellStyle name="Currency [2] 2 15" xfId="10245" xr:uid="{C180CA62-9846-48F8-B862-AD1332EC27AF}"/>
    <cellStyle name="Currency [2] 2 16" xfId="10246" xr:uid="{ECD8F185-7D32-45EB-9196-17FBFE6812B4}"/>
    <cellStyle name="Currency [2] 2 17" xfId="10247" xr:uid="{A7B07EAA-C2CD-4F56-9845-0CEFC0D2F8C9}"/>
    <cellStyle name="Currency [2] 2 18" xfId="10248" xr:uid="{6EB4878E-5978-4D04-982D-4B0B8077FE3B}"/>
    <cellStyle name="Currency [2] 2 19" xfId="10249" xr:uid="{82AB80B5-F403-4CC0-AF7C-A760DFECD55F}"/>
    <cellStyle name="Currency [2] 2 2" xfId="10250" xr:uid="{65DCA79E-5A87-4E76-9EFE-95C871E5D2B7}"/>
    <cellStyle name="Currency [2] 2 2 10" xfId="10251" xr:uid="{4323BAF0-1C88-4923-A493-109C9680597B}"/>
    <cellStyle name="Currency [2] 2 2 11" xfId="10252" xr:uid="{E323C7AC-9EF0-48AF-82D8-27BC1E6E025E}"/>
    <cellStyle name="Currency [2] 2 2 12" xfId="10253" xr:uid="{FAB05A4D-6D62-4984-BA61-D23CCFDDEA52}"/>
    <cellStyle name="Currency [2] 2 2 13" xfId="10254" xr:uid="{633F1970-B61D-4F53-A000-E83F126F40C6}"/>
    <cellStyle name="Currency [2] 2 2 14" xfId="10255" xr:uid="{78AD60A2-25C0-4F78-80CC-EC70921CC736}"/>
    <cellStyle name="Currency [2] 2 2 15" xfId="10256" xr:uid="{7F7C7162-445A-4912-8129-6B315C67B37A}"/>
    <cellStyle name="Currency [2] 2 2 16" xfId="10257" xr:uid="{D4FB0A7C-17A3-430F-86DA-0E886EAD9170}"/>
    <cellStyle name="Currency [2] 2 2 17" xfId="10258" xr:uid="{36F097E1-B775-42B0-8514-2DEBBF48903B}"/>
    <cellStyle name="Currency [2] 2 2 18" xfId="10259" xr:uid="{CD674813-E83E-4BC7-A3EB-B25F53AD82A5}"/>
    <cellStyle name="Currency [2] 2 2 19" xfId="10260" xr:uid="{43CE797A-7F20-4061-9879-4854CB049303}"/>
    <cellStyle name="Currency [2] 2 2 2" xfId="10261" xr:uid="{3A5766D4-9D35-4225-9D14-AAC450E4AEC2}"/>
    <cellStyle name="Currency [2] 2 2 20" xfId="10262" xr:uid="{29232192-BFC0-42F7-8472-BB05B5AA8394}"/>
    <cellStyle name="Currency [2] 2 2 21" xfId="10263" xr:uid="{40D31843-E693-4347-82CC-EC936012F544}"/>
    <cellStyle name="Currency [2] 2 2 22" xfId="10264" xr:uid="{8745F0EA-B688-4DE7-B118-CCAABA6C330C}"/>
    <cellStyle name="Currency [2] 2 2 23" xfId="10265" xr:uid="{CA4B6AAA-5E6D-4E23-9AA8-FFD80424FDE7}"/>
    <cellStyle name="Currency [2] 2 2 3" xfId="10266" xr:uid="{7A42EA21-398E-4BED-8F9D-90DD80B80B91}"/>
    <cellStyle name="Currency [2] 2 2 4" xfId="10267" xr:uid="{01153EA9-42A6-4DC8-B5E6-A56B4E01844F}"/>
    <cellStyle name="Currency [2] 2 2 5" xfId="10268" xr:uid="{68434758-B87D-4B80-847D-B7C77A409ED3}"/>
    <cellStyle name="Currency [2] 2 2 6" xfId="10269" xr:uid="{05432E5E-B4BC-4BD6-BD09-A9DBC03211F8}"/>
    <cellStyle name="Currency [2] 2 2 7" xfId="10270" xr:uid="{637B35E3-D9CD-4EF7-B3C0-078892E35A04}"/>
    <cellStyle name="Currency [2] 2 2 8" xfId="10271" xr:uid="{DDF73CE9-59FE-4ABA-ADB3-2BE334D947EE}"/>
    <cellStyle name="Currency [2] 2 2 9" xfId="10272" xr:uid="{FE199F76-D43C-4E5B-A2DE-76F41C372CD6}"/>
    <cellStyle name="Currency [2] 2 20" xfId="10273" xr:uid="{39D53254-A2B9-4267-A613-ECC7725D95FA}"/>
    <cellStyle name="Currency [2] 2 21" xfId="10274" xr:uid="{F1A95C76-936B-486B-B8CB-E7A04FC704E1}"/>
    <cellStyle name="Currency [2] 2 22" xfId="10275" xr:uid="{A43A0277-22CA-4C20-8AF0-0664BDA4C4D2}"/>
    <cellStyle name="Currency [2] 2 23" xfId="10276" xr:uid="{B1FD8410-70EF-4242-8A20-3214161A12AC}"/>
    <cellStyle name="Currency [2] 2 24" xfId="10277" xr:uid="{A3BBF422-D480-488E-9A8B-92A008557CAC}"/>
    <cellStyle name="Currency [2] 2 25" xfId="10278" xr:uid="{8DBD6904-65E3-49F6-A624-4584113F0345}"/>
    <cellStyle name="Currency [2] 2 26" xfId="10279" xr:uid="{D915F336-7368-4585-BFFA-48B27477F654}"/>
    <cellStyle name="Currency [2] 2 27" xfId="10280" xr:uid="{1982C97E-F1AC-4182-A52F-836E4BB21833}"/>
    <cellStyle name="Currency [2] 2 3" xfId="10281" xr:uid="{F0D50B80-484D-4D25-8C3E-EB4EF83BA525}"/>
    <cellStyle name="Currency [2] 2 3 10" xfId="10282" xr:uid="{68DC2F27-42F9-4968-8533-D14D92C18EFE}"/>
    <cellStyle name="Currency [2] 2 3 11" xfId="10283" xr:uid="{0989DC2D-4F74-4952-BB35-24C436E1407B}"/>
    <cellStyle name="Currency [2] 2 3 12" xfId="10284" xr:uid="{2FE10D56-029C-411E-92B5-C03304FE1948}"/>
    <cellStyle name="Currency [2] 2 3 13" xfId="10285" xr:uid="{4DB0007E-9B7E-4DC6-AC27-785B05151739}"/>
    <cellStyle name="Currency [2] 2 3 14" xfId="10286" xr:uid="{652BD154-94DB-473F-A880-7CF720B85395}"/>
    <cellStyle name="Currency [2] 2 3 15" xfId="10287" xr:uid="{092A8E14-4E13-4146-B0FA-68184A4ABDB3}"/>
    <cellStyle name="Currency [2] 2 3 16" xfId="10288" xr:uid="{13829ECB-B6D2-4DA9-BDCB-0A7EDD1F3016}"/>
    <cellStyle name="Currency [2] 2 3 17" xfId="10289" xr:uid="{58E69032-A44E-4B9B-B28F-EC959BCE010A}"/>
    <cellStyle name="Currency [2] 2 3 18" xfId="10290" xr:uid="{EEF811B4-E190-4DCD-A3CB-B54E058F4191}"/>
    <cellStyle name="Currency [2] 2 3 19" xfId="10291" xr:uid="{3C2D5252-A7DC-4286-B4F2-73A041D67CA4}"/>
    <cellStyle name="Currency [2] 2 3 2" xfId="10292" xr:uid="{1508885D-FC12-4E01-BDE8-199940198EF6}"/>
    <cellStyle name="Currency [2] 2 3 20" xfId="10293" xr:uid="{D1C6EC2A-2819-42DF-98FE-FDE6DDE8FF15}"/>
    <cellStyle name="Currency [2] 2 3 21" xfId="10294" xr:uid="{D1183AB3-8E65-4780-A4CC-2A59691387E4}"/>
    <cellStyle name="Currency [2] 2 3 22" xfId="10295" xr:uid="{48067DA7-41F9-4B69-9468-BE32770458E7}"/>
    <cellStyle name="Currency [2] 2 3 23" xfId="10296" xr:uid="{3680D58A-D64B-499C-9AF4-8795999581FD}"/>
    <cellStyle name="Currency [2] 2 3 3" xfId="10297" xr:uid="{7C4A8179-3ADC-4DCF-98A1-E6448EB82339}"/>
    <cellStyle name="Currency [2] 2 3 4" xfId="10298" xr:uid="{8FA2D27D-C232-4137-BA97-330E8F3A8F82}"/>
    <cellStyle name="Currency [2] 2 3 5" xfId="10299" xr:uid="{35B21CCD-3EA8-46E8-9477-9AB671F72C9B}"/>
    <cellStyle name="Currency [2] 2 3 6" xfId="10300" xr:uid="{5A8D0BF3-C3E4-4F8C-8A3C-AF8CCD161D18}"/>
    <cellStyle name="Currency [2] 2 3 7" xfId="10301" xr:uid="{F812DD64-A77A-4293-B802-B1D639DFC9FE}"/>
    <cellStyle name="Currency [2] 2 3 8" xfId="10302" xr:uid="{76E975B1-E9F3-4FE0-8CCB-271177A9BD63}"/>
    <cellStyle name="Currency [2] 2 3 9" xfId="10303" xr:uid="{E7A4ED7A-8AD7-4265-A840-3F00154586D1}"/>
    <cellStyle name="Currency [2] 2 4" xfId="10304" xr:uid="{C25AB51A-6D3B-4D77-88A4-2175283C6349}"/>
    <cellStyle name="Currency [2] 2 4 10" xfId="10305" xr:uid="{58303528-4DD6-4B7F-A1FA-20609C50A3DF}"/>
    <cellStyle name="Currency [2] 2 4 11" xfId="10306" xr:uid="{7C34B370-4C1C-4853-8F0D-BD585548EF05}"/>
    <cellStyle name="Currency [2] 2 4 12" xfId="10307" xr:uid="{E17BCBFD-E11D-4EA0-9839-7C02F1E1FC68}"/>
    <cellStyle name="Currency [2] 2 4 13" xfId="10308" xr:uid="{42F24A37-2063-4639-B541-4D1A8C05ADF2}"/>
    <cellStyle name="Currency [2] 2 4 14" xfId="10309" xr:uid="{8DEE647D-608D-4AD7-B437-6C47A3A16AC8}"/>
    <cellStyle name="Currency [2] 2 4 15" xfId="10310" xr:uid="{832BFA8B-03EB-4AE5-B9DE-FEE8CCB5C57E}"/>
    <cellStyle name="Currency [2] 2 4 16" xfId="10311" xr:uid="{C26F7112-0355-4EF0-AF4F-9DFDAD51FA70}"/>
    <cellStyle name="Currency [2] 2 4 17" xfId="10312" xr:uid="{25D67811-EF1B-4CD1-8C4A-642E937B9575}"/>
    <cellStyle name="Currency [2] 2 4 18" xfId="10313" xr:uid="{F7041B08-8E7B-4857-AF31-9814C34861A6}"/>
    <cellStyle name="Currency [2] 2 4 19" xfId="10314" xr:uid="{C6784F9D-1CFB-46CD-9F5B-716C28137523}"/>
    <cellStyle name="Currency [2] 2 4 2" xfId="10315" xr:uid="{65E1F280-D023-454E-895B-444DD4B65182}"/>
    <cellStyle name="Currency [2] 2 4 20" xfId="10316" xr:uid="{7B2996C1-D838-478F-BCFE-6756BE2AF089}"/>
    <cellStyle name="Currency [2] 2 4 21" xfId="10317" xr:uid="{ECD60B4A-AB54-4141-BCCB-DD6FEBA20741}"/>
    <cellStyle name="Currency [2] 2 4 22" xfId="10318" xr:uid="{A40690F2-EB00-4036-AB5E-58EA553C05CF}"/>
    <cellStyle name="Currency [2] 2 4 23" xfId="10319" xr:uid="{8648639C-7C10-4AB3-ACBC-54E462CE5654}"/>
    <cellStyle name="Currency [2] 2 4 3" xfId="10320" xr:uid="{2816530E-6BE5-4C3F-A3BE-09706F61F9CB}"/>
    <cellStyle name="Currency [2] 2 4 4" xfId="10321" xr:uid="{BD7F02B8-D6AF-497E-A5F9-DA6BD8CFF1BC}"/>
    <cellStyle name="Currency [2] 2 4 5" xfId="10322" xr:uid="{4D8F85F7-B53B-42DC-92FA-B36BD9546092}"/>
    <cellStyle name="Currency [2] 2 4 6" xfId="10323" xr:uid="{74695E5F-5F51-436D-BF22-EDE59745470E}"/>
    <cellStyle name="Currency [2] 2 4 7" xfId="10324" xr:uid="{54DFBF0F-EC1D-4EA8-949E-068E64463045}"/>
    <cellStyle name="Currency [2] 2 4 8" xfId="10325" xr:uid="{1E4AD728-70A4-4DB0-87A3-E90F6D25C4F2}"/>
    <cellStyle name="Currency [2] 2 4 9" xfId="10326" xr:uid="{C2DEDD9E-3905-4425-855D-A9938FFA24BF}"/>
    <cellStyle name="Currency [2] 2 5" xfId="10327" xr:uid="{C1F3948C-D8E7-45F0-A85F-3ECB9474DB70}"/>
    <cellStyle name="Currency [2] 2 5 10" xfId="10328" xr:uid="{825C0BAC-6B49-4D5B-9E68-F74463B46D9C}"/>
    <cellStyle name="Currency [2] 2 5 11" xfId="10329" xr:uid="{5F14ED99-779B-40F7-9C99-E38BC70EE303}"/>
    <cellStyle name="Currency [2] 2 5 12" xfId="10330" xr:uid="{E2A4541C-7607-4FFE-A054-AC4CAD4059B0}"/>
    <cellStyle name="Currency [2] 2 5 13" xfId="10331" xr:uid="{BFDD564D-55EA-41D1-A5BB-999DDC5556FB}"/>
    <cellStyle name="Currency [2] 2 5 14" xfId="10332" xr:uid="{2EF2BA7E-FDA0-407B-B5C4-73F2B65F8A72}"/>
    <cellStyle name="Currency [2] 2 5 15" xfId="10333" xr:uid="{260E5B2E-1AFC-432D-9B72-7974F1820C1A}"/>
    <cellStyle name="Currency [2] 2 5 16" xfId="10334" xr:uid="{DED5BD54-947A-458D-9013-09FFD465C23D}"/>
    <cellStyle name="Currency [2] 2 5 17" xfId="10335" xr:uid="{09FE4235-0D1E-43CC-AD3E-D9C6E9950CB0}"/>
    <cellStyle name="Currency [2] 2 5 18" xfId="10336" xr:uid="{DEE19014-B383-4643-8335-2D663C0F87A7}"/>
    <cellStyle name="Currency [2] 2 5 19" xfId="10337" xr:uid="{397A991E-DDA8-4037-81BF-F4E8E76415AA}"/>
    <cellStyle name="Currency [2] 2 5 2" xfId="10338" xr:uid="{F1024462-094E-40C8-BF1A-EB58729E8AB5}"/>
    <cellStyle name="Currency [2] 2 5 20" xfId="10339" xr:uid="{E6486504-F864-4AA1-AD34-EAD91C925CDA}"/>
    <cellStyle name="Currency [2] 2 5 21" xfId="10340" xr:uid="{B21EE545-915A-49CB-BE0C-A64495BCFB1E}"/>
    <cellStyle name="Currency [2] 2 5 22" xfId="10341" xr:uid="{BD11FF73-9C71-4C36-AB1B-6BD1080FA463}"/>
    <cellStyle name="Currency [2] 2 5 23" xfId="10342" xr:uid="{6E9CAEF4-E407-4741-B01E-05CDC923FA3C}"/>
    <cellStyle name="Currency [2] 2 5 3" xfId="10343" xr:uid="{5C008A90-46EE-4800-BCF1-F8C03BD48DE6}"/>
    <cellStyle name="Currency [2] 2 5 4" xfId="10344" xr:uid="{368403E4-4E81-4661-A3A6-E30333DEA7FC}"/>
    <cellStyle name="Currency [2] 2 5 5" xfId="10345" xr:uid="{58F65A91-AEBD-43A5-8C6F-4AEEDBC5233C}"/>
    <cellStyle name="Currency [2] 2 5 6" xfId="10346" xr:uid="{13AC8D2C-B34B-44F1-886A-86866D607FF2}"/>
    <cellStyle name="Currency [2] 2 5 7" xfId="10347" xr:uid="{56CE3976-54CA-489C-A02A-E2F60630DC37}"/>
    <cellStyle name="Currency [2] 2 5 8" xfId="10348" xr:uid="{569F4199-CE1C-4562-9797-BE352E1E0C82}"/>
    <cellStyle name="Currency [2] 2 5 9" xfId="10349" xr:uid="{EB7F06E2-5617-47CB-92F7-F22F41037B0B}"/>
    <cellStyle name="Currency [2] 2 6" xfId="10350" xr:uid="{B7147461-ECD4-41D5-A908-998FE2696C52}"/>
    <cellStyle name="Currency [2] 2 7" xfId="10351" xr:uid="{757AE4CC-E65D-436A-A651-F7457CBDA6FC}"/>
    <cellStyle name="Currency [2] 2 8" xfId="10352" xr:uid="{BDF8C4E6-E8DE-49F7-B676-7163641C981D}"/>
    <cellStyle name="Currency [2] 2 9" xfId="10353" xr:uid="{300BB580-B4E2-44C6-A36F-577FF78C172B}"/>
    <cellStyle name="Currency [2] 3" xfId="10354" xr:uid="{3446D22B-1B4D-422C-AF2C-7C58DA2C3F72}"/>
    <cellStyle name="Currency [2] 3 10" xfId="10355" xr:uid="{43511461-9B7D-4328-AFA3-FC64B1DC1B9B}"/>
    <cellStyle name="Currency [2] 3 11" xfId="10356" xr:uid="{1E2451E2-6F7B-4086-A026-26A8A422A3BF}"/>
    <cellStyle name="Currency [2] 3 12" xfId="10357" xr:uid="{1B6E7F48-E33A-4AD9-BCFB-E495DEEEDD6F}"/>
    <cellStyle name="Currency [2] 3 13" xfId="10358" xr:uid="{4A9354C3-3631-4483-952F-5803A7AC1A11}"/>
    <cellStyle name="Currency [2] 3 14" xfId="10359" xr:uid="{E6376901-44E5-4A7F-8773-2CB9FA86A33A}"/>
    <cellStyle name="Currency [2] 3 15" xfId="10360" xr:uid="{2FEA571E-7FC6-43CB-9B69-3141DBFD78F0}"/>
    <cellStyle name="Currency [2] 3 16" xfId="10361" xr:uid="{06AC42E7-E460-4D8F-92D8-CC77E4C6507D}"/>
    <cellStyle name="Currency [2] 3 17" xfId="10362" xr:uid="{347AF8B9-3979-4372-8F39-FC10A736AD44}"/>
    <cellStyle name="Currency [2] 3 18" xfId="10363" xr:uid="{77FDFF66-AE8C-443C-BD8D-E9E1D527EFB3}"/>
    <cellStyle name="Currency [2] 3 19" xfId="10364" xr:uid="{C74BAD6A-D9EF-4C0C-8A02-B80CF94EC858}"/>
    <cellStyle name="Currency [2] 3 2" xfId="10365" xr:uid="{C83B22BB-D20C-4E52-B267-0AF3E70E1022}"/>
    <cellStyle name="Currency [2] 3 20" xfId="10366" xr:uid="{1E22AB13-73CB-477C-BC55-3A84014B8811}"/>
    <cellStyle name="Currency [2] 3 21" xfId="10367" xr:uid="{98ED88F8-5BF6-4A2A-9E78-E555965D8ACA}"/>
    <cellStyle name="Currency [2] 3 22" xfId="10368" xr:uid="{E1974ABC-2332-4C12-86A6-111D3D33E4EE}"/>
    <cellStyle name="Currency [2] 3 23" xfId="10369" xr:uid="{CCA4AA7E-3964-445F-8302-6369A520C976}"/>
    <cellStyle name="Currency [2] 3 3" xfId="10370" xr:uid="{D757E44A-D4DC-4397-9C4C-02903818FD95}"/>
    <cellStyle name="Currency [2] 3 4" xfId="10371" xr:uid="{34239062-2B0E-4376-AE15-66859D257CDF}"/>
    <cellStyle name="Currency [2] 3 5" xfId="10372" xr:uid="{C777EAD6-D3CF-4C00-8957-35A4E8831EDA}"/>
    <cellStyle name="Currency [2] 3 6" xfId="10373" xr:uid="{B118C714-25D0-468C-9191-FA7CF13ECFCA}"/>
    <cellStyle name="Currency [2] 3 7" xfId="10374" xr:uid="{2511E39B-95C1-4477-8273-582FB6360371}"/>
    <cellStyle name="Currency [2] 3 8" xfId="10375" xr:uid="{CED3FDFB-3AD7-49BC-B2C5-4AC040376999}"/>
    <cellStyle name="Currency [2] 3 9" xfId="10376" xr:uid="{51E509C5-FC6E-4E76-A22B-929716CAA320}"/>
    <cellStyle name="Currency [2] 4" xfId="10377" xr:uid="{35FC2D6A-9446-4D1D-9F19-82EFD083D042}"/>
    <cellStyle name="Currency [2] 4 10" xfId="10378" xr:uid="{7C55DB72-DC16-4973-AB41-D6084C8E34A8}"/>
    <cellStyle name="Currency [2] 4 11" xfId="10379" xr:uid="{5DCDDC8D-FF53-4683-BD4D-C08B383577E2}"/>
    <cellStyle name="Currency [2] 4 12" xfId="10380" xr:uid="{055386D9-C5C5-46EE-BE17-12D696C8EFED}"/>
    <cellStyle name="Currency [2] 4 13" xfId="10381" xr:uid="{5BE88BAA-6189-4406-BCD8-EB7028252DDA}"/>
    <cellStyle name="Currency [2] 4 14" xfId="10382" xr:uid="{2DB887C2-0520-4C3D-9282-149D3914DFAA}"/>
    <cellStyle name="Currency [2] 4 15" xfId="10383" xr:uid="{F9C4E88E-F1A8-4F45-8370-4B0B72A56F93}"/>
    <cellStyle name="Currency [2] 4 16" xfId="10384" xr:uid="{29CCCDB8-26D4-4638-855A-32274712EE94}"/>
    <cellStyle name="Currency [2] 4 17" xfId="10385" xr:uid="{3F26168F-9138-4F9E-AFA9-DF669ED85669}"/>
    <cellStyle name="Currency [2] 4 18" xfId="10386" xr:uid="{D84991A0-8FC5-4BBD-9F88-62C149583614}"/>
    <cellStyle name="Currency [2] 4 19" xfId="10387" xr:uid="{43EEDDC2-EC1F-4A81-A9D0-87CFD01E5415}"/>
    <cellStyle name="Currency [2] 4 2" xfId="10388" xr:uid="{DE934C2B-73ED-4B5C-86D4-BDCF51A940DE}"/>
    <cellStyle name="Currency [2] 4 20" xfId="10389" xr:uid="{FF24F508-29E6-4338-AA48-1005C36D092C}"/>
    <cellStyle name="Currency [2] 4 21" xfId="10390" xr:uid="{DBE6DAF0-CF5F-43A6-B10C-E3F87C179D39}"/>
    <cellStyle name="Currency [2] 4 22" xfId="10391" xr:uid="{929B555B-BF20-4C86-B927-A75101D46D8E}"/>
    <cellStyle name="Currency [2] 4 23" xfId="10392" xr:uid="{BFB24A0F-A095-4AF3-BDA8-EC5DFE8B5EC6}"/>
    <cellStyle name="Currency [2] 4 3" xfId="10393" xr:uid="{858D1EB9-B291-4C0D-84F0-D5A55203CB57}"/>
    <cellStyle name="Currency [2] 4 4" xfId="10394" xr:uid="{D1E2CA72-FD1C-4D40-A73F-3C9B4A80C83A}"/>
    <cellStyle name="Currency [2] 4 5" xfId="10395" xr:uid="{689BD379-D97E-456E-819E-D976B74C2C94}"/>
    <cellStyle name="Currency [2] 4 6" xfId="10396" xr:uid="{AC6AEFAF-7631-46E7-A045-7A310038806F}"/>
    <cellStyle name="Currency [2] 4 7" xfId="10397" xr:uid="{2315411A-842F-45E3-BB1D-66B64F5737F4}"/>
    <cellStyle name="Currency [2] 4 8" xfId="10398" xr:uid="{811AFE00-EB53-476E-A6DD-ADEBD77982B4}"/>
    <cellStyle name="Currency [2] 4 9" xfId="10399" xr:uid="{F3C6F4DF-FA7E-44FD-BA68-CC14ECE9825A}"/>
    <cellStyle name="Currency [2] 5" xfId="10400" xr:uid="{F1496B18-0ED1-4465-B031-4BEE6BB08613}"/>
    <cellStyle name="Currency [2] 5 10" xfId="10401" xr:uid="{FD0BA805-5D15-419F-BB99-6FF2701BFF38}"/>
    <cellStyle name="Currency [2] 5 11" xfId="10402" xr:uid="{D6B16CAC-5C3C-4B60-B0F7-7FDFECF6AAAE}"/>
    <cellStyle name="Currency [2] 5 12" xfId="10403" xr:uid="{671C2C8F-2283-4AF8-AD28-AC0907389B1F}"/>
    <cellStyle name="Currency [2] 5 13" xfId="10404" xr:uid="{BAE0856D-1861-4AE3-A583-A5C075F3FB8A}"/>
    <cellStyle name="Currency [2] 5 14" xfId="10405" xr:uid="{33497BF9-9B21-41A9-92B1-E047234DF3DE}"/>
    <cellStyle name="Currency [2] 5 15" xfId="10406" xr:uid="{356BEDB5-E0CD-45B4-B952-7235E87CD6CB}"/>
    <cellStyle name="Currency [2] 5 16" xfId="10407" xr:uid="{31D3205B-39B8-4B55-8B4F-634F0F6D7ED3}"/>
    <cellStyle name="Currency [2] 5 17" xfId="10408" xr:uid="{0A3BADAB-D17F-47E1-B991-D74F4BA5C858}"/>
    <cellStyle name="Currency [2] 5 18" xfId="10409" xr:uid="{26C1FCB5-EA00-4EE3-A9B9-24E60C6843EA}"/>
    <cellStyle name="Currency [2] 5 19" xfId="10410" xr:uid="{240DBAC4-8815-497F-9881-56FBAE0F1C76}"/>
    <cellStyle name="Currency [2] 5 2" xfId="10411" xr:uid="{218B55FA-B90E-48B7-8D70-55BCC6C938F7}"/>
    <cellStyle name="Currency [2] 5 20" xfId="10412" xr:uid="{D5546D97-85AC-45D2-8636-0BEB4F53CEA7}"/>
    <cellStyle name="Currency [2] 5 21" xfId="10413" xr:uid="{F38D63F2-5347-4502-A8BF-70C4ECF6DB91}"/>
    <cellStyle name="Currency [2] 5 22" xfId="10414" xr:uid="{70BE1C5B-B0E7-4835-AE5A-9C2405F6FBBE}"/>
    <cellStyle name="Currency [2] 5 23" xfId="10415" xr:uid="{F0342B41-FCA1-43BB-AC6F-BF1BE9277FD9}"/>
    <cellStyle name="Currency [2] 5 3" xfId="10416" xr:uid="{222F67AA-577F-452F-8D38-041DA1C9621C}"/>
    <cellStyle name="Currency [2] 5 4" xfId="10417" xr:uid="{F400B9B0-851C-46CE-BE71-48BF04B130C7}"/>
    <cellStyle name="Currency [2] 5 5" xfId="10418" xr:uid="{60AD7E0C-BC2B-432D-8547-27C98BCE6DD3}"/>
    <cellStyle name="Currency [2] 5 6" xfId="10419" xr:uid="{1D6B9CF5-488E-45FA-BD74-96C169BD8682}"/>
    <cellStyle name="Currency [2] 5 7" xfId="10420" xr:uid="{BC16F473-B941-4A62-BE06-E264093809A7}"/>
    <cellStyle name="Currency [2] 5 8" xfId="10421" xr:uid="{A009170C-5114-4269-B518-3463A5772E76}"/>
    <cellStyle name="Currency [2] 5 9" xfId="10422" xr:uid="{DB6E3E37-6153-4C00-8B74-D55D150B8074}"/>
    <cellStyle name="Currency [2] 6" xfId="10423" xr:uid="{2B5D5150-E080-4A99-BA37-5B2DAF9B9B3C}"/>
    <cellStyle name="Currency [2] 6 10" xfId="10424" xr:uid="{C5426625-C4C4-40E0-8886-932D696D6DCB}"/>
    <cellStyle name="Currency [2] 6 11" xfId="10425" xr:uid="{C5EB434D-0DF5-4FFA-9F4A-3059BBD0FEBA}"/>
    <cellStyle name="Currency [2] 6 12" xfId="10426" xr:uid="{E6DD82F1-4432-49EE-9554-2F227E43E48D}"/>
    <cellStyle name="Currency [2] 6 13" xfId="10427" xr:uid="{DC170A00-D365-4584-8C39-62C13E6342E8}"/>
    <cellStyle name="Currency [2] 6 14" xfId="10428" xr:uid="{1F0B5035-A41B-49E2-AC76-72E344053C05}"/>
    <cellStyle name="Currency [2] 6 15" xfId="10429" xr:uid="{544BDC0A-C60D-4EE6-8DE0-F7263FEEA573}"/>
    <cellStyle name="Currency [2] 6 16" xfId="10430" xr:uid="{79C04431-C96F-4400-B4D9-8DD8F331162F}"/>
    <cellStyle name="Currency [2] 6 17" xfId="10431" xr:uid="{EC751596-C3EE-42C3-892F-A096B8D95495}"/>
    <cellStyle name="Currency [2] 6 18" xfId="10432" xr:uid="{809D9254-1278-4CB6-89A7-EC354743FF2C}"/>
    <cellStyle name="Currency [2] 6 19" xfId="10433" xr:uid="{F5679DF0-4D21-40EA-ACEA-26CC779127C4}"/>
    <cellStyle name="Currency [2] 6 2" xfId="10434" xr:uid="{24AAA5BA-AFAC-4C88-B6BD-6137F387A5BA}"/>
    <cellStyle name="Currency [2] 6 20" xfId="10435" xr:uid="{F2869AEC-8F52-447B-ABEE-146F4679DE42}"/>
    <cellStyle name="Currency [2] 6 21" xfId="10436" xr:uid="{BDE9D4E7-560C-49C0-9DC9-8CBE3F28A98B}"/>
    <cellStyle name="Currency [2] 6 22" xfId="10437" xr:uid="{F52E6AF2-AA84-474F-80EA-BB66B8CE4F48}"/>
    <cellStyle name="Currency [2] 6 23" xfId="10438" xr:uid="{B4BC8F30-4577-4131-963F-F36B45316834}"/>
    <cellStyle name="Currency [2] 6 3" xfId="10439" xr:uid="{ED8DE924-9131-4632-890A-87E0D5ECF128}"/>
    <cellStyle name="Currency [2] 6 4" xfId="10440" xr:uid="{B0358914-1095-4B8C-A8BC-F109846E709B}"/>
    <cellStyle name="Currency [2] 6 5" xfId="10441" xr:uid="{96649B55-2101-4AF9-A18B-0A9AF8D65036}"/>
    <cellStyle name="Currency [2] 6 6" xfId="10442" xr:uid="{6B3C5E2F-B79F-43D6-9150-C222997AEC07}"/>
    <cellStyle name="Currency [2] 6 7" xfId="10443" xr:uid="{964871DC-E84B-4141-867F-134F0BCF1731}"/>
    <cellStyle name="Currency [2] 6 8" xfId="10444" xr:uid="{BD912F19-572D-4488-81B7-0E2BE0264C21}"/>
    <cellStyle name="Currency [2] 6 9" xfId="10445" xr:uid="{AEC04CE4-5CB5-47F7-BF4A-5DC35300FE83}"/>
    <cellStyle name="Currency [2] 7" xfId="10446" xr:uid="{2F2C4F9E-41DF-4787-B0C8-42AA77AF915A}"/>
    <cellStyle name="Currency [2] 7 10" xfId="10447" xr:uid="{0FA336FE-1322-4A49-8D91-7C8CB7DB5B30}"/>
    <cellStyle name="Currency [2] 7 11" xfId="10448" xr:uid="{D9759513-4D51-4C9C-8B39-79B4FBEA2423}"/>
    <cellStyle name="Currency [2] 7 12" xfId="10449" xr:uid="{55AF89C9-CD32-4DFE-9FEE-755A2649F26B}"/>
    <cellStyle name="Currency [2] 7 13" xfId="10450" xr:uid="{30B65032-2658-42D5-9613-7D6494D78C86}"/>
    <cellStyle name="Currency [2] 7 14" xfId="10451" xr:uid="{F9A8C058-F533-4605-AA22-D0C4B6F66D83}"/>
    <cellStyle name="Currency [2] 7 15" xfId="10452" xr:uid="{BB57F2AE-F0D7-4064-8E32-7460E15FBFE0}"/>
    <cellStyle name="Currency [2] 7 16" xfId="10453" xr:uid="{85B5DC6A-BDBD-459C-B1DB-96125E00CA84}"/>
    <cellStyle name="Currency [2] 7 17" xfId="10454" xr:uid="{ADA21D6A-8780-4500-8EBF-5268F51AF347}"/>
    <cellStyle name="Currency [2] 7 18" xfId="10455" xr:uid="{8DB0024A-5534-4B85-B567-DB1F1563BF77}"/>
    <cellStyle name="Currency [2] 7 19" xfId="10456" xr:uid="{5CC2F460-977A-49C4-A205-4046A49D65BA}"/>
    <cellStyle name="Currency [2] 7 2" xfId="10457" xr:uid="{60AA7E32-19AB-4B3C-A27F-FB4A0910F237}"/>
    <cellStyle name="Currency [2] 7 20" xfId="10458" xr:uid="{F66C8A55-A0A3-40BE-8750-64539A900B38}"/>
    <cellStyle name="Currency [2] 7 21" xfId="10459" xr:uid="{CE23B47E-936C-48CF-954C-B7035D35EAA5}"/>
    <cellStyle name="Currency [2] 7 22" xfId="10460" xr:uid="{7CFE0C16-3AF6-4A04-9257-FB967EFC567B}"/>
    <cellStyle name="Currency [2] 7 23" xfId="10461" xr:uid="{DE904AC1-96A9-4A87-BD22-AB996FF41501}"/>
    <cellStyle name="Currency [2] 7 3" xfId="10462" xr:uid="{C4C0A799-84D2-4331-81FC-2949912C40C5}"/>
    <cellStyle name="Currency [2] 7 4" xfId="10463" xr:uid="{9F0F8C3E-DF40-4F52-A15C-7B3A2927E3D5}"/>
    <cellStyle name="Currency [2] 7 5" xfId="10464" xr:uid="{0EDE3B09-9B89-4D9E-9EDC-B1BAC752AA21}"/>
    <cellStyle name="Currency [2] 7 6" xfId="10465" xr:uid="{C4705A1B-67B6-485C-A2DC-0CD8323EBF05}"/>
    <cellStyle name="Currency [2] 7 7" xfId="10466" xr:uid="{44C1BB41-2D6D-4476-9B8A-736F0BF9364C}"/>
    <cellStyle name="Currency [2] 7 8" xfId="10467" xr:uid="{824750B2-3B49-473D-8FD5-C26C7F0F9279}"/>
    <cellStyle name="Currency [2] 7 9" xfId="10468" xr:uid="{A92D8B9F-9558-426A-9463-B01E52A142B5}"/>
    <cellStyle name="Currency [2] 8" xfId="10469" xr:uid="{1BDCFEEB-E76E-4077-9B63-06FFCB5999C3}"/>
    <cellStyle name="Currency [2] 8 10" xfId="10470" xr:uid="{D4A3D755-5CC4-4D75-BB27-2E3ADDF56F42}"/>
    <cellStyle name="Currency [2] 8 11" xfId="10471" xr:uid="{73B3D2E5-AB91-4A8B-8629-C8D5225BE8A4}"/>
    <cellStyle name="Currency [2] 8 12" xfId="10472" xr:uid="{721D4193-8744-417A-90AA-A9FF664CD417}"/>
    <cellStyle name="Currency [2] 8 13" xfId="10473" xr:uid="{0DE237E2-20A6-45F6-BEC7-34A3E934B682}"/>
    <cellStyle name="Currency [2] 8 14" xfId="10474" xr:uid="{47E825BC-E452-4C46-951A-55B95ACCAC41}"/>
    <cellStyle name="Currency [2] 8 15" xfId="10475" xr:uid="{C743E58D-F8D6-494D-AEB7-5EC46838F6AE}"/>
    <cellStyle name="Currency [2] 8 16" xfId="10476" xr:uid="{57966318-A99A-4170-A137-DD10D72C3658}"/>
    <cellStyle name="Currency [2] 8 17" xfId="10477" xr:uid="{510E452D-7607-4C5A-B5CE-103182789A1E}"/>
    <cellStyle name="Currency [2] 8 18" xfId="10478" xr:uid="{EBAB2A48-6565-4A52-B544-E4819C811C0E}"/>
    <cellStyle name="Currency [2] 8 19" xfId="10479" xr:uid="{1EED28EA-85B9-4498-8414-5221C300C702}"/>
    <cellStyle name="Currency [2] 8 2" xfId="10480" xr:uid="{CD232721-6FB0-4906-B2E5-A5E5C779E5C1}"/>
    <cellStyle name="Currency [2] 8 20" xfId="10481" xr:uid="{A1FD6700-D95C-4AAE-A71B-41C0EC93910C}"/>
    <cellStyle name="Currency [2] 8 21" xfId="10482" xr:uid="{DBB3D09F-C8CE-4CA0-8B1D-00603838F174}"/>
    <cellStyle name="Currency [2] 8 22" xfId="10483" xr:uid="{AB4CC3E0-D29E-46F4-BBD5-70668BFAD271}"/>
    <cellStyle name="Currency [2] 8 23" xfId="10484" xr:uid="{C303DA4D-36F8-48ED-9023-31B07FCACC6E}"/>
    <cellStyle name="Currency [2] 8 3" xfId="10485" xr:uid="{6E804F71-1607-4ACF-9863-292D20E6F819}"/>
    <cellStyle name="Currency [2] 8 4" xfId="10486" xr:uid="{1F693B60-13E6-4E5F-9823-AF1CD920199A}"/>
    <cellStyle name="Currency [2] 8 5" xfId="10487" xr:uid="{AB0F75AD-CBD5-4AAA-B1EC-FC8DC949623E}"/>
    <cellStyle name="Currency [2] 8 6" xfId="10488" xr:uid="{6A87A6F3-0BE1-4784-ACD6-306F723A50AE}"/>
    <cellStyle name="Currency [2] 8 7" xfId="10489" xr:uid="{E72FC9FD-64A8-41FD-8AD2-66FCF0A2DBD5}"/>
    <cellStyle name="Currency [2] 8 8" xfId="10490" xr:uid="{2D77EDAE-11A8-49EF-B4A4-9A20B19E72C6}"/>
    <cellStyle name="Currency [2] 8 9" xfId="10491" xr:uid="{11188D45-E018-4EB2-8C4D-DD5A3D4C3BEE}"/>
    <cellStyle name="Currency [2] 9" xfId="10492" xr:uid="{5F2E37E7-6E75-408A-A19B-4197128523C3}"/>
    <cellStyle name="Currency [2] 9 10" xfId="10493" xr:uid="{D3FC144C-565C-43DC-AAAA-51ED256E722A}"/>
    <cellStyle name="Currency [2] 9 11" xfId="10494" xr:uid="{A65D8172-8D29-4CBA-8C9B-CC5B8FDDBBBD}"/>
    <cellStyle name="Currency [2] 9 12" xfId="10495" xr:uid="{0141237D-69C4-41E8-A5AD-D3DEF324526E}"/>
    <cellStyle name="Currency [2] 9 13" xfId="10496" xr:uid="{B8B7DCAD-EFE3-4DA3-8866-C5FAD16827A8}"/>
    <cellStyle name="Currency [2] 9 14" xfId="10497" xr:uid="{F516C1D7-EB34-42D6-9272-DC1C10EB6266}"/>
    <cellStyle name="Currency [2] 9 15" xfId="10498" xr:uid="{5FA4CA2D-8679-4E66-A38F-B48CF3CD31E4}"/>
    <cellStyle name="Currency [2] 9 16" xfId="10499" xr:uid="{DFAB3CA5-31C9-4E3E-B3FC-6D98AFFBE34C}"/>
    <cellStyle name="Currency [2] 9 17" xfId="10500" xr:uid="{961ECFBB-58BE-4ABB-BEB0-5C1330143944}"/>
    <cellStyle name="Currency [2] 9 18" xfId="10501" xr:uid="{BFF271AF-16C8-45A3-BB46-2A88AA5E1277}"/>
    <cellStyle name="Currency [2] 9 19" xfId="10502" xr:uid="{C49B807B-5BF0-421D-A827-ED232E45DBE2}"/>
    <cellStyle name="Currency [2] 9 2" xfId="10503" xr:uid="{A8EFA707-5061-46A6-B087-8CEFAAD3EBB3}"/>
    <cellStyle name="Currency [2] 9 20" xfId="10504" xr:uid="{E1E5A7A4-2E6C-4D54-939A-6FCFE7FBC6B0}"/>
    <cellStyle name="Currency [2] 9 21" xfId="10505" xr:uid="{ECB9DEC7-0E05-4AE3-9BEA-EA2A240FEAD2}"/>
    <cellStyle name="Currency [2] 9 22" xfId="10506" xr:uid="{9F958C82-D814-4C1E-801B-EE50DE2A8BE5}"/>
    <cellStyle name="Currency [2] 9 23" xfId="10507" xr:uid="{1D753A3E-314F-43FC-BAE1-B6210D6F0F32}"/>
    <cellStyle name="Currency [2] 9 3" xfId="10508" xr:uid="{6A0622FF-4987-4A8A-B04B-A878E7BC3DE3}"/>
    <cellStyle name="Currency [2] 9 4" xfId="10509" xr:uid="{1D0EC295-7A79-4D27-AAB6-32C109B7EF3F}"/>
    <cellStyle name="Currency [2] 9 5" xfId="10510" xr:uid="{54BB7362-B66E-4A86-84BF-ED029FC07314}"/>
    <cellStyle name="Currency [2] 9 6" xfId="10511" xr:uid="{ADE646FD-9758-4DF7-AD89-0DACCE45F70E}"/>
    <cellStyle name="Currency [2] 9 7" xfId="10512" xr:uid="{A19B57D6-C76B-4225-88C3-4A1010598357}"/>
    <cellStyle name="Currency [2] 9 8" xfId="10513" xr:uid="{2BE6EB25-C4D8-4E7B-BA39-914C9FC13057}"/>
    <cellStyle name="Currency [2] 9 9" xfId="10514" xr:uid="{A7FDC038-C645-49F5-89E4-C133A14AC1B8}"/>
    <cellStyle name="Currency [5]" xfId="10515" xr:uid="{13B74933-4180-4BD5-9E0C-EB7D14205422}"/>
    <cellStyle name="Currency [5] 10" xfId="10516" xr:uid="{940DAC66-528C-4D27-BA82-8CD7A9EB43ED}"/>
    <cellStyle name="Currency [5] 10 10" xfId="10517" xr:uid="{EBA2268B-5D75-4C9E-B734-B6DA92CCEBCB}"/>
    <cellStyle name="Currency [5] 10 11" xfId="10518" xr:uid="{8F3D41F5-DAF7-445B-BD6C-BF4E1F7F7A27}"/>
    <cellStyle name="Currency [5] 10 12" xfId="10519" xr:uid="{817639AE-75C3-4BA9-A815-F0218003ADEA}"/>
    <cellStyle name="Currency [5] 10 13" xfId="10520" xr:uid="{DA6EA918-94DD-423F-93C8-DDA9392E95A1}"/>
    <cellStyle name="Currency [5] 10 14" xfId="10521" xr:uid="{F6A5F683-60F6-4AD9-9C7F-3168DA887804}"/>
    <cellStyle name="Currency [5] 10 15" xfId="10522" xr:uid="{D1038C67-001D-4638-AA62-6F1DD17AC5C2}"/>
    <cellStyle name="Currency [5] 10 16" xfId="10523" xr:uid="{84775D47-4E16-4B8E-941F-611DF21D7B06}"/>
    <cellStyle name="Currency [5] 10 17" xfId="10524" xr:uid="{B2A668BA-9957-40C7-9313-479E5C513429}"/>
    <cellStyle name="Currency [5] 10 18" xfId="10525" xr:uid="{5AAB46FA-0273-4D4E-A299-86CCCA219DCE}"/>
    <cellStyle name="Currency [5] 10 19" xfId="10526" xr:uid="{355E16C7-1A68-4750-BB39-BDAD290CEB4E}"/>
    <cellStyle name="Currency [5] 10 2" xfId="10527" xr:uid="{F46EEBC0-4CE2-4F12-9003-05BB7F9BB062}"/>
    <cellStyle name="Currency [5] 10 20" xfId="10528" xr:uid="{306088A9-972D-45E5-BDB8-8D9156416B23}"/>
    <cellStyle name="Currency [5] 10 21" xfId="10529" xr:uid="{F4DE470C-D725-4389-8C1B-3EC583F9E65F}"/>
    <cellStyle name="Currency [5] 10 22" xfId="10530" xr:uid="{2BFB88D5-BB78-42D4-9525-D7DFF22AFAE4}"/>
    <cellStyle name="Currency [5] 10 23" xfId="10531" xr:uid="{6A8E1B67-870C-4933-80DA-994564DAF509}"/>
    <cellStyle name="Currency [5] 10 3" xfId="10532" xr:uid="{CAFB652A-8055-4B89-A73D-7F568B87E760}"/>
    <cellStyle name="Currency [5] 10 4" xfId="10533" xr:uid="{8B869528-2C26-44C6-B56C-0F7CA5867680}"/>
    <cellStyle name="Currency [5] 10 5" xfId="10534" xr:uid="{4761FAEF-838B-425B-AD6C-83279FFC0458}"/>
    <cellStyle name="Currency [5] 10 6" xfId="10535" xr:uid="{CF7D78FC-1C32-4911-86F6-72DBA1B11020}"/>
    <cellStyle name="Currency [5] 10 7" xfId="10536" xr:uid="{92710CF3-4520-4AB6-8631-3295BEC930C6}"/>
    <cellStyle name="Currency [5] 10 8" xfId="10537" xr:uid="{A3CD7BF5-56F5-4B99-8E6B-E9884E97A26F}"/>
    <cellStyle name="Currency [5] 10 9" xfId="10538" xr:uid="{051382D1-2542-4240-B0A3-C82F4F795CEC}"/>
    <cellStyle name="Currency [5] 11" xfId="10539" xr:uid="{953771D1-7F68-4B07-A188-7D9EF2EF5906}"/>
    <cellStyle name="Currency [5] 11 10" xfId="10540" xr:uid="{8D72BBF9-B0CA-4927-BF09-267C3AFA9776}"/>
    <cellStyle name="Currency [5] 11 11" xfId="10541" xr:uid="{AEF273F1-454D-4644-A47E-FB871B0D6917}"/>
    <cellStyle name="Currency [5] 11 12" xfId="10542" xr:uid="{FFE583FA-82E3-40F9-9563-EFDE67B7AB67}"/>
    <cellStyle name="Currency [5] 11 13" xfId="10543" xr:uid="{2BD54723-2FFB-4677-A0ED-9565352A6ADE}"/>
    <cellStyle name="Currency [5] 11 14" xfId="10544" xr:uid="{607733C9-17D2-4032-8047-CEE64E1BBF2C}"/>
    <cellStyle name="Currency [5] 11 15" xfId="10545" xr:uid="{969A1355-CD99-4FA0-99AE-6C262F5F675A}"/>
    <cellStyle name="Currency [5] 11 16" xfId="10546" xr:uid="{F0C2FFD7-A22D-4F18-824C-81683956DB27}"/>
    <cellStyle name="Currency [5] 11 17" xfId="10547" xr:uid="{72B01412-32FB-4BC5-91C1-5AAAFF5E4177}"/>
    <cellStyle name="Currency [5] 11 18" xfId="10548" xr:uid="{B89F24DA-E82B-4B6C-B074-F0ABBE0CA103}"/>
    <cellStyle name="Currency [5] 11 19" xfId="10549" xr:uid="{95C12D78-615A-4FBC-A4BF-30C9A74FABF6}"/>
    <cellStyle name="Currency [5] 11 2" xfId="10550" xr:uid="{B1175334-A83B-44FF-B44B-F94A0EF65F57}"/>
    <cellStyle name="Currency [5] 11 20" xfId="10551" xr:uid="{1A0C700A-ADD8-47C4-99A1-C30DE99A8A1D}"/>
    <cellStyle name="Currency [5] 11 21" xfId="10552" xr:uid="{5EB14140-9328-4BEC-96A6-1E7DF74F72FD}"/>
    <cellStyle name="Currency [5] 11 22" xfId="10553" xr:uid="{2018D0BC-10C4-4B3D-9DD3-DF8BE6DBFF29}"/>
    <cellStyle name="Currency [5] 11 23" xfId="10554" xr:uid="{6EFE484B-5209-4621-87A5-2065A4D17A98}"/>
    <cellStyle name="Currency [5] 11 3" xfId="10555" xr:uid="{E5D0DBE9-2718-45C4-AC96-779844682381}"/>
    <cellStyle name="Currency [5] 11 4" xfId="10556" xr:uid="{F3FA5275-166B-4209-9FDF-1BC467B731C1}"/>
    <cellStyle name="Currency [5] 11 5" xfId="10557" xr:uid="{014FB7A0-38F9-4EDC-A343-601526366F74}"/>
    <cellStyle name="Currency [5] 11 6" xfId="10558" xr:uid="{27C21FD3-A270-48C4-9925-B8CF7D49BFC0}"/>
    <cellStyle name="Currency [5] 11 7" xfId="10559" xr:uid="{C75934FA-5502-4FF2-BB82-BB8017CDA075}"/>
    <cellStyle name="Currency [5] 11 8" xfId="10560" xr:uid="{E302F700-BAF6-48A3-A918-8838A130BEDE}"/>
    <cellStyle name="Currency [5] 11 9" xfId="10561" xr:uid="{1F39DB53-DEF8-4450-AF42-E7BC1474286B}"/>
    <cellStyle name="Currency [5] 12" xfId="10562" xr:uid="{11623D89-FA01-444A-9973-B87373048973}"/>
    <cellStyle name="Currency [5] 12 2" xfId="10563" xr:uid="{63407F5A-E463-429B-8AB5-1E053779CEE7}"/>
    <cellStyle name="Currency [5] 12 3" xfId="10564" xr:uid="{4B95F5E9-A5C0-4185-9671-88C45D18EB33}"/>
    <cellStyle name="Currency [5] 12 4" xfId="10565" xr:uid="{2B8121AC-94DF-4BD7-8449-6A8DBB6B6443}"/>
    <cellStyle name="Currency [5] 13" xfId="10566" xr:uid="{6BB34C8C-3D66-48A4-878B-EE35F18144A6}"/>
    <cellStyle name="Currency [5] 14" xfId="10567" xr:uid="{8D802D04-B738-46C1-94F5-9655421ACB5B}"/>
    <cellStyle name="Currency [5] 15" xfId="10568" xr:uid="{03B20DFF-DEE8-4159-85E0-633752AD43E0}"/>
    <cellStyle name="Currency [5] 16" xfId="10569" xr:uid="{9DEAC61C-3C8C-4BB6-B819-A251949B3FAD}"/>
    <cellStyle name="Currency [5] 2" xfId="10570" xr:uid="{8E91991B-4603-426D-87E0-F6D57FD1043B}"/>
    <cellStyle name="Currency [5] 2 10" xfId="10571" xr:uid="{E194C074-85E5-4487-BFD9-540B1D1C5BB9}"/>
    <cellStyle name="Currency [5] 2 11" xfId="10572" xr:uid="{34271346-9304-4412-BCF8-3CE8CBCB3947}"/>
    <cellStyle name="Currency [5] 2 12" xfId="10573" xr:uid="{21C9B524-61C5-4E20-80A1-E05CDF693D95}"/>
    <cellStyle name="Currency [5] 2 13" xfId="10574" xr:uid="{3A151593-D932-4470-A647-C479A470B09E}"/>
    <cellStyle name="Currency [5] 2 14" xfId="10575" xr:uid="{D3913685-597D-4FE6-B0EC-E6D4156D2A5F}"/>
    <cellStyle name="Currency [5] 2 15" xfId="10576" xr:uid="{1BBAB64C-64C5-40BF-8A1C-E97CB82BE9F4}"/>
    <cellStyle name="Currency [5] 2 16" xfId="10577" xr:uid="{4DD68597-0573-4D5B-9D07-790DB83F9291}"/>
    <cellStyle name="Currency [5] 2 17" xfId="10578" xr:uid="{76703141-553F-4AB4-8025-30B536322FAF}"/>
    <cellStyle name="Currency [5] 2 18" xfId="10579" xr:uid="{984BA32D-73F5-4832-9FC4-AFEC3D7B4516}"/>
    <cellStyle name="Currency [5] 2 19" xfId="10580" xr:uid="{55151BA4-1F2F-4187-9F9E-61EC853810E9}"/>
    <cellStyle name="Currency [5] 2 2" xfId="10581" xr:uid="{66B161FD-EF8B-4CCA-93FF-CD8288AB1A92}"/>
    <cellStyle name="Currency [5] 2 2 10" xfId="10582" xr:uid="{5C471812-F06D-4EA2-A7B8-9EBA36738507}"/>
    <cellStyle name="Currency [5] 2 2 11" xfId="10583" xr:uid="{C45C9727-08C6-458F-A21F-53A27494763D}"/>
    <cellStyle name="Currency [5] 2 2 12" xfId="10584" xr:uid="{21A097A5-1B00-4CC7-A0EB-36AF989664EF}"/>
    <cellStyle name="Currency [5] 2 2 13" xfId="10585" xr:uid="{AB12C971-C746-4425-B003-A43864A1C740}"/>
    <cellStyle name="Currency [5] 2 2 14" xfId="10586" xr:uid="{8EF3FDD5-9442-4BD7-92FC-394C488314D8}"/>
    <cellStyle name="Currency [5] 2 2 15" xfId="10587" xr:uid="{ACCE55BD-044B-46D2-B86D-C635F8440415}"/>
    <cellStyle name="Currency [5] 2 2 16" xfId="10588" xr:uid="{B37BBB88-6529-4B48-A56A-F5E88AE90DCF}"/>
    <cellStyle name="Currency [5] 2 2 17" xfId="10589" xr:uid="{897D7689-7C3D-47DE-AD26-D2770B7A7800}"/>
    <cellStyle name="Currency [5] 2 2 18" xfId="10590" xr:uid="{A86D958C-99BB-4CAF-91B0-B16CBD640652}"/>
    <cellStyle name="Currency [5] 2 2 19" xfId="10591" xr:uid="{1D7C9E76-A265-458E-8C30-96F63A637A14}"/>
    <cellStyle name="Currency [5] 2 2 2" xfId="10592" xr:uid="{C888078D-114F-48E1-B808-66FEE2B14523}"/>
    <cellStyle name="Currency [5] 2 2 20" xfId="10593" xr:uid="{8A262C35-EAB8-493E-A438-D3C96E049388}"/>
    <cellStyle name="Currency [5] 2 2 21" xfId="10594" xr:uid="{D6AFFA20-F37F-4FA3-A420-ACCC54B336AA}"/>
    <cellStyle name="Currency [5] 2 2 22" xfId="10595" xr:uid="{90AB5748-CB4D-461A-8D06-955CBCDBEC16}"/>
    <cellStyle name="Currency [5] 2 2 23" xfId="10596" xr:uid="{03909961-C7DD-40D4-8585-272271E9CA00}"/>
    <cellStyle name="Currency [5] 2 2 3" xfId="10597" xr:uid="{7D544924-6DB8-426A-A926-F6C595C780A0}"/>
    <cellStyle name="Currency [5] 2 2 4" xfId="10598" xr:uid="{D290A0BC-99B6-4AAA-9644-CE03CE45511C}"/>
    <cellStyle name="Currency [5] 2 2 5" xfId="10599" xr:uid="{83E6A381-AEED-4DB9-A3A5-CCD87BD6E0A2}"/>
    <cellStyle name="Currency [5] 2 2 6" xfId="10600" xr:uid="{99077304-A093-4C67-B78A-27ED8BF4BD39}"/>
    <cellStyle name="Currency [5] 2 2 7" xfId="10601" xr:uid="{8DD86E2A-4F4D-4BBB-B881-3ABEC9C9D521}"/>
    <cellStyle name="Currency [5] 2 2 8" xfId="10602" xr:uid="{94317D53-DEA3-43DB-917D-2B00298AA522}"/>
    <cellStyle name="Currency [5] 2 2 9" xfId="10603" xr:uid="{577002B3-B483-418F-AAB6-D8624C73FEF3}"/>
    <cellStyle name="Currency [5] 2 20" xfId="10604" xr:uid="{3721825F-F745-479E-9946-5C6069AE28A5}"/>
    <cellStyle name="Currency [5] 2 21" xfId="10605" xr:uid="{894B3524-C612-44BD-81E0-4D71BA02D775}"/>
    <cellStyle name="Currency [5] 2 22" xfId="10606" xr:uid="{15866AD9-3884-4271-8EE6-306D1C81BEDF}"/>
    <cellStyle name="Currency [5] 2 23" xfId="10607" xr:uid="{59291A32-F7CD-4722-B378-D34B0ADC2EED}"/>
    <cellStyle name="Currency [5] 2 24" xfId="10608" xr:uid="{ED6CC42E-AA8A-4EE7-AB26-893CA32A29FC}"/>
    <cellStyle name="Currency [5] 2 25" xfId="10609" xr:uid="{7EFA2A3E-E97E-4436-85B5-DE7A1905ECDB}"/>
    <cellStyle name="Currency [5] 2 26" xfId="10610" xr:uid="{8E8B9705-57B0-40DF-9249-343A6D2B828F}"/>
    <cellStyle name="Currency [5] 2 27" xfId="10611" xr:uid="{CA51C3BE-931A-43FF-9342-701B8721651B}"/>
    <cellStyle name="Currency [5] 2 3" xfId="10612" xr:uid="{27A3EFA6-400C-4D3E-ACAC-31F3FEF88778}"/>
    <cellStyle name="Currency [5] 2 3 10" xfId="10613" xr:uid="{2CD8B436-1086-4F33-8A95-D84156BFA56E}"/>
    <cellStyle name="Currency [5] 2 3 11" xfId="10614" xr:uid="{3DACAA54-2EDD-4E84-8A17-23332D1743BA}"/>
    <cellStyle name="Currency [5] 2 3 12" xfId="10615" xr:uid="{BA67696B-6A73-4395-92DE-679093A6B24C}"/>
    <cellStyle name="Currency [5] 2 3 13" xfId="10616" xr:uid="{C29BDED5-745A-4AF9-AFC6-96F16DC1BF69}"/>
    <cellStyle name="Currency [5] 2 3 14" xfId="10617" xr:uid="{B59AA18C-BC76-4E36-9AFB-C5F0F6020D8A}"/>
    <cellStyle name="Currency [5] 2 3 15" xfId="10618" xr:uid="{D2297F90-58FC-46E1-8257-DE989BF81D41}"/>
    <cellStyle name="Currency [5] 2 3 16" xfId="10619" xr:uid="{24FD5E55-1616-4503-82DF-034E121C89DC}"/>
    <cellStyle name="Currency [5] 2 3 17" xfId="10620" xr:uid="{0C50C595-64E3-434D-943C-BEE4664D5375}"/>
    <cellStyle name="Currency [5] 2 3 18" xfId="10621" xr:uid="{1E0E8C44-DE7F-4B9B-8DC8-246295BCCC58}"/>
    <cellStyle name="Currency [5] 2 3 19" xfId="10622" xr:uid="{2C4C892B-8406-4B24-BFB8-18CD00D83B54}"/>
    <cellStyle name="Currency [5] 2 3 2" xfId="10623" xr:uid="{3DB88F51-EA88-4050-9CC9-821641991CB9}"/>
    <cellStyle name="Currency [5] 2 3 20" xfId="10624" xr:uid="{D899613A-513D-4597-BCEB-6F6D276781F5}"/>
    <cellStyle name="Currency [5] 2 3 21" xfId="10625" xr:uid="{385E1AD3-CF30-4008-AEC5-FA654E3444BB}"/>
    <cellStyle name="Currency [5] 2 3 22" xfId="10626" xr:uid="{F77C82D4-41A9-4BD2-87F3-F4D0E407CD4B}"/>
    <cellStyle name="Currency [5] 2 3 23" xfId="10627" xr:uid="{86F72CD7-4C12-41E4-9168-1A80C1665ED4}"/>
    <cellStyle name="Currency [5] 2 3 3" xfId="10628" xr:uid="{BE4E2E70-B7AB-420B-BE59-DCD899E043AE}"/>
    <cellStyle name="Currency [5] 2 3 4" xfId="10629" xr:uid="{D55705A8-EEE7-46BF-81DA-5BC686AF35F3}"/>
    <cellStyle name="Currency [5] 2 3 5" xfId="10630" xr:uid="{4DFD04E9-801E-4375-823C-23D32D129C90}"/>
    <cellStyle name="Currency [5] 2 3 6" xfId="10631" xr:uid="{1DF367FB-A7B4-4A85-A548-FD1B11BF6062}"/>
    <cellStyle name="Currency [5] 2 3 7" xfId="10632" xr:uid="{44C4A75B-884B-43C1-8C93-2D6879E7DF2F}"/>
    <cellStyle name="Currency [5] 2 3 8" xfId="10633" xr:uid="{9AEF9E66-6E49-4CA6-9832-0B43F9E1CC1F}"/>
    <cellStyle name="Currency [5] 2 3 9" xfId="10634" xr:uid="{C0EFA2CA-9BA1-4B11-8886-A443E9738B01}"/>
    <cellStyle name="Currency [5] 2 4" xfId="10635" xr:uid="{943E4B2C-0E7B-477F-B408-4CEC29FB6F77}"/>
    <cellStyle name="Currency [5] 2 4 10" xfId="10636" xr:uid="{B5B50CC2-3CF0-43A6-9F19-DDCFF5B3E6D2}"/>
    <cellStyle name="Currency [5] 2 4 11" xfId="10637" xr:uid="{2EFA0E91-D334-428B-9B91-F28DBEF23E95}"/>
    <cellStyle name="Currency [5] 2 4 12" xfId="10638" xr:uid="{A4826071-A7F4-4456-AC2F-829B8CBDBABA}"/>
    <cellStyle name="Currency [5] 2 4 13" xfId="10639" xr:uid="{B531959F-643E-4C51-9088-C2892269A694}"/>
    <cellStyle name="Currency [5] 2 4 14" xfId="10640" xr:uid="{EB1A725D-0BC4-4B45-83FB-BC6F2DCE766F}"/>
    <cellStyle name="Currency [5] 2 4 15" xfId="10641" xr:uid="{3C983BE5-A5A8-4661-AD25-E35FDC2729F6}"/>
    <cellStyle name="Currency [5] 2 4 16" xfId="10642" xr:uid="{4539F60E-7D1A-4517-8909-EDE398EF6C3C}"/>
    <cellStyle name="Currency [5] 2 4 17" xfId="10643" xr:uid="{5205629C-7D7A-4441-B1FF-D2A87DC8111A}"/>
    <cellStyle name="Currency [5] 2 4 18" xfId="10644" xr:uid="{578F057F-B6AB-47F9-9472-F28CA9FFD43D}"/>
    <cellStyle name="Currency [5] 2 4 19" xfId="10645" xr:uid="{A4E7A5A0-5DEA-4E84-AF81-207187D94EBA}"/>
    <cellStyle name="Currency [5] 2 4 2" xfId="10646" xr:uid="{725D5FBA-A36F-4657-A7F0-44800862778A}"/>
    <cellStyle name="Currency [5] 2 4 20" xfId="10647" xr:uid="{2B243333-5B61-4132-8DD2-BFEA0D9CFCF6}"/>
    <cellStyle name="Currency [5] 2 4 21" xfId="10648" xr:uid="{9D525F29-C1F5-463E-A56D-2F8F54D4F9A4}"/>
    <cellStyle name="Currency [5] 2 4 22" xfId="10649" xr:uid="{12BD27E0-CB19-4E05-B768-6A790FC790A1}"/>
    <cellStyle name="Currency [5] 2 4 23" xfId="10650" xr:uid="{B5C6DC7B-BB7A-4924-9560-DF502BA67FAC}"/>
    <cellStyle name="Currency [5] 2 4 3" xfId="10651" xr:uid="{409302DC-581A-4CAE-9E3A-8E75A9B079CD}"/>
    <cellStyle name="Currency [5] 2 4 4" xfId="10652" xr:uid="{AE81DB5D-04D1-4A1E-9C8C-8E537B7890C0}"/>
    <cellStyle name="Currency [5] 2 4 5" xfId="10653" xr:uid="{0F801EF9-EE0F-47BE-8EA1-81A43FAA2844}"/>
    <cellStyle name="Currency [5] 2 4 6" xfId="10654" xr:uid="{9EA98138-59D6-4160-8D05-9579988D6F12}"/>
    <cellStyle name="Currency [5] 2 4 7" xfId="10655" xr:uid="{8CA1A1FA-89EB-488B-8185-14FD1BAF5EAE}"/>
    <cellStyle name="Currency [5] 2 4 8" xfId="10656" xr:uid="{037D056F-E73E-4A42-92CE-09A83EC694B8}"/>
    <cellStyle name="Currency [5] 2 4 9" xfId="10657" xr:uid="{3183CCAD-987A-4CC2-8761-5FF5B52D5566}"/>
    <cellStyle name="Currency [5] 2 5" xfId="10658" xr:uid="{E4C86525-6CCD-4EB0-89BA-60331A629DA3}"/>
    <cellStyle name="Currency [5] 2 5 10" xfId="10659" xr:uid="{598CFBD3-EA1A-486A-AD62-C4A75A2DF337}"/>
    <cellStyle name="Currency [5] 2 5 11" xfId="10660" xr:uid="{671B8A50-B102-426F-AE1F-3C4CB0C50865}"/>
    <cellStyle name="Currency [5] 2 5 12" xfId="10661" xr:uid="{37B8AE0A-8E03-43C2-B6A0-A1D9905F7CCC}"/>
    <cellStyle name="Currency [5] 2 5 13" xfId="10662" xr:uid="{F3D54669-CE80-4824-8AA5-7C5EF3E07297}"/>
    <cellStyle name="Currency [5] 2 5 14" xfId="10663" xr:uid="{AC0CCDB8-CF67-40B4-BF03-2DBD2FC22B1E}"/>
    <cellStyle name="Currency [5] 2 5 15" xfId="10664" xr:uid="{E312743F-5DBA-428D-AE8A-E093BBDF6437}"/>
    <cellStyle name="Currency [5] 2 5 16" xfId="10665" xr:uid="{9E8CCCC2-5AE3-421A-AF06-98927DF25464}"/>
    <cellStyle name="Currency [5] 2 5 17" xfId="10666" xr:uid="{CDA09743-48C3-4898-9B48-F5CA88E2F140}"/>
    <cellStyle name="Currency [5] 2 5 18" xfId="10667" xr:uid="{14965708-32F7-49DE-8E71-D5066BB85BAB}"/>
    <cellStyle name="Currency [5] 2 5 19" xfId="10668" xr:uid="{BE35C158-82C7-404E-85EC-D08DC89FF2F9}"/>
    <cellStyle name="Currency [5] 2 5 2" xfId="10669" xr:uid="{4DA13162-E8BE-46F6-8976-9BDB4BB82182}"/>
    <cellStyle name="Currency [5] 2 5 20" xfId="10670" xr:uid="{785AE914-4DC9-4E3F-A93D-83F67C060506}"/>
    <cellStyle name="Currency [5] 2 5 21" xfId="10671" xr:uid="{C84467E2-6E3A-499B-ADF3-BE65B318179B}"/>
    <cellStyle name="Currency [5] 2 5 22" xfId="10672" xr:uid="{2DCBE487-E5D9-44ED-A885-887B9F497995}"/>
    <cellStyle name="Currency [5] 2 5 23" xfId="10673" xr:uid="{65CD61BF-2B1E-4F3C-B84F-D78C4F95EF10}"/>
    <cellStyle name="Currency [5] 2 5 3" xfId="10674" xr:uid="{0ECF8793-95B1-4F98-A5ED-41EBBC79FF05}"/>
    <cellStyle name="Currency [5] 2 5 4" xfId="10675" xr:uid="{F0A8E39A-2A48-4937-810E-78697C080E90}"/>
    <cellStyle name="Currency [5] 2 5 5" xfId="10676" xr:uid="{424B4C41-4A4A-4EE0-BAB4-53A17D99A7F7}"/>
    <cellStyle name="Currency [5] 2 5 6" xfId="10677" xr:uid="{FF856796-B12A-4C12-96EF-3EC159C463A1}"/>
    <cellStyle name="Currency [5] 2 5 7" xfId="10678" xr:uid="{846301A9-F485-4E6D-A2DB-A7F42BBB7F50}"/>
    <cellStyle name="Currency [5] 2 5 8" xfId="10679" xr:uid="{D59B0824-66A0-4C59-A048-D33B0D03C4C5}"/>
    <cellStyle name="Currency [5] 2 5 9" xfId="10680" xr:uid="{F42A3770-4C86-4A80-BA97-C82B260FF851}"/>
    <cellStyle name="Currency [5] 2 6" xfId="10681" xr:uid="{E1830EF3-557F-469C-BEBE-0D5E54A6E152}"/>
    <cellStyle name="Currency [5] 2 7" xfId="10682" xr:uid="{CF1C21B8-373D-4A0F-91FD-E4C63A1E7AD6}"/>
    <cellStyle name="Currency [5] 2 8" xfId="10683" xr:uid="{96530E47-7A38-4BAC-95B7-95EEC42CFB22}"/>
    <cellStyle name="Currency [5] 2 9" xfId="10684" xr:uid="{DDE538B9-D2E7-4EC2-B97F-5CDC3BD1DADF}"/>
    <cellStyle name="Currency [5] 3" xfId="10685" xr:uid="{C073576C-85A3-4825-AC33-94A5F2EC2029}"/>
    <cellStyle name="Currency [5] 3 10" xfId="10686" xr:uid="{F3AAC826-0F4C-48FD-9628-03FCAF8AD6FE}"/>
    <cellStyle name="Currency [5] 3 11" xfId="10687" xr:uid="{C8F749C4-32A8-4992-8440-A9372AB4C6B8}"/>
    <cellStyle name="Currency [5] 3 12" xfId="10688" xr:uid="{6B339690-BFC4-40ED-A166-4BD8F632F880}"/>
    <cellStyle name="Currency [5] 3 13" xfId="10689" xr:uid="{FBC66AEF-E4A5-4F57-B050-1C3DE029CF5A}"/>
    <cellStyle name="Currency [5] 3 14" xfId="10690" xr:uid="{245A622B-B612-4C8E-829C-36C0B4DAD5A7}"/>
    <cellStyle name="Currency [5] 3 15" xfId="10691" xr:uid="{CF33EE64-6802-4CE1-897A-E6B13E95A540}"/>
    <cellStyle name="Currency [5] 3 16" xfId="10692" xr:uid="{37C3DB89-A284-4D6D-A716-9145C310024D}"/>
    <cellStyle name="Currency [5] 3 17" xfId="10693" xr:uid="{CD2CC2FB-C16C-46F1-8833-7C1D246CC446}"/>
    <cellStyle name="Currency [5] 3 18" xfId="10694" xr:uid="{BBE98190-C75B-43FE-A2AC-E416D34661CB}"/>
    <cellStyle name="Currency [5] 3 19" xfId="10695" xr:uid="{80185C72-36B0-4670-8B93-92ACB8A705C1}"/>
    <cellStyle name="Currency [5] 3 2" xfId="10696" xr:uid="{E4C50357-C5A5-46BF-B62E-5DBACEE5EA0F}"/>
    <cellStyle name="Currency [5] 3 20" xfId="10697" xr:uid="{D5BE4D48-B83C-4FF4-BA1F-039D72599E63}"/>
    <cellStyle name="Currency [5] 3 21" xfId="10698" xr:uid="{7AB80CA2-6ABD-4A00-9DB1-2C790C602D74}"/>
    <cellStyle name="Currency [5] 3 22" xfId="10699" xr:uid="{4B905E7F-667C-455F-AD23-5BCDAF53771F}"/>
    <cellStyle name="Currency [5] 3 23" xfId="10700" xr:uid="{C7701242-B2BE-4C14-AACF-B0FB02FB3857}"/>
    <cellStyle name="Currency [5] 3 3" xfId="10701" xr:uid="{9654C09F-4C54-4BD0-A20B-7B8E9945BD72}"/>
    <cellStyle name="Currency [5] 3 4" xfId="10702" xr:uid="{DB13A873-EF7F-4F97-9626-8BE6DEA4E713}"/>
    <cellStyle name="Currency [5] 3 5" xfId="10703" xr:uid="{D2C5293E-6128-4644-B0A0-47C353EF6CF9}"/>
    <cellStyle name="Currency [5] 3 6" xfId="10704" xr:uid="{D16C6AB0-D345-4774-8B4B-0C040E347D6D}"/>
    <cellStyle name="Currency [5] 3 7" xfId="10705" xr:uid="{3B17B604-EE75-4DB9-9F26-E979E65FE96D}"/>
    <cellStyle name="Currency [5] 3 8" xfId="10706" xr:uid="{56E66629-85D2-4B6E-8A91-BDCEBC50F460}"/>
    <cellStyle name="Currency [5] 3 9" xfId="10707" xr:uid="{4D1522E8-590C-46E5-97C0-C99180E6B27A}"/>
    <cellStyle name="Currency [5] 4" xfId="10708" xr:uid="{3FF06953-EBF6-4DB1-B130-3AB994D03330}"/>
    <cellStyle name="Currency [5] 4 10" xfId="10709" xr:uid="{F9BE374C-3E6C-4A73-9AFC-226A43434252}"/>
    <cellStyle name="Currency [5] 4 11" xfId="10710" xr:uid="{E5863BE9-A0E7-470A-B966-E85B4C8AA8CE}"/>
    <cellStyle name="Currency [5] 4 12" xfId="10711" xr:uid="{ACDA435A-2020-47A1-91BC-E7AD43F97BA7}"/>
    <cellStyle name="Currency [5] 4 13" xfId="10712" xr:uid="{938F2E6D-8ABD-4454-A4B9-9CC58D551421}"/>
    <cellStyle name="Currency [5] 4 14" xfId="10713" xr:uid="{5A4FD751-EC0E-46BD-838A-39C69CB3645D}"/>
    <cellStyle name="Currency [5] 4 15" xfId="10714" xr:uid="{0B21CDA6-C91C-4834-AB40-FA5C4D88886A}"/>
    <cellStyle name="Currency [5] 4 16" xfId="10715" xr:uid="{2213F138-2B74-40CC-91B1-8041005A38C3}"/>
    <cellStyle name="Currency [5] 4 17" xfId="10716" xr:uid="{46BC4A07-344C-414B-A68E-834DCCFCF6C7}"/>
    <cellStyle name="Currency [5] 4 18" xfId="10717" xr:uid="{A6AA04AA-9492-4E8E-A0C3-E22924C55381}"/>
    <cellStyle name="Currency [5] 4 19" xfId="10718" xr:uid="{228BBB52-5828-44A7-8B08-53393DFE9D12}"/>
    <cellStyle name="Currency [5] 4 2" xfId="10719" xr:uid="{51DBF8F0-2516-4408-AB0D-14C9B82B9EEC}"/>
    <cellStyle name="Currency [5] 4 20" xfId="10720" xr:uid="{FC22DAF0-62D8-4EF2-9416-820DACB2D9B6}"/>
    <cellStyle name="Currency [5] 4 21" xfId="10721" xr:uid="{2B0F7DD7-7220-4BD4-8F61-DAA749239154}"/>
    <cellStyle name="Currency [5] 4 22" xfId="10722" xr:uid="{E0D952C0-9364-4FD2-8CAA-50BDC75419E3}"/>
    <cellStyle name="Currency [5] 4 23" xfId="10723" xr:uid="{5D9F9529-8184-4CEB-8FCB-AB3798FEB4BF}"/>
    <cellStyle name="Currency [5] 4 3" xfId="10724" xr:uid="{C7BBA11D-6E37-4BB1-8A0D-B9823B350B49}"/>
    <cellStyle name="Currency [5] 4 4" xfId="10725" xr:uid="{0A2EA434-9604-433F-8647-00FAAF298C8F}"/>
    <cellStyle name="Currency [5] 4 5" xfId="10726" xr:uid="{C3AB29EC-AD43-443F-B0C6-455A0B03FAFF}"/>
    <cellStyle name="Currency [5] 4 6" xfId="10727" xr:uid="{990E8B6C-5EE0-4237-9AA1-5D7EB2CD18CA}"/>
    <cellStyle name="Currency [5] 4 7" xfId="10728" xr:uid="{3FDA57B7-2C6E-445C-AB8E-5CE4AC8FA084}"/>
    <cellStyle name="Currency [5] 4 8" xfId="10729" xr:uid="{1141E756-970C-4421-A41B-5529C031D915}"/>
    <cellStyle name="Currency [5] 4 9" xfId="10730" xr:uid="{C8F287D4-5A48-4090-ADBE-53750B2DC0E0}"/>
    <cellStyle name="Currency [5] 5" xfId="10731" xr:uid="{C30CE41D-3C3F-46C4-9867-22D797625C3D}"/>
    <cellStyle name="Currency [5] 5 10" xfId="10732" xr:uid="{848D0C57-3B6B-41A0-BBA3-654C3311A222}"/>
    <cellStyle name="Currency [5] 5 11" xfId="10733" xr:uid="{30E06C7E-A708-461B-86A4-DF5E8CC05F61}"/>
    <cellStyle name="Currency [5] 5 12" xfId="10734" xr:uid="{E61438C8-2BEB-4B4A-B602-25F5C8076DC1}"/>
    <cellStyle name="Currency [5] 5 13" xfId="10735" xr:uid="{FCDC5B96-7911-482B-8EF9-F52F0EC34DF8}"/>
    <cellStyle name="Currency [5] 5 14" xfId="10736" xr:uid="{31CD4E75-60AB-4477-B52A-CB433790F6C9}"/>
    <cellStyle name="Currency [5] 5 15" xfId="10737" xr:uid="{F2291457-7D77-4144-885D-8FBBB5075240}"/>
    <cellStyle name="Currency [5] 5 16" xfId="10738" xr:uid="{2BE6C271-3034-4294-93DA-8034DF11DECC}"/>
    <cellStyle name="Currency [5] 5 17" xfId="10739" xr:uid="{807771B5-71A7-43CD-86DC-53F617206870}"/>
    <cellStyle name="Currency [5] 5 18" xfId="10740" xr:uid="{B7ACD7B4-FB26-4CB2-9FC8-95D8A089246D}"/>
    <cellStyle name="Currency [5] 5 19" xfId="10741" xr:uid="{F4F2EA32-88FD-4F82-8950-B2A87954D8B8}"/>
    <cellStyle name="Currency [5] 5 2" xfId="10742" xr:uid="{662F9076-F1E9-4DA4-8F18-581FE173E087}"/>
    <cellStyle name="Currency [5] 5 20" xfId="10743" xr:uid="{7EBCF31F-4855-4602-8EE9-BC38141AE38E}"/>
    <cellStyle name="Currency [5] 5 21" xfId="10744" xr:uid="{E7E44344-189A-4C88-88F5-33A1EBE0DFC7}"/>
    <cellStyle name="Currency [5] 5 22" xfId="10745" xr:uid="{9CEB1A04-BDA7-40D8-964B-0141988746A7}"/>
    <cellStyle name="Currency [5] 5 23" xfId="10746" xr:uid="{CA51762D-02F7-4353-8883-33B276CD197D}"/>
    <cellStyle name="Currency [5] 5 3" xfId="10747" xr:uid="{A0176D9A-E777-4384-B765-90F2919893D0}"/>
    <cellStyle name="Currency [5] 5 4" xfId="10748" xr:uid="{F906622A-8CBB-4716-B50A-F145DDBEC7FD}"/>
    <cellStyle name="Currency [5] 5 5" xfId="10749" xr:uid="{1A828E0D-FD91-4C30-8B8F-1415492AC234}"/>
    <cellStyle name="Currency [5] 5 6" xfId="10750" xr:uid="{EDBB0628-8FD5-441B-A3A2-8018E64FBB8B}"/>
    <cellStyle name="Currency [5] 5 7" xfId="10751" xr:uid="{4C2D357D-4C49-4363-BBD0-D604E669AA6E}"/>
    <cellStyle name="Currency [5] 5 8" xfId="10752" xr:uid="{C26CE301-E6A9-45AF-86CF-EA9F915F1BE6}"/>
    <cellStyle name="Currency [5] 5 9" xfId="10753" xr:uid="{E764559F-7123-48AA-983C-60DB3B7F7207}"/>
    <cellStyle name="Currency [5] 6" xfId="10754" xr:uid="{CF008BE3-ED45-4EA6-AA87-438450A044E0}"/>
    <cellStyle name="Currency [5] 6 10" xfId="10755" xr:uid="{3CE39A7E-6F21-4018-A002-A3CE8C9E489D}"/>
    <cellStyle name="Currency [5] 6 11" xfId="10756" xr:uid="{91B7F3EC-185B-4BE6-B663-792BCC0C462F}"/>
    <cellStyle name="Currency [5] 6 12" xfId="10757" xr:uid="{BFB2B4A3-1BC4-4300-93D1-272AD6D51AC9}"/>
    <cellStyle name="Currency [5] 6 13" xfId="10758" xr:uid="{E673FD8B-333A-47D9-B082-017ECB931127}"/>
    <cellStyle name="Currency [5] 6 14" xfId="10759" xr:uid="{578602F5-6D3F-45F3-B968-AA67A78D7952}"/>
    <cellStyle name="Currency [5] 6 15" xfId="10760" xr:uid="{55B05D3A-E54F-4B80-AF35-2F791B1954AE}"/>
    <cellStyle name="Currency [5] 6 16" xfId="10761" xr:uid="{04116128-3A91-4DA6-A5B1-CD75FFF0325E}"/>
    <cellStyle name="Currency [5] 6 17" xfId="10762" xr:uid="{2B81324B-2444-4B43-BD4A-3B3778E95BE7}"/>
    <cellStyle name="Currency [5] 6 18" xfId="10763" xr:uid="{9BEFEA0D-08BE-4C83-927E-F3C1452D04B5}"/>
    <cellStyle name="Currency [5] 6 19" xfId="10764" xr:uid="{F7C14BB7-4C3A-44DC-8AA9-2726D5C072FD}"/>
    <cellStyle name="Currency [5] 6 2" xfId="10765" xr:uid="{6CBE9036-19D0-4563-802E-0EFA41BA48B7}"/>
    <cellStyle name="Currency [5] 6 20" xfId="10766" xr:uid="{F7C943B2-83A7-43FC-AB74-8BA579E3FDEE}"/>
    <cellStyle name="Currency [5] 6 21" xfId="10767" xr:uid="{45D6D8C3-44AB-4B60-BFCF-7D0A963A7DB0}"/>
    <cellStyle name="Currency [5] 6 22" xfId="10768" xr:uid="{A9109712-CF60-48CE-A0B4-E880AB586913}"/>
    <cellStyle name="Currency [5] 6 23" xfId="10769" xr:uid="{8DF88DE9-D2B6-4F83-B18D-66FAFEBB4866}"/>
    <cellStyle name="Currency [5] 6 3" xfId="10770" xr:uid="{B8D234EA-668A-4B84-836D-ED35BE75E4BC}"/>
    <cellStyle name="Currency [5] 6 4" xfId="10771" xr:uid="{62D4D340-D2F7-48F5-AD94-085845ED14EF}"/>
    <cellStyle name="Currency [5] 6 5" xfId="10772" xr:uid="{2326F744-ADDC-45B4-8968-15ABE91DC42C}"/>
    <cellStyle name="Currency [5] 6 6" xfId="10773" xr:uid="{7A7D30EC-616B-41CC-96BD-01213A698F6A}"/>
    <cellStyle name="Currency [5] 6 7" xfId="10774" xr:uid="{231F9AEC-E248-4B16-82A6-130249A6E67C}"/>
    <cellStyle name="Currency [5] 6 8" xfId="10775" xr:uid="{801D7A89-E048-41D5-A07B-9F0858C5631C}"/>
    <cellStyle name="Currency [5] 6 9" xfId="10776" xr:uid="{D77330AE-B4F2-4A1B-A53B-DA9F990A450A}"/>
    <cellStyle name="Currency [5] 7" xfId="10777" xr:uid="{0CD8E774-06CF-4AE2-86DF-9F12011B4C56}"/>
    <cellStyle name="Currency [5] 7 10" xfId="10778" xr:uid="{5523823C-0017-4E5A-8010-4569275104A7}"/>
    <cellStyle name="Currency [5] 7 11" xfId="10779" xr:uid="{5F26BC1A-36AB-4D49-81C8-11480102F813}"/>
    <cellStyle name="Currency [5] 7 12" xfId="10780" xr:uid="{A74FC842-7EA8-45BA-9604-5C0051654E5C}"/>
    <cellStyle name="Currency [5] 7 13" xfId="10781" xr:uid="{1B9EC543-E58D-474B-817E-65F817156514}"/>
    <cellStyle name="Currency [5] 7 14" xfId="10782" xr:uid="{F3851671-537A-4BF5-A52D-25F3C11D4E9B}"/>
    <cellStyle name="Currency [5] 7 15" xfId="10783" xr:uid="{CC487C74-A04C-4621-9DE2-BA5D096080A3}"/>
    <cellStyle name="Currency [5] 7 16" xfId="10784" xr:uid="{8D783E64-2722-41D6-81F3-D506B88EFD40}"/>
    <cellStyle name="Currency [5] 7 17" xfId="10785" xr:uid="{D680E46F-0A4B-4BF4-9F07-CDAC6EABD6C4}"/>
    <cellStyle name="Currency [5] 7 18" xfId="10786" xr:uid="{632A7B4D-A07F-4CE7-9006-2F24C8D9C73D}"/>
    <cellStyle name="Currency [5] 7 19" xfId="10787" xr:uid="{D0CD6E5B-F127-4C45-ABFC-E5CABC00AA28}"/>
    <cellStyle name="Currency [5] 7 2" xfId="10788" xr:uid="{B6AE6A57-2B01-4493-9FD0-851BBD519E85}"/>
    <cellStyle name="Currency [5] 7 20" xfId="10789" xr:uid="{E4D645E1-289D-49CF-8B3D-A2E261877ED6}"/>
    <cellStyle name="Currency [5] 7 21" xfId="10790" xr:uid="{8F30F4D4-D9A1-4246-9633-6FFBA1DE7351}"/>
    <cellStyle name="Currency [5] 7 22" xfId="10791" xr:uid="{61E61E44-42E4-433A-8233-8E693E9312E3}"/>
    <cellStyle name="Currency [5] 7 23" xfId="10792" xr:uid="{300FFEE5-EDB1-4A4B-9680-A99BE75DC4FA}"/>
    <cellStyle name="Currency [5] 7 3" xfId="10793" xr:uid="{CA99508B-F6FC-4FB8-BCC2-DEB1BCBE7F04}"/>
    <cellStyle name="Currency [5] 7 4" xfId="10794" xr:uid="{B07CFC39-D1D7-4BB9-8619-38146D26AC68}"/>
    <cellStyle name="Currency [5] 7 5" xfId="10795" xr:uid="{580FA447-B439-4B9E-A34B-5666EECC0C0E}"/>
    <cellStyle name="Currency [5] 7 6" xfId="10796" xr:uid="{205C22B5-3D28-4F4C-BD9E-AAEBA7F347DF}"/>
    <cellStyle name="Currency [5] 7 7" xfId="10797" xr:uid="{06BA08DB-A801-446B-99AB-0230A14521C8}"/>
    <cellStyle name="Currency [5] 7 8" xfId="10798" xr:uid="{0AACC29C-28DA-494A-85A1-D34487F5624D}"/>
    <cellStyle name="Currency [5] 7 9" xfId="10799" xr:uid="{8CEABEDE-B641-40F7-AFE0-57EFFD927842}"/>
    <cellStyle name="Currency [5] 8" xfId="10800" xr:uid="{7DC2025F-FBAE-48FE-822E-4052B87F16EC}"/>
    <cellStyle name="Currency [5] 8 10" xfId="10801" xr:uid="{E2F00FD1-BF35-4657-B402-F287C3160BF7}"/>
    <cellStyle name="Currency [5] 8 11" xfId="10802" xr:uid="{18824B37-55C5-453A-AF00-D1AEDE18907B}"/>
    <cellStyle name="Currency [5] 8 12" xfId="10803" xr:uid="{11B24129-6FBC-498A-8251-6446FF292374}"/>
    <cellStyle name="Currency [5] 8 13" xfId="10804" xr:uid="{00C23FE8-2D11-4C32-AD12-61EE4616D5F4}"/>
    <cellStyle name="Currency [5] 8 14" xfId="10805" xr:uid="{139D8B53-6094-4E21-8FFD-5A1A97B64FCD}"/>
    <cellStyle name="Currency [5] 8 15" xfId="10806" xr:uid="{30F2A713-9692-458A-B034-54D40C8BA887}"/>
    <cellStyle name="Currency [5] 8 16" xfId="10807" xr:uid="{22DA41FB-8B65-4832-8B91-F78C8DA1943C}"/>
    <cellStyle name="Currency [5] 8 17" xfId="10808" xr:uid="{DFBD7525-88AE-4CC5-B56B-1B8E6B04B134}"/>
    <cellStyle name="Currency [5] 8 18" xfId="10809" xr:uid="{5C085C4D-0E37-4902-A731-783B7DFD49DA}"/>
    <cellStyle name="Currency [5] 8 19" xfId="10810" xr:uid="{E1D07FD3-1BD1-44A2-93A9-CFBF6B085A24}"/>
    <cellStyle name="Currency [5] 8 2" xfId="10811" xr:uid="{F08318F0-2A1F-4E27-84EC-1024F109C27F}"/>
    <cellStyle name="Currency [5] 8 20" xfId="10812" xr:uid="{574AFC6C-9981-4B69-81D5-1621ABC112C4}"/>
    <cellStyle name="Currency [5] 8 21" xfId="10813" xr:uid="{2BE58B12-CD84-4ABB-9520-8AC46976B8D5}"/>
    <cellStyle name="Currency [5] 8 22" xfId="10814" xr:uid="{4667C346-97CE-4F73-AABA-D5ED355FCE6E}"/>
    <cellStyle name="Currency [5] 8 23" xfId="10815" xr:uid="{57985CA4-2130-44ED-9805-DA959FD8C27D}"/>
    <cellStyle name="Currency [5] 8 3" xfId="10816" xr:uid="{7B53FFE2-7DD9-4A9F-985F-D5C281CE9A37}"/>
    <cellStyle name="Currency [5] 8 4" xfId="10817" xr:uid="{DBDE5A4F-1B56-4AFC-BD46-F7AFBCECB2F3}"/>
    <cellStyle name="Currency [5] 8 5" xfId="10818" xr:uid="{EDAA29E9-19BE-4B57-9ED1-7133FD7556E7}"/>
    <cellStyle name="Currency [5] 8 6" xfId="10819" xr:uid="{B29D736F-C764-4159-AF7F-8E6708B2F547}"/>
    <cellStyle name="Currency [5] 8 7" xfId="10820" xr:uid="{E6DD4E63-C244-4EFD-9A87-5460972E1B03}"/>
    <cellStyle name="Currency [5] 8 8" xfId="10821" xr:uid="{CFFC4C1F-BEA3-4F3C-9681-377BD9118342}"/>
    <cellStyle name="Currency [5] 8 9" xfId="10822" xr:uid="{E6189585-8E7A-46A2-AEF3-0F99FC530CE6}"/>
    <cellStyle name="Currency [5] 9" xfId="10823" xr:uid="{85B46829-2D73-4003-991E-EC0672E04E59}"/>
    <cellStyle name="Currency [5] 9 10" xfId="10824" xr:uid="{1480F6AC-D0BF-4F51-B3A4-D988787DED78}"/>
    <cellStyle name="Currency [5] 9 11" xfId="10825" xr:uid="{A8848B44-9EF8-4A21-8975-009E5EF2BF34}"/>
    <cellStyle name="Currency [5] 9 12" xfId="10826" xr:uid="{8498CE21-F2B1-4222-BD7F-078409C54FC1}"/>
    <cellStyle name="Currency [5] 9 13" xfId="10827" xr:uid="{72CE8C0B-8A0A-4022-9ADA-091E1B50CBFA}"/>
    <cellStyle name="Currency [5] 9 14" xfId="10828" xr:uid="{10415821-F472-4D40-AB9A-335531A4E448}"/>
    <cellStyle name="Currency [5] 9 15" xfId="10829" xr:uid="{211A84AC-CF6D-4C85-A06C-CD68DAF910F6}"/>
    <cellStyle name="Currency [5] 9 16" xfId="10830" xr:uid="{7B219C2D-4B95-4610-BE60-553C7F2DAAF1}"/>
    <cellStyle name="Currency [5] 9 17" xfId="10831" xr:uid="{EE664D27-B0AE-405D-BE54-01415551023E}"/>
    <cellStyle name="Currency [5] 9 18" xfId="10832" xr:uid="{75A6428E-F319-4CDB-BD0C-A7E80A3A025C}"/>
    <cellStyle name="Currency [5] 9 19" xfId="10833" xr:uid="{500F9FAE-CABC-46AA-8D0B-70D6E630802A}"/>
    <cellStyle name="Currency [5] 9 2" xfId="10834" xr:uid="{960676C3-97F4-4925-AC04-DA759E511BE6}"/>
    <cellStyle name="Currency [5] 9 20" xfId="10835" xr:uid="{E0D1857E-BF5C-4CC2-8306-56CC5AF9EF1C}"/>
    <cellStyle name="Currency [5] 9 21" xfId="10836" xr:uid="{35361578-D36E-4CF7-9D24-3CAD1F139F72}"/>
    <cellStyle name="Currency [5] 9 22" xfId="10837" xr:uid="{92209C77-6DAB-472D-A549-85087A18751E}"/>
    <cellStyle name="Currency [5] 9 23" xfId="10838" xr:uid="{77C545DA-AE9C-45DD-A13D-49180591B472}"/>
    <cellStyle name="Currency [5] 9 3" xfId="10839" xr:uid="{EAAAAC6A-71D3-4FF4-BBF7-C9BBC62EEBEF}"/>
    <cellStyle name="Currency [5] 9 4" xfId="10840" xr:uid="{A06F5853-116B-45B9-A93C-8E53DE141F72}"/>
    <cellStyle name="Currency [5] 9 5" xfId="10841" xr:uid="{E102043A-2692-4B68-8B54-1D6EECB6EC69}"/>
    <cellStyle name="Currency [5] 9 6" xfId="10842" xr:uid="{D44B2730-0025-4F4B-92DE-ED4463E5B31C}"/>
    <cellStyle name="Currency [5] 9 7" xfId="10843" xr:uid="{C21495A1-C6C4-456A-A7BE-FE0B3C99B623}"/>
    <cellStyle name="Currency [5] 9 8" xfId="10844" xr:uid="{A82B9A39-425D-4D78-B328-7D38F4C27BC2}"/>
    <cellStyle name="Currency [5] 9 9" xfId="10845" xr:uid="{1923B334-EA5E-4634-A68C-0DB639E966AF}"/>
    <cellStyle name="Currency 10" xfId="10846" xr:uid="{1BA9C7C1-CBAE-49D8-9285-107C7B1B9751}"/>
    <cellStyle name="Currency 10 10" xfId="10847" xr:uid="{95A687EF-C792-412C-B5D3-E77218D2B498}"/>
    <cellStyle name="Currency 10 10 2" xfId="10848" xr:uid="{1E2D3FF7-B71E-470F-93D3-7223461B69D5}"/>
    <cellStyle name="Currency 10 10 2 2" xfId="10849" xr:uid="{F94776D3-2DE8-498E-BF7D-A8931F742796}"/>
    <cellStyle name="Currency 10 10 3" xfId="10850" xr:uid="{6EAB5952-1E72-4F34-A4C0-1B2873BD2464}"/>
    <cellStyle name="Currency 10 10 3 2" xfId="10851" xr:uid="{B4B44670-1F27-47EE-97B3-C4564EAE2826}"/>
    <cellStyle name="Currency 10 10 4" xfId="10852" xr:uid="{8865FC4A-BB06-477B-BAE8-45F407A9F91E}"/>
    <cellStyle name="Currency 10 10 4 2" xfId="10853" xr:uid="{3272AA19-2ADC-47A3-9D01-68EFCC7EDAE4}"/>
    <cellStyle name="Currency 10 10 5" xfId="10854" xr:uid="{E89B7251-4862-45D1-8552-47C60E80998D}"/>
    <cellStyle name="Currency 10 11" xfId="10855" xr:uid="{66F0E51A-3421-49AB-B308-37D1EB7B03B0}"/>
    <cellStyle name="Currency 10 11 2" xfId="10856" xr:uid="{206199C4-BA41-45DD-AE0D-5F67FF880CDD}"/>
    <cellStyle name="Currency 10 11 2 2" xfId="10857" xr:uid="{A6661577-7E4B-46F8-BACC-A1C5E0DB5D08}"/>
    <cellStyle name="Currency 10 11 3" xfId="10858" xr:uid="{630398E8-BEC2-4960-A5DF-B6966F0D0DE0}"/>
    <cellStyle name="Currency 10 11 3 2" xfId="10859" xr:uid="{C11C761E-2605-4E69-9657-7B9363BF0E67}"/>
    <cellStyle name="Currency 10 11 4" xfId="10860" xr:uid="{605CD118-628B-4E39-8215-4B13974117BF}"/>
    <cellStyle name="Currency 10 11 4 2" xfId="10861" xr:uid="{F103EB05-7484-46BC-A048-F200C6EB575A}"/>
    <cellStyle name="Currency 10 11 5" xfId="10862" xr:uid="{741A89ED-CA99-4B8C-B943-8230746826CF}"/>
    <cellStyle name="Currency 10 12" xfId="10863" xr:uid="{FD4972B4-8C12-4BE5-AD96-0DBD0EF4FB9C}"/>
    <cellStyle name="Currency 10 12 2" xfId="10864" xr:uid="{08426C0D-684E-432F-B923-769D20EF81AD}"/>
    <cellStyle name="Currency 10 13" xfId="10865" xr:uid="{82E06797-9C8A-45CB-BCC8-58AB1A5AD777}"/>
    <cellStyle name="Currency 10 13 2" xfId="10866" xr:uid="{F6A40EA0-D1FE-41D1-B4A2-5B0A4513A9F8}"/>
    <cellStyle name="Currency 10 14" xfId="10867" xr:uid="{72A2B5A8-954A-4139-8B0F-4CB8561AF1A4}"/>
    <cellStyle name="Currency 10 14 2" xfId="10868" xr:uid="{DF7A9B9A-C08F-4D4E-BCCC-2C89CA6F9818}"/>
    <cellStyle name="Currency 10 15" xfId="10869" xr:uid="{A23E1F3F-77E7-45B4-AE07-97C3E3954E1B}"/>
    <cellStyle name="Currency 10 15 2" xfId="10870" xr:uid="{D859D45C-3FD8-47CC-BDE1-992868225B1A}"/>
    <cellStyle name="Currency 10 16" xfId="10871" xr:uid="{51151F46-5A6A-4786-BFAB-BA206183DF32}"/>
    <cellStyle name="Currency 10 16 2" xfId="10872" xr:uid="{E474E82B-8AC8-444F-A72A-D216A1F6656D}"/>
    <cellStyle name="Currency 10 17" xfId="10873" xr:uid="{0DE79992-4F6A-401F-9881-7ABEED5BA8B5}"/>
    <cellStyle name="Currency 10 17 2" xfId="10874" xr:uid="{D713F656-AFC7-4D1E-B685-4454D9012C5D}"/>
    <cellStyle name="Currency 10 18" xfId="10875" xr:uid="{0ABF502E-5249-4222-9723-2B136A243203}"/>
    <cellStyle name="Currency 10 18 2" xfId="10876" xr:uid="{633D067E-759A-445E-B725-E9AF50A2C396}"/>
    <cellStyle name="Currency 10 19" xfId="10877" xr:uid="{B37B3CE6-8313-4F1F-96BB-E214B8789B8D}"/>
    <cellStyle name="Currency 10 2" xfId="10878" xr:uid="{1CC3218A-DB87-4C8E-ABD0-D77CD26C853A}"/>
    <cellStyle name="Currency 10 2 10" xfId="10879" xr:uid="{7AB822F4-191D-4041-9910-4A5257C17241}"/>
    <cellStyle name="Currency 10 2 10 2" xfId="10880" xr:uid="{F6D5E0B8-84E8-4A42-BD11-E23624C4180E}"/>
    <cellStyle name="Currency 10 2 11" xfId="10881" xr:uid="{30B25F05-0EF3-4F1A-A7BA-65F22B8DF08E}"/>
    <cellStyle name="Currency 10 2 11 2" xfId="10882" xr:uid="{31199531-E8F2-4BD7-9B8F-F70F874AC43C}"/>
    <cellStyle name="Currency 10 2 12" xfId="10883" xr:uid="{BB4735A4-A433-4146-AD02-5D5A2EEDC2F1}"/>
    <cellStyle name="Currency 10 2 12 2" xfId="10884" xr:uid="{B9011291-4694-4B96-95D5-AFF2EBEC7C6A}"/>
    <cellStyle name="Currency 10 2 13" xfId="10885" xr:uid="{07C85E7B-8763-48DE-8EE5-35C2EED15560}"/>
    <cellStyle name="Currency 10 2 13 2" xfId="10886" xr:uid="{47D29C27-6BE8-473B-9BC4-42024E1C0238}"/>
    <cellStyle name="Currency 10 2 14" xfId="10887" xr:uid="{C19206AB-0DBE-45B0-81C1-59DA51AE1816}"/>
    <cellStyle name="Currency 10 2 14 2" xfId="10888" xr:uid="{516CF789-C235-4241-9D85-F243DC935264}"/>
    <cellStyle name="Currency 10 2 15" xfId="10889" xr:uid="{33282A74-D0E8-44B5-818B-DBFD99E2FC2D}"/>
    <cellStyle name="Currency 10 2 2" xfId="10890" xr:uid="{01CEBE05-C46A-4B22-8C0B-59E3469DF8E6}"/>
    <cellStyle name="Currency 10 2 2 10" xfId="10891" xr:uid="{0C5E309B-85B9-48B0-ABA4-18DAEA66FEEE}"/>
    <cellStyle name="Currency 10 2 2 10 2" xfId="10892" xr:uid="{073A6927-1AF9-43BC-B971-A5E4457B52F9}"/>
    <cellStyle name="Currency 10 2 2 11" xfId="10893" xr:uid="{3ABFBA5B-3CD1-4BBB-BABE-4954C4802CBC}"/>
    <cellStyle name="Currency 10 2 2 2" xfId="10894" xr:uid="{A0B6E147-855A-4A50-B15C-1FFEB6BE0089}"/>
    <cellStyle name="Currency 10 2 2 2 10" xfId="10895" xr:uid="{EE034718-4B19-4F0F-96C5-C84D2808FE15}"/>
    <cellStyle name="Currency 10 2 2 2 2" xfId="10896" xr:uid="{AAE21057-1E3A-420F-AF8C-404E7CC84346}"/>
    <cellStyle name="Currency 10 2 2 2 2 2" xfId="10897" xr:uid="{254F953E-6E55-455F-8EF4-61AE73362996}"/>
    <cellStyle name="Currency 10 2 2 2 2 2 2" xfId="10898" xr:uid="{7F5B10A6-5178-4F61-97F9-01A62E4991A1}"/>
    <cellStyle name="Currency 10 2 2 2 2 2 2 2" xfId="10899" xr:uid="{DEC1434C-C71A-41B3-AFA3-CA171C677C66}"/>
    <cellStyle name="Currency 10 2 2 2 2 2 3" xfId="10900" xr:uid="{736E8F28-F638-47FF-889A-AEBAF0D5F058}"/>
    <cellStyle name="Currency 10 2 2 2 2 2 3 2" xfId="10901" xr:uid="{A3FAA7FD-6BFE-4D2D-A511-D827BC113C93}"/>
    <cellStyle name="Currency 10 2 2 2 2 2 4" xfId="10902" xr:uid="{B15BDDFF-A313-4961-A613-2AD9FCE9F2DE}"/>
    <cellStyle name="Currency 10 2 2 2 2 2 4 2" xfId="10903" xr:uid="{2B5D9FC5-8528-4604-8300-ECADCB03024E}"/>
    <cellStyle name="Currency 10 2 2 2 2 2 5" xfId="10904" xr:uid="{246B0990-CDB6-4268-A954-47B91C6BC014}"/>
    <cellStyle name="Currency 10 2 2 2 2 3" xfId="10905" xr:uid="{16777D70-F130-4945-9575-162A3ADD7A74}"/>
    <cellStyle name="Currency 10 2 2 2 2 3 2" xfId="10906" xr:uid="{DB8795DE-E98D-4935-A06B-EF72EB711DF0}"/>
    <cellStyle name="Currency 10 2 2 2 2 3 2 2" xfId="10907" xr:uid="{0DBD780D-DBC8-48DC-94F6-993781D69726}"/>
    <cellStyle name="Currency 10 2 2 2 2 3 3" xfId="10908" xr:uid="{37704C91-DFA9-41B0-BA73-F58B5C114021}"/>
    <cellStyle name="Currency 10 2 2 2 2 3 3 2" xfId="10909" xr:uid="{AD080AFE-8931-4828-AFA2-07E7833425CC}"/>
    <cellStyle name="Currency 10 2 2 2 2 3 4" xfId="10910" xr:uid="{2D00A154-D5E7-4D19-9DAF-CEBFD4EB4176}"/>
    <cellStyle name="Currency 10 2 2 2 2 3 4 2" xfId="10911" xr:uid="{3C8C84CD-B6AC-44F9-A3A5-C80A7C9F3E11}"/>
    <cellStyle name="Currency 10 2 2 2 2 3 5" xfId="10912" xr:uid="{7099C2B3-C222-41B8-91F1-59294D4037BB}"/>
    <cellStyle name="Currency 10 2 2 2 2 4" xfId="10913" xr:uid="{79F84799-7100-4E31-8A9A-02FA2C27A12D}"/>
    <cellStyle name="Currency 10 2 2 2 2 4 2" xfId="10914" xr:uid="{125ACDF9-C644-44FF-904B-D50AE3BF8867}"/>
    <cellStyle name="Currency 10 2 2 2 2 5" xfId="10915" xr:uid="{478A917D-CB7F-4524-9260-60D7D08A73CE}"/>
    <cellStyle name="Currency 10 2 2 2 2 5 2" xfId="10916" xr:uid="{AC542DE2-D133-4FB3-B2A2-6F7E3AE7978B}"/>
    <cellStyle name="Currency 10 2 2 2 2 6" xfId="10917" xr:uid="{B0B55053-B5C9-48A5-877F-D6180A5890B4}"/>
    <cellStyle name="Currency 10 2 2 2 2 6 2" xfId="10918" xr:uid="{30A00658-ED1F-47C0-B893-03EF451FB396}"/>
    <cellStyle name="Currency 10 2 2 2 2 7" xfId="10919" xr:uid="{3A0A06B3-A67C-4BDF-8491-A02842A8D2F6}"/>
    <cellStyle name="Currency 10 2 2 2 2 7 2" xfId="10920" xr:uid="{36B1FA49-B2B6-456D-99C2-49A93BA0B000}"/>
    <cellStyle name="Currency 10 2 2 2 2 8" xfId="10921" xr:uid="{D61B8AFB-FF57-4DCA-963E-63EADB955194}"/>
    <cellStyle name="Currency 10 2 2 2 2 8 2" xfId="10922" xr:uid="{517235DB-A74B-4728-A34D-0D7C98195460}"/>
    <cellStyle name="Currency 10 2 2 2 2 9" xfId="10923" xr:uid="{94AFA372-2453-4EF9-A673-8DECBAEBCFD3}"/>
    <cellStyle name="Currency 10 2 2 2 3" xfId="10924" xr:uid="{BB1EE14C-89E6-4E39-984B-177CDDE11874}"/>
    <cellStyle name="Currency 10 2 2 2 3 2" xfId="10925" xr:uid="{491E8417-76E0-421C-BEFD-9406CD58ADCB}"/>
    <cellStyle name="Currency 10 2 2 2 3 2 2" xfId="10926" xr:uid="{6D9C3661-08F4-4417-B18B-7B4F71C5984F}"/>
    <cellStyle name="Currency 10 2 2 2 3 3" xfId="10927" xr:uid="{1D3D8311-A146-434A-8485-DBC181346FEE}"/>
    <cellStyle name="Currency 10 2 2 2 3 3 2" xfId="10928" xr:uid="{1F9C5615-6E7F-41A9-AAB0-585027127799}"/>
    <cellStyle name="Currency 10 2 2 2 3 4" xfId="10929" xr:uid="{47A89146-2555-49AA-ACE5-223AA5B0F0B4}"/>
    <cellStyle name="Currency 10 2 2 2 3 4 2" xfId="10930" xr:uid="{814331DB-A318-463F-BB6A-627FF7274426}"/>
    <cellStyle name="Currency 10 2 2 2 3 5" xfId="10931" xr:uid="{36173593-C3CF-4E5B-ACB1-9359ED9A9D1D}"/>
    <cellStyle name="Currency 10 2 2 2 4" xfId="10932" xr:uid="{503CFC25-928E-451F-B226-37B552023DA9}"/>
    <cellStyle name="Currency 10 2 2 2 4 2" xfId="10933" xr:uid="{EF0CF7BC-2F4B-461A-9AA7-25EE6F52008E}"/>
    <cellStyle name="Currency 10 2 2 2 4 2 2" xfId="10934" xr:uid="{FE45D015-6B2B-43FB-8E4B-28B069A23D49}"/>
    <cellStyle name="Currency 10 2 2 2 4 3" xfId="10935" xr:uid="{85FB224C-17CB-4E9E-B36D-1FBBAA4D1D00}"/>
    <cellStyle name="Currency 10 2 2 2 4 3 2" xfId="10936" xr:uid="{36CB63A8-CFA2-41C0-B420-CE45720DF84C}"/>
    <cellStyle name="Currency 10 2 2 2 4 4" xfId="10937" xr:uid="{48AB5333-92C2-4AFD-BA13-449BCB1B83AF}"/>
    <cellStyle name="Currency 10 2 2 2 4 4 2" xfId="10938" xr:uid="{178B332F-6D8B-4CDC-90EB-6AF6B6273C58}"/>
    <cellStyle name="Currency 10 2 2 2 4 5" xfId="10939" xr:uid="{39C72E99-80EB-4F35-B5A3-E77CE96D1734}"/>
    <cellStyle name="Currency 10 2 2 2 5" xfId="10940" xr:uid="{10DFB286-6D74-4A4A-861E-96CC4DEC1156}"/>
    <cellStyle name="Currency 10 2 2 2 5 2" xfId="10941" xr:uid="{1C2261F4-D110-4F70-8E40-18EE92EAA6D9}"/>
    <cellStyle name="Currency 10 2 2 2 6" xfId="10942" xr:uid="{E2ADFBE0-E98E-4F60-913F-7847BC1536E0}"/>
    <cellStyle name="Currency 10 2 2 2 6 2" xfId="10943" xr:uid="{01140A6D-979B-4276-BE6E-DC2BE16C50DA}"/>
    <cellStyle name="Currency 10 2 2 2 7" xfId="10944" xr:uid="{28C35995-BE10-4C48-BD39-78F57BCBA301}"/>
    <cellStyle name="Currency 10 2 2 2 7 2" xfId="10945" xr:uid="{0E283B2B-34F6-4E84-A379-0C50BAB93646}"/>
    <cellStyle name="Currency 10 2 2 2 8" xfId="10946" xr:uid="{DE1FF0FD-6D6F-43E6-A220-A3F6D30651C8}"/>
    <cellStyle name="Currency 10 2 2 2 8 2" xfId="10947" xr:uid="{62D080D4-6869-498B-B95A-D0900BF17D74}"/>
    <cellStyle name="Currency 10 2 2 2 9" xfId="10948" xr:uid="{51A60A3B-1F84-4045-99F7-2007698BDDF5}"/>
    <cellStyle name="Currency 10 2 2 2 9 2" xfId="10949" xr:uid="{C09B3288-B2F7-4636-B4C9-0DD830660D46}"/>
    <cellStyle name="Currency 10 2 2 3" xfId="10950" xr:uid="{0BABF30D-245D-4DE9-B413-7B24AEEC33B7}"/>
    <cellStyle name="Currency 10 2 2 3 2" xfId="10951" xr:uid="{A308C2C8-7567-45B2-A135-E590A8DF11F3}"/>
    <cellStyle name="Currency 10 2 2 3 2 2" xfId="10952" xr:uid="{5E315E78-BC23-401F-B54C-820543C1EF3A}"/>
    <cellStyle name="Currency 10 2 2 3 2 2 2" xfId="10953" xr:uid="{B923A4DA-762E-45DF-8C0F-618D642B2D25}"/>
    <cellStyle name="Currency 10 2 2 3 2 3" xfId="10954" xr:uid="{B87DCA8A-33E5-4C2A-87CA-3F48F13AE8A5}"/>
    <cellStyle name="Currency 10 2 2 3 2 3 2" xfId="10955" xr:uid="{8091A956-1EDD-4D62-AE59-C28A5533E795}"/>
    <cellStyle name="Currency 10 2 2 3 2 4" xfId="10956" xr:uid="{281D046D-346E-4549-B986-C85A14712909}"/>
    <cellStyle name="Currency 10 2 2 3 2 4 2" xfId="10957" xr:uid="{D565551D-8473-4BF4-8FD9-82465A198555}"/>
    <cellStyle name="Currency 10 2 2 3 2 5" xfId="10958" xr:uid="{0C729B80-50A8-4028-BB9D-AB9F92268EA0}"/>
    <cellStyle name="Currency 10 2 2 3 3" xfId="10959" xr:uid="{E1C5AFD0-D60F-492B-BCCD-75D3FC6A44DA}"/>
    <cellStyle name="Currency 10 2 2 3 3 2" xfId="10960" xr:uid="{A6B261EA-DC3B-4AA4-B6C5-97C0C7A6EE19}"/>
    <cellStyle name="Currency 10 2 2 3 3 2 2" xfId="10961" xr:uid="{9963698E-9CB6-4C76-9C7A-666BB5F822DA}"/>
    <cellStyle name="Currency 10 2 2 3 3 3" xfId="10962" xr:uid="{B40AF85F-9D32-4BF5-99B1-DB295D01FE35}"/>
    <cellStyle name="Currency 10 2 2 3 3 3 2" xfId="10963" xr:uid="{8D84EE0D-2005-4DC1-8D81-E1DA16F65609}"/>
    <cellStyle name="Currency 10 2 2 3 3 4" xfId="10964" xr:uid="{A1405A39-3851-469E-AF60-61A8C97ABEBD}"/>
    <cellStyle name="Currency 10 2 2 3 3 4 2" xfId="10965" xr:uid="{43E35867-3D4D-4EC3-A7BA-27526E34C605}"/>
    <cellStyle name="Currency 10 2 2 3 3 5" xfId="10966" xr:uid="{BAA98D11-4D48-435E-8494-AFA71ADB9450}"/>
    <cellStyle name="Currency 10 2 2 3 4" xfId="10967" xr:uid="{ED575F2A-203A-4DEC-BC81-FD3325B1F1EC}"/>
    <cellStyle name="Currency 10 2 2 3 4 2" xfId="10968" xr:uid="{97C74EEA-9732-44B2-A521-6A359C2B8F75}"/>
    <cellStyle name="Currency 10 2 2 3 5" xfId="10969" xr:uid="{FD89A104-5898-4CAA-93DD-7B12951E05E8}"/>
    <cellStyle name="Currency 10 2 2 3 5 2" xfId="10970" xr:uid="{0092FF1D-0181-4E47-984C-64124B7AA9DA}"/>
    <cellStyle name="Currency 10 2 2 3 6" xfId="10971" xr:uid="{0974FF32-A9CE-47D6-9B64-4E7F3C3C84D2}"/>
    <cellStyle name="Currency 10 2 2 3 6 2" xfId="10972" xr:uid="{25246562-2CA4-4C5B-9478-D842A42E9669}"/>
    <cellStyle name="Currency 10 2 2 3 7" xfId="10973" xr:uid="{BA084F4D-FB2B-4C4F-9B5E-5B16D8EBA0E4}"/>
    <cellStyle name="Currency 10 2 2 3 7 2" xfId="10974" xr:uid="{F032BF2E-59E3-436E-ACE1-E46328B0BBA6}"/>
    <cellStyle name="Currency 10 2 2 3 8" xfId="10975" xr:uid="{42787862-72D9-4012-9F9E-13436C8DFE87}"/>
    <cellStyle name="Currency 10 2 2 3 8 2" xfId="10976" xr:uid="{34F8A1FA-AE72-4B6C-90FE-389F540EF09F}"/>
    <cellStyle name="Currency 10 2 2 3 9" xfId="10977" xr:uid="{8A06D957-6EB2-4C95-AD73-AAF1FE698FED}"/>
    <cellStyle name="Currency 10 2 2 4" xfId="10978" xr:uid="{A3A26BB1-BD39-44DB-993C-2C3DCE27D18A}"/>
    <cellStyle name="Currency 10 2 2 4 2" xfId="10979" xr:uid="{3725A29E-F3C2-44FE-B373-42A27242B797}"/>
    <cellStyle name="Currency 10 2 2 4 2 2" xfId="10980" xr:uid="{4621F788-F0E1-4C53-82FD-287E98001820}"/>
    <cellStyle name="Currency 10 2 2 4 3" xfId="10981" xr:uid="{EAF5FC0D-CC18-48F7-93E1-3AF32FDBC63B}"/>
    <cellStyle name="Currency 10 2 2 4 3 2" xfId="10982" xr:uid="{6E021402-72AA-4AA5-8772-BCB99366A62F}"/>
    <cellStyle name="Currency 10 2 2 4 4" xfId="10983" xr:uid="{5EC06B4F-11FD-48B8-9818-07E79AC1FD81}"/>
    <cellStyle name="Currency 10 2 2 4 4 2" xfId="10984" xr:uid="{A59147B6-43D8-4C6E-BFE9-C498FB640D46}"/>
    <cellStyle name="Currency 10 2 2 4 5" xfId="10985" xr:uid="{6C4154C3-BBDE-4EDF-9C32-DDC4C5792FA8}"/>
    <cellStyle name="Currency 10 2 2 5" xfId="10986" xr:uid="{C6AB2A88-D101-4A92-AD42-A02BE50D4928}"/>
    <cellStyle name="Currency 10 2 2 5 2" xfId="10987" xr:uid="{F77EBC82-BB9D-4561-BD0C-62EEC837D4C4}"/>
    <cellStyle name="Currency 10 2 2 5 2 2" xfId="10988" xr:uid="{AC744D6A-3917-46D8-BD04-EA7A6F4A7359}"/>
    <cellStyle name="Currency 10 2 2 5 3" xfId="10989" xr:uid="{1163588E-7BEC-46AC-B42E-B091AA5DAA20}"/>
    <cellStyle name="Currency 10 2 2 5 3 2" xfId="10990" xr:uid="{A2C781CA-535B-497C-836C-99E420279125}"/>
    <cellStyle name="Currency 10 2 2 5 4" xfId="10991" xr:uid="{457D3783-FC56-40EE-B2FE-16B1EC210635}"/>
    <cellStyle name="Currency 10 2 2 5 4 2" xfId="10992" xr:uid="{C9254BE4-E438-43D0-97CD-52C76C26DB81}"/>
    <cellStyle name="Currency 10 2 2 5 5" xfId="10993" xr:uid="{D6BBA008-B60B-4F55-BDB7-C42943B825F9}"/>
    <cellStyle name="Currency 10 2 2 6" xfId="10994" xr:uid="{C109D3F8-1244-496D-8A7A-5C04A8833AA1}"/>
    <cellStyle name="Currency 10 2 2 6 2" xfId="10995" xr:uid="{2BD1C5B0-1EB8-46BA-987F-CD3AD2F26E07}"/>
    <cellStyle name="Currency 10 2 2 7" xfId="10996" xr:uid="{ABD30ABE-644E-4392-8947-509E368C0A1B}"/>
    <cellStyle name="Currency 10 2 2 7 2" xfId="10997" xr:uid="{21B19C25-CCA8-4F1A-8941-D7C4C3E7BA09}"/>
    <cellStyle name="Currency 10 2 2 8" xfId="10998" xr:uid="{DDAD3678-AF71-4D70-8DEE-D587C143122C}"/>
    <cellStyle name="Currency 10 2 2 8 2" xfId="10999" xr:uid="{087DDAB5-3BA8-4EB2-AC93-5FB99E98EC87}"/>
    <cellStyle name="Currency 10 2 2 9" xfId="11000" xr:uid="{C22CC6D5-638C-441D-923C-BE42EFC775BC}"/>
    <cellStyle name="Currency 10 2 2 9 2" xfId="11001" xr:uid="{F88BCD58-52C0-49C0-ADB7-D5EE5A3DC62D}"/>
    <cellStyle name="Currency 10 2 3" xfId="11002" xr:uid="{DED922BD-861F-40F3-93AA-9D8EB51428C1}"/>
    <cellStyle name="Currency 10 2 3 10" xfId="11003" xr:uid="{05CD1ED5-5978-4AE7-8264-1C01D6FC9CCD}"/>
    <cellStyle name="Currency 10 2 3 10 2" xfId="11004" xr:uid="{D73DC5A8-2D0A-4996-A12C-1944CBC8A5B0}"/>
    <cellStyle name="Currency 10 2 3 11" xfId="11005" xr:uid="{450BED44-D000-41E9-BCB0-FD9D425A85B7}"/>
    <cellStyle name="Currency 10 2 3 2" xfId="11006" xr:uid="{D8E5561A-0238-4DD2-A4DA-D6C702E69908}"/>
    <cellStyle name="Currency 10 2 3 2 10" xfId="11007" xr:uid="{CAEF30F3-13E1-4B6C-A982-D45B8D9A182B}"/>
    <cellStyle name="Currency 10 2 3 2 2" xfId="11008" xr:uid="{5AAB4D52-4BDE-4BCD-A43C-1C40D86E34F5}"/>
    <cellStyle name="Currency 10 2 3 2 2 2" xfId="11009" xr:uid="{BCC720AC-1595-456C-BCFA-DFF430E3119A}"/>
    <cellStyle name="Currency 10 2 3 2 2 2 2" xfId="11010" xr:uid="{34EFCF0E-2C38-46AF-817E-ADFD0168DDB6}"/>
    <cellStyle name="Currency 10 2 3 2 2 2 2 2" xfId="11011" xr:uid="{F1E3F566-EBEB-489A-B007-E920668BCCE3}"/>
    <cellStyle name="Currency 10 2 3 2 2 2 3" xfId="11012" xr:uid="{B6558757-2C52-46CF-8B50-7D2FD236D7DD}"/>
    <cellStyle name="Currency 10 2 3 2 2 2 3 2" xfId="11013" xr:uid="{EEE955AB-6378-45C9-86AC-B288DC713B1B}"/>
    <cellStyle name="Currency 10 2 3 2 2 2 4" xfId="11014" xr:uid="{E52794D8-2A58-4509-BF1E-B126F1397153}"/>
    <cellStyle name="Currency 10 2 3 2 2 2 4 2" xfId="11015" xr:uid="{7FD1CEC9-20F4-45E8-93A9-B4498B258CC1}"/>
    <cellStyle name="Currency 10 2 3 2 2 2 5" xfId="11016" xr:uid="{77E61168-CD37-4876-8D90-672CA56DB6E7}"/>
    <cellStyle name="Currency 10 2 3 2 2 3" xfId="11017" xr:uid="{00002EF7-AC93-44DA-8D1E-C0E8B840931E}"/>
    <cellStyle name="Currency 10 2 3 2 2 3 2" xfId="11018" xr:uid="{FF748178-161E-4AC9-AD56-7F379E9078BE}"/>
    <cellStyle name="Currency 10 2 3 2 2 3 2 2" xfId="11019" xr:uid="{00500EA1-C6D0-4D55-9F42-D3E591D0405A}"/>
    <cellStyle name="Currency 10 2 3 2 2 3 3" xfId="11020" xr:uid="{DAA23165-92B7-47DB-880D-0DFF521497D5}"/>
    <cellStyle name="Currency 10 2 3 2 2 3 3 2" xfId="11021" xr:uid="{8435B7FC-8626-4086-A2D8-4D546E9C6B46}"/>
    <cellStyle name="Currency 10 2 3 2 2 3 4" xfId="11022" xr:uid="{C3F206BD-1187-4505-8E9E-7A175C2FCF63}"/>
    <cellStyle name="Currency 10 2 3 2 2 3 4 2" xfId="11023" xr:uid="{BAC883CC-B7C2-4158-A3A3-DDE8273A9EB1}"/>
    <cellStyle name="Currency 10 2 3 2 2 3 5" xfId="11024" xr:uid="{5652A1CF-6E08-4080-995C-A75621B87802}"/>
    <cellStyle name="Currency 10 2 3 2 2 4" xfId="11025" xr:uid="{7FE0E418-0AEE-4FDA-B067-5E746D3F823E}"/>
    <cellStyle name="Currency 10 2 3 2 2 4 2" xfId="11026" xr:uid="{FD718AE0-5F92-4F05-B1F3-801FBB87E8A4}"/>
    <cellStyle name="Currency 10 2 3 2 2 5" xfId="11027" xr:uid="{1BFD79B2-C69E-46CF-A3BC-F59B0CCFFD5B}"/>
    <cellStyle name="Currency 10 2 3 2 2 5 2" xfId="11028" xr:uid="{AF3B120F-1E31-4EE4-8FFB-A8C470274A3D}"/>
    <cellStyle name="Currency 10 2 3 2 2 6" xfId="11029" xr:uid="{2E4A9E04-5498-4E49-9B54-5DD4A8E41437}"/>
    <cellStyle name="Currency 10 2 3 2 2 6 2" xfId="11030" xr:uid="{E9DF9C97-1AFC-4A0A-9FD2-C95A9F15A4D5}"/>
    <cellStyle name="Currency 10 2 3 2 2 7" xfId="11031" xr:uid="{2F5B143F-4CF4-482D-A894-8CCC6B75BA77}"/>
    <cellStyle name="Currency 10 2 3 2 2 7 2" xfId="11032" xr:uid="{4B078AC4-469E-4E14-87E6-190B17A9D791}"/>
    <cellStyle name="Currency 10 2 3 2 2 8" xfId="11033" xr:uid="{1380C362-ED10-480A-B3DC-FF2302290911}"/>
    <cellStyle name="Currency 10 2 3 2 2 8 2" xfId="11034" xr:uid="{F2518240-E34F-416E-9B66-F0A250A420D3}"/>
    <cellStyle name="Currency 10 2 3 2 2 9" xfId="11035" xr:uid="{8697492B-BFA8-4A7E-B903-3700FEFAF094}"/>
    <cellStyle name="Currency 10 2 3 2 3" xfId="11036" xr:uid="{6062C26E-532C-4F51-8BD0-0A9A8DE6AFC4}"/>
    <cellStyle name="Currency 10 2 3 2 3 2" xfId="11037" xr:uid="{B686ED15-6520-44BC-A0FB-0FE9AFA74B14}"/>
    <cellStyle name="Currency 10 2 3 2 3 2 2" xfId="11038" xr:uid="{821A2323-95C9-4294-8C1A-1A77AAB5C4B8}"/>
    <cellStyle name="Currency 10 2 3 2 3 3" xfId="11039" xr:uid="{3486EDBD-1494-49AD-8B39-163F94222DF1}"/>
    <cellStyle name="Currency 10 2 3 2 3 3 2" xfId="11040" xr:uid="{9DA30B4C-7DEE-46BF-BD13-4B211E1743DC}"/>
    <cellStyle name="Currency 10 2 3 2 3 4" xfId="11041" xr:uid="{7D51E96D-3F8D-4889-B551-F6D55617EA50}"/>
    <cellStyle name="Currency 10 2 3 2 3 4 2" xfId="11042" xr:uid="{FE2A7FC2-82C9-4F84-AB97-972F9EF122FE}"/>
    <cellStyle name="Currency 10 2 3 2 3 5" xfId="11043" xr:uid="{54653AE3-4B8E-42AD-846E-C37872B6DF89}"/>
    <cellStyle name="Currency 10 2 3 2 4" xfId="11044" xr:uid="{D8A16101-FE93-41A2-915E-EC20745671D1}"/>
    <cellStyle name="Currency 10 2 3 2 4 2" xfId="11045" xr:uid="{459D5F22-8AF0-488D-BBE0-615FD9AE3D9E}"/>
    <cellStyle name="Currency 10 2 3 2 4 2 2" xfId="11046" xr:uid="{5B40083A-FEA5-4CAB-8FB0-36F6070F0F6C}"/>
    <cellStyle name="Currency 10 2 3 2 4 3" xfId="11047" xr:uid="{DE2084F1-E6E9-472F-AEC3-7B2F30CD102E}"/>
    <cellStyle name="Currency 10 2 3 2 4 3 2" xfId="11048" xr:uid="{932FD3DB-7B4B-4588-AD55-FD862C5CA35E}"/>
    <cellStyle name="Currency 10 2 3 2 4 4" xfId="11049" xr:uid="{F6211649-97F5-4866-A2C0-D22FEED72827}"/>
    <cellStyle name="Currency 10 2 3 2 4 4 2" xfId="11050" xr:uid="{90CCF6D9-B8AB-4028-A0E3-69CA20D9AC61}"/>
    <cellStyle name="Currency 10 2 3 2 4 5" xfId="11051" xr:uid="{78763C52-99F5-4385-B47F-A853302F0112}"/>
    <cellStyle name="Currency 10 2 3 2 5" xfId="11052" xr:uid="{8407AB61-D257-4DAD-80F8-5193D86F642F}"/>
    <cellStyle name="Currency 10 2 3 2 5 2" xfId="11053" xr:uid="{5266C3E1-8D26-4292-BF5B-63BE0336E6A9}"/>
    <cellStyle name="Currency 10 2 3 2 6" xfId="11054" xr:uid="{45CA6F95-5B5B-46F4-9F17-1792A36426FF}"/>
    <cellStyle name="Currency 10 2 3 2 6 2" xfId="11055" xr:uid="{466F4840-E924-452F-95E6-F6368D63CA6F}"/>
    <cellStyle name="Currency 10 2 3 2 7" xfId="11056" xr:uid="{945D28A4-B5F7-43AA-B6D4-0ED30F90A633}"/>
    <cellStyle name="Currency 10 2 3 2 7 2" xfId="11057" xr:uid="{6C8CA823-085A-4520-A33A-38201BA6C42C}"/>
    <cellStyle name="Currency 10 2 3 2 8" xfId="11058" xr:uid="{EDBC7C2B-61DE-45F8-AC97-90FBC2074901}"/>
    <cellStyle name="Currency 10 2 3 2 8 2" xfId="11059" xr:uid="{BBAD4327-C9EE-4E8B-A4CF-A182A73276F8}"/>
    <cellStyle name="Currency 10 2 3 2 9" xfId="11060" xr:uid="{ACEEE90E-B063-4543-B55E-A4D332D40554}"/>
    <cellStyle name="Currency 10 2 3 2 9 2" xfId="11061" xr:uid="{298EC76C-1830-43B2-A0DD-74CA9B337451}"/>
    <cellStyle name="Currency 10 2 3 3" xfId="11062" xr:uid="{1A926088-BA6C-44B3-9910-24A46A69EC80}"/>
    <cellStyle name="Currency 10 2 3 3 2" xfId="11063" xr:uid="{0C0C81C9-2F65-4F24-B6F2-A3E61083DA9F}"/>
    <cellStyle name="Currency 10 2 3 3 2 2" xfId="11064" xr:uid="{323DCF72-A4A9-4CC2-BADF-DD7AF852B795}"/>
    <cellStyle name="Currency 10 2 3 3 2 2 2" xfId="11065" xr:uid="{E30C7E22-AEE6-4D39-A98A-CC323B6DC45B}"/>
    <cellStyle name="Currency 10 2 3 3 2 3" xfId="11066" xr:uid="{A1C8F6DF-7CED-450B-BFE7-411888BA584D}"/>
    <cellStyle name="Currency 10 2 3 3 2 3 2" xfId="11067" xr:uid="{7234B9F1-150A-43AC-817E-8B597CE83607}"/>
    <cellStyle name="Currency 10 2 3 3 2 4" xfId="11068" xr:uid="{F153F1DD-84F0-40CA-B33D-E260D72A5330}"/>
    <cellStyle name="Currency 10 2 3 3 2 4 2" xfId="11069" xr:uid="{CCF138AF-B5E9-4E38-A5A3-BEFDED748838}"/>
    <cellStyle name="Currency 10 2 3 3 2 5" xfId="11070" xr:uid="{5F356BE1-E8CD-4113-9122-067E5AB9836F}"/>
    <cellStyle name="Currency 10 2 3 3 3" xfId="11071" xr:uid="{C4952299-F431-4983-ABBE-EDB7D6D83CE9}"/>
    <cellStyle name="Currency 10 2 3 3 3 2" xfId="11072" xr:uid="{66B5A4D4-385D-4352-B5E3-4246568F77E5}"/>
    <cellStyle name="Currency 10 2 3 3 3 2 2" xfId="11073" xr:uid="{DCFF6346-57C4-4DE2-AE27-36DC2524E4C1}"/>
    <cellStyle name="Currency 10 2 3 3 3 3" xfId="11074" xr:uid="{16B6E66F-EB48-4060-A3F3-884FF8FB696A}"/>
    <cellStyle name="Currency 10 2 3 3 3 3 2" xfId="11075" xr:uid="{BE85A4CD-2765-4112-A319-9DCE5ABC877B}"/>
    <cellStyle name="Currency 10 2 3 3 3 4" xfId="11076" xr:uid="{187E090B-7641-48B2-A49A-6A84A5C88F56}"/>
    <cellStyle name="Currency 10 2 3 3 3 4 2" xfId="11077" xr:uid="{B8C6CEDE-8037-415B-ACF6-0FCCA78236F2}"/>
    <cellStyle name="Currency 10 2 3 3 3 5" xfId="11078" xr:uid="{818CA91D-3C61-4007-9B21-29395206485A}"/>
    <cellStyle name="Currency 10 2 3 3 4" xfId="11079" xr:uid="{70DA0D8A-235F-49EF-ABD0-C540D8275BF5}"/>
    <cellStyle name="Currency 10 2 3 3 4 2" xfId="11080" xr:uid="{D8FD36F7-66F1-42E4-BDC5-F4A8536A989E}"/>
    <cellStyle name="Currency 10 2 3 3 5" xfId="11081" xr:uid="{A0831BF3-6341-4BAE-A555-DDB04050D67D}"/>
    <cellStyle name="Currency 10 2 3 3 5 2" xfId="11082" xr:uid="{1B9C9DF3-BF88-42F4-B8D5-3630AF6BE980}"/>
    <cellStyle name="Currency 10 2 3 3 6" xfId="11083" xr:uid="{43C82853-4F56-46E3-84D7-8C2ED697A1C3}"/>
    <cellStyle name="Currency 10 2 3 3 6 2" xfId="11084" xr:uid="{FE1ABD7D-1A0E-4A3F-A791-B342BDF05B2C}"/>
    <cellStyle name="Currency 10 2 3 3 7" xfId="11085" xr:uid="{A562AEAC-CF10-4656-B82F-B70E1B4B10C2}"/>
    <cellStyle name="Currency 10 2 3 3 7 2" xfId="11086" xr:uid="{40777E04-CA78-4261-812F-1B904BD0A754}"/>
    <cellStyle name="Currency 10 2 3 3 8" xfId="11087" xr:uid="{1E7D7094-A3C1-4D4C-AEC2-A17D6054DCA1}"/>
    <cellStyle name="Currency 10 2 3 3 8 2" xfId="11088" xr:uid="{F25A3D6D-EB37-4925-B13D-368BE362B0DD}"/>
    <cellStyle name="Currency 10 2 3 3 9" xfId="11089" xr:uid="{444E3D71-F32C-4F22-B55F-7DFE9CD165AC}"/>
    <cellStyle name="Currency 10 2 3 4" xfId="11090" xr:uid="{5143012C-1A38-41F3-B3E0-69EAD4AE6378}"/>
    <cellStyle name="Currency 10 2 3 4 2" xfId="11091" xr:uid="{F24051B6-A158-4448-BCAB-69C296103EFA}"/>
    <cellStyle name="Currency 10 2 3 4 2 2" xfId="11092" xr:uid="{F8CA496B-9A2D-4F25-A9A0-A51658124CF8}"/>
    <cellStyle name="Currency 10 2 3 4 3" xfId="11093" xr:uid="{DC12EF45-447C-4362-8705-A63BE69E15B2}"/>
    <cellStyle name="Currency 10 2 3 4 3 2" xfId="11094" xr:uid="{D46D401D-2F09-42C9-9083-1CFBB43AED96}"/>
    <cellStyle name="Currency 10 2 3 4 4" xfId="11095" xr:uid="{E745179B-FDB4-4A10-8EB1-9FFD494AEE67}"/>
    <cellStyle name="Currency 10 2 3 4 4 2" xfId="11096" xr:uid="{52978A26-DEA3-4400-BAA4-17F1BA5FB5CD}"/>
    <cellStyle name="Currency 10 2 3 4 5" xfId="11097" xr:uid="{5B6CF516-9E48-4A95-B0D4-994AC3CE2A2F}"/>
    <cellStyle name="Currency 10 2 3 5" xfId="11098" xr:uid="{2C117D7D-437E-48A1-AB70-8A111975156E}"/>
    <cellStyle name="Currency 10 2 3 5 2" xfId="11099" xr:uid="{DF6267BC-C16C-45BC-98B1-75993C98A3C6}"/>
    <cellStyle name="Currency 10 2 3 5 2 2" xfId="11100" xr:uid="{C5BF8C39-204D-4ADA-A9A1-C49411DB1CA0}"/>
    <cellStyle name="Currency 10 2 3 5 3" xfId="11101" xr:uid="{8B4782E5-A4F8-49CD-BB19-4209ED456CBF}"/>
    <cellStyle name="Currency 10 2 3 5 3 2" xfId="11102" xr:uid="{BC5A6E47-5C2B-4C57-9F1A-B8EC253D436C}"/>
    <cellStyle name="Currency 10 2 3 5 4" xfId="11103" xr:uid="{3C3B5304-39ED-4417-B91B-97E034FD2D5E}"/>
    <cellStyle name="Currency 10 2 3 5 4 2" xfId="11104" xr:uid="{AF5E762B-3FA1-4C56-AD12-D3DD4029E98F}"/>
    <cellStyle name="Currency 10 2 3 5 5" xfId="11105" xr:uid="{DA7BE47F-4602-4E1D-A4E7-7AA9191C3728}"/>
    <cellStyle name="Currency 10 2 3 6" xfId="11106" xr:uid="{C3861291-13D6-4102-88B6-CF5DB87E8345}"/>
    <cellStyle name="Currency 10 2 3 6 2" xfId="11107" xr:uid="{F9FF26BE-68A8-485F-B7A9-4E259D4B3D6C}"/>
    <cellStyle name="Currency 10 2 3 7" xfId="11108" xr:uid="{4E7486B3-E52E-46F9-BF0D-D0B8A8176389}"/>
    <cellStyle name="Currency 10 2 3 7 2" xfId="11109" xr:uid="{55C02B6C-E276-46D5-8DD7-2B095236A957}"/>
    <cellStyle name="Currency 10 2 3 8" xfId="11110" xr:uid="{92A05E48-01DF-4A8E-A540-91418995FAA2}"/>
    <cellStyle name="Currency 10 2 3 8 2" xfId="11111" xr:uid="{36E13CDA-D802-4A1F-B7B1-3CF0422A210F}"/>
    <cellStyle name="Currency 10 2 3 9" xfId="11112" xr:uid="{46CD7DB7-BF3A-482A-BAA9-8CDB96EA9FA0}"/>
    <cellStyle name="Currency 10 2 3 9 2" xfId="11113" xr:uid="{5E8D210B-292A-484A-83D4-5B567F6FA75A}"/>
    <cellStyle name="Currency 10 2 4" xfId="11114" xr:uid="{CA8387E4-8862-42AA-99CF-C8EC97F7F2E3}"/>
    <cellStyle name="Currency 10 2 4 10" xfId="11115" xr:uid="{77EA1B00-BEDA-400A-97F1-325D20E5B3C3}"/>
    <cellStyle name="Currency 10 2 4 10 2" xfId="11116" xr:uid="{8EB2DDC6-559D-405F-A295-3EE039483B95}"/>
    <cellStyle name="Currency 10 2 4 11" xfId="11117" xr:uid="{B9BB1057-8020-428D-BE74-391EDF308DAE}"/>
    <cellStyle name="Currency 10 2 4 2" xfId="11118" xr:uid="{2DA512E7-2E1C-48DB-AE27-7650DD3C7057}"/>
    <cellStyle name="Currency 10 2 4 2 10" xfId="11119" xr:uid="{D25FA738-9393-47C5-95F6-2EAD36717C9A}"/>
    <cellStyle name="Currency 10 2 4 2 2" xfId="11120" xr:uid="{82BE1CE5-8C4D-401F-99E2-85243F97E37B}"/>
    <cellStyle name="Currency 10 2 4 2 2 2" xfId="11121" xr:uid="{31BFB2E0-6E3A-49FC-853B-68ECF454647E}"/>
    <cellStyle name="Currency 10 2 4 2 2 2 2" xfId="11122" xr:uid="{51949194-136C-40B1-9E2B-CDAACD284A94}"/>
    <cellStyle name="Currency 10 2 4 2 2 2 2 2" xfId="11123" xr:uid="{50BB6138-EF0D-4C25-BD00-3945D809EC68}"/>
    <cellStyle name="Currency 10 2 4 2 2 2 3" xfId="11124" xr:uid="{F3167D3B-35A2-43D4-B9D0-414585B9C567}"/>
    <cellStyle name="Currency 10 2 4 2 2 2 3 2" xfId="11125" xr:uid="{612FB30F-6AAC-4B12-8B64-6433FCAE5597}"/>
    <cellStyle name="Currency 10 2 4 2 2 2 4" xfId="11126" xr:uid="{0B01FAF6-D911-439C-9647-870AC24232BA}"/>
    <cellStyle name="Currency 10 2 4 2 2 2 4 2" xfId="11127" xr:uid="{993F36F8-D223-4148-A6A9-97FB71CDA8DA}"/>
    <cellStyle name="Currency 10 2 4 2 2 2 5" xfId="11128" xr:uid="{980AAB2E-BA79-44E1-87B2-173FDAA7AC04}"/>
    <cellStyle name="Currency 10 2 4 2 2 3" xfId="11129" xr:uid="{A9899A36-1D33-4697-88DC-05098B6B69D6}"/>
    <cellStyle name="Currency 10 2 4 2 2 3 2" xfId="11130" xr:uid="{6221FC23-C797-4B6C-A518-3F3CC7442E24}"/>
    <cellStyle name="Currency 10 2 4 2 2 3 2 2" xfId="11131" xr:uid="{FF79DEB1-2612-4456-BCBB-40D1E4CB6DD1}"/>
    <cellStyle name="Currency 10 2 4 2 2 3 3" xfId="11132" xr:uid="{38B6413C-7DA8-495E-A1A5-F96BBA08F8C9}"/>
    <cellStyle name="Currency 10 2 4 2 2 3 3 2" xfId="11133" xr:uid="{A4430535-E883-4BF2-9775-375AF8872173}"/>
    <cellStyle name="Currency 10 2 4 2 2 3 4" xfId="11134" xr:uid="{17DBAC2A-99D5-4C69-AD26-F20C46D5E5F6}"/>
    <cellStyle name="Currency 10 2 4 2 2 3 4 2" xfId="11135" xr:uid="{9F822D75-CE3A-451D-90BE-E2C2087F6CFC}"/>
    <cellStyle name="Currency 10 2 4 2 2 3 5" xfId="11136" xr:uid="{641AFA91-7AE5-4071-86EB-553D61F7D185}"/>
    <cellStyle name="Currency 10 2 4 2 2 4" xfId="11137" xr:uid="{A2DA7A1D-1819-4FE5-8D60-D857F1C4BD8E}"/>
    <cellStyle name="Currency 10 2 4 2 2 4 2" xfId="11138" xr:uid="{B2E42DE7-8DAB-4BF2-A81D-D27843445B93}"/>
    <cellStyle name="Currency 10 2 4 2 2 5" xfId="11139" xr:uid="{1F71412E-C9E1-4E98-8A48-384B4B131630}"/>
    <cellStyle name="Currency 10 2 4 2 2 5 2" xfId="11140" xr:uid="{C46B69C6-1203-4D99-96FC-E462048395E7}"/>
    <cellStyle name="Currency 10 2 4 2 2 6" xfId="11141" xr:uid="{F488DB0E-20F6-4B38-89CD-9F0B82028E01}"/>
    <cellStyle name="Currency 10 2 4 2 2 6 2" xfId="11142" xr:uid="{102E0160-3245-486F-9270-81ACD9E74F4E}"/>
    <cellStyle name="Currency 10 2 4 2 2 7" xfId="11143" xr:uid="{177BE65A-6961-49E9-9431-8E6AC487C08B}"/>
    <cellStyle name="Currency 10 2 4 2 2 7 2" xfId="11144" xr:uid="{7F9B31AF-4AC7-401D-B422-B25FA15132EE}"/>
    <cellStyle name="Currency 10 2 4 2 2 8" xfId="11145" xr:uid="{C3482B60-52AF-4E97-A151-F20BF5973116}"/>
    <cellStyle name="Currency 10 2 4 2 2 8 2" xfId="11146" xr:uid="{CE6AB433-29B1-4998-B597-77E7521FF831}"/>
    <cellStyle name="Currency 10 2 4 2 2 9" xfId="11147" xr:uid="{DE480B50-64BB-4C1E-89D5-CC9CD05B7363}"/>
    <cellStyle name="Currency 10 2 4 2 3" xfId="11148" xr:uid="{AA6AAF64-4910-47B0-A2AC-31581BD1962A}"/>
    <cellStyle name="Currency 10 2 4 2 3 2" xfId="11149" xr:uid="{F0DF08F6-EB26-445E-BC1E-46C1573A35A1}"/>
    <cellStyle name="Currency 10 2 4 2 3 2 2" xfId="11150" xr:uid="{BAA102A8-A86E-4AB9-A450-9FF043988285}"/>
    <cellStyle name="Currency 10 2 4 2 3 3" xfId="11151" xr:uid="{2D36973C-2F54-4712-A0FA-927FBC0750DD}"/>
    <cellStyle name="Currency 10 2 4 2 3 3 2" xfId="11152" xr:uid="{1CB0B6D6-4F9B-4814-AD49-514A405A8A1B}"/>
    <cellStyle name="Currency 10 2 4 2 3 4" xfId="11153" xr:uid="{9FEEC0E7-1D3C-4036-91A5-AAB612EDECA8}"/>
    <cellStyle name="Currency 10 2 4 2 3 4 2" xfId="11154" xr:uid="{1381BA0F-EC2E-491A-8D25-368E722E0F11}"/>
    <cellStyle name="Currency 10 2 4 2 3 5" xfId="11155" xr:uid="{F4DD8DB1-6BB3-4800-BE4F-DC7AD7EC122F}"/>
    <cellStyle name="Currency 10 2 4 2 4" xfId="11156" xr:uid="{9A220FE8-9CFC-4640-8B78-33E3D5AABCF3}"/>
    <cellStyle name="Currency 10 2 4 2 4 2" xfId="11157" xr:uid="{9FBD8CF5-ED00-47F6-9449-B4D292A07811}"/>
    <cellStyle name="Currency 10 2 4 2 4 2 2" xfId="11158" xr:uid="{ADF0C37D-F4BB-4A64-91B6-194579B65E83}"/>
    <cellStyle name="Currency 10 2 4 2 4 3" xfId="11159" xr:uid="{3035DFB6-02CB-4B15-9081-E050C6D6D18A}"/>
    <cellStyle name="Currency 10 2 4 2 4 3 2" xfId="11160" xr:uid="{D0D28F9E-98B1-4606-9F58-2AA6757558E2}"/>
    <cellStyle name="Currency 10 2 4 2 4 4" xfId="11161" xr:uid="{FBC046E7-074E-41D9-ABAE-43C7BA23EA4F}"/>
    <cellStyle name="Currency 10 2 4 2 4 4 2" xfId="11162" xr:uid="{A41BE32E-BF79-413C-8608-C71BCA5386E5}"/>
    <cellStyle name="Currency 10 2 4 2 4 5" xfId="11163" xr:uid="{C347728D-550F-4D51-9419-270AF7B304BB}"/>
    <cellStyle name="Currency 10 2 4 2 5" xfId="11164" xr:uid="{47427CA3-ECC8-4479-9D22-35EE56BCAC48}"/>
    <cellStyle name="Currency 10 2 4 2 5 2" xfId="11165" xr:uid="{A15A4476-C28D-4EFD-BF0D-660EBA44DABC}"/>
    <cellStyle name="Currency 10 2 4 2 6" xfId="11166" xr:uid="{728BD754-FB4B-447E-9B86-D1C539A0019E}"/>
    <cellStyle name="Currency 10 2 4 2 6 2" xfId="11167" xr:uid="{E4A23D69-F6E6-48BF-9EF4-28540DEE977E}"/>
    <cellStyle name="Currency 10 2 4 2 7" xfId="11168" xr:uid="{C59D2C32-6DEC-48BC-BF74-F088C9AF30EA}"/>
    <cellStyle name="Currency 10 2 4 2 7 2" xfId="11169" xr:uid="{38669878-6290-4916-9CF6-D08FF0E912D2}"/>
    <cellStyle name="Currency 10 2 4 2 8" xfId="11170" xr:uid="{4E2A084B-EEB2-4EFD-8547-6ECE363E65E2}"/>
    <cellStyle name="Currency 10 2 4 2 8 2" xfId="11171" xr:uid="{328794E8-81F4-4866-BFBD-2B402EE1E093}"/>
    <cellStyle name="Currency 10 2 4 2 9" xfId="11172" xr:uid="{D9A88468-5E1D-4EB3-9CDE-1586D6AECC4E}"/>
    <cellStyle name="Currency 10 2 4 2 9 2" xfId="11173" xr:uid="{D70643CF-BA4F-417A-8694-5BF8E9B1D7E4}"/>
    <cellStyle name="Currency 10 2 4 3" xfId="11174" xr:uid="{9177BED1-ADB6-4A51-83DC-D5858E71B606}"/>
    <cellStyle name="Currency 10 2 4 3 2" xfId="11175" xr:uid="{D8709BA2-82EF-4399-B404-83D99A5920FC}"/>
    <cellStyle name="Currency 10 2 4 3 2 2" xfId="11176" xr:uid="{847EC05C-0F77-4B42-9C4E-F5E11DB20339}"/>
    <cellStyle name="Currency 10 2 4 3 2 2 2" xfId="11177" xr:uid="{4174F882-BD8F-4596-86A6-9273DBDFD950}"/>
    <cellStyle name="Currency 10 2 4 3 2 3" xfId="11178" xr:uid="{E96EAE32-4D10-47B8-9C75-87D5F49723FA}"/>
    <cellStyle name="Currency 10 2 4 3 2 3 2" xfId="11179" xr:uid="{2A27A690-E1F0-44ED-B0A9-6D09A89AAEED}"/>
    <cellStyle name="Currency 10 2 4 3 2 4" xfId="11180" xr:uid="{D35E64C2-21C6-40D5-A077-DE33FF15707C}"/>
    <cellStyle name="Currency 10 2 4 3 2 4 2" xfId="11181" xr:uid="{A3D6BF55-03CA-46BC-8C37-450D2C49A03E}"/>
    <cellStyle name="Currency 10 2 4 3 2 5" xfId="11182" xr:uid="{7921831A-16CE-46B0-905A-473C02C723CF}"/>
    <cellStyle name="Currency 10 2 4 3 3" xfId="11183" xr:uid="{F5FDC576-E917-4A6D-9E2C-2BE6741FA1D8}"/>
    <cellStyle name="Currency 10 2 4 3 3 2" xfId="11184" xr:uid="{CFF3A721-EFA4-4151-A2B0-2A3D14EEFD5F}"/>
    <cellStyle name="Currency 10 2 4 3 3 2 2" xfId="11185" xr:uid="{C792CCB0-3AF6-4504-BF73-B46B5ECC20F2}"/>
    <cellStyle name="Currency 10 2 4 3 3 3" xfId="11186" xr:uid="{015334CB-06EB-43C7-8559-0FEE38130D80}"/>
    <cellStyle name="Currency 10 2 4 3 3 3 2" xfId="11187" xr:uid="{3F414B4C-F4A2-4053-B551-73BCBAA13D5D}"/>
    <cellStyle name="Currency 10 2 4 3 3 4" xfId="11188" xr:uid="{F92BDAC4-91DE-402F-9944-BE56B68705AE}"/>
    <cellStyle name="Currency 10 2 4 3 3 4 2" xfId="11189" xr:uid="{018E04E6-B908-4AE8-B491-DE09CD0DEAD8}"/>
    <cellStyle name="Currency 10 2 4 3 3 5" xfId="11190" xr:uid="{401A93CA-E73C-4A28-AFB1-2DEB05C0C04A}"/>
    <cellStyle name="Currency 10 2 4 3 4" xfId="11191" xr:uid="{6F62389D-2319-4AFC-A861-16C2CA5C58D0}"/>
    <cellStyle name="Currency 10 2 4 3 4 2" xfId="11192" xr:uid="{C410765F-5301-4A14-9D5D-E939366F4518}"/>
    <cellStyle name="Currency 10 2 4 3 5" xfId="11193" xr:uid="{1DD7E79A-6FD6-4A31-826F-FAD7D406A2CC}"/>
    <cellStyle name="Currency 10 2 4 3 5 2" xfId="11194" xr:uid="{8EDA600E-6155-4042-B7FB-690CF3A0263C}"/>
    <cellStyle name="Currency 10 2 4 3 6" xfId="11195" xr:uid="{D7712866-A71A-419F-B945-4FECBC090E29}"/>
    <cellStyle name="Currency 10 2 4 3 6 2" xfId="11196" xr:uid="{1DC1BD3E-1421-4752-AF4A-F92B6862D169}"/>
    <cellStyle name="Currency 10 2 4 3 7" xfId="11197" xr:uid="{CA47EE87-DFE9-4E8E-89E1-9C83277EA06F}"/>
    <cellStyle name="Currency 10 2 4 3 7 2" xfId="11198" xr:uid="{6FFE341A-67F9-4EE7-8CA6-E3FE7E8AB975}"/>
    <cellStyle name="Currency 10 2 4 3 8" xfId="11199" xr:uid="{9D24F66E-C19D-420A-9497-BB7E9C0B8662}"/>
    <cellStyle name="Currency 10 2 4 3 8 2" xfId="11200" xr:uid="{8FD012CA-F1E5-4C06-9ACB-9251D6DDC174}"/>
    <cellStyle name="Currency 10 2 4 3 9" xfId="11201" xr:uid="{C26B5D28-25AE-4BA5-A1F3-AD88C68DB69F}"/>
    <cellStyle name="Currency 10 2 4 4" xfId="11202" xr:uid="{3693BB79-E4F1-4BDB-9902-B7D68AADF67F}"/>
    <cellStyle name="Currency 10 2 4 4 2" xfId="11203" xr:uid="{A16D79D3-DD49-4128-9133-F625E80A294B}"/>
    <cellStyle name="Currency 10 2 4 4 2 2" xfId="11204" xr:uid="{B27EED57-C336-4208-BC51-4A9B7AA4E65D}"/>
    <cellStyle name="Currency 10 2 4 4 3" xfId="11205" xr:uid="{EEEC9503-B278-4265-A176-ABB41A77665D}"/>
    <cellStyle name="Currency 10 2 4 4 3 2" xfId="11206" xr:uid="{4CB0FCDC-03AD-431A-9D83-5151E7D5D7AB}"/>
    <cellStyle name="Currency 10 2 4 4 4" xfId="11207" xr:uid="{6CCEF416-336E-4263-BD3D-C1EB8795B651}"/>
    <cellStyle name="Currency 10 2 4 4 4 2" xfId="11208" xr:uid="{871DE779-3302-4942-B0A5-289ACFA70B24}"/>
    <cellStyle name="Currency 10 2 4 4 5" xfId="11209" xr:uid="{0C7C2711-9244-48BF-A348-B578FA2FB504}"/>
    <cellStyle name="Currency 10 2 4 5" xfId="11210" xr:uid="{4C836335-E2A8-47F9-BDFE-CD6013249690}"/>
    <cellStyle name="Currency 10 2 4 5 2" xfId="11211" xr:uid="{A62FBE6C-4860-42EB-AA36-D417519B7D9C}"/>
    <cellStyle name="Currency 10 2 4 5 2 2" xfId="11212" xr:uid="{E806D314-F091-4F7D-9ED9-5ADE3AB4B6D4}"/>
    <cellStyle name="Currency 10 2 4 5 3" xfId="11213" xr:uid="{9D874AE8-8E07-464A-ACD3-A6502AF5418B}"/>
    <cellStyle name="Currency 10 2 4 5 3 2" xfId="11214" xr:uid="{372519E7-3008-4308-8ACC-42D4922707C6}"/>
    <cellStyle name="Currency 10 2 4 5 4" xfId="11215" xr:uid="{208A863B-88AF-4744-A92B-8F325DB7902A}"/>
    <cellStyle name="Currency 10 2 4 5 4 2" xfId="11216" xr:uid="{68BEFD08-8F4F-43BB-B7F3-446D473CB496}"/>
    <cellStyle name="Currency 10 2 4 5 5" xfId="11217" xr:uid="{EA910109-8E57-4FC7-A138-71CCE1AFCFF3}"/>
    <cellStyle name="Currency 10 2 4 6" xfId="11218" xr:uid="{21E14334-9BC3-407C-9FB6-49B08B1EC575}"/>
    <cellStyle name="Currency 10 2 4 6 2" xfId="11219" xr:uid="{8F7E592B-87B1-4AA3-AFED-7FA3EC976CF5}"/>
    <cellStyle name="Currency 10 2 4 7" xfId="11220" xr:uid="{F6D658CF-0AD5-492B-B33E-D2907FA4BDCA}"/>
    <cellStyle name="Currency 10 2 4 7 2" xfId="11221" xr:uid="{FA77E2DB-877D-4221-AADC-4668C748037E}"/>
    <cellStyle name="Currency 10 2 4 8" xfId="11222" xr:uid="{2E197665-C5E5-4147-A496-3F7C01DF3BCE}"/>
    <cellStyle name="Currency 10 2 4 8 2" xfId="11223" xr:uid="{D55D568E-007D-4913-AAA5-002C6A76434A}"/>
    <cellStyle name="Currency 10 2 4 9" xfId="11224" xr:uid="{E55907EC-EEC0-4165-94F8-CD0B2E223D0D}"/>
    <cellStyle name="Currency 10 2 4 9 2" xfId="11225" xr:uid="{C0767193-1F20-4744-A5D7-FF47929FBF4E}"/>
    <cellStyle name="Currency 10 2 5" xfId="11226" xr:uid="{38DEFFF3-E897-43BE-92B2-F277439BAA75}"/>
    <cellStyle name="Currency 10 2 5 10" xfId="11227" xr:uid="{151D100A-C813-48C8-A656-6684FA0FDF5B}"/>
    <cellStyle name="Currency 10 2 5 10 2" xfId="11228" xr:uid="{A3C8C9AF-CCE5-4D19-AA50-54BCB1D5C15B}"/>
    <cellStyle name="Currency 10 2 5 11" xfId="11229" xr:uid="{B076D2D1-5AE3-42D3-90C3-DF523F44A4C5}"/>
    <cellStyle name="Currency 10 2 5 2" xfId="11230" xr:uid="{C748B3CB-B2DF-47AE-99DC-8DD0497B0CA7}"/>
    <cellStyle name="Currency 10 2 5 2 10" xfId="11231" xr:uid="{97B41C3B-E682-40CF-895C-56786821455A}"/>
    <cellStyle name="Currency 10 2 5 2 2" xfId="11232" xr:uid="{4197D7D3-FC1E-43F0-81BE-B0DB1D2A6FDF}"/>
    <cellStyle name="Currency 10 2 5 2 2 2" xfId="11233" xr:uid="{21518B71-A8F9-4CE6-99D9-3418B22FE573}"/>
    <cellStyle name="Currency 10 2 5 2 2 2 2" xfId="11234" xr:uid="{6FD02F94-701F-49C3-905F-73DF1EF4449D}"/>
    <cellStyle name="Currency 10 2 5 2 2 2 2 2" xfId="11235" xr:uid="{EB85ED20-C940-41D0-9433-C46153FB3C55}"/>
    <cellStyle name="Currency 10 2 5 2 2 2 3" xfId="11236" xr:uid="{93EE5785-984D-4D68-B398-F1BEFFFD9D63}"/>
    <cellStyle name="Currency 10 2 5 2 2 2 3 2" xfId="11237" xr:uid="{A049B38E-14D4-4880-9FDD-7395E646F2AF}"/>
    <cellStyle name="Currency 10 2 5 2 2 2 4" xfId="11238" xr:uid="{B8F1C425-2010-4D75-9F06-192FE9DDBD15}"/>
    <cellStyle name="Currency 10 2 5 2 2 2 4 2" xfId="11239" xr:uid="{56C69A17-B238-4EDD-B0BA-A006FD7FFDE1}"/>
    <cellStyle name="Currency 10 2 5 2 2 2 5" xfId="11240" xr:uid="{DE23AC0A-411A-4A1B-8DC6-568BD8D2AA7D}"/>
    <cellStyle name="Currency 10 2 5 2 2 3" xfId="11241" xr:uid="{E89A1EDF-BDAB-482B-B2BE-432428CF3A90}"/>
    <cellStyle name="Currency 10 2 5 2 2 3 2" xfId="11242" xr:uid="{CAAC1EEB-7135-4D82-A1C0-6562A515C5B1}"/>
    <cellStyle name="Currency 10 2 5 2 2 3 2 2" xfId="11243" xr:uid="{829D3CA8-AAC9-445A-8BC7-306D66D698D8}"/>
    <cellStyle name="Currency 10 2 5 2 2 3 3" xfId="11244" xr:uid="{CA2A9B26-2887-469D-8FB4-44FC2DACC629}"/>
    <cellStyle name="Currency 10 2 5 2 2 3 3 2" xfId="11245" xr:uid="{B9D3E89B-87AC-449C-9471-6CC6FEC9962A}"/>
    <cellStyle name="Currency 10 2 5 2 2 3 4" xfId="11246" xr:uid="{64D21C78-6826-41F9-8725-D8F86D40F351}"/>
    <cellStyle name="Currency 10 2 5 2 2 3 4 2" xfId="11247" xr:uid="{66C19F39-0D07-4BBD-9D8C-066E06B21E35}"/>
    <cellStyle name="Currency 10 2 5 2 2 3 5" xfId="11248" xr:uid="{8A48B8F3-5EDC-4831-87FA-0B4650D5FC35}"/>
    <cellStyle name="Currency 10 2 5 2 2 4" xfId="11249" xr:uid="{CF7D5C7A-3F9C-4CB8-9F6F-11BD455CD9C0}"/>
    <cellStyle name="Currency 10 2 5 2 2 4 2" xfId="11250" xr:uid="{5A0F5CEA-D75B-4BA4-AC16-32DDE7731DA5}"/>
    <cellStyle name="Currency 10 2 5 2 2 5" xfId="11251" xr:uid="{B4465405-DF98-4C15-8454-503D09C7C405}"/>
    <cellStyle name="Currency 10 2 5 2 2 5 2" xfId="11252" xr:uid="{2DF7EEC8-6540-49B5-AEC4-654264261B74}"/>
    <cellStyle name="Currency 10 2 5 2 2 6" xfId="11253" xr:uid="{25BB5DF1-4F92-4E2C-BD6D-9A9E4F82B044}"/>
    <cellStyle name="Currency 10 2 5 2 2 6 2" xfId="11254" xr:uid="{CDE3CBB0-18DE-411A-8BA7-A775B65D952A}"/>
    <cellStyle name="Currency 10 2 5 2 2 7" xfId="11255" xr:uid="{5F54B3DA-7077-45C2-AE2F-9D7DD6537114}"/>
    <cellStyle name="Currency 10 2 5 2 2 7 2" xfId="11256" xr:uid="{9AA6847F-497F-4FE8-A84E-62D23F4E68B5}"/>
    <cellStyle name="Currency 10 2 5 2 2 8" xfId="11257" xr:uid="{7A46AA12-EDD1-4AD4-B510-101939CFF6D3}"/>
    <cellStyle name="Currency 10 2 5 2 2 8 2" xfId="11258" xr:uid="{AFAB2F7E-CB8D-4EBF-ADE3-E85DD60F3799}"/>
    <cellStyle name="Currency 10 2 5 2 2 9" xfId="11259" xr:uid="{D664FCD7-B588-4724-BEC8-25F3AEB93854}"/>
    <cellStyle name="Currency 10 2 5 2 3" xfId="11260" xr:uid="{DC8612A2-0171-471F-AC11-BE283BF49E14}"/>
    <cellStyle name="Currency 10 2 5 2 3 2" xfId="11261" xr:uid="{058516B9-4F01-4E9B-8DC5-A68181AE7B39}"/>
    <cellStyle name="Currency 10 2 5 2 3 2 2" xfId="11262" xr:uid="{5D58C7D6-F891-4710-AC0B-9D8E8A8246E2}"/>
    <cellStyle name="Currency 10 2 5 2 3 3" xfId="11263" xr:uid="{0313E8CD-6E74-444F-801B-FE1668540261}"/>
    <cellStyle name="Currency 10 2 5 2 3 3 2" xfId="11264" xr:uid="{DC9E6621-7DFC-46BA-ACCD-45740E0FA311}"/>
    <cellStyle name="Currency 10 2 5 2 3 4" xfId="11265" xr:uid="{B6F2FA4F-416E-421F-972C-61DB584682C4}"/>
    <cellStyle name="Currency 10 2 5 2 3 4 2" xfId="11266" xr:uid="{36BAA155-1CCF-408D-BA3A-626ADFE23E0E}"/>
    <cellStyle name="Currency 10 2 5 2 3 5" xfId="11267" xr:uid="{F84ED531-0ADA-4134-A0FC-7CC81ACC453D}"/>
    <cellStyle name="Currency 10 2 5 2 4" xfId="11268" xr:uid="{F08F4DBE-C7A9-48C6-BC2B-7BC5EEDF302D}"/>
    <cellStyle name="Currency 10 2 5 2 4 2" xfId="11269" xr:uid="{DF38E363-429E-4231-AB34-A817FE1C1DAD}"/>
    <cellStyle name="Currency 10 2 5 2 4 2 2" xfId="11270" xr:uid="{75E26D2E-08C1-4021-88CF-79FE04691615}"/>
    <cellStyle name="Currency 10 2 5 2 4 3" xfId="11271" xr:uid="{D97D8A7D-CB86-4F21-9ADC-D9DE01710324}"/>
    <cellStyle name="Currency 10 2 5 2 4 3 2" xfId="11272" xr:uid="{90A587CD-F45B-485B-97D3-E3B510BBACBF}"/>
    <cellStyle name="Currency 10 2 5 2 4 4" xfId="11273" xr:uid="{18DFEC3D-427C-466E-83B4-1363879AD5B3}"/>
    <cellStyle name="Currency 10 2 5 2 4 4 2" xfId="11274" xr:uid="{3D6C439A-6881-4D8F-A9CA-FD40A5733C4A}"/>
    <cellStyle name="Currency 10 2 5 2 4 5" xfId="11275" xr:uid="{192BBD37-2B88-49F6-BE26-6C2A6975EB47}"/>
    <cellStyle name="Currency 10 2 5 2 5" xfId="11276" xr:uid="{E36DBD18-727B-4A63-AFFA-7C37F5C067F3}"/>
    <cellStyle name="Currency 10 2 5 2 5 2" xfId="11277" xr:uid="{5C2F5C7B-A90F-4AAB-AB83-79FCA9A99675}"/>
    <cellStyle name="Currency 10 2 5 2 6" xfId="11278" xr:uid="{1A9DD673-530D-4C22-963D-F48174CE621C}"/>
    <cellStyle name="Currency 10 2 5 2 6 2" xfId="11279" xr:uid="{FAFDA271-FD4D-4C9B-A354-06021A185119}"/>
    <cellStyle name="Currency 10 2 5 2 7" xfId="11280" xr:uid="{B28B2AD0-6FFD-4C57-A04E-345F06ED87D8}"/>
    <cellStyle name="Currency 10 2 5 2 7 2" xfId="11281" xr:uid="{8C34275C-0507-485E-8A24-DB78AE52316B}"/>
    <cellStyle name="Currency 10 2 5 2 8" xfId="11282" xr:uid="{F20A7373-D8C0-48C9-8D18-18FBF4EA2039}"/>
    <cellStyle name="Currency 10 2 5 2 8 2" xfId="11283" xr:uid="{4CC3C1DE-59D2-4EC1-8EC0-17D57B32B219}"/>
    <cellStyle name="Currency 10 2 5 2 9" xfId="11284" xr:uid="{B889CA06-3ED6-4733-BDEE-53D201394047}"/>
    <cellStyle name="Currency 10 2 5 2 9 2" xfId="11285" xr:uid="{A62D0B5A-900A-43F6-B089-8A336ADF0431}"/>
    <cellStyle name="Currency 10 2 5 3" xfId="11286" xr:uid="{DC96CD4B-C16C-427D-8DE0-D7ADBCC5F94C}"/>
    <cellStyle name="Currency 10 2 5 3 2" xfId="11287" xr:uid="{40A9F6CC-FD28-431C-896F-D5A59ABC69E0}"/>
    <cellStyle name="Currency 10 2 5 3 2 2" xfId="11288" xr:uid="{E735B363-247A-461B-A0BA-BC9C10CAFBA2}"/>
    <cellStyle name="Currency 10 2 5 3 2 2 2" xfId="11289" xr:uid="{C4A2BF9F-D17D-4273-86BF-97FC59A482B3}"/>
    <cellStyle name="Currency 10 2 5 3 2 3" xfId="11290" xr:uid="{7DA374DD-7B47-483E-8592-D059F0D3F3E5}"/>
    <cellStyle name="Currency 10 2 5 3 2 3 2" xfId="11291" xr:uid="{580DCFA7-AFEC-4451-83C3-25BC305678FB}"/>
    <cellStyle name="Currency 10 2 5 3 2 4" xfId="11292" xr:uid="{FC731278-D96F-4680-9D87-E4835A797F6E}"/>
    <cellStyle name="Currency 10 2 5 3 2 4 2" xfId="11293" xr:uid="{012B7F7D-AA63-4694-93C6-92E0AF30BA3D}"/>
    <cellStyle name="Currency 10 2 5 3 2 5" xfId="11294" xr:uid="{80B4ED0D-340E-4F02-9A37-9D04025D2AE8}"/>
    <cellStyle name="Currency 10 2 5 3 3" xfId="11295" xr:uid="{781BC18F-CD91-4EA2-9CBA-7D14504207A9}"/>
    <cellStyle name="Currency 10 2 5 3 3 2" xfId="11296" xr:uid="{A907AA3C-6BBC-4D34-9C73-296765CC43ED}"/>
    <cellStyle name="Currency 10 2 5 3 3 2 2" xfId="11297" xr:uid="{AF1C5713-B820-472B-B6EA-959CF756CF38}"/>
    <cellStyle name="Currency 10 2 5 3 3 3" xfId="11298" xr:uid="{429077D3-B2C3-4631-8262-537D0199FDBF}"/>
    <cellStyle name="Currency 10 2 5 3 3 3 2" xfId="11299" xr:uid="{6AF73179-E0A7-4BA5-B254-2A9DE615EE37}"/>
    <cellStyle name="Currency 10 2 5 3 3 4" xfId="11300" xr:uid="{0D75AC8C-E004-405A-939B-E1C2DC86555F}"/>
    <cellStyle name="Currency 10 2 5 3 3 4 2" xfId="11301" xr:uid="{4676976E-2B79-4AAE-BBC9-AA896736E3AC}"/>
    <cellStyle name="Currency 10 2 5 3 3 5" xfId="11302" xr:uid="{B49295FC-C670-432B-9B1C-359601A8F9FD}"/>
    <cellStyle name="Currency 10 2 5 3 4" xfId="11303" xr:uid="{D4D1F029-5EE9-4DE5-AA4A-26A7FDBA2ACA}"/>
    <cellStyle name="Currency 10 2 5 3 4 2" xfId="11304" xr:uid="{771298E3-0849-491C-A31A-EDB4EA220779}"/>
    <cellStyle name="Currency 10 2 5 3 5" xfId="11305" xr:uid="{E9101313-1AFC-447A-8ACE-99C722503988}"/>
    <cellStyle name="Currency 10 2 5 3 5 2" xfId="11306" xr:uid="{97F0A5A4-B1A6-44D8-8284-FD8B7E8D3D55}"/>
    <cellStyle name="Currency 10 2 5 3 6" xfId="11307" xr:uid="{7747F0D6-1A43-4AF2-9C48-A9B7FD883F7A}"/>
    <cellStyle name="Currency 10 2 5 3 6 2" xfId="11308" xr:uid="{DE025264-611A-49F1-ACC5-7293BB8E7CC6}"/>
    <cellStyle name="Currency 10 2 5 3 7" xfId="11309" xr:uid="{085F7B28-B03F-48E6-A83F-0B89AEA825A8}"/>
    <cellStyle name="Currency 10 2 5 3 7 2" xfId="11310" xr:uid="{B830901F-C43F-47E1-A310-A8334A770F10}"/>
    <cellStyle name="Currency 10 2 5 3 8" xfId="11311" xr:uid="{0966A2BE-96FE-4F39-A223-BF4164FDDCF9}"/>
    <cellStyle name="Currency 10 2 5 3 8 2" xfId="11312" xr:uid="{FCD761C7-6F0C-468A-9C21-A7776E8DB284}"/>
    <cellStyle name="Currency 10 2 5 3 9" xfId="11313" xr:uid="{790F3446-53FE-4E31-BED5-4B014B1DDA5E}"/>
    <cellStyle name="Currency 10 2 5 4" xfId="11314" xr:uid="{AEB1737E-1706-41DC-94DC-2AF83A26D338}"/>
    <cellStyle name="Currency 10 2 5 4 2" xfId="11315" xr:uid="{7BECFEB3-17C5-4053-9995-B4FD818A3AE3}"/>
    <cellStyle name="Currency 10 2 5 4 2 2" xfId="11316" xr:uid="{CCF505DE-2890-4F12-9C65-4626924ED913}"/>
    <cellStyle name="Currency 10 2 5 4 3" xfId="11317" xr:uid="{A1E6FEB9-04F7-4554-92B4-1C25ACC29775}"/>
    <cellStyle name="Currency 10 2 5 4 3 2" xfId="11318" xr:uid="{EF71D0E8-4DC0-4327-8E00-270FA1195923}"/>
    <cellStyle name="Currency 10 2 5 4 4" xfId="11319" xr:uid="{6AA6F640-0616-49DC-ABB5-A971DCFB7805}"/>
    <cellStyle name="Currency 10 2 5 4 4 2" xfId="11320" xr:uid="{D1B49C50-9085-426C-96F6-492FBCB96051}"/>
    <cellStyle name="Currency 10 2 5 4 5" xfId="11321" xr:uid="{9EEC0CC4-ED2E-4457-9A89-5CF02F505125}"/>
    <cellStyle name="Currency 10 2 5 5" xfId="11322" xr:uid="{71CCED11-B08F-45B5-BE41-688586BF70BD}"/>
    <cellStyle name="Currency 10 2 5 5 2" xfId="11323" xr:uid="{1A5BA62C-7F15-400F-ADAD-C14D7E0ED3FB}"/>
    <cellStyle name="Currency 10 2 5 5 2 2" xfId="11324" xr:uid="{1B980B5F-E2E7-48D8-B35F-E1BC2AD70E29}"/>
    <cellStyle name="Currency 10 2 5 5 3" xfId="11325" xr:uid="{8FBD988D-7CC7-403B-86C2-7BC9F8415360}"/>
    <cellStyle name="Currency 10 2 5 5 3 2" xfId="11326" xr:uid="{1D05F464-A8BB-48E5-A65D-36045A362742}"/>
    <cellStyle name="Currency 10 2 5 5 4" xfId="11327" xr:uid="{54FA3C4D-84C8-40EF-80A6-8262EBD5DE4A}"/>
    <cellStyle name="Currency 10 2 5 5 4 2" xfId="11328" xr:uid="{FDBAD911-C55F-472B-9CEF-D21D48BEEABB}"/>
    <cellStyle name="Currency 10 2 5 5 5" xfId="11329" xr:uid="{68F8956A-3446-4385-817C-182F2F466962}"/>
    <cellStyle name="Currency 10 2 5 6" xfId="11330" xr:uid="{E3B2BF04-B9F1-4FFE-8583-6D3FF58F5794}"/>
    <cellStyle name="Currency 10 2 5 6 2" xfId="11331" xr:uid="{8074FC72-0611-4121-992B-704099083220}"/>
    <cellStyle name="Currency 10 2 5 7" xfId="11332" xr:uid="{717FE59A-33C3-4864-9B3C-EB9262D8991E}"/>
    <cellStyle name="Currency 10 2 5 7 2" xfId="11333" xr:uid="{C040A1F3-BAE2-4E84-9832-7122C25C7FC5}"/>
    <cellStyle name="Currency 10 2 5 8" xfId="11334" xr:uid="{75C42951-73FA-4AE0-A302-EB7013802554}"/>
    <cellStyle name="Currency 10 2 5 8 2" xfId="11335" xr:uid="{D8889F48-5E1B-46F6-AB02-E69E01E6CB22}"/>
    <cellStyle name="Currency 10 2 5 9" xfId="11336" xr:uid="{EED4DDD7-A874-43F0-8DEC-1827DEF3B415}"/>
    <cellStyle name="Currency 10 2 5 9 2" xfId="11337" xr:uid="{3D2B621F-AD9A-4B45-BF7C-389426BC8792}"/>
    <cellStyle name="Currency 10 2 6" xfId="11338" xr:uid="{DEEED553-6460-4BC0-B41A-EC05E24E87E3}"/>
    <cellStyle name="Currency 10 2 6 10" xfId="11339" xr:uid="{4D0E9335-763C-4A6F-9881-A628AB24612C}"/>
    <cellStyle name="Currency 10 2 6 2" xfId="11340" xr:uid="{C552F690-EDF2-4736-9654-1C6A3625B6E6}"/>
    <cellStyle name="Currency 10 2 6 2 2" xfId="11341" xr:uid="{7FDD6A22-3D3B-4035-A922-E64CAE55996A}"/>
    <cellStyle name="Currency 10 2 6 2 2 2" xfId="11342" xr:uid="{216E8F5C-2F73-4C2E-A421-8A2ED33A7E3C}"/>
    <cellStyle name="Currency 10 2 6 2 2 2 2" xfId="11343" xr:uid="{5DFD3CA3-2963-4BD8-AEAF-9483FD35C861}"/>
    <cellStyle name="Currency 10 2 6 2 2 3" xfId="11344" xr:uid="{0F6D7939-B116-4668-9775-646646935AAE}"/>
    <cellStyle name="Currency 10 2 6 2 2 3 2" xfId="11345" xr:uid="{96DF9297-D33D-4C5E-9A53-97ECEC39B5C7}"/>
    <cellStyle name="Currency 10 2 6 2 2 4" xfId="11346" xr:uid="{196CCEA2-32D2-4FBD-9290-1C9A8DB2F733}"/>
    <cellStyle name="Currency 10 2 6 2 2 4 2" xfId="11347" xr:uid="{0E9E2159-F6EC-4532-8100-8C6A148E3595}"/>
    <cellStyle name="Currency 10 2 6 2 2 5" xfId="11348" xr:uid="{EA2B73ED-B98F-4529-B43B-3BCBC5184099}"/>
    <cellStyle name="Currency 10 2 6 2 3" xfId="11349" xr:uid="{EF6A6EB8-A335-4789-91C9-98E295D9FD51}"/>
    <cellStyle name="Currency 10 2 6 2 3 2" xfId="11350" xr:uid="{6B52CB2D-3111-4A83-9516-474C89EBA7EF}"/>
    <cellStyle name="Currency 10 2 6 2 3 2 2" xfId="11351" xr:uid="{D04D9D38-139B-4A08-B864-CF89E32AFAF7}"/>
    <cellStyle name="Currency 10 2 6 2 3 3" xfId="11352" xr:uid="{05F247F0-E314-4DDB-9F84-0227EC0AA42E}"/>
    <cellStyle name="Currency 10 2 6 2 3 3 2" xfId="11353" xr:uid="{2CED5D4F-602C-4F3B-9780-3EB87479242E}"/>
    <cellStyle name="Currency 10 2 6 2 3 4" xfId="11354" xr:uid="{A8F45564-13E8-46D5-A7AD-F4510A3C7FFB}"/>
    <cellStyle name="Currency 10 2 6 2 3 4 2" xfId="11355" xr:uid="{64D8CBF1-FB0D-49C5-9507-64B162C54447}"/>
    <cellStyle name="Currency 10 2 6 2 3 5" xfId="11356" xr:uid="{F153389A-0953-4F76-A8E1-01FC15D0DBA0}"/>
    <cellStyle name="Currency 10 2 6 2 4" xfId="11357" xr:uid="{07BC2A10-A977-492F-B1CA-849CBCBCCF90}"/>
    <cellStyle name="Currency 10 2 6 2 4 2" xfId="11358" xr:uid="{31360380-35A6-431E-97D7-F6382C678E56}"/>
    <cellStyle name="Currency 10 2 6 2 5" xfId="11359" xr:uid="{575C735C-2889-4D6C-9E10-3DD29174314D}"/>
    <cellStyle name="Currency 10 2 6 2 5 2" xfId="11360" xr:uid="{FD6903E4-883E-4B81-A944-4578DEEE8A5D}"/>
    <cellStyle name="Currency 10 2 6 2 6" xfId="11361" xr:uid="{A9F26258-B4E0-42EB-95EC-A05A6CB79036}"/>
    <cellStyle name="Currency 10 2 6 2 6 2" xfId="11362" xr:uid="{2470B748-DFDF-457D-993E-74DB986591DC}"/>
    <cellStyle name="Currency 10 2 6 2 7" xfId="11363" xr:uid="{8AD7E518-8CD8-41E1-A71F-F66443A85D1C}"/>
    <cellStyle name="Currency 10 2 6 2 7 2" xfId="11364" xr:uid="{FA246921-CFA5-41AC-A1AB-8F06C412E3C5}"/>
    <cellStyle name="Currency 10 2 6 2 8" xfId="11365" xr:uid="{D864612E-02BE-4B94-B73A-0B527D22B245}"/>
    <cellStyle name="Currency 10 2 6 2 8 2" xfId="11366" xr:uid="{2EC7ACD4-457F-486A-BB94-B2A8362698B6}"/>
    <cellStyle name="Currency 10 2 6 2 9" xfId="11367" xr:uid="{62BFDA88-D90C-4052-BFCE-B83ACD7EBBB7}"/>
    <cellStyle name="Currency 10 2 6 3" xfId="11368" xr:uid="{4079650E-ACF5-479C-86F9-A30EAD776B8B}"/>
    <cellStyle name="Currency 10 2 6 3 2" xfId="11369" xr:uid="{CB5245C1-36AF-47FA-8F87-FE988464D624}"/>
    <cellStyle name="Currency 10 2 6 3 2 2" xfId="11370" xr:uid="{9450377D-B576-4C78-A730-FA3F5EE26A70}"/>
    <cellStyle name="Currency 10 2 6 3 3" xfId="11371" xr:uid="{6AE81D44-0E25-42F9-9AEF-571C95110257}"/>
    <cellStyle name="Currency 10 2 6 3 3 2" xfId="11372" xr:uid="{FE547F3B-A18E-4E86-AC56-24123CE95563}"/>
    <cellStyle name="Currency 10 2 6 3 4" xfId="11373" xr:uid="{AD898C97-17FD-4CD5-A3B9-126B95312A88}"/>
    <cellStyle name="Currency 10 2 6 3 4 2" xfId="11374" xr:uid="{BE2E03DB-B91F-46DB-A070-A838C0AB4499}"/>
    <cellStyle name="Currency 10 2 6 3 5" xfId="11375" xr:uid="{47126358-CF74-40EE-B68F-1D1B47490E1C}"/>
    <cellStyle name="Currency 10 2 6 4" xfId="11376" xr:uid="{6D5CF09B-9C51-40EB-936C-2E358E11F6C0}"/>
    <cellStyle name="Currency 10 2 6 4 2" xfId="11377" xr:uid="{588064CE-6CDE-4CFD-96DA-A89B713382AC}"/>
    <cellStyle name="Currency 10 2 6 4 2 2" xfId="11378" xr:uid="{936BFECA-B149-47F7-B90E-A96F5A7C7D02}"/>
    <cellStyle name="Currency 10 2 6 4 3" xfId="11379" xr:uid="{0AE6CD06-4799-4987-A23C-C526AC5A34AC}"/>
    <cellStyle name="Currency 10 2 6 4 3 2" xfId="11380" xr:uid="{11B1C477-4B08-4BEE-A79B-EC36C737B42F}"/>
    <cellStyle name="Currency 10 2 6 4 4" xfId="11381" xr:uid="{2F5D9BCA-9FE0-471A-A50F-B4BEA9961FFB}"/>
    <cellStyle name="Currency 10 2 6 4 4 2" xfId="11382" xr:uid="{400039F5-29D2-4D90-880E-D21300B91C2E}"/>
    <cellStyle name="Currency 10 2 6 4 5" xfId="11383" xr:uid="{5B48DC47-E253-4573-BC33-0B9238318B79}"/>
    <cellStyle name="Currency 10 2 6 5" xfId="11384" xr:uid="{475E9C9C-32FD-42C2-A653-B508D5BAB033}"/>
    <cellStyle name="Currency 10 2 6 5 2" xfId="11385" xr:uid="{36CBFD5F-F5D6-4DCA-B8D6-192883E54993}"/>
    <cellStyle name="Currency 10 2 6 6" xfId="11386" xr:uid="{33EAD2A3-6513-4E67-ABB8-F1FE18BCF616}"/>
    <cellStyle name="Currency 10 2 6 6 2" xfId="11387" xr:uid="{962BEBDC-F3EF-457A-BD9C-0AABF7CDCC73}"/>
    <cellStyle name="Currency 10 2 6 7" xfId="11388" xr:uid="{9092504B-11FE-4A3D-A43A-006FFC9685E1}"/>
    <cellStyle name="Currency 10 2 6 7 2" xfId="11389" xr:uid="{3702EEF3-9D88-49AC-AB2E-C230A7C225B1}"/>
    <cellStyle name="Currency 10 2 6 8" xfId="11390" xr:uid="{F2D9074B-05F9-45E7-9E2C-5C4B3A475ACE}"/>
    <cellStyle name="Currency 10 2 6 8 2" xfId="11391" xr:uid="{284B696D-4BF2-4848-BE66-805567860FD7}"/>
    <cellStyle name="Currency 10 2 6 9" xfId="11392" xr:uid="{9CBF92DF-AC23-4A6C-B0CE-C49BD62A0A92}"/>
    <cellStyle name="Currency 10 2 6 9 2" xfId="11393" xr:uid="{80099B68-D6C1-42F3-A520-689675CB05BE}"/>
    <cellStyle name="Currency 10 2 7" xfId="11394" xr:uid="{D6C46044-CC3A-431C-B4D5-2C24EC0C6C8C}"/>
    <cellStyle name="Currency 10 2 7 2" xfId="11395" xr:uid="{1AC63EA1-3BE2-4C62-84CD-4E38EF6D944A}"/>
    <cellStyle name="Currency 10 2 7 2 2" xfId="11396" xr:uid="{D7C3BF3D-DBD1-401E-9968-0C807D7336B9}"/>
    <cellStyle name="Currency 10 2 7 2 2 2" xfId="11397" xr:uid="{25D9D8D4-31C9-4CDC-8EB8-50C79C0D7C3D}"/>
    <cellStyle name="Currency 10 2 7 2 3" xfId="11398" xr:uid="{0DB3716B-34AA-4DF1-8B57-868E5B2AA8A0}"/>
    <cellStyle name="Currency 10 2 7 2 3 2" xfId="11399" xr:uid="{6358550B-5B9F-4B06-BE5B-4471A7F26A95}"/>
    <cellStyle name="Currency 10 2 7 2 4" xfId="11400" xr:uid="{F31494CA-6B74-4FB4-9D6A-E11F22370CA7}"/>
    <cellStyle name="Currency 10 2 7 2 4 2" xfId="11401" xr:uid="{D094B250-6220-4853-8901-D05DB396780A}"/>
    <cellStyle name="Currency 10 2 7 2 5" xfId="11402" xr:uid="{B74CADEC-70C5-4052-9270-3D09FE9BFA6F}"/>
    <cellStyle name="Currency 10 2 7 3" xfId="11403" xr:uid="{DDDE6FC8-CB22-4A58-A573-56278666276E}"/>
    <cellStyle name="Currency 10 2 7 3 2" xfId="11404" xr:uid="{FD3F8CE4-FD37-47EA-A29E-F0DB00FBF31A}"/>
    <cellStyle name="Currency 10 2 7 3 2 2" xfId="11405" xr:uid="{CE816612-843E-4B9B-B9E8-0B07EC93372C}"/>
    <cellStyle name="Currency 10 2 7 3 3" xfId="11406" xr:uid="{608CFDE3-3758-4D98-BBFE-0C738BD13035}"/>
    <cellStyle name="Currency 10 2 7 3 3 2" xfId="11407" xr:uid="{D3B185AF-227E-4928-AB26-426D9032898F}"/>
    <cellStyle name="Currency 10 2 7 3 4" xfId="11408" xr:uid="{3F98528D-2CF5-4124-8BDF-0487162FBF5B}"/>
    <cellStyle name="Currency 10 2 7 3 4 2" xfId="11409" xr:uid="{BCF36E26-2ABA-486B-B761-637740B08575}"/>
    <cellStyle name="Currency 10 2 7 3 5" xfId="11410" xr:uid="{E9C61514-A951-4364-A44D-FB91BEAB3A61}"/>
    <cellStyle name="Currency 10 2 7 4" xfId="11411" xr:uid="{7FCFB298-13A7-4FAA-8918-DF70B81DA4B9}"/>
    <cellStyle name="Currency 10 2 7 4 2" xfId="11412" xr:uid="{5509FE1D-D0BA-4A95-BF8E-09BC13D2C0E7}"/>
    <cellStyle name="Currency 10 2 7 5" xfId="11413" xr:uid="{E41C620E-DF3B-4809-8705-09D4318C8E4E}"/>
    <cellStyle name="Currency 10 2 7 5 2" xfId="11414" xr:uid="{2924587B-2197-4D2A-A679-6E8373A7206C}"/>
    <cellStyle name="Currency 10 2 7 6" xfId="11415" xr:uid="{3A11F87D-D0B6-42D6-A809-74F2C6405F70}"/>
    <cellStyle name="Currency 10 2 7 6 2" xfId="11416" xr:uid="{B194B126-D7CC-4528-A35B-7F7D10362873}"/>
    <cellStyle name="Currency 10 2 7 7" xfId="11417" xr:uid="{D23F03DA-0A03-438C-8561-B8BF6C2853CF}"/>
    <cellStyle name="Currency 10 2 7 7 2" xfId="11418" xr:uid="{C31965DE-CB5F-4F5E-9768-9AFFA360C372}"/>
    <cellStyle name="Currency 10 2 7 8" xfId="11419" xr:uid="{395C4311-D359-4A7B-9164-88AD89167012}"/>
    <cellStyle name="Currency 10 2 7 8 2" xfId="11420" xr:uid="{5CF67F80-76EC-4C36-8D96-9B87FDBFC005}"/>
    <cellStyle name="Currency 10 2 7 9" xfId="11421" xr:uid="{EEC564D1-F3DF-4117-83FF-D4E467CBFA17}"/>
    <cellStyle name="Currency 10 2 8" xfId="11422" xr:uid="{645E15B5-A929-4EB7-A06E-AA9776AEBC89}"/>
    <cellStyle name="Currency 10 2 8 2" xfId="11423" xr:uid="{299E5CA8-196E-49D6-BEBC-FD093EA47B33}"/>
    <cellStyle name="Currency 10 2 8 2 2" xfId="11424" xr:uid="{1CF51B43-E34F-43A1-91F2-99DD1C01F3C9}"/>
    <cellStyle name="Currency 10 2 8 3" xfId="11425" xr:uid="{EF411DF3-C7A2-41D0-BCAF-6E3122D78A97}"/>
    <cellStyle name="Currency 10 2 8 3 2" xfId="11426" xr:uid="{AD87C64B-7A08-4DBB-8FAF-09BE05ED9F16}"/>
    <cellStyle name="Currency 10 2 8 4" xfId="11427" xr:uid="{C0DA3C84-7AD5-4294-BB41-F35E72D63E3D}"/>
    <cellStyle name="Currency 10 2 8 4 2" xfId="11428" xr:uid="{CDB73C31-EC93-4602-98E5-1A6383A1F443}"/>
    <cellStyle name="Currency 10 2 8 5" xfId="11429" xr:uid="{5CAD7A1E-625E-46EC-B800-6B026577C656}"/>
    <cellStyle name="Currency 10 2 9" xfId="11430" xr:uid="{DC5B7C5D-1FB0-4E25-B40E-E05A37327098}"/>
    <cellStyle name="Currency 10 2 9 2" xfId="11431" xr:uid="{E24634FE-B531-4865-8D57-B2D0CB3C33D3}"/>
    <cellStyle name="Currency 10 2 9 2 2" xfId="11432" xr:uid="{41745440-F0B1-4C3A-904B-892C0FFECBC5}"/>
    <cellStyle name="Currency 10 2 9 3" xfId="11433" xr:uid="{52A371B7-5873-4D45-9FAD-CD7AF96D0E25}"/>
    <cellStyle name="Currency 10 2 9 3 2" xfId="11434" xr:uid="{17A18A97-1839-4C4F-A26D-211F7B86E4EB}"/>
    <cellStyle name="Currency 10 2 9 4" xfId="11435" xr:uid="{6550AE31-5C8C-4FF1-8B59-ED8ED579168B}"/>
    <cellStyle name="Currency 10 2 9 4 2" xfId="11436" xr:uid="{498C5ECB-ADEE-4392-91F5-CA0A3AFC7712}"/>
    <cellStyle name="Currency 10 2 9 5" xfId="11437" xr:uid="{C79B2B82-96D2-434F-9334-659B46642F49}"/>
    <cellStyle name="Currency 10 20" xfId="11438" xr:uid="{C3CD59AD-5864-4735-8DC2-5D4D4901CB53}"/>
    <cellStyle name="Currency 10 20 2" xfId="11439" xr:uid="{A9CA5AA6-2528-4497-9FE3-A8873018C0FC}"/>
    <cellStyle name="Currency 10 21" xfId="11440" xr:uid="{9BA6805C-8DAF-4F32-BAE7-0ED31AC638A8}"/>
    <cellStyle name="Currency 10 22" xfId="11441" xr:uid="{2F3FA84D-E3C9-4D56-9B3F-25DA288D999B}"/>
    <cellStyle name="Currency 10 23" xfId="11442" xr:uid="{B767CE74-C4A5-47EE-840F-E5FDC0236D82}"/>
    <cellStyle name="Currency 10 24" xfId="41234" xr:uid="{01658BCF-2AF4-49AA-99E1-E9FDEBFDF884}"/>
    <cellStyle name="Currency 10 3" xfId="11443" xr:uid="{15822971-C231-4F11-8545-781A374BBA91}"/>
    <cellStyle name="Currency 10 3 10" xfId="11444" xr:uid="{7D7CC34C-CD94-4BA7-8AA3-4304AF33DF51}"/>
    <cellStyle name="Currency 10 3 10 2" xfId="11445" xr:uid="{EB5D5C59-0A9B-419E-B544-10F20DFFEC38}"/>
    <cellStyle name="Currency 10 3 11" xfId="11446" xr:uid="{19FCEB4B-FE13-4136-B65B-6A40FD5BA622}"/>
    <cellStyle name="Currency 10 3 11 2" xfId="11447" xr:uid="{3814FAEA-C064-4D3B-B3BF-30D489510A71}"/>
    <cellStyle name="Currency 10 3 12" xfId="11448" xr:uid="{AD5E3972-AE9C-46EC-AF2F-FC3F6355E4CD}"/>
    <cellStyle name="Currency 10 3 12 2" xfId="11449" xr:uid="{AC613DF0-5D5B-4412-AC20-6C408E95ADF6}"/>
    <cellStyle name="Currency 10 3 13" xfId="11450" xr:uid="{3F8BECD1-FDC3-45F3-8C47-1F9DDA2B1C95}"/>
    <cellStyle name="Currency 10 3 13 2" xfId="11451" xr:uid="{17451875-F013-431B-8841-11F7F79CC5F8}"/>
    <cellStyle name="Currency 10 3 14" xfId="11452" xr:uid="{5307AD31-CEC4-4D0E-925E-577B0A40206D}"/>
    <cellStyle name="Currency 10 3 14 2" xfId="11453" xr:uid="{8A10A635-5CCE-417E-981B-21D8B80E9603}"/>
    <cellStyle name="Currency 10 3 15" xfId="11454" xr:uid="{42968086-46A2-46CC-8429-43B29326FF75}"/>
    <cellStyle name="Currency 10 3 2" xfId="11455" xr:uid="{45B51DD6-977E-41DF-908B-86B9FF494298}"/>
    <cellStyle name="Currency 10 3 2 10" xfId="11456" xr:uid="{740749F4-C8B1-4138-A471-E7303DD25144}"/>
    <cellStyle name="Currency 10 3 2 10 2" xfId="11457" xr:uid="{64E24577-3274-4365-865C-DE795796BC98}"/>
    <cellStyle name="Currency 10 3 2 11" xfId="11458" xr:uid="{74162942-262F-4FCA-B2DD-D8AE24B124FB}"/>
    <cellStyle name="Currency 10 3 2 2" xfId="11459" xr:uid="{D68942C0-445E-41E9-BE9B-826B117AF8D4}"/>
    <cellStyle name="Currency 10 3 2 2 10" xfId="11460" xr:uid="{BF6416C8-06F0-4ECE-993E-D3F6EFBE671C}"/>
    <cellStyle name="Currency 10 3 2 2 2" xfId="11461" xr:uid="{2335BEE9-1E36-491C-B8B8-F4D66A874CB1}"/>
    <cellStyle name="Currency 10 3 2 2 2 2" xfId="11462" xr:uid="{6B4EBAA9-FB2A-4DA8-AFB6-EF8AD5C19587}"/>
    <cellStyle name="Currency 10 3 2 2 2 2 2" xfId="11463" xr:uid="{1A88157E-EBEF-47F5-BBCF-CC38091C8089}"/>
    <cellStyle name="Currency 10 3 2 2 2 2 2 2" xfId="11464" xr:uid="{1600F3A3-80E3-4F2E-B91D-8E74219922E0}"/>
    <cellStyle name="Currency 10 3 2 2 2 2 3" xfId="11465" xr:uid="{159A256A-7AA2-483B-AE7E-2C3D4CB46CB3}"/>
    <cellStyle name="Currency 10 3 2 2 2 2 3 2" xfId="11466" xr:uid="{38F845CF-FE6B-4C39-AF8F-CFD6A8B9561D}"/>
    <cellStyle name="Currency 10 3 2 2 2 2 4" xfId="11467" xr:uid="{1916C27A-0702-4705-9517-93BE43457068}"/>
    <cellStyle name="Currency 10 3 2 2 2 2 4 2" xfId="11468" xr:uid="{1926F0ED-D25E-4BE7-9244-9666EC370E8B}"/>
    <cellStyle name="Currency 10 3 2 2 2 2 5" xfId="11469" xr:uid="{64C51D00-BB88-402B-AFC4-FD25E96AEB61}"/>
    <cellStyle name="Currency 10 3 2 2 2 3" xfId="11470" xr:uid="{AC8536A3-535B-4A0A-B8A5-89907CD686F5}"/>
    <cellStyle name="Currency 10 3 2 2 2 3 2" xfId="11471" xr:uid="{9E3BDCCA-5C21-4706-B6B6-1295CD05E9CA}"/>
    <cellStyle name="Currency 10 3 2 2 2 3 2 2" xfId="11472" xr:uid="{FCC59C7F-4DE3-4E5C-9DFD-84A671AD77CD}"/>
    <cellStyle name="Currency 10 3 2 2 2 3 3" xfId="11473" xr:uid="{FDDEB394-8E20-4F7F-B7DA-AFDA9237337F}"/>
    <cellStyle name="Currency 10 3 2 2 2 3 3 2" xfId="11474" xr:uid="{F1A98AD6-E227-45FB-B5DC-64A1F79C42FF}"/>
    <cellStyle name="Currency 10 3 2 2 2 3 4" xfId="11475" xr:uid="{DF1345B5-F707-4AB3-BECB-9687E352695C}"/>
    <cellStyle name="Currency 10 3 2 2 2 3 4 2" xfId="11476" xr:uid="{FDE653FC-ED8C-42F7-AEED-B291B9E0117F}"/>
    <cellStyle name="Currency 10 3 2 2 2 3 5" xfId="11477" xr:uid="{E3AAC05B-1E7C-4FDF-9845-1B50EA3E6841}"/>
    <cellStyle name="Currency 10 3 2 2 2 4" xfId="11478" xr:uid="{5AA7C36C-4BF3-4932-9FA7-2C6CACC6AEB4}"/>
    <cellStyle name="Currency 10 3 2 2 2 4 2" xfId="11479" xr:uid="{929B0448-71D5-4842-8684-9958E3923D3B}"/>
    <cellStyle name="Currency 10 3 2 2 2 5" xfId="11480" xr:uid="{C56D0AFC-DF93-4723-9A53-250440EC07DB}"/>
    <cellStyle name="Currency 10 3 2 2 2 5 2" xfId="11481" xr:uid="{1D6F4001-3677-4B58-9CBD-512213220D16}"/>
    <cellStyle name="Currency 10 3 2 2 2 6" xfId="11482" xr:uid="{B93D8E18-EA5B-4881-A392-6C1BB0AA9DA4}"/>
    <cellStyle name="Currency 10 3 2 2 2 6 2" xfId="11483" xr:uid="{009E6B9A-3A93-460C-B47F-E8D758BE166B}"/>
    <cellStyle name="Currency 10 3 2 2 2 7" xfId="11484" xr:uid="{3A90A47F-C4DC-4E2D-A8F2-724B9D670E89}"/>
    <cellStyle name="Currency 10 3 2 2 2 7 2" xfId="11485" xr:uid="{A383B75F-7DD3-423E-A23A-E852B44A409D}"/>
    <cellStyle name="Currency 10 3 2 2 2 8" xfId="11486" xr:uid="{B28BCFEF-A6A1-410F-9DA2-DDC08C71CB8B}"/>
    <cellStyle name="Currency 10 3 2 2 2 8 2" xfId="11487" xr:uid="{CEBFB8D7-CD27-4886-A587-E14894844769}"/>
    <cellStyle name="Currency 10 3 2 2 2 9" xfId="11488" xr:uid="{6DE461EA-9891-4431-986B-0A7ED150230F}"/>
    <cellStyle name="Currency 10 3 2 2 3" xfId="11489" xr:uid="{FE48E1BF-6135-4A51-9E3B-491ED56F271C}"/>
    <cellStyle name="Currency 10 3 2 2 3 2" xfId="11490" xr:uid="{2B5B320D-919D-483F-B903-E805D21281A9}"/>
    <cellStyle name="Currency 10 3 2 2 3 2 2" xfId="11491" xr:uid="{A759C4A6-F074-4112-8BC9-CE2CEA241E8B}"/>
    <cellStyle name="Currency 10 3 2 2 3 3" xfId="11492" xr:uid="{FDAA3A2B-6390-4FDB-99B1-45741DAE2E4C}"/>
    <cellStyle name="Currency 10 3 2 2 3 3 2" xfId="11493" xr:uid="{10B53FD2-8D5A-4E75-9DE7-B1111E5594F4}"/>
    <cellStyle name="Currency 10 3 2 2 3 4" xfId="11494" xr:uid="{BD29A6CC-0959-428A-8516-181D2BA49372}"/>
    <cellStyle name="Currency 10 3 2 2 3 4 2" xfId="11495" xr:uid="{000C3CC2-8E74-4789-B9C5-1648DFF79DDE}"/>
    <cellStyle name="Currency 10 3 2 2 3 5" xfId="11496" xr:uid="{66C87873-7DC7-418C-AE09-962A831D6238}"/>
    <cellStyle name="Currency 10 3 2 2 4" xfId="11497" xr:uid="{98A7004C-5A18-443A-8922-95F25B80BA26}"/>
    <cellStyle name="Currency 10 3 2 2 4 2" xfId="11498" xr:uid="{4318A9A3-A8A9-4BFD-81A5-5D599402CE8C}"/>
    <cellStyle name="Currency 10 3 2 2 4 2 2" xfId="11499" xr:uid="{565EB839-5033-44C7-8CB0-3F9033283A98}"/>
    <cellStyle name="Currency 10 3 2 2 4 3" xfId="11500" xr:uid="{6B40359B-1232-4921-913E-020DF3F2FD99}"/>
    <cellStyle name="Currency 10 3 2 2 4 3 2" xfId="11501" xr:uid="{568DC663-BC82-4805-8D06-1959B16CE318}"/>
    <cellStyle name="Currency 10 3 2 2 4 4" xfId="11502" xr:uid="{13F7634D-D92A-4294-9DCD-0B4817FD2B0F}"/>
    <cellStyle name="Currency 10 3 2 2 4 4 2" xfId="11503" xr:uid="{7BABEA26-19BE-4379-9B62-0CAF619CAFE8}"/>
    <cellStyle name="Currency 10 3 2 2 4 5" xfId="11504" xr:uid="{824B44B2-36C0-42F9-9991-ECF3DC806272}"/>
    <cellStyle name="Currency 10 3 2 2 5" xfId="11505" xr:uid="{AE21CCAB-F2C1-44A2-8553-96C83BC3A4BE}"/>
    <cellStyle name="Currency 10 3 2 2 5 2" xfId="11506" xr:uid="{CBE20AAA-1167-4801-BB20-7094FF7AE3DF}"/>
    <cellStyle name="Currency 10 3 2 2 6" xfId="11507" xr:uid="{78CD5E26-73D1-4597-8E77-1B5AE76CC5CD}"/>
    <cellStyle name="Currency 10 3 2 2 6 2" xfId="11508" xr:uid="{2246687B-98CC-47BA-B182-1B4767E2F44F}"/>
    <cellStyle name="Currency 10 3 2 2 7" xfId="11509" xr:uid="{DEDF232C-0674-45EF-87E1-8D984053E607}"/>
    <cellStyle name="Currency 10 3 2 2 7 2" xfId="11510" xr:uid="{045EE4DD-04C8-41C0-BB42-438F2B94919B}"/>
    <cellStyle name="Currency 10 3 2 2 8" xfId="11511" xr:uid="{A51E9648-7A93-44EC-A11D-8D9563230AE4}"/>
    <cellStyle name="Currency 10 3 2 2 8 2" xfId="11512" xr:uid="{708652E8-05B8-479E-84CD-684FC2049605}"/>
    <cellStyle name="Currency 10 3 2 2 9" xfId="11513" xr:uid="{B6CB3F82-4111-489E-8686-13B0E82CD43A}"/>
    <cellStyle name="Currency 10 3 2 2 9 2" xfId="11514" xr:uid="{D83DDF08-719B-4C88-BB94-39E53296CE8C}"/>
    <cellStyle name="Currency 10 3 2 3" xfId="11515" xr:uid="{E064A00B-5A42-497E-B5A4-31CB22FF10A2}"/>
    <cellStyle name="Currency 10 3 2 3 2" xfId="11516" xr:uid="{8F2F6E83-6B00-4532-AE0A-DD0A5ED6268B}"/>
    <cellStyle name="Currency 10 3 2 3 2 2" xfId="11517" xr:uid="{AE30AC50-894B-414C-831A-0DA9784548EA}"/>
    <cellStyle name="Currency 10 3 2 3 2 2 2" xfId="11518" xr:uid="{874BF09E-54AE-443E-9EE7-5C8E09396F88}"/>
    <cellStyle name="Currency 10 3 2 3 2 3" xfId="11519" xr:uid="{76AA0367-AF73-411E-AA36-8EF6D0EC0486}"/>
    <cellStyle name="Currency 10 3 2 3 2 3 2" xfId="11520" xr:uid="{B6C6033E-40DE-4DC7-95CB-357BF1E0748A}"/>
    <cellStyle name="Currency 10 3 2 3 2 4" xfId="11521" xr:uid="{B65F0910-9C25-4B81-A40B-CED5A9A687C1}"/>
    <cellStyle name="Currency 10 3 2 3 2 4 2" xfId="11522" xr:uid="{87213F46-5E18-4DDB-ABAF-315E1A28D63A}"/>
    <cellStyle name="Currency 10 3 2 3 2 5" xfId="11523" xr:uid="{F4FE2FBF-A3C8-4B94-8144-CC940B9E114C}"/>
    <cellStyle name="Currency 10 3 2 3 3" xfId="11524" xr:uid="{6010E4D4-A1A7-4A80-B853-FF06BFBC2723}"/>
    <cellStyle name="Currency 10 3 2 3 3 2" xfId="11525" xr:uid="{0B184C13-EDFB-47D4-B17D-E75B6B8AE88C}"/>
    <cellStyle name="Currency 10 3 2 3 3 2 2" xfId="11526" xr:uid="{7CD15CB2-7350-42F9-8130-48099B06CAB9}"/>
    <cellStyle name="Currency 10 3 2 3 3 3" xfId="11527" xr:uid="{BC73D22D-3AFC-4979-87A5-D8985EF1D3D2}"/>
    <cellStyle name="Currency 10 3 2 3 3 3 2" xfId="11528" xr:uid="{2EC56964-8741-447D-BD87-404B576FD54C}"/>
    <cellStyle name="Currency 10 3 2 3 3 4" xfId="11529" xr:uid="{FC6E5CD5-8AE1-48D3-B630-9CDC266673F6}"/>
    <cellStyle name="Currency 10 3 2 3 3 4 2" xfId="11530" xr:uid="{E6FCF5A7-30F2-4A82-9202-0663C29B67DA}"/>
    <cellStyle name="Currency 10 3 2 3 3 5" xfId="11531" xr:uid="{B2AB024F-6A2B-4B5D-87CC-2747DDF03B9A}"/>
    <cellStyle name="Currency 10 3 2 3 4" xfId="11532" xr:uid="{EB266D30-F089-47A3-B1A2-E5D60381B42F}"/>
    <cellStyle name="Currency 10 3 2 3 4 2" xfId="11533" xr:uid="{63CEE178-02D4-4A3D-8A2F-83F5F00C3F80}"/>
    <cellStyle name="Currency 10 3 2 3 5" xfId="11534" xr:uid="{42785B29-09C5-4B50-A280-F7BA1D1DD75E}"/>
    <cellStyle name="Currency 10 3 2 3 5 2" xfId="11535" xr:uid="{88A20A1B-D316-47ED-AD19-0790496E536C}"/>
    <cellStyle name="Currency 10 3 2 3 6" xfId="11536" xr:uid="{499DD90D-3F8E-4761-A36D-A64D8673F4EF}"/>
    <cellStyle name="Currency 10 3 2 3 6 2" xfId="11537" xr:uid="{B5E8689A-C718-4C4F-98E3-020CBDEC46AD}"/>
    <cellStyle name="Currency 10 3 2 3 7" xfId="11538" xr:uid="{7C83ACC5-CD62-4D29-A340-5F8E131CD170}"/>
    <cellStyle name="Currency 10 3 2 3 7 2" xfId="11539" xr:uid="{76B82E6B-00DB-4E64-B340-02D6DA6B4F09}"/>
    <cellStyle name="Currency 10 3 2 3 8" xfId="11540" xr:uid="{84CC2AA6-E575-4A9C-B153-64D0FEE155EB}"/>
    <cellStyle name="Currency 10 3 2 3 8 2" xfId="11541" xr:uid="{83264DEE-A363-4D8B-8276-AB8AEBCCA12C}"/>
    <cellStyle name="Currency 10 3 2 3 9" xfId="11542" xr:uid="{0A6769F0-D7B6-4277-BE88-A0A2640F4F3D}"/>
    <cellStyle name="Currency 10 3 2 4" xfId="11543" xr:uid="{59948616-520E-45AA-9F13-9D94A42F427F}"/>
    <cellStyle name="Currency 10 3 2 4 2" xfId="11544" xr:uid="{816BA57A-0888-4ED8-A311-B84004000BBB}"/>
    <cellStyle name="Currency 10 3 2 4 2 2" xfId="11545" xr:uid="{69522F06-16F6-46D4-BD7C-EBDAD87CB04F}"/>
    <cellStyle name="Currency 10 3 2 4 3" xfId="11546" xr:uid="{23B75519-0017-4D88-A480-B347C848EAF8}"/>
    <cellStyle name="Currency 10 3 2 4 3 2" xfId="11547" xr:uid="{6EF1E051-81C0-45BF-BBEE-F02EFDAFA5C8}"/>
    <cellStyle name="Currency 10 3 2 4 4" xfId="11548" xr:uid="{B23D4F15-3798-421E-8F9B-AF8B01B59F30}"/>
    <cellStyle name="Currency 10 3 2 4 4 2" xfId="11549" xr:uid="{C84DE8F0-E3BE-4D62-8940-F5D42A37B77B}"/>
    <cellStyle name="Currency 10 3 2 4 5" xfId="11550" xr:uid="{1BB3942C-2AF6-4292-AD8E-A8199D39C649}"/>
    <cellStyle name="Currency 10 3 2 5" xfId="11551" xr:uid="{D8B6E3E8-E01A-49F0-B55E-6C39C8D71D18}"/>
    <cellStyle name="Currency 10 3 2 5 2" xfId="11552" xr:uid="{7DAE52C8-A397-4215-8B55-AE47B9E6501E}"/>
    <cellStyle name="Currency 10 3 2 5 2 2" xfId="11553" xr:uid="{C1CD05BB-0D72-4ECC-9284-9846ADC86511}"/>
    <cellStyle name="Currency 10 3 2 5 3" xfId="11554" xr:uid="{840DF80E-EF76-4342-8E7D-3B378178B20D}"/>
    <cellStyle name="Currency 10 3 2 5 3 2" xfId="11555" xr:uid="{71CFFAF8-A90B-4F25-BA3F-1BD8DEB380EE}"/>
    <cellStyle name="Currency 10 3 2 5 4" xfId="11556" xr:uid="{B67D5195-0959-4728-9D0A-282278FA8FAC}"/>
    <cellStyle name="Currency 10 3 2 5 4 2" xfId="11557" xr:uid="{046E4A55-F1C5-4A74-B79B-B2CE5388C124}"/>
    <cellStyle name="Currency 10 3 2 5 5" xfId="11558" xr:uid="{774AB079-4825-4D7E-88F3-2DDAE34FD72F}"/>
    <cellStyle name="Currency 10 3 2 6" xfId="11559" xr:uid="{A471BA48-C7A5-438F-955F-C04578E784F1}"/>
    <cellStyle name="Currency 10 3 2 6 2" xfId="11560" xr:uid="{2D27EA5A-8897-4654-8513-E53560A7F77D}"/>
    <cellStyle name="Currency 10 3 2 7" xfId="11561" xr:uid="{569B772B-93E7-461F-AC4B-3D404BE1436E}"/>
    <cellStyle name="Currency 10 3 2 7 2" xfId="11562" xr:uid="{CF2E863D-C270-4876-B8DF-AD2D19BA7080}"/>
    <cellStyle name="Currency 10 3 2 8" xfId="11563" xr:uid="{86B21EA5-B466-4F56-B953-B995D3DB0549}"/>
    <cellStyle name="Currency 10 3 2 8 2" xfId="11564" xr:uid="{A0351404-E952-4979-9135-A377DBEC8992}"/>
    <cellStyle name="Currency 10 3 2 9" xfId="11565" xr:uid="{52375373-1EE6-47D3-93F3-5D504F2ABD18}"/>
    <cellStyle name="Currency 10 3 2 9 2" xfId="11566" xr:uid="{DDF32AFB-714E-4A93-9D19-02FD2BA85F2B}"/>
    <cellStyle name="Currency 10 3 3" xfId="11567" xr:uid="{33850743-8C64-4C20-AE63-FC652974E241}"/>
    <cellStyle name="Currency 10 3 3 10" xfId="11568" xr:uid="{180132CD-3958-4ACC-80EF-973C36E89EAD}"/>
    <cellStyle name="Currency 10 3 3 10 2" xfId="11569" xr:uid="{17AF12D3-E9DF-487D-856B-0C6E1F1E092C}"/>
    <cellStyle name="Currency 10 3 3 11" xfId="11570" xr:uid="{7138318F-80DD-4916-B064-A9B284F587E6}"/>
    <cellStyle name="Currency 10 3 3 2" xfId="11571" xr:uid="{A74863B2-C06E-4603-89E5-01EB6A1FDC1F}"/>
    <cellStyle name="Currency 10 3 3 2 10" xfId="11572" xr:uid="{9351B111-2B9A-43A9-9D21-7EF42968CC88}"/>
    <cellStyle name="Currency 10 3 3 2 2" xfId="11573" xr:uid="{2F14917A-E5E1-4B56-A9C1-DF696E32D294}"/>
    <cellStyle name="Currency 10 3 3 2 2 2" xfId="11574" xr:uid="{831AD3AB-1206-4BEE-9773-6CB6BC3BE162}"/>
    <cellStyle name="Currency 10 3 3 2 2 2 2" xfId="11575" xr:uid="{26E3701D-8C82-4D2B-8121-688DB449558C}"/>
    <cellStyle name="Currency 10 3 3 2 2 2 2 2" xfId="11576" xr:uid="{462D9A5F-CB42-480F-B751-BACA3E6D50D7}"/>
    <cellStyle name="Currency 10 3 3 2 2 2 3" xfId="11577" xr:uid="{7DB76C54-D205-41A0-B05B-C41A9C6027D0}"/>
    <cellStyle name="Currency 10 3 3 2 2 2 3 2" xfId="11578" xr:uid="{CE8717C0-DBD4-418E-81F6-3A65A2E31CD1}"/>
    <cellStyle name="Currency 10 3 3 2 2 2 4" xfId="11579" xr:uid="{374B9551-310C-43EA-A264-69266AFD1271}"/>
    <cellStyle name="Currency 10 3 3 2 2 2 4 2" xfId="11580" xr:uid="{A4D85815-ACB0-48F3-A455-25BF0D1BAE7B}"/>
    <cellStyle name="Currency 10 3 3 2 2 2 5" xfId="11581" xr:uid="{B09079BC-88A9-43E4-8687-38E8D0CEB5CF}"/>
    <cellStyle name="Currency 10 3 3 2 2 3" xfId="11582" xr:uid="{763C408F-2E23-4444-A8C2-A164AA9A2B97}"/>
    <cellStyle name="Currency 10 3 3 2 2 3 2" xfId="11583" xr:uid="{3FC1573E-7F41-4A9A-BBA9-279AB75157B2}"/>
    <cellStyle name="Currency 10 3 3 2 2 3 2 2" xfId="11584" xr:uid="{9D520B09-F311-40EA-B764-B732847A79C9}"/>
    <cellStyle name="Currency 10 3 3 2 2 3 3" xfId="11585" xr:uid="{DA45E289-B950-4EEA-A76E-B3D4543FCFA4}"/>
    <cellStyle name="Currency 10 3 3 2 2 3 3 2" xfId="11586" xr:uid="{128CCF12-FA1F-41C0-AAB4-A2DD08FDD29C}"/>
    <cellStyle name="Currency 10 3 3 2 2 3 4" xfId="11587" xr:uid="{6A57C558-E11E-426C-932F-06FF3A6EA5E9}"/>
    <cellStyle name="Currency 10 3 3 2 2 3 4 2" xfId="11588" xr:uid="{3E001051-32FB-47C6-AB31-62E4DF896313}"/>
    <cellStyle name="Currency 10 3 3 2 2 3 5" xfId="11589" xr:uid="{4A2B781F-235E-413C-B581-E7890050A649}"/>
    <cellStyle name="Currency 10 3 3 2 2 4" xfId="11590" xr:uid="{A332A3A9-C117-4DD8-A877-F64CFE92D049}"/>
    <cellStyle name="Currency 10 3 3 2 2 4 2" xfId="11591" xr:uid="{4DB283F7-AA95-402F-A3DE-887FB35189E5}"/>
    <cellStyle name="Currency 10 3 3 2 2 5" xfId="11592" xr:uid="{509A606D-DC56-425C-A467-CD9F6733D4B0}"/>
    <cellStyle name="Currency 10 3 3 2 2 5 2" xfId="11593" xr:uid="{032583AF-E082-400D-AF63-06FA2468463B}"/>
    <cellStyle name="Currency 10 3 3 2 2 6" xfId="11594" xr:uid="{3C10B8B5-9685-48A9-8802-E90170E82315}"/>
    <cellStyle name="Currency 10 3 3 2 2 6 2" xfId="11595" xr:uid="{2CAB906D-99EB-4A7A-AE5E-7B17CF0E50EE}"/>
    <cellStyle name="Currency 10 3 3 2 2 7" xfId="11596" xr:uid="{7DE24FB8-11C5-4DD5-85A1-FAC8012B23FC}"/>
    <cellStyle name="Currency 10 3 3 2 2 7 2" xfId="11597" xr:uid="{B352FD5F-35E9-4DDE-AEB3-27706E4E794A}"/>
    <cellStyle name="Currency 10 3 3 2 2 8" xfId="11598" xr:uid="{1422CE10-0D31-4362-B14C-15B7C402B0FD}"/>
    <cellStyle name="Currency 10 3 3 2 2 8 2" xfId="11599" xr:uid="{9C2F98A8-3974-4A71-8552-62AFD7A46E2A}"/>
    <cellStyle name="Currency 10 3 3 2 2 9" xfId="11600" xr:uid="{7D435CBA-67B0-46A5-A524-F657AA7078A2}"/>
    <cellStyle name="Currency 10 3 3 2 3" xfId="11601" xr:uid="{CBE70F0C-3686-493A-87F5-4151A1F87159}"/>
    <cellStyle name="Currency 10 3 3 2 3 2" xfId="11602" xr:uid="{768C1CCA-76AE-4212-865E-B464B9BF6F63}"/>
    <cellStyle name="Currency 10 3 3 2 3 2 2" xfId="11603" xr:uid="{A0D9DC07-02DC-4034-8F1C-423202589CC0}"/>
    <cellStyle name="Currency 10 3 3 2 3 3" xfId="11604" xr:uid="{D0F429C7-1FED-4651-8F27-C9F4BDBD04F8}"/>
    <cellStyle name="Currency 10 3 3 2 3 3 2" xfId="11605" xr:uid="{1FAA5F63-5009-416A-B442-C17A9BFC25DA}"/>
    <cellStyle name="Currency 10 3 3 2 3 4" xfId="11606" xr:uid="{D8BF3690-5265-4BC9-9C03-49F47AFD1151}"/>
    <cellStyle name="Currency 10 3 3 2 3 4 2" xfId="11607" xr:uid="{10BF0882-AD03-4F12-9705-38C4A6CE79F0}"/>
    <cellStyle name="Currency 10 3 3 2 3 5" xfId="11608" xr:uid="{FFED4A23-F796-46D6-948D-5B6BFC56D7D7}"/>
    <cellStyle name="Currency 10 3 3 2 4" xfId="11609" xr:uid="{60E47E0A-AA2E-457B-A3DC-62C8E45441EC}"/>
    <cellStyle name="Currency 10 3 3 2 4 2" xfId="11610" xr:uid="{B541CDF7-10CE-46B1-AC1A-EC8E75F85661}"/>
    <cellStyle name="Currency 10 3 3 2 4 2 2" xfId="11611" xr:uid="{BB421038-8882-49A7-A929-DBCD2E05BFFD}"/>
    <cellStyle name="Currency 10 3 3 2 4 3" xfId="11612" xr:uid="{C8668567-50A7-47B3-ACD9-65C48AE8ECF0}"/>
    <cellStyle name="Currency 10 3 3 2 4 3 2" xfId="11613" xr:uid="{1920B048-46B5-445E-A7C2-286C0E7C662A}"/>
    <cellStyle name="Currency 10 3 3 2 4 4" xfId="11614" xr:uid="{CE226289-026F-4B09-9577-AE916443EE7A}"/>
    <cellStyle name="Currency 10 3 3 2 4 4 2" xfId="11615" xr:uid="{ED7FA958-0D98-48A7-849C-7C6736BC1844}"/>
    <cellStyle name="Currency 10 3 3 2 4 5" xfId="11616" xr:uid="{0F3F74B1-792E-48CB-B750-1E870878A03E}"/>
    <cellStyle name="Currency 10 3 3 2 5" xfId="11617" xr:uid="{ED92FECF-9059-4E39-BD71-490FEA626D59}"/>
    <cellStyle name="Currency 10 3 3 2 5 2" xfId="11618" xr:uid="{58847F64-C43A-492F-9664-EEDFA65CB5AD}"/>
    <cellStyle name="Currency 10 3 3 2 6" xfId="11619" xr:uid="{F6EE1DC2-50B7-4F88-843E-1938FF009040}"/>
    <cellStyle name="Currency 10 3 3 2 6 2" xfId="11620" xr:uid="{7B96C154-57E8-4F20-B603-6509C6A456E4}"/>
    <cellStyle name="Currency 10 3 3 2 7" xfId="11621" xr:uid="{1C62C061-BE22-4395-8104-46C655912385}"/>
    <cellStyle name="Currency 10 3 3 2 7 2" xfId="11622" xr:uid="{1D009F00-1183-4E66-87B8-47183836E577}"/>
    <cellStyle name="Currency 10 3 3 2 8" xfId="11623" xr:uid="{E2D2FA79-7654-4952-B7B5-17F62D63D81F}"/>
    <cellStyle name="Currency 10 3 3 2 8 2" xfId="11624" xr:uid="{F8357E19-9104-4AB3-A132-BF0DC086B0B2}"/>
    <cellStyle name="Currency 10 3 3 2 9" xfId="11625" xr:uid="{8706F8A4-6D5D-45D6-AB59-9C1BF589AEAC}"/>
    <cellStyle name="Currency 10 3 3 2 9 2" xfId="11626" xr:uid="{6483D2D3-479E-495C-A5EC-A5EC9F871D9E}"/>
    <cellStyle name="Currency 10 3 3 3" xfId="11627" xr:uid="{D8F7511E-C71C-43F1-91FF-518440A9C577}"/>
    <cellStyle name="Currency 10 3 3 3 2" xfId="11628" xr:uid="{2A7F3BCB-A119-4B54-8314-75A1915900F8}"/>
    <cellStyle name="Currency 10 3 3 3 2 2" xfId="11629" xr:uid="{344B3A50-079A-495F-B8C0-AF72DCDC3E44}"/>
    <cellStyle name="Currency 10 3 3 3 2 2 2" xfId="11630" xr:uid="{75E37F35-76D4-4EC7-BED8-4ECFF3996539}"/>
    <cellStyle name="Currency 10 3 3 3 2 3" xfId="11631" xr:uid="{A7990816-0654-4A18-9BF0-9B651CAF2C88}"/>
    <cellStyle name="Currency 10 3 3 3 2 3 2" xfId="11632" xr:uid="{D9D5E8B5-086C-4861-ACEA-B133C948FAF4}"/>
    <cellStyle name="Currency 10 3 3 3 2 4" xfId="11633" xr:uid="{1239F4CB-A926-42C5-9E97-A636E8C086BF}"/>
    <cellStyle name="Currency 10 3 3 3 2 4 2" xfId="11634" xr:uid="{865A7DDD-76E1-47AF-98A5-2F0DDB3FC6C8}"/>
    <cellStyle name="Currency 10 3 3 3 2 5" xfId="11635" xr:uid="{657EDFFD-15C7-4FB0-867E-5136F7030B00}"/>
    <cellStyle name="Currency 10 3 3 3 3" xfId="11636" xr:uid="{CD4C5F34-A30D-4571-A62F-7655E24EDB05}"/>
    <cellStyle name="Currency 10 3 3 3 3 2" xfId="11637" xr:uid="{E3C8DB82-ADAE-437C-B54A-E099997ABBE1}"/>
    <cellStyle name="Currency 10 3 3 3 3 2 2" xfId="11638" xr:uid="{AD143829-7839-456A-B4CD-2A349AE57A1E}"/>
    <cellStyle name="Currency 10 3 3 3 3 3" xfId="11639" xr:uid="{545FE4E7-6820-4483-B263-93F97942CF20}"/>
    <cellStyle name="Currency 10 3 3 3 3 3 2" xfId="11640" xr:uid="{97A70DCE-6A2F-44AB-8252-543DB61C5B6B}"/>
    <cellStyle name="Currency 10 3 3 3 3 4" xfId="11641" xr:uid="{561EBF1B-AC79-4E86-ACED-7387D818F280}"/>
    <cellStyle name="Currency 10 3 3 3 3 4 2" xfId="11642" xr:uid="{C1311690-2462-4F63-9D98-F5958B3F594D}"/>
    <cellStyle name="Currency 10 3 3 3 3 5" xfId="11643" xr:uid="{0D0C991F-E65F-4CB4-AD85-11241BC025C2}"/>
    <cellStyle name="Currency 10 3 3 3 4" xfId="11644" xr:uid="{3CEEEF48-5B25-432E-9AFF-C66C466C93B9}"/>
    <cellStyle name="Currency 10 3 3 3 4 2" xfId="11645" xr:uid="{691A1DD7-736A-470D-8682-F8B667D62FBA}"/>
    <cellStyle name="Currency 10 3 3 3 5" xfId="11646" xr:uid="{467F0DB7-4D2C-4FE8-8974-E0E149407D31}"/>
    <cellStyle name="Currency 10 3 3 3 5 2" xfId="11647" xr:uid="{F273E2D7-52FF-4E22-A564-19A5D8837C89}"/>
    <cellStyle name="Currency 10 3 3 3 6" xfId="11648" xr:uid="{9E34C992-AFEF-40FE-AE45-8654BCFBC567}"/>
    <cellStyle name="Currency 10 3 3 3 6 2" xfId="11649" xr:uid="{977516CE-7FEE-42FE-8564-4FEC0B40ABA2}"/>
    <cellStyle name="Currency 10 3 3 3 7" xfId="11650" xr:uid="{DEE028EE-6680-4F06-AC49-E585F837F3E3}"/>
    <cellStyle name="Currency 10 3 3 3 7 2" xfId="11651" xr:uid="{592E712A-BFE3-42B6-AA32-57B2F88F9F2A}"/>
    <cellStyle name="Currency 10 3 3 3 8" xfId="11652" xr:uid="{13E96966-3BA9-463D-B2D4-91870BC333DA}"/>
    <cellStyle name="Currency 10 3 3 3 8 2" xfId="11653" xr:uid="{99ECCC7F-D28E-431F-BCE8-64875C485BDB}"/>
    <cellStyle name="Currency 10 3 3 3 9" xfId="11654" xr:uid="{AF658A7E-2759-4FBC-9640-76059501FED9}"/>
    <cellStyle name="Currency 10 3 3 4" xfId="11655" xr:uid="{B8035CC4-199C-4B6A-AFE1-42D85BBB7B6B}"/>
    <cellStyle name="Currency 10 3 3 4 2" xfId="11656" xr:uid="{5C45EA0F-C8A6-4D3D-A2BF-5FBF63FA9FDD}"/>
    <cellStyle name="Currency 10 3 3 4 2 2" xfId="11657" xr:uid="{D9654E81-4544-4D54-BC68-9673E25CC034}"/>
    <cellStyle name="Currency 10 3 3 4 3" xfId="11658" xr:uid="{24325197-E0CE-4549-80A8-08A670F4B92C}"/>
    <cellStyle name="Currency 10 3 3 4 3 2" xfId="11659" xr:uid="{6EC1E496-0902-4AFA-96C9-604EBE3F27B1}"/>
    <cellStyle name="Currency 10 3 3 4 4" xfId="11660" xr:uid="{FB2FF2FD-BED4-4E26-8A63-2BDFBC71561A}"/>
    <cellStyle name="Currency 10 3 3 4 4 2" xfId="11661" xr:uid="{36A303E9-4E8B-4059-8838-0385D6275D3E}"/>
    <cellStyle name="Currency 10 3 3 4 5" xfId="11662" xr:uid="{A9663FEC-FBD7-4649-BFD7-DB02FFA3A26C}"/>
    <cellStyle name="Currency 10 3 3 5" xfId="11663" xr:uid="{4C0BB667-68D2-49C7-8735-4A2095CCBF15}"/>
    <cellStyle name="Currency 10 3 3 5 2" xfId="11664" xr:uid="{65EAFBC3-5D1E-46BC-8BFC-2208FAD71FD6}"/>
    <cellStyle name="Currency 10 3 3 5 2 2" xfId="11665" xr:uid="{3F06856C-9155-456F-9527-05095D7EB6EF}"/>
    <cellStyle name="Currency 10 3 3 5 3" xfId="11666" xr:uid="{AF177350-522A-4832-AF0D-13C9F2C0C034}"/>
    <cellStyle name="Currency 10 3 3 5 3 2" xfId="11667" xr:uid="{AEA813CB-B111-43CC-A5D4-6A95EB3CDCD3}"/>
    <cellStyle name="Currency 10 3 3 5 4" xfId="11668" xr:uid="{1A55C6BA-7B0C-44F7-8B30-B8C7DAA5910F}"/>
    <cellStyle name="Currency 10 3 3 5 4 2" xfId="11669" xr:uid="{8EF619CB-D3DB-4259-8F31-4A28111CC229}"/>
    <cellStyle name="Currency 10 3 3 5 5" xfId="11670" xr:uid="{097009DB-AE96-420D-952B-6784D405533D}"/>
    <cellStyle name="Currency 10 3 3 6" xfId="11671" xr:uid="{97CD1577-68CA-4E48-919F-4B1D4341DBAE}"/>
    <cellStyle name="Currency 10 3 3 6 2" xfId="11672" xr:uid="{604DFACA-4C4F-47C2-8622-B3352FC95F5A}"/>
    <cellStyle name="Currency 10 3 3 7" xfId="11673" xr:uid="{DF4C06D2-2D08-4B27-8B7B-630ADD390D40}"/>
    <cellStyle name="Currency 10 3 3 7 2" xfId="11674" xr:uid="{61E67C88-2B60-4AE9-8058-68EFA8B2FD26}"/>
    <cellStyle name="Currency 10 3 3 8" xfId="11675" xr:uid="{4DEB3E27-9BE3-4006-BF4D-06AA71863220}"/>
    <cellStyle name="Currency 10 3 3 8 2" xfId="11676" xr:uid="{67EC7FBC-5E60-4902-A9A0-C4683E43AD99}"/>
    <cellStyle name="Currency 10 3 3 9" xfId="11677" xr:uid="{481B8FEC-7CC9-4394-B74A-E03880738F35}"/>
    <cellStyle name="Currency 10 3 3 9 2" xfId="11678" xr:uid="{478EBAD1-9647-436B-B97D-433F61072452}"/>
    <cellStyle name="Currency 10 3 4" xfId="11679" xr:uid="{4B62E75A-8ECB-4DF3-8848-4B0C706AB876}"/>
    <cellStyle name="Currency 10 3 4 10" xfId="11680" xr:uid="{FAED6C41-40C5-4B95-948C-C3C2F9F075DC}"/>
    <cellStyle name="Currency 10 3 4 10 2" xfId="11681" xr:uid="{B2C64699-4144-4202-90EE-EA9900D3BF99}"/>
    <cellStyle name="Currency 10 3 4 11" xfId="11682" xr:uid="{6F1AD01E-209E-4063-A3E5-066F3F3B9AAC}"/>
    <cellStyle name="Currency 10 3 4 2" xfId="11683" xr:uid="{7472FE8E-3B46-484F-84B6-6BBBC64542DA}"/>
    <cellStyle name="Currency 10 3 4 2 10" xfId="11684" xr:uid="{0ADFD8D4-4ACF-43A6-9419-362011BAB843}"/>
    <cellStyle name="Currency 10 3 4 2 2" xfId="11685" xr:uid="{69144B3F-D181-46E2-8DFB-CDE7A1852EDF}"/>
    <cellStyle name="Currency 10 3 4 2 2 2" xfId="11686" xr:uid="{142DE84E-668F-44F5-B713-7281EEF9145D}"/>
    <cellStyle name="Currency 10 3 4 2 2 2 2" xfId="11687" xr:uid="{F3BA786B-C5C7-4EC9-B9A7-F74D779A504A}"/>
    <cellStyle name="Currency 10 3 4 2 2 2 2 2" xfId="11688" xr:uid="{25605421-02C6-4E52-8825-76235B1D6BD8}"/>
    <cellStyle name="Currency 10 3 4 2 2 2 3" xfId="11689" xr:uid="{FF7F5227-8F24-4BCA-A50C-7AEA552033DC}"/>
    <cellStyle name="Currency 10 3 4 2 2 2 3 2" xfId="11690" xr:uid="{24DA88C0-25D4-4E2B-BE5F-2FA5B2EBE007}"/>
    <cellStyle name="Currency 10 3 4 2 2 2 4" xfId="11691" xr:uid="{075CD1BD-D03B-4AEC-8E23-F8EB7D1C91E4}"/>
    <cellStyle name="Currency 10 3 4 2 2 2 4 2" xfId="11692" xr:uid="{4EB30194-8AF3-4BB2-9E88-BFB4741E842A}"/>
    <cellStyle name="Currency 10 3 4 2 2 2 5" xfId="11693" xr:uid="{A2D51022-9719-49B7-BC0A-3F31C9E52460}"/>
    <cellStyle name="Currency 10 3 4 2 2 3" xfId="11694" xr:uid="{82FB0D25-E77C-46D2-9F4E-9A3751A73813}"/>
    <cellStyle name="Currency 10 3 4 2 2 3 2" xfId="11695" xr:uid="{FDAA50A9-5573-4DC2-B5AA-AC5DE640570D}"/>
    <cellStyle name="Currency 10 3 4 2 2 3 2 2" xfId="11696" xr:uid="{B0614DFA-3A8D-450A-912F-67E4D6BB005A}"/>
    <cellStyle name="Currency 10 3 4 2 2 3 3" xfId="11697" xr:uid="{45BBC285-9E0C-4560-9DA1-E81E93C1545E}"/>
    <cellStyle name="Currency 10 3 4 2 2 3 3 2" xfId="11698" xr:uid="{185F24D3-5A36-4897-9BBC-248FE3E99C77}"/>
    <cellStyle name="Currency 10 3 4 2 2 3 4" xfId="11699" xr:uid="{A2E89FD5-A8C9-451B-8501-BB71F7710AC8}"/>
    <cellStyle name="Currency 10 3 4 2 2 3 4 2" xfId="11700" xr:uid="{2646BB6E-D954-4287-B476-70AD5DE1197F}"/>
    <cellStyle name="Currency 10 3 4 2 2 3 5" xfId="11701" xr:uid="{726296AA-FA3D-4AB2-BFAC-276150AAF098}"/>
    <cellStyle name="Currency 10 3 4 2 2 4" xfId="11702" xr:uid="{B652D5A8-1B9E-44B2-8F7A-78AA59664E64}"/>
    <cellStyle name="Currency 10 3 4 2 2 4 2" xfId="11703" xr:uid="{FF4C26CC-BD3C-4628-B190-82503DE0EC5A}"/>
    <cellStyle name="Currency 10 3 4 2 2 5" xfId="11704" xr:uid="{D3D59D2E-6F26-41DD-94C2-CCF1B48A59AA}"/>
    <cellStyle name="Currency 10 3 4 2 2 5 2" xfId="11705" xr:uid="{E32CB2CC-4760-43F9-BD45-1CE17BEA9D06}"/>
    <cellStyle name="Currency 10 3 4 2 2 6" xfId="11706" xr:uid="{D239C5F1-4EEA-4D9B-AAF8-5653C74A00C7}"/>
    <cellStyle name="Currency 10 3 4 2 2 6 2" xfId="11707" xr:uid="{34B5AB59-41F6-4514-A3E3-2ECCEDDBA2F0}"/>
    <cellStyle name="Currency 10 3 4 2 2 7" xfId="11708" xr:uid="{0C1D64FA-2205-42FC-B2B0-9D8E0188EBD9}"/>
    <cellStyle name="Currency 10 3 4 2 2 7 2" xfId="11709" xr:uid="{E591BDF9-3EF3-41FC-8C78-128493F74C8B}"/>
    <cellStyle name="Currency 10 3 4 2 2 8" xfId="11710" xr:uid="{685E9E8D-D1DC-4D97-BF8B-6FD7DE847D73}"/>
    <cellStyle name="Currency 10 3 4 2 2 8 2" xfId="11711" xr:uid="{665E3A49-6416-4F58-9BC8-38BC690C57CB}"/>
    <cellStyle name="Currency 10 3 4 2 2 9" xfId="11712" xr:uid="{53397E40-AED4-4EE5-BB6B-4BCB0A0FAE35}"/>
    <cellStyle name="Currency 10 3 4 2 3" xfId="11713" xr:uid="{27DFECE2-A27F-4C36-AB11-EF09AC9CD7B8}"/>
    <cellStyle name="Currency 10 3 4 2 3 2" xfId="11714" xr:uid="{978EED1F-1AE4-4BBA-93AC-4FA6F4A83094}"/>
    <cellStyle name="Currency 10 3 4 2 3 2 2" xfId="11715" xr:uid="{5C21D99B-7845-4BE4-9716-7AFEEC1324E1}"/>
    <cellStyle name="Currency 10 3 4 2 3 3" xfId="11716" xr:uid="{42E5A848-D421-41D1-BB45-4AE2D87404AA}"/>
    <cellStyle name="Currency 10 3 4 2 3 3 2" xfId="11717" xr:uid="{16A89AC3-4F47-47A7-9515-E9084A297357}"/>
    <cellStyle name="Currency 10 3 4 2 3 4" xfId="11718" xr:uid="{9EB629C1-0A94-477C-ABBD-4D8E033632B2}"/>
    <cellStyle name="Currency 10 3 4 2 3 4 2" xfId="11719" xr:uid="{91B11CAB-D245-4BBA-84F8-C7E433AD5968}"/>
    <cellStyle name="Currency 10 3 4 2 3 5" xfId="11720" xr:uid="{E4F72DDE-B545-445E-A010-7C77501048DA}"/>
    <cellStyle name="Currency 10 3 4 2 4" xfId="11721" xr:uid="{3D770E24-6909-40DE-A21C-ECAD688EF558}"/>
    <cellStyle name="Currency 10 3 4 2 4 2" xfId="11722" xr:uid="{16E5212C-FAE3-4DC1-BF85-2DE78346AEEE}"/>
    <cellStyle name="Currency 10 3 4 2 4 2 2" xfId="11723" xr:uid="{CCD08612-420E-49F8-A1AB-3C3D4DD8A31B}"/>
    <cellStyle name="Currency 10 3 4 2 4 3" xfId="11724" xr:uid="{6114CADD-62A0-4E56-961C-FE6FE2F82358}"/>
    <cellStyle name="Currency 10 3 4 2 4 3 2" xfId="11725" xr:uid="{EE0D9DF0-BEA6-4A61-8003-E4B8EFA76795}"/>
    <cellStyle name="Currency 10 3 4 2 4 4" xfId="11726" xr:uid="{C52FEF9E-1688-4F9E-9F0B-BD0E80C26AAE}"/>
    <cellStyle name="Currency 10 3 4 2 4 4 2" xfId="11727" xr:uid="{671BF982-5D61-48A4-A0EA-4C5FC3DB2BBA}"/>
    <cellStyle name="Currency 10 3 4 2 4 5" xfId="11728" xr:uid="{D2D06119-5DA3-4D00-90B5-AEA9032D8130}"/>
    <cellStyle name="Currency 10 3 4 2 5" xfId="11729" xr:uid="{C2FF5A50-5157-4D2F-A78C-C0C4751C8997}"/>
    <cellStyle name="Currency 10 3 4 2 5 2" xfId="11730" xr:uid="{20DB6993-4B20-4113-B96F-8D07FE40FF44}"/>
    <cellStyle name="Currency 10 3 4 2 6" xfId="11731" xr:uid="{9A6C32D0-2195-4FCD-A956-1CEF7CED7EF7}"/>
    <cellStyle name="Currency 10 3 4 2 6 2" xfId="11732" xr:uid="{F914DBF4-CE50-41D7-B732-3933EF2DDF12}"/>
    <cellStyle name="Currency 10 3 4 2 7" xfId="11733" xr:uid="{13EC3CB3-F2AB-472E-80C2-991DA8F44B19}"/>
    <cellStyle name="Currency 10 3 4 2 7 2" xfId="11734" xr:uid="{E2BDB697-855B-4E9F-B6C5-798895000BA5}"/>
    <cellStyle name="Currency 10 3 4 2 8" xfId="11735" xr:uid="{BA208730-4F72-478F-B46C-F8236255F1E8}"/>
    <cellStyle name="Currency 10 3 4 2 8 2" xfId="11736" xr:uid="{9329AC97-8249-4DBD-8CCF-47B8A0B33852}"/>
    <cellStyle name="Currency 10 3 4 2 9" xfId="11737" xr:uid="{BA201374-F8E0-450F-8981-961D98A79139}"/>
    <cellStyle name="Currency 10 3 4 2 9 2" xfId="11738" xr:uid="{41263B9B-029F-4010-8EEF-16032664A290}"/>
    <cellStyle name="Currency 10 3 4 3" xfId="11739" xr:uid="{AD845ABB-1B6E-441E-9C16-00F74B33DCCF}"/>
    <cellStyle name="Currency 10 3 4 3 2" xfId="11740" xr:uid="{8189BF22-BC88-4747-83E3-97E88802167C}"/>
    <cellStyle name="Currency 10 3 4 3 2 2" xfId="11741" xr:uid="{10EF6DD4-A212-4722-916B-CF6957164AD5}"/>
    <cellStyle name="Currency 10 3 4 3 2 2 2" xfId="11742" xr:uid="{C6CAEF17-5B7E-44D4-BDB0-EEDEE5D2F723}"/>
    <cellStyle name="Currency 10 3 4 3 2 3" xfId="11743" xr:uid="{7F1CB901-E34D-46EE-AEBC-0470D5A2F6F0}"/>
    <cellStyle name="Currency 10 3 4 3 2 3 2" xfId="11744" xr:uid="{9EC2ED87-88FD-4697-B9D8-5C4B4791B3AE}"/>
    <cellStyle name="Currency 10 3 4 3 2 4" xfId="11745" xr:uid="{150C0223-75FC-46DC-85AD-29BE809166D7}"/>
    <cellStyle name="Currency 10 3 4 3 2 4 2" xfId="11746" xr:uid="{9C9ACCA2-1194-4C1A-9184-C5AED2149B76}"/>
    <cellStyle name="Currency 10 3 4 3 2 5" xfId="11747" xr:uid="{EB698D60-D48A-4ADA-9983-F9B1CC97CFD1}"/>
    <cellStyle name="Currency 10 3 4 3 3" xfId="11748" xr:uid="{236550CF-B585-4DD1-8B57-87F4141C6D23}"/>
    <cellStyle name="Currency 10 3 4 3 3 2" xfId="11749" xr:uid="{164FD3BB-A2FB-46C4-ABD2-E04FB7F43D93}"/>
    <cellStyle name="Currency 10 3 4 3 3 2 2" xfId="11750" xr:uid="{6B9B4C6B-7F32-4D7A-B634-70C562E44155}"/>
    <cellStyle name="Currency 10 3 4 3 3 3" xfId="11751" xr:uid="{B5C3E6DF-9AC1-4097-AB5F-75573A845CB5}"/>
    <cellStyle name="Currency 10 3 4 3 3 3 2" xfId="11752" xr:uid="{446263EC-ABB0-4C93-89C6-FBFB760D9AE8}"/>
    <cellStyle name="Currency 10 3 4 3 3 4" xfId="11753" xr:uid="{1DC29BEA-5974-430E-B6A3-647AEB574071}"/>
    <cellStyle name="Currency 10 3 4 3 3 4 2" xfId="11754" xr:uid="{3A602C90-53CD-4366-86D8-044FA93503E4}"/>
    <cellStyle name="Currency 10 3 4 3 3 5" xfId="11755" xr:uid="{0CF57617-227E-46EE-837D-9D34062C1C6D}"/>
    <cellStyle name="Currency 10 3 4 3 4" xfId="11756" xr:uid="{60E6F182-C5FC-45B6-8218-DF53F10F0C95}"/>
    <cellStyle name="Currency 10 3 4 3 4 2" xfId="11757" xr:uid="{D3543B4C-EEC1-4642-9903-BBC6CAF117F6}"/>
    <cellStyle name="Currency 10 3 4 3 5" xfId="11758" xr:uid="{6AF36EE5-7F9A-4F20-8EE4-10498A37AFBC}"/>
    <cellStyle name="Currency 10 3 4 3 5 2" xfId="11759" xr:uid="{774247E6-8EE2-449C-BD24-2361F35E3ADF}"/>
    <cellStyle name="Currency 10 3 4 3 6" xfId="11760" xr:uid="{66C23327-1C18-4597-A686-1E7766F52504}"/>
    <cellStyle name="Currency 10 3 4 3 6 2" xfId="11761" xr:uid="{6A1B6325-E39A-40DC-B6FA-86AB9CF11AE1}"/>
    <cellStyle name="Currency 10 3 4 3 7" xfId="11762" xr:uid="{906BC9A6-A49C-4010-94AA-884A78F6F33F}"/>
    <cellStyle name="Currency 10 3 4 3 7 2" xfId="11763" xr:uid="{2687276A-A123-495D-93A7-432A32B2F673}"/>
    <cellStyle name="Currency 10 3 4 3 8" xfId="11764" xr:uid="{91342E85-9DEF-4708-A503-C832E68231F7}"/>
    <cellStyle name="Currency 10 3 4 3 8 2" xfId="11765" xr:uid="{4FCB6F24-4872-4C09-998D-7400C325C712}"/>
    <cellStyle name="Currency 10 3 4 3 9" xfId="11766" xr:uid="{86F75E38-8BB6-4824-8BC8-0238B25791DC}"/>
    <cellStyle name="Currency 10 3 4 4" xfId="11767" xr:uid="{9BDEEF22-FE43-4A45-8E1E-421916A1E68C}"/>
    <cellStyle name="Currency 10 3 4 4 2" xfId="11768" xr:uid="{DA2D02C3-9F04-448A-88CD-DF1DBDCD89AF}"/>
    <cellStyle name="Currency 10 3 4 4 2 2" xfId="11769" xr:uid="{F6A99F21-5F43-446E-8BD4-485276461733}"/>
    <cellStyle name="Currency 10 3 4 4 3" xfId="11770" xr:uid="{F950F6D3-2FDE-4E4C-B661-AD05524A1594}"/>
    <cellStyle name="Currency 10 3 4 4 3 2" xfId="11771" xr:uid="{567944C8-20AC-4B7F-8492-A15CB39BF875}"/>
    <cellStyle name="Currency 10 3 4 4 4" xfId="11772" xr:uid="{DB242A70-341E-4CDE-81B1-5124433BBA02}"/>
    <cellStyle name="Currency 10 3 4 4 4 2" xfId="11773" xr:uid="{8CB9B60D-B154-4CAD-A199-1D7DE0877638}"/>
    <cellStyle name="Currency 10 3 4 4 5" xfId="11774" xr:uid="{9AC9DF1F-7784-4735-B8F4-AC811E9E004D}"/>
    <cellStyle name="Currency 10 3 4 5" xfId="11775" xr:uid="{B49F5982-9112-4BE5-A7B1-8C6E3C2FB9FB}"/>
    <cellStyle name="Currency 10 3 4 5 2" xfId="11776" xr:uid="{98B29A11-2CD4-44E6-8087-B1DCC2045F6A}"/>
    <cellStyle name="Currency 10 3 4 5 2 2" xfId="11777" xr:uid="{011DE07D-DB5C-44CE-90AF-716B8FAE032C}"/>
    <cellStyle name="Currency 10 3 4 5 3" xfId="11778" xr:uid="{E1AAA7DC-0900-46F6-AFCE-F922E136F504}"/>
    <cellStyle name="Currency 10 3 4 5 3 2" xfId="11779" xr:uid="{B13965DB-137F-4373-BA59-6DD5AD164CA6}"/>
    <cellStyle name="Currency 10 3 4 5 4" xfId="11780" xr:uid="{1E458DB1-DB46-4BBE-83BF-0AA1D0548380}"/>
    <cellStyle name="Currency 10 3 4 5 4 2" xfId="11781" xr:uid="{B519B098-6F29-4588-8C31-A2567FA1F0A6}"/>
    <cellStyle name="Currency 10 3 4 5 5" xfId="11782" xr:uid="{B45F8494-923F-4256-88BC-394F975FCD5C}"/>
    <cellStyle name="Currency 10 3 4 6" xfId="11783" xr:uid="{59938AB7-3CB4-4FFE-A23D-6BDA6D26EB94}"/>
    <cellStyle name="Currency 10 3 4 6 2" xfId="11784" xr:uid="{254E624B-29B5-4203-9736-2D66EBF63243}"/>
    <cellStyle name="Currency 10 3 4 7" xfId="11785" xr:uid="{9D9D8BC8-6BC6-4822-9DF5-D92CB28A7292}"/>
    <cellStyle name="Currency 10 3 4 7 2" xfId="11786" xr:uid="{FCD8A406-7D85-4FF1-BA9C-7DD1F03912B9}"/>
    <cellStyle name="Currency 10 3 4 8" xfId="11787" xr:uid="{5EF49ABD-A111-435B-9974-40CE9FB1925F}"/>
    <cellStyle name="Currency 10 3 4 8 2" xfId="11788" xr:uid="{50AA6C81-2955-4552-B882-D7BB48CEF35B}"/>
    <cellStyle name="Currency 10 3 4 9" xfId="11789" xr:uid="{F0805450-DC35-453C-A75F-D95AA63F8FA3}"/>
    <cellStyle name="Currency 10 3 4 9 2" xfId="11790" xr:uid="{9CB27CF1-2E49-4B68-AE39-C3C8F690CF7B}"/>
    <cellStyle name="Currency 10 3 5" xfId="11791" xr:uid="{D9C34513-9040-4ABD-AF96-0C018C46168B}"/>
    <cellStyle name="Currency 10 3 5 10" xfId="11792" xr:uid="{71718DD8-F7D9-4BF7-94B4-E681162E0B35}"/>
    <cellStyle name="Currency 10 3 5 10 2" xfId="11793" xr:uid="{8C9F24D3-FF58-4ACA-A3D8-E560CB35C2BE}"/>
    <cellStyle name="Currency 10 3 5 11" xfId="11794" xr:uid="{5FC5AD25-026A-46D1-8495-392133608D8E}"/>
    <cellStyle name="Currency 10 3 5 2" xfId="11795" xr:uid="{7FCAB604-DBB9-410C-B5E5-771F78626DB9}"/>
    <cellStyle name="Currency 10 3 5 2 10" xfId="11796" xr:uid="{27FF6CBA-77FE-414E-B2F5-66543C39C9CE}"/>
    <cellStyle name="Currency 10 3 5 2 2" xfId="11797" xr:uid="{2599C5C5-91D9-4CE7-BCCA-E403297D7712}"/>
    <cellStyle name="Currency 10 3 5 2 2 2" xfId="11798" xr:uid="{B25ECD39-5C7A-42BE-9E1E-F5AFFA35A915}"/>
    <cellStyle name="Currency 10 3 5 2 2 2 2" xfId="11799" xr:uid="{20786C27-53D1-476A-993C-1E34D742DC70}"/>
    <cellStyle name="Currency 10 3 5 2 2 2 2 2" xfId="11800" xr:uid="{1819C3CA-69E5-464D-8A6B-A3C4C89688EE}"/>
    <cellStyle name="Currency 10 3 5 2 2 2 3" xfId="11801" xr:uid="{38DA22B7-476A-46E0-AD7F-2C70A8F43FAE}"/>
    <cellStyle name="Currency 10 3 5 2 2 2 3 2" xfId="11802" xr:uid="{D186D906-BDE9-49E8-A6D4-EAE90CECF4BD}"/>
    <cellStyle name="Currency 10 3 5 2 2 2 4" xfId="11803" xr:uid="{672901BA-DFB9-4940-A163-42FFE4A748F7}"/>
    <cellStyle name="Currency 10 3 5 2 2 2 4 2" xfId="11804" xr:uid="{4598F8C1-0501-4D2A-B9DA-6199CF1401A6}"/>
    <cellStyle name="Currency 10 3 5 2 2 2 5" xfId="11805" xr:uid="{5A66DBCF-80CB-4C3B-8931-6549B86A087B}"/>
    <cellStyle name="Currency 10 3 5 2 2 3" xfId="11806" xr:uid="{CA84689E-186D-4230-A157-841E055DE016}"/>
    <cellStyle name="Currency 10 3 5 2 2 3 2" xfId="11807" xr:uid="{58EE01C6-8ACC-4CF8-BF51-F0216ACD7560}"/>
    <cellStyle name="Currency 10 3 5 2 2 3 2 2" xfId="11808" xr:uid="{94EC42E9-EF4F-46F8-95B6-3ED3338475B8}"/>
    <cellStyle name="Currency 10 3 5 2 2 3 3" xfId="11809" xr:uid="{061022C5-A1F4-4161-969B-B44F219151C1}"/>
    <cellStyle name="Currency 10 3 5 2 2 3 3 2" xfId="11810" xr:uid="{D7AF5411-16F6-4F9A-9D4C-C7139375887D}"/>
    <cellStyle name="Currency 10 3 5 2 2 3 4" xfId="11811" xr:uid="{A9B0D926-28B4-4F64-BECC-AE04FAC8741A}"/>
    <cellStyle name="Currency 10 3 5 2 2 3 4 2" xfId="11812" xr:uid="{E4472DC0-3075-42CC-8241-ADDAB760A39D}"/>
    <cellStyle name="Currency 10 3 5 2 2 3 5" xfId="11813" xr:uid="{588B49D9-C46A-4161-B113-F0FFB4ABDB61}"/>
    <cellStyle name="Currency 10 3 5 2 2 4" xfId="11814" xr:uid="{0CD07E88-3556-4627-BF93-2B69D8B42AF7}"/>
    <cellStyle name="Currency 10 3 5 2 2 4 2" xfId="11815" xr:uid="{0B48B908-F633-40C5-BC6B-8A1E8265C636}"/>
    <cellStyle name="Currency 10 3 5 2 2 5" xfId="11816" xr:uid="{0FB019F2-0C10-4B5E-AEDC-BDEBCE3F42DC}"/>
    <cellStyle name="Currency 10 3 5 2 2 5 2" xfId="11817" xr:uid="{A25B791F-8EA2-4765-B8F4-4AA75CCE83D7}"/>
    <cellStyle name="Currency 10 3 5 2 2 6" xfId="11818" xr:uid="{2E6D1736-68DB-4060-B87E-378AC01FD490}"/>
    <cellStyle name="Currency 10 3 5 2 2 6 2" xfId="11819" xr:uid="{79EF6403-C6D3-42B3-8911-18B205DD1362}"/>
    <cellStyle name="Currency 10 3 5 2 2 7" xfId="11820" xr:uid="{82EDA917-D495-4C5A-A145-8B1A08F2CD9A}"/>
    <cellStyle name="Currency 10 3 5 2 2 7 2" xfId="11821" xr:uid="{CB34B3B0-14D0-4C9C-83DF-4180319750DF}"/>
    <cellStyle name="Currency 10 3 5 2 2 8" xfId="11822" xr:uid="{BBB1A6E7-3A40-494B-A45E-7C9F102030B5}"/>
    <cellStyle name="Currency 10 3 5 2 2 8 2" xfId="11823" xr:uid="{C5393E34-4E31-4FBE-81AD-C7508C0805C2}"/>
    <cellStyle name="Currency 10 3 5 2 2 9" xfId="11824" xr:uid="{379FB5E6-937C-4EE1-AB96-6AC812483F00}"/>
    <cellStyle name="Currency 10 3 5 2 3" xfId="11825" xr:uid="{92F5EEEA-CAF2-4673-B44D-DB85FF536EB2}"/>
    <cellStyle name="Currency 10 3 5 2 3 2" xfId="11826" xr:uid="{73276E72-A40C-4A32-A882-D9174E9F50F0}"/>
    <cellStyle name="Currency 10 3 5 2 3 2 2" xfId="11827" xr:uid="{9DE3F769-2A78-4FDD-AE6D-17EF97AD1285}"/>
    <cellStyle name="Currency 10 3 5 2 3 3" xfId="11828" xr:uid="{6146DC07-C4C5-46C5-B79C-FA5DF58F3B43}"/>
    <cellStyle name="Currency 10 3 5 2 3 3 2" xfId="11829" xr:uid="{A872EA00-2E57-4673-AB45-D6CEB3E28B47}"/>
    <cellStyle name="Currency 10 3 5 2 3 4" xfId="11830" xr:uid="{8E69AB8A-556E-4A83-9344-611815B8916D}"/>
    <cellStyle name="Currency 10 3 5 2 3 4 2" xfId="11831" xr:uid="{FF748C17-0776-4C37-A7F2-D5F146D8FF14}"/>
    <cellStyle name="Currency 10 3 5 2 3 5" xfId="11832" xr:uid="{32ED3DCC-DE88-46C1-A803-D778576FC325}"/>
    <cellStyle name="Currency 10 3 5 2 4" xfId="11833" xr:uid="{EA571344-F982-4253-979A-0B3B9C0395CA}"/>
    <cellStyle name="Currency 10 3 5 2 4 2" xfId="11834" xr:uid="{FDC88AE0-6A29-4FF2-8A20-149005F16526}"/>
    <cellStyle name="Currency 10 3 5 2 4 2 2" xfId="11835" xr:uid="{E1424A79-A101-4BB7-8BDD-2977D7D646CC}"/>
    <cellStyle name="Currency 10 3 5 2 4 3" xfId="11836" xr:uid="{F82E95BE-58B0-4495-8E19-505BBA5FC184}"/>
    <cellStyle name="Currency 10 3 5 2 4 3 2" xfId="11837" xr:uid="{B87FCC20-9CD8-482F-97A6-CE77D69F3CD1}"/>
    <cellStyle name="Currency 10 3 5 2 4 4" xfId="11838" xr:uid="{DC675578-86EA-47B6-A8F5-55D4D99384D1}"/>
    <cellStyle name="Currency 10 3 5 2 4 4 2" xfId="11839" xr:uid="{3F671196-63ED-44A1-A46C-B6F685212197}"/>
    <cellStyle name="Currency 10 3 5 2 4 5" xfId="11840" xr:uid="{E057B0E9-1AAA-45CA-94E6-164E8A355C3C}"/>
    <cellStyle name="Currency 10 3 5 2 5" xfId="11841" xr:uid="{BEAC46A4-BC8E-4930-82A1-98CB9B006700}"/>
    <cellStyle name="Currency 10 3 5 2 5 2" xfId="11842" xr:uid="{F6DCFC93-FBD4-4555-AD39-41398E63604F}"/>
    <cellStyle name="Currency 10 3 5 2 6" xfId="11843" xr:uid="{0BDFE415-329C-4F1C-92EB-9F628E678153}"/>
    <cellStyle name="Currency 10 3 5 2 6 2" xfId="11844" xr:uid="{5AA0C0CC-B81B-4084-B5A1-549E8DE4882F}"/>
    <cellStyle name="Currency 10 3 5 2 7" xfId="11845" xr:uid="{BBD77D69-F8B1-48CC-9B17-EAD9D2048E45}"/>
    <cellStyle name="Currency 10 3 5 2 7 2" xfId="11846" xr:uid="{174457E5-CE98-4053-94FB-CF9025F32B4D}"/>
    <cellStyle name="Currency 10 3 5 2 8" xfId="11847" xr:uid="{EC6A41C1-2448-4907-8138-BA76A49F3BEA}"/>
    <cellStyle name="Currency 10 3 5 2 8 2" xfId="11848" xr:uid="{013C1744-F48D-4057-99EA-8A317794E93C}"/>
    <cellStyle name="Currency 10 3 5 2 9" xfId="11849" xr:uid="{CE6FFBD2-6E68-48B2-BDF9-C9770E782839}"/>
    <cellStyle name="Currency 10 3 5 2 9 2" xfId="11850" xr:uid="{EB88879B-946F-4C1F-B078-C9D2C2D9BC4A}"/>
    <cellStyle name="Currency 10 3 5 3" xfId="11851" xr:uid="{E98BC3F0-8F6E-413B-A015-38B94AACC464}"/>
    <cellStyle name="Currency 10 3 5 3 2" xfId="11852" xr:uid="{E5487209-9651-4BBC-8D12-A0EAC543EDB3}"/>
    <cellStyle name="Currency 10 3 5 3 2 2" xfId="11853" xr:uid="{B7CB7F7A-B7D7-4B53-B580-95734004C836}"/>
    <cellStyle name="Currency 10 3 5 3 2 2 2" xfId="11854" xr:uid="{04A47669-7557-4E7A-9D84-50D2B2EDAB29}"/>
    <cellStyle name="Currency 10 3 5 3 2 3" xfId="11855" xr:uid="{44D48BDD-C1A2-4AD1-B9E3-0ADD8FFF0006}"/>
    <cellStyle name="Currency 10 3 5 3 2 3 2" xfId="11856" xr:uid="{EB3A7261-16E1-4678-A32E-C025AD636C9D}"/>
    <cellStyle name="Currency 10 3 5 3 2 4" xfId="11857" xr:uid="{7D46C50E-279F-4E61-87CB-20839C3E98F4}"/>
    <cellStyle name="Currency 10 3 5 3 2 4 2" xfId="11858" xr:uid="{F7454076-326E-4495-9195-4B3A25A0B602}"/>
    <cellStyle name="Currency 10 3 5 3 2 5" xfId="11859" xr:uid="{F2B8A8F5-D470-44D0-9E1C-0816B2A1EA17}"/>
    <cellStyle name="Currency 10 3 5 3 3" xfId="11860" xr:uid="{6B5968F9-D87C-4F59-8986-2307AE937D68}"/>
    <cellStyle name="Currency 10 3 5 3 3 2" xfId="11861" xr:uid="{061C20E7-36FE-4D51-B7D5-012ED0BE9FF6}"/>
    <cellStyle name="Currency 10 3 5 3 3 2 2" xfId="11862" xr:uid="{75246DB9-6AC9-4BD7-B3F7-E650856EC2BE}"/>
    <cellStyle name="Currency 10 3 5 3 3 3" xfId="11863" xr:uid="{16B5DF48-A47F-44CC-B806-AA8C8E8149FE}"/>
    <cellStyle name="Currency 10 3 5 3 3 3 2" xfId="11864" xr:uid="{CE42465A-285A-4CBD-8543-9BD5F00F432C}"/>
    <cellStyle name="Currency 10 3 5 3 3 4" xfId="11865" xr:uid="{D2D4084D-81E9-493A-8055-29EB6A8179CD}"/>
    <cellStyle name="Currency 10 3 5 3 3 4 2" xfId="11866" xr:uid="{909A60EA-5C30-415C-963F-EF36F43677B7}"/>
    <cellStyle name="Currency 10 3 5 3 3 5" xfId="11867" xr:uid="{DB8E1042-77A4-4188-8138-2C5B1534F930}"/>
    <cellStyle name="Currency 10 3 5 3 4" xfId="11868" xr:uid="{1B925A57-2A27-422E-A564-3D2780A1CF5C}"/>
    <cellStyle name="Currency 10 3 5 3 4 2" xfId="11869" xr:uid="{68AD77DD-0943-4442-8621-91BDF6DCFB58}"/>
    <cellStyle name="Currency 10 3 5 3 5" xfId="11870" xr:uid="{FBDDE7DA-B7A2-46E6-A648-9C51CC59B80F}"/>
    <cellStyle name="Currency 10 3 5 3 5 2" xfId="11871" xr:uid="{F26FF75A-4752-48B4-A9FE-0F30E42514C5}"/>
    <cellStyle name="Currency 10 3 5 3 6" xfId="11872" xr:uid="{5C1B40FC-1324-472D-9135-32C413276D85}"/>
    <cellStyle name="Currency 10 3 5 3 6 2" xfId="11873" xr:uid="{CBCCBFC6-6C88-4AE2-9D2F-23BA77B76E53}"/>
    <cellStyle name="Currency 10 3 5 3 7" xfId="11874" xr:uid="{02EE0931-3440-4B0E-B04A-B5CBD8054543}"/>
    <cellStyle name="Currency 10 3 5 3 7 2" xfId="11875" xr:uid="{C02945D3-FB73-4B5B-AE98-49A45ACF6000}"/>
    <cellStyle name="Currency 10 3 5 3 8" xfId="11876" xr:uid="{39A95B9B-C99D-409E-B56B-18A7F23747F8}"/>
    <cellStyle name="Currency 10 3 5 3 8 2" xfId="11877" xr:uid="{07403CDC-9B42-4A16-9DDE-591E848F1EFB}"/>
    <cellStyle name="Currency 10 3 5 3 9" xfId="11878" xr:uid="{1E85BAD7-993C-4E51-84A3-904D9C51885E}"/>
    <cellStyle name="Currency 10 3 5 4" xfId="11879" xr:uid="{3D89A185-8F08-46DC-832B-FDAD0D18A7DD}"/>
    <cellStyle name="Currency 10 3 5 4 2" xfId="11880" xr:uid="{BC4BCCAC-2F1F-4DEF-926D-F57160527A09}"/>
    <cellStyle name="Currency 10 3 5 4 2 2" xfId="11881" xr:uid="{0F0213C5-8F80-46CF-8673-C5E8D6771BF3}"/>
    <cellStyle name="Currency 10 3 5 4 3" xfId="11882" xr:uid="{9EFB6CA4-D642-41CC-912A-E3CE50FBD045}"/>
    <cellStyle name="Currency 10 3 5 4 3 2" xfId="11883" xr:uid="{1A8216B8-BFBA-472D-B742-B65C1179AF49}"/>
    <cellStyle name="Currency 10 3 5 4 4" xfId="11884" xr:uid="{6BE5C5F1-3A19-4BFF-9739-D32162C8AFB6}"/>
    <cellStyle name="Currency 10 3 5 4 4 2" xfId="11885" xr:uid="{DDCA74DB-D997-4218-8F4A-7A8CEF552687}"/>
    <cellStyle name="Currency 10 3 5 4 5" xfId="11886" xr:uid="{DF4D99BC-CE3D-423F-BCB6-48C0AA00A4FB}"/>
    <cellStyle name="Currency 10 3 5 5" xfId="11887" xr:uid="{5A8F8442-DF0C-4011-A10B-A70ECF108C08}"/>
    <cellStyle name="Currency 10 3 5 5 2" xfId="11888" xr:uid="{563A171F-D673-4BEA-8571-38497CC0EDC1}"/>
    <cellStyle name="Currency 10 3 5 5 2 2" xfId="11889" xr:uid="{60143FF4-3A6B-4C50-A862-BF7461C6AF15}"/>
    <cellStyle name="Currency 10 3 5 5 3" xfId="11890" xr:uid="{B06B7588-37E8-45E6-8E95-FBF35317F6E9}"/>
    <cellStyle name="Currency 10 3 5 5 3 2" xfId="11891" xr:uid="{92515DD5-5300-4686-8DBD-D011E7D40159}"/>
    <cellStyle name="Currency 10 3 5 5 4" xfId="11892" xr:uid="{5DB1A563-D3BC-4856-878D-D527BA5E946A}"/>
    <cellStyle name="Currency 10 3 5 5 4 2" xfId="11893" xr:uid="{06928AD3-0EBB-4216-ACB2-7781C49D1D04}"/>
    <cellStyle name="Currency 10 3 5 5 5" xfId="11894" xr:uid="{FC613336-8CC6-4B2C-87F1-AB6F52F330F7}"/>
    <cellStyle name="Currency 10 3 5 6" xfId="11895" xr:uid="{C446C591-A611-4A68-B39A-9F29827277B9}"/>
    <cellStyle name="Currency 10 3 5 6 2" xfId="11896" xr:uid="{1CDDA6F0-A6A1-417D-8CE4-82264B3EC511}"/>
    <cellStyle name="Currency 10 3 5 7" xfId="11897" xr:uid="{EE9E661F-39B9-4A74-9D65-CE81F03799A2}"/>
    <cellStyle name="Currency 10 3 5 7 2" xfId="11898" xr:uid="{F37ADA03-2C84-4E8C-B99E-C0378EC3040C}"/>
    <cellStyle name="Currency 10 3 5 8" xfId="11899" xr:uid="{DEB39879-BCF7-4040-9BEA-69BC4C3EC26F}"/>
    <cellStyle name="Currency 10 3 5 8 2" xfId="11900" xr:uid="{BDCB0254-0797-42D7-A7C1-634FBD43F5A0}"/>
    <cellStyle name="Currency 10 3 5 9" xfId="11901" xr:uid="{FA456843-615E-4B62-9380-0E2724E378E8}"/>
    <cellStyle name="Currency 10 3 5 9 2" xfId="11902" xr:uid="{3AD4D6C2-4FBF-426D-9EFD-3D96E4E58155}"/>
    <cellStyle name="Currency 10 3 6" xfId="11903" xr:uid="{54D5D6EC-4E19-4400-92C0-3ED533104222}"/>
    <cellStyle name="Currency 10 3 6 10" xfId="11904" xr:uid="{15B109B4-7AA0-43D8-B087-024BFF77D768}"/>
    <cellStyle name="Currency 10 3 6 2" xfId="11905" xr:uid="{D9742ED0-FB3B-4EF8-B906-7A6305CD5096}"/>
    <cellStyle name="Currency 10 3 6 2 2" xfId="11906" xr:uid="{96E657FA-1E79-49DA-8174-A45E1DFD999F}"/>
    <cellStyle name="Currency 10 3 6 2 2 2" xfId="11907" xr:uid="{F1C59F13-C7F5-4A4C-84AE-29AA30569FB3}"/>
    <cellStyle name="Currency 10 3 6 2 2 2 2" xfId="11908" xr:uid="{467AF889-030D-4901-A7CE-635D1B264435}"/>
    <cellStyle name="Currency 10 3 6 2 2 3" xfId="11909" xr:uid="{727D921A-67E5-44F2-A2B2-2ABF1309698E}"/>
    <cellStyle name="Currency 10 3 6 2 2 3 2" xfId="11910" xr:uid="{6A673FE5-D8E6-4D27-9112-0D760776BDAE}"/>
    <cellStyle name="Currency 10 3 6 2 2 4" xfId="11911" xr:uid="{5909393C-0603-4FB3-A245-18F46466D1F2}"/>
    <cellStyle name="Currency 10 3 6 2 2 4 2" xfId="11912" xr:uid="{B6008CAA-44FC-49F8-AA59-3AE99FD08B16}"/>
    <cellStyle name="Currency 10 3 6 2 2 5" xfId="11913" xr:uid="{ECC9A3A0-53B1-414E-8D20-542A2F763161}"/>
    <cellStyle name="Currency 10 3 6 2 3" xfId="11914" xr:uid="{84222CCA-1476-4FFB-A2B5-04CAFFB66A30}"/>
    <cellStyle name="Currency 10 3 6 2 3 2" xfId="11915" xr:uid="{3CAC1D88-BE3A-41DA-90E3-867D3CD64140}"/>
    <cellStyle name="Currency 10 3 6 2 3 2 2" xfId="11916" xr:uid="{7E44D6F3-F684-467F-BCE6-9D0E365529F1}"/>
    <cellStyle name="Currency 10 3 6 2 3 3" xfId="11917" xr:uid="{A9DF6EF5-E001-4127-BA74-863A921DAD32}"/>
    <cellStyle name="Currency 10 3 6 2 3 3 2" xfId="11918" xr:uid="{0B59CDC3-E7BE-47E8-9B05-2DA53C8A0875}"/>
    <cellStyle name="Currency 10 3 6 2 3 4" xfId="11919" xr:uid="{827A5949-BE7B-4CDD-85A7-7E54E1C396E3}"/>
    <cellStyle name="Currency 10 3 6 2 3 4 2" xfId="11920" xr:uid="{99C88021-B220-4D8B-AF88-9BBA3CE18B99}"/>
    <cellStyle name="Currency 10 3 6 2 3 5" xfId="11921" xr:uid="{0D39D3F6-E48B-42CD-95CB-DED47929C575}"/>
    <cellStyle name="Currency 10 3 6 2 4" xfId="11922" xr:uid="{967F72D0-E007-405F-9A60-98AB1035C08E}"/>
    <cellStyle name="Currency 10 3 6 2 4 2" xfId="11923" xr:uid="{C2E38318-384D-47C7-AB14-AB169D95D3E1}"/>
    <cellStyle name="Currency 10 3 6 2 5" xfId="11924" xr:uid="{444738DE-DF11-419B-A8D1-1D94AF4620B1}"/>
    <cellStyle name="Currency 10 3 6 2 5 2" xfId="11925" xr:uid="{C2F2265F-2F04-4E28-A1C2-CB216531E152}"/>
    <cellStyle name="Currency 10 3 6 2 6" xfId="11926" xr:uid="{9B728EBA-3C1F-43BB-9CB9-74BE7A5CCDE9}"/>
    <cellStyle name="Currency 10 3 6 2 6 2" xfId="11927" xr:uid="{6DE28766-668F-4FDA-AE14-C22483255D77}"/>
    <cellStyle name="Currency 10 3 6 2 7" xfId="11928" xr:uid="{3E6B98AF-405C-4DF2-A9A6-611776AACE9F}"/>
    <cellStyle name="Currency 10 3 6 2 7 2" xfId="11929" xr:uid="{EAB08FB4-AF03-4F1D-B9CE-0DD82220AA04}"/>
    <cellStyle name="Currency 10 3 6 2 8" xfId="11930" xr:uid="{FB01462D-FFA9-46F1-9508-D5FC16A30454}"/>
    <cellStyle name="Currency 10 3 6 2 8 2" xfId="11931" xr:uid="{4A0209E5-9286-4D51-9C67-45DA6FBE2A5C}"/>
    <cellStyle name="Currency 10 3 6 2 9" xfId="11932" xr:uid="{B4B563DE-0343-42AB-B79C-617ABB35D91B}"/>
    <cellStyle name="Currency 10 3 6 3" xfId="11933" xr:uid="{89AA1740-9BBF-46BC-BD1F-0F2D858526BC}"/>
    <cellStyle name="Currency 10 3 6 3 2" xfId="11934" xr:uid="{4AF81C97-9239-4F78-BC99-3148A1350B35}"/>
    <cellStyle name="Currency 10 3 6 3 2 2" xfId="11935" xr:uid="{0DE9B952-923C-4EFA-ACFE-AD8F482BD6EE}"/>
    <cellStyle name="Currency 10 3 6 3 3" xfId="11936" xr:uid="{A1798EEB-16DD-4DDC-B914-B7753AAA2015}"/>
    <cellStyle name="Currency 10 3 6 3 3 2" xfId="11937" xr:uid="{0BBBC20D-E457-4E34-8D2E-A1EF69AB4B0E}"/>
    <cellStyle name="Currency 10 3 6 3 4" xfId="11938" xr:uid="{FFEA3CF6-C1E8-4739-A1B3-E177E79A1AF6}"/>
    <cellStyle name="Currency 10 3 6 3 4 2" xfId="11939" xr:uid="{0F49930C-8EAD-41B3-8814-41ACC524F95A}"/>
    <cellStyle name="Currency 10 3 6 3 5" xfId="11940" xr:uid="{4B4373F2-1B01-4BA2-A01F-78424EEEFF26}"/>
    <cellStyle name="Currency 10 3 6 4" xfId="11941" xr:uid="{F042E496-8F0E-47FC-B60C-7BA5886E4588}"/>
    <cellStyle name="Currency 10 3 6 4 2" xfId="11942" xr:uid="{EEA07FC9-3B50-4255-B0FE-17C67A5DBC99}"/>
    <cellStyle name="Currency 10 3 6 4 2 2" xfId="11943" xr:uid="{959AA385-5F1C-41D5-BBCB-DDC88B95183A}"/>
    <cellStyle name="Currency 10 3 6 4 3" xfId="11944" xr:uid="{FED9E4D9-DEA3-4A65-AE06-8637D5946291}"/>
    <cellStyle name="Currency 10 3 6 4 3 2" xfId="11945" xr:uid="{62CDF2FC-3E6F-4AD3-9B92-36EC81E66157}"/>
    <cellStyle name="Currency 10 3 6 4 4" xfId="11946" xr:uid="{8B8C59AE-7886-4A36-8A22-20717D06B261}"/>
    <cellStyle name="Currency 10 3 6 4 4 2" xfId="11947" xr:uid="{EA14328A-0F4F-4FF3-9438-2C701BB5F0D4}"/>
    <cellStyle name="Currency 10 3 6 4 5" xfId="11948" xr:uid="{DF8874D3-7F91-4B46-9249-63C2A03E6F6C}"/>
    <cellStyle name="Currency 10 3 6 5" xfId="11949" xr:uid="{2AB06E06-733E-4D6E-B77C-99628A793B9B}"/>
    <cellStyle name="Currency 10 3 6 5 2" xfId="11950" xr:uid="{6AE5F910-20D4-478A-8E67-EAB45BCAE634}"/>
    <cellStyle name="Currency 10 3 6 6" xfId="11951" xr:uid="{93B7D1C2-A21B-4D93-B872-7D99C7D70035}"/>
    <cellStyle name="Currency 10 3 6 6 2" xfId="11952" xr:uid="{8A9CCD77-F8BF-4503-B2B6-654307BC59EE}"/>
    <cellStyle name="Currency 10 3 6 7" xfId="11953" xr:uid="{8B696BD1-3775-4A19-BCD1-EC8D03DA250E}"/>
    <cellStyle name="Currency 10 3 6 7 2" xfId="11954" xr:uid="{AA29A032-A1D1-4193-9A58-325434E42BDF}"/>
    <cellStyle name="Currency 10 3 6 8" xfId="11955" xr:uid="{4E2CB080-011B-4CEB-A1F6-07B8A5AAA780}"/>
    <cellStyle name="Currency 10 3 6 8 2" xfId="11956" xr:uid="{24487FE6-4E00-4A72-81E7-3011F2BDE494}"/>
    <cellStyle name="Currency 10 3 6 9" xfId="11957" xr:uid="{7973CE86-A7E0-4DB9-A87D-6567E4269738}"/>
    <cellStyle name="Currency 10 3 6 9 2" xfId="11958" xr:uid="{B94CDA5E-B047-405F-A869-3B961F7BD432}"/>
    <cellStyle name="Currency 10 3 7" xfId="11959" xr:uid="{DA8FF022-14DF-48D2-B40A-61BB533C0672}"/>
    <cellStyle name="Currency 10 3 7 2" xfId="11960" xr:uid="{E0971BCC-9F57-411D-84B4-2480010E9579}"/>
    <cellStyle name="Currency 10 3 7 2 2" xfId="11961" xr:uid="{4A3645B1-B83D-44BA-8573-E9F31C982A71}"/>
    <cellStyle name="Currency 10 3 7 2 2 2" xfId="11962" xr:uid="{8759A693-850F-4FBF-B873-285C6AC86AEA}"/>
    <cellStyle name="Currency 10 3 7 2 3" xfId="11963" xr:uid="{D524F482-0B44-4CA7-98A9-742A9810621D}"/>
    <cellStyle name="Currency 10 3 7 2 3 2" xfId="11964" xr:uid="{7C69417D-A453-41CB-998A-19A50EB66263}"/>
    <cellStyle name="Currency 10 3 7 2 4" xfId="11965" xr:uid="{EC3C7F41-888B-4E01-9B7C-B0F5EB9DCBA4}"/>
    <cellStyle name="Currency 10 3 7 2 4 2" xfId="11966" xr:uid="{E2EA4268-38C1-4788-8B62-3627B4DDEFB4}"/>
    <cellStyle name="Currency 10 3 7 2 5" xfId="11967" xr:uid="{EDF011AA-C1CA-49B4-B84C-9E6E9BA2577E}"/>
    <cellStyle name="Currency 10 3 7 3" xfId="11968" xr:uid="{1B8EB440-36A9-42CF-9033-122BF656AFAD}"/>
    <cellStyle name="Currency 10 3 7 3 2" xfId="11969" xr:uid="{A7414B14-ECA1-4584-BC72-3F53DFAA73BF}"/>
    <cellStyle name="Currency 10 3 7 3 2 2" xfId="11970" xr:uid="{77A942C1-70B2-4F07-88E3-B05671AE35E6}"/>
    <cellStyle name="Currency 10 3 7 3 3" xfId="11971" xr:uid="{89D9163B-B22E-4CA3-B938-E8A659F2812A}"/>
    <cellStyle name="Currency 10 3 7 3 3 2" xfId="11972" xr:uid="{B14E1895-D106-49AC-A891-9B9FE2B03577}"/>
    <cellStyle name="Currency 10 3 7 3 4" xfId="11973" xr:uid="{FF829623-98B0-49B2-A705-70614983E1EE}"/>
    <cellStyle name="Currency 10 3 7 3 4 2" xfId="11974" xr:uid="{25BDFB26-0F32-43C3-9B55-C1849936C647}"/>
    <cellStyle name="Currency 10 3 7 3 5" xfId="11975" xr:uid="{9BFE0B77-C2C1-4FB4-AE1D-12A9495AEBAE}"/>
    <cellStyle name="Currency 10 3 7 4" xfId="11976" xr:uid="{5DEBEBDE-6599-4BBA-BE2C-03B898EAB366}"/>
    <cellStyle name="Currency 10 3 7 4 2" xfId="11977" xr:uid="{E4C73B16-FB2F-400A-BC71-64323420218D}"/>
    <cellStyle name="Currency 10 3 7 5" xfId="11978" xr:uid="{BB930208-44F4-4166-8EA0-4592EDAC3C2E}"/>
    <cellStyle name="Currency 10 3 7 5 2" xfId="11979" xr:uid="{AD234292-F7C2-462C-BFC0-E9A4F7E7D027}"/>
    <cellStyle name="Currency 10 3 7 6" xfId="11980" xr:uid="{3B5F61C1-3188-48E6-B8AC-0FCC1C611F5C}"/>
    <cellStyle name="Currency 10 3 7 6 2" xfId="11981" xr:uid="{90EF235F-A017-4BF7-A6B2-C3AEF4CE5DC2}"/>
    <cellStyle name="Currency 10 3 7 7" xfId="11982" xr:uid="{BB649BB6-5159-4C2F-AFC4-B6769782AB38}"/>
    <cellStyle name="Currency 10 3 7 7 2" xfId="11983" xr:uid="{43014794-C59D-412A-A148-3B9032FD6CF9}"/>
    <cellStyle name="Currency 10 3 7 8" xfId="11984" xr:uid="{B11102B8-87C1-4F70-BB69-3E468F775F0F}"/>
    <cellStyle name="Currency 10 3 7 8 2" xfId="11985" xr:uid="{4230B3BA-EE17-4D8C-A859-373CA788203A}"/>
    <cellStyle name="Currency 10 3 7 9" xfId="11986" xr:uid="{61BE95DA-29D3-4226-8C32-4C70114D06C4}"/>
    <cellStyle name="Currency 10 3 8" xfId="11987" xr:uid="{B1705E62-5C80-4B08-8043-266F2DDCD9B5}"/>
    <cellStyle name="Currency 10 3 8 2" xfId="11988" xr:uid="{4972C91C-59FC-4B6D-A219-2F651FA457FE}"/>
    <cellStyle name="Currency 10 3 8 2 2" xfId="11989" xr:uid="{C961074E-95D5-4C97-A660-3463AB840E8F}"/>
    <cellStyle name="Currency 10 3 8 3" xfId="11990" xr:uid="{0D206920-C8B4-4CCC-9429-82548FF7CFDB}"/>
    <cellStyle name="Currency 10 3 8 3 2" xfId="11991" xr:uid="{1098EC35-04E7-4832-95D8-3FAFF66FD63C}"/>
    <cellStyle name="Currency 10 3 8 4" xfId="11992" xr:uid="{B9D28561-32B1-4A83-B35C-00913386FF48}"/>
    <cellStyle name="Currency 10 3 8 4 2" xfId="11993" xr:uid="{B9B3D898-B597-44F0-8BBD-C03126E75122}"/>
    <cellStyle name="Currency 10 3 8 5" xfId="11994" xr:uid="{7B5865F8-FF4A-4BF5-8795-5EDC70D15777}"/>
    <cellStyle name="Currency 10 3 9" xfId="11995" xr:uid="{984331DA-8E30-4FED-9B73-B1F675B1514B}"/>
    <cellStyle name="Currency 10 3 9 2" xfId="11996" xr:uid="{DFA7A870-96FD-4A15-9A08-B1A7A83408D9}"/>
    <cellStyle name="Currency 10 3 9 2 2" xfId="11997" xr:uid="{174A635D-2654-4D92-A59C-A5623D158A64}"/>
    <cellStyle name="Currency 10 3 9 3" xfId="11998" xr:uid="{1B7A8DAA-E172-44AA-A0F4-63277530996A}"/>
    <cellStyle name="Currency 10 3 9 3 2" xfId="11999" xr:uid="{A0265D4A-2240-4428-BE62-5808104AC7D8}"/>
    <cellStyle name="Currency 10 3 9 4" xfId="12000" xr:uid="{FCD77CCB-0D39-47FE-9B36-6BD844D8431C}"/>
    <cellStyle name="Currency 10 3 9 4 2" xfId="12001" xr:uid="{8DACBBA3-B2BC-43A0-9A48-DC116BB0083C}"/>
    <cellStyle name="Currency 10 3 9 5" xfId="12002" xr:uid="{026EB23F-4832-4C1E-A527-28FCE62738EB}"/>
    <cellStyle name="Currency 10 4" xfId="12003" xr:uid="{4EE2F745-455D-48E5-B14C-288A961FF8B5}"/>
    <cellStyle name="Currency 10 4 10" xfId="12004" xr:uid="{9863AF0F-AAFB-4CF1-BF87-CD5B93257151}"/>
    <cellStyle name="Currency 10 4 10 2" xfId="12005" xr:uid="{51878FA5-0D32-404B-ABBA-58E21931DE4B}"/>
    <cellStyle name="Currency 10 4 11" xfId="12006" xr:uid="{3B829DF2-D43B-43D8-8797-D69F562B7F22}"/>
    <cellStyle name="Currency 10 4 2" xfId="12007" xr:uid="{56D1AEB9-F0E6-43A9-8CEF-53E1D16AB878}"/>
    <cellStyle name="Currency 10 4 2 10" xfId="12008" xr:uid="{C9513091-97C2-4D6B-AC53-A0879281B649}"/>
    <cellStyle name="Currency 10 4 2 2" xfId="12009" xr:uid="{F1476F82-6060-4CB3-BFD0-F4670CEFB76B}"/>
    <cellStyle name="Currency 10 4 2 2 2" xfId="12010" xr:uid="{0E270A32-BC0C-41B8-9299-4D4C8474EDD2}"/>
    <cellStyle name="Currency 10 4 2 2 2 2" xfId="12011" xr:uid="{39D17DFE-F008-4950-AB67-0B2C95824199}"/>
    <cellStyle name="Currency 10 4 2 2 2 2 2" xfId="12012" xr:uid="{44210C8F-A350-4871-B959-0C238936E483}"/>
    <cellStyle name="Currency 10 4 2 2 2 3" xfId="12013" xr:uid="{64836994-DCEB-4E49-A886-92DA248EF6CF}"/>
    <cellStyle name="Currency 10 4 2 2 2 3 2" xfId="12014" xr:uid="{8156F317-CD71-40D5-93B6-63C35CBC990A}"/>
    <cellStyle name="Currency 10 4 2 2 2 4" xfId="12015" xr:uid="{476B09B1-BD64-49CA-8876-929F8D846198}"/>
    <cellStyle name="Currency 10 4 2 2 2 4 2" xfId="12016" xr:uid="{19DBBBB3-D733-4488-A279-81EC9F459784}"/>
    <cellStyle name="Currency 10 4 2 2 2 5" xfId="12017" xr:uid="{B0A4E052-EB80-427E-A627-038285BDBC69}"/>
    <cellStyle name="Currency 10 4 2 2 3" xfId="12018" xr:uid="{289FAF69-18F6-497B-8E5E-B2CDC2C3979B}"/>
    <cellStyle name="Currency 10 4 2 2 3 2" xfId="12019" xr:uid="{9E6D9BB7-A099-4739-B78E-93FC1355F3D4}"/>
    <cellStyle name="Currency 10 4 2 2 3 2 2" xfId="12020" xr:uid="{C3AF4A83-AD2C-4C10-A3F3-EABEF625178A}"/>
    <cellStyle name="Currency 10 4 2 2 3 3" xfId="12021" xr:uid="{BA674CB5-2772-45C1-BD2E-55D459FA66E7}"/>
    <cellStyle name="Currency 10 4 2 2 3 3 2" xfId="12022" xr:uid="{7C093105-7E1A-47BC-9569-228264996B2C}"/>
    <cellStyle name="Currency 10 4 2 2 3 4" xfId="12023" xr:uid="{99A2B58E-D2CA-4C9A-9E43-0AA7B87288C8}"/>
    <cellStyle name="Currency 10 4 2 2 3 4 2" xfId="12024" xr:uid="{5E2D2D65-7700-4D1A-86F9-EC608D7DFC66}"/>
    <cellStyle name="Currency 10 4 2 2 3 5" xfId="12025" xr:uid="{68461996-2DFA-434A-80BA-F53327F850EC}"/>
    <cellStyle name="Currency 10 4 2 2 4" xfId="12026" xr:uid="{2607D303-BF86-42A5-BD90-AA692176E8BE}"/>
    <cellStyle name="Currency 10 4 2 2 4 2" xfId="12027" xr:uid="{80AB0F7A-59C4-4FBB-AE7A-75351EA77137}"/>
    <cellStyle name="Currency 10 4 2 2 5" xfId="12028" xr:uid="{8B74A371-F571-4CD6-9D46-306F10916A0B}"/>
    <cellStyle name="Currency 10 4 2 2 5 2" xfId="12029" xr:uid="{6B91FDE2-87BC-421F-BAA5-A18AB42D82E7}"/>
    <cellStyle name="Currency 10 4 2 2 6" xfId="12030" xr:uid="{743FE0C5-F368-4B3A-AE5F-B97F81639E6E}"/>
    <cellStyle name="Currency 10 4 2 2 6 2" xfId="12031" xr:uid="{3D2EFE83-018F-45B5-A940-FA412AD6B015}"/>
    <cellStyle name="Currency 10 4 2 2 7" xfId="12032" xr:uid="{0368C540-E791-412F-AE15-AC358B8D0E20}"/>
    <cellStyle name="Currency 10 4 2 2 7 2" xfId="12033" xr:uid="{AC67162F-C00A-4827-B43C-A58C335D66B1}"/>
    <cellStyle name="Currency 10 4 2 2 8" xfId="12034" xr:uid="{6A62A1B9-D72E-4BE2-953E-E0AF2F558F5D}"/>
    <cellStyle name="Currency 10 4 2 2 8 2" xfId="12035" xr:uid="{2E43F7F9-92CE-416E-81FC-B5D93D273C6D}"/>
    <cellStyle name="Currency 10 4 2 2 9" xfId="12036" xr:uid="{5C4BA706-E610-4DCD-86C7-B09193FFDECE}"/>
    <cellStyle name="Currency 10 4 2 3" xfId="12037" xr:uid="{4B8CDFC4-28B8-41F5-A058-C5E70915A332}"/>
    <cellStyle name="Currency 10 4 2 3 2" xfId="12038" xr:uid="{A6DB1E4C-6A8B-4DC8-A095-6D81FBABA8EA}"/>
    <cellStyle name="Currency 10 4 2 3 2 2" xfId="12039" xr:uid="{09A48936-6042-41EC-845B-8ECE5985D64D}"/>
    <cellStyle name="Currency 10 4 2 3 3" xfId="12040" xr:uid="{E6256DF6-3C23-4533-8241-07275358F2A3}"/>
    <cellStyle name="Currency 10 4 2 3 3 2" xfId="12041" xr:uid="{04C72A63-8E40-4AFE-9665-624E64F1A529}"/>
    <cellStyle name="Currency 10 4 2 3 4" xfId="12042" xr:uid="{A0747236-FE1C-4508-9BE9-86FAE0D2B8F2}"/>
    <cellStyle name="Currency 10 4 2 3 4 2" xfId="12043" xr:uid="{D1D7C4EB-D975-4B27-8525-E8DFF754B3EF}"/>
    <cellStyle name="Currency 10 4 2 3 5" xfId="12044" xr:uid="{5FCBB350-72CD-4DEA-A69B-509483DA689C}"/>
    <cellStyle name="Currency 10 4 2 4" xfId="12045" xr:uid="{56461065-992E-47AB-A4F8-325909644C3E}"/>
    <cellStyle name="Currency 10 4 2 4 2" xfId="12046" xr:uid="{F7200253-E162-47CD-969C-39F9D39F4BF7}"/>
    <cellStyle name="Currency 10 4 2 4 2 2" xfId="12047" xr:uid="{27BC9B07-9036-43F7-ADF3-069A01343231}"/>
    <cellStyle name="Currency 10 4 2 4 3" xfId="12048" xr:uid="{2D90AC3C-F7CF-48B9-B004-39E65FA7AB46}"/>
    <cellStyle name="Currency 10 4 2 4 3 2" xfId="12049" xr:uid="{12CBFB42-8534-457D-9705-04A5EF607517}"/>
    <cellStyle name="Currency 10 4 2 4 4" xfId="12050" xr:uid="{5D41E04C-79B5-4709-A360-F4A1E651E47E}"/>
    <cellStyle name="Currency 10 4 2 4 4 2" xfId="12051" xr:uid="{5B7CC2AF-2462-4845-8760-D77225604146}"/>
    <cellStyle name="Currency 10 4 2 4 5" xfId="12052" xr:uid="{9AA2C002-8193-4FA6-BB7A-F79094E3DCFE}"/>
    <cellStyle name="Currency 10 4 2 5" xfId="12053" xr:uid="{019B719B-8A66-4B89-8664-877191F05DEF}"/>
    <cellStyle name="Currency 10 4 2 5 2" xfId="12054" xr:uid="{55D6332C-7EB7-4067-8CF7-8C6EB2B1F5BA}"/>
    <cellStyle name="Currency 10 4 2 6" xfId="12055" xr:uid="{44C4B092-BF93-42C3-A057-7FF933F81BFB}"/>
    <cellStyle name="Currency 10 4 2 6 2" xfId="12056" xr:uid="{7671CF29-DDFD-43E7-9DA5-5CA18AFFEA5C}"/>
    <cellStyle name="Currency 10 4 2 7" xfId="12057" xr:uid="{37BEC9CD-9B94-49A5-A0E2-65EA88E11DAE}"/>
    <cellStyle name="Currency 10 4 2 7 2" xfId="12058" xr:uid="{16B7B182-D790-4DF5-9C53-95CA853C052D}"/>
    <cellStyle name="Currency 10 4 2 8" xfId="12059" xr:uid="{15718AD2-FBF4-4813-A26A-84F4D4A16547}"/>
    <cellStyle name="Currency 10 4 2 8 2" xfId="12060" xr:uid="{7226880E-A480-4D36-8D0D-5B01DC374444}"/>
    <cellStyle name="Currency 10 4 2 9" xfId="12061" xr:uid="{65320633-BF42-4DAD-84C7-BF5EBFB6AE80}"/>
    <cellStyle name="Currency 10 4 2 9 2" xfId="12062" xr:uid="{9A7608EC-39C9-45E6-A458-50F274762A20}"/>
    <cellStyle name="Currency 10 4 3" xfId="12063" xr:uid="{9974032F-7D1E-4C04-A9D0-29C1C4ABC56B}"/>
    <cellStyle name="Currency 10 4 3 2" xfId="12064" xr:uid="{6E402B5B-6302-4544-8241-A5E19A75A614}"/>
    <cellStyle name="Currency 10 4 3 2 2" xfId="12065" xr:uid="{980D9C31-5F20-4555-80E0-90CE7CE8E3F0}"/>
    <cellStyle name="Currency 10 4 3 2 2 2" xfId="12066" xr:uid="{2F0FF4E5-E981-41FF-9BF7-6EC126F361F1}"/>
    <cellStyle name="Currency 10 4 3 2 3" xfId="12067" xr:uid="{BF9FB179-DF88-4F30-8A1F-9442B2FF98F3}"/>
    <cellStyle name="Currency 10 4 3 2 3 2" xfId="12068" xr:uid="{236E1D2A-DCB3-463E-9718-1EE8A879DA0A}"/>
    <cellStyle name="Currency 10 4 3 2 4" xfId="12069" xr:uid="{8E3B1A60-4FB4-4FB2-B630-E040F7522B2B}"/>
    <cellStyle name="Currency 10 4 3 2 4 2" xfId="12070" xr:uid="{2E325A84-BB55-4210-9764-64EB25EED97C}"/>
    <cellStyle name="Currency 10 4 3 2 5" xfId="12071" xr:uid="{D4414D8B-0F74-4AEA-9168-183AF567BBC7}"/>
    <cellStyle name="Currency 10 4 3 3" xfId="12072" xr:uid="{B80245AE-F629-446B-8FF5-44AF44A5BA00}"/>
    <cellStyle name="Currency 10 4 3 3 2" xfId="12073" xr:uid="{B106569F-F0BD-425A-AF24-E9AE2F369E09}"/>
    <cellStyle name="Currency 10 4 3 3 2 2" xfId="12074" xr:uid="{6FE23A36-79BF-4C8B-94F4-E096922A3687}"/>
    <cellStyle name="Currency 10 4 3 3 3" xfId="12075" xr:uid="{C832E2D8-0A84-4AFA-97D1-D815CEC51503}"/>
    <cellStyle name="Currency 10 4 3 3 3 2" xfId="12076" xr:uid="{61127941-AD71-4177-A566-AC30274F2BA3}"/>
    <cellStyle name="Currency 10 4 3 3 4" xfId="12077" xr:uid="{6C9EF7B7-6CE1-42B7-A38C-587395592012}"/>
    <cellStyle name="Currency 10 4 3 3 4 2" xfId="12078" xr:uid="{6A9B4F07-F4EC-4F30-AA6A-08AA03A5D8D4}"/>
    <cellStyle name="Currency 10 4 3 3 5" xfId="12079" xr:uid="{7F6EBF60-81CA-444D-8E28-1240F7B9C04C}"/>
    <cellStyle name="Currency 10 4 3 4" xfId="12080" xr:uid="{B4C00CF8-DF66-478B-ACE7-F3B36E23A33D}"/>
    <cellStyle name="Currency 10 4 3 4 2" xfId="12081" xr:uid="{A07D0FE4-24DA-43F4-89FD-06B0DF025CC9}"/>
    <cellStyle name="Currency 10 4 3 5" xfId="12082" xr:uid="{FA3A0BD9-298E-4174-BE83-970DA9FD4354}"/>
    <cellStyle name="Currency 10 4 3 5 2" xfId="12083" xr:uid="{24EC6E34-7DD8-4EB2-8CE9-5BFDD9EDD2C0}"/>
    <cellStyle name="Currency 10 4 3 6" xfId="12084" xr:uid="{AC7239C0-A67A-4EBF-BF31-F32EA76B91DB}"/>
    <cellStyle name="Currency 10 4 3 6 2" xfId="12085" xr:uid="{A0164D1B-FBA6-4A73-8CF0-011333218BAA}"/>
    <cellStyle name="Currency 10 4 3 7" xfId="12086" xr:uid="{8BC4AD09-EF75-4BF3-9096-4E51AD51670B}"/>
    <cellStyle name="Currency 10 4 3 7 2" xfId="12087" xr:uid="{86EEC92F-79DE-4125-9181-D373BD7B1A02}"/>
    <cellStyle name="Currency 10 4 3 8" xfId="12088" xr:uid="{44EEAFC5-834A-4740-B852-D1F5E54129A4}"/>
    <cellStyle name="Currency 10 4 3 8 2" xfId="12089" xr:uid="{2269139F-4D8B-42EC-8CE8-E17F79783713}"/>
    <cellStyle name="Currency 10 4 3 9" xfId="12090" xr:uid="{4F87C2C1-6025-4268-83A1-F2D55048477C}"/>
    <cellStyle name="Currency 10 4 4" xfId="12091" xr:uid="{F427A939-F6D2-49E6-A691-11524E94AA9C}"/>
    <cellStyle name="Currency 10 4 4 2" xfId="12092" xr:uid="{9EBDA43F-6960-4DA6-B1C2-0C86A4C5451B}"/>
    <cellStyle name="Currency 10 4 4 2 2" xfId="12093" xr:uid="{001824AC-057E-4B07-B6FB-26CC0A78439D}"/>
    <cellStyle name="Currency 10 4 4 3" xfId="12094" xr:uid="{E955914E-74B0-4188-80EB-A3A18EFEFCCC}"/>
    <cellStyle name="Currency 10 4 4 3 2" xfId="12095" xr:uid="{E310ABDE-D423-4DBC-85C2-305A59DB946E}"/>
    <cellStyle name="Currency 10 4 4 4" xfId="12096" xr:uid="{E9032594-0C9D-4274-80C4-41E7AF2732CF}"/>
    <cellStyle name="Currency 10 4 4 4 2" xfId="12097" xr:uid="{EE1D6056-B24C-43D8-BCAC-3685A5704EF3}"/>
    <cellStyle name="Currency 10 4 4 5" xfId="12098" xr:uid="{3F5B70F9-3EAF-4810-A2CE-8F84B5EAB11C}"/>
    <cellStyle name="Currency 10 4 5" xfId="12099" xr:uid="{3EC3AD55-3B5F-4DC9-8665-8DBB23434A98}"/>
    <cellStyle name="Currency 10 4 5 2" xfId="12100" xr:uid="{03966653-6C81-4944-BE73-59FCB8769477}"/>
    <cellStyle name="Currency 10 4 5 2 2" xfId="12101" xr:uid="{F188F68B-D76B-43F3-8086-F0646F3FFD5B}"/>
    <cellStyle name="Currency 10 4 5 3" xfId="12102" xr:uid="{A6B356C7-7878-419D-B5B1-35A941B138A7}"/>
    <cellStyle name="Currency 10 4 5 3 2" xfId="12103" xr:uid="{42BC26FD-1FD7-454F-8758-AABF320B850A}"/>
    <cellStyle name="Currency 10 4 5 4" xfId="12104" xr:uid="{E959BEE8-88E5-4D45-970C-D8719786C891}"/>
    <cellStyle name="Currency 10 4 5 4 2" xfId="12105" xr:uid="{2E393AEA-DFF1-4044-8BD1-2D75801F65EA}"/>
    <cellStyle name="Currency 10 4 5 5" xfId="12106" xr:uid="{1F65E7DC-3D50-430A-9573-0E74D6CB30A4}"/>
    <cellStyle name="Currency 10 4 6" xfId="12107" xr:uid="{8A4A7AC4-F327-46A6-BCD8-1BDDF37109CC}"/>
    <cellStyle name="Currency 10 4 6 2" xfId="12108" xr:uid="{0C63E94E-C866-4EDD-933E-78E2E1744DA1}"/>
    <cellStyle name="Currency 10 4 7" xfId="12109" xr:uid="{F43007A5-B6B6-4159-9991-4CF0AA7422E8}"/>
    <cellStyle name="Currency 10 4 7 2" xfId="12110" xr:uid="{D7B02A59-6A7B-4204-B447-EA620FD80796}"/>
    <cellStyle name="Currency 10 4 8" xfId="12111" xr:uid="{0DF137D2-375B-4014-896A-4D2CD043025D}"/>
    <cellStyle name="Currency 10 4 8 2" xfId="12112" xr:uid="{5B697324-012C-493D-BD54-5A42D3B0F538}"/>
    <cellStyle name="Currency 10 4 9" xfId="12113" xr:uid="{384B1613-E2A6-4BE7-ABE6-13237D35E34D}"/>
    <cellStyle name="Currency 10 4 9 2" xfId="12114" xr:uid="{04003923-3273-46DC-9BB0-23158120B387}"/>
    <cellStyle name="Currency 10 5" xfId="12115" xr:uid="{553D6E6E-EC03-429B-93E7-C62C68A6F72A}"/>
    <cellStyle name="Currency 10 5 10" xfId="12116" xr:uid="{A54823E4-0927-46BF-80D8-9DB9D5C682E5}"/>
    <cellStyle name="Currency 10 5 10 2" xfId="12117" xr:uid="{E8376D8B-E7A4-4011-9078-8CC967AFD8CB}"/>
    <cellStyle name="Currency 10 5 11" xfId="12118" xr:uid="{B92663F3-F02B-4FDA-8253-CD071C719297}"/>
    <cellStyle name="Currency 10 5 2" xfId="12119" xr:uid="{1D063FEE-05CE-4471-B3A9-4BC6C0F6E517}"/>
    <cellStyle name="Currency 10 5 2 10" xfId="12120" xr:uid="{FFBD387C-8825-4A6D-BC26-CB20C77D895D}"/>
    <cellStyle name="Currency 10 5 2 2" xfId="12121" xr:uid="{69600CCA-89BC-4E04-9286-334B9F75DAEF}"/>
    <cellStyle name="Currency 10 5 2 2 2" xfId="12122" xr:uid="{0EA7BECA-5105-45DB-904C-BCEDBAF40E0D}"/>
    <cellStyle name="Currency 10 5 2 2 2 2" xfId="12123" xr:uid="{59C7687F-D6E7-4D98-A5FA-73A66C53EEB2}"/>
    <cellStyle name="Currency 10 5 2 2 2 2 2" xfId="12124" xr:uid="{E80965CB-5BE6-44E0-BD01-088EF7B513B3}"/>
    <cellStyle name="Currency 10 5 2 2 2 3" xfId="12125" xr:uid="{54E87629-DF0C-4A9F-8C0A-8ACEAEC8A8B6}"/>
    <cellStyle name="Currency 10 5 2 2 2 3 2" xfId="12126" xr:uid="{EA6D47EB-2481-4334-9129-A3D1C0D3E6AE}"/>
    <cellStyle name="Currency 10 5 2 2 2 4" xfId="12127" xr:uid="{CEEF8D74-2DB7-44E8-A74B-46247A69F5AF}"/>
    <cellStyle name="Currency 10 5 2 2 2 4 2" xfId="12128" xr:uid="{7C154FDF-A356-4C8D-AB98-18B392228CFF}"/>
    <cellStyle name="Currency 10 5 2 2 2 5" xfId="12129" xr:uid="{5CAB156D-0CE6-428B-8517-409A68BEFD09}"/>
    <cellStyle name="Currency 10 5 2 2 3" xfId="12130" xr:uid="{621749CD-5657-46E7-BA5C-59F198D8B6A7}"/>
    <cellStyle name="Currency 10 5 2 2 3 2" xfId="12131" xr:uid="{B0B126C0-B533-4F41-9E43-2ADE4E349666}"/>
    <cellStyle name="Currency 10 5 2 2 3 2 2" xfId="12132" xr:uid="{9C1198B0-0EE1-4829-A480-33BE7B5E43FA}"/>
    <cellStyle name="Currency 10 5 2 2 3 3" xfId="12133" xr:uid="{E9774AF6-DB65-41F6-9773-0328BBF28B40}"/>
    <cellStyle name="Currency 10 5 2 2 3 3 2" xfId="12134" xr:uid="{548CA3D7-CA58-4229-A38E-D29C740D9A0C}"/>
    <cellStyle name="Currency 10 5 2 2 3 4" xfId="12135" xr:uid="{64DE4BC0-076B-428C-AAD8-BF529999FEA6}"/>
    <cellStyle name="Currency 10 5 2 2 3 4 2" xfId="12136" xr:uid="{045044B1-9A8C-4D8A-86C0-658001179BA1}"/>
    <cellStyle name="Currency 10 5 2 2 3 5" xfId="12137" xr:uid="{81A4E58E-3E96-47A3-B862-2A0E00FB22E4}"/>
    <cellStyle name="Currency 10 5 2 2 4" xfId="12138" xr:uid="{E402F981-BA86-4155-9569-160D2A164FCE}"/>
    <cellStyle name="Currency 10 5 2 2 4 2" xfId="12139" xr:uid="{B651A0FF-6AE0-4857-8EC0-97389FCE93EC}"/>
    <cellStyle name="Currency 10 5 2 2 5" xfId="12140" xr:uid="{6AB93042-02B1-4631-B57E-7B07CEFAC3B8}"/>
    <cellStyle name="Currency 10 5 2 2 5 2" xfId="12141" xr:uid="{9A548191-189D-4B55-9A44-529C92280A42}"/>
    <cellStyle name="Currency 10 5 2 2 6" xfId="12142" xr:uid="{334432DE-F28D-44F5-9D39-5E4C40E5AECC}"/>
    <cellStyle name="Currency 10 5 2 2 6 2" xfId="12143" xr:uid="{F88F258A-0582-4875-BBFF-2A0F4EBC7A76}"/>
    <cellStyle name="Currency 10 5 2 2 7" xfId="12144" xr:uid="{D9802D67-B10E-4FB3-8BAC-F7B091567EF2}"/>
    <cellStyle name="Currency 10 5 2 2 7 2" xfId="12145" xr:uid="{06CE3CD4-ECB8-4956-8DF7-9D239A75A5E5}"/>
    <cellStyle name="Currency 10 5 2 2 8" xfId="12146" xr:uid="{F6748B0F-5EF3-409B-BF53-C4A7F7A2471C}"/>
    <cellStyle name="Currency 10 5 2 2 8 2" xfId="12147" xr:uid="{37A9D5DE-A15A-47FD-A281-FCB73ACE6041}"/>
    <cellStyle name="Currency 10 5 2 2 9" xfId="12148" xr:uid="{B8970787-4521-4F46-9D0F-CD3EB7835255}"/>
    <cellStyle name="Currency 10 5 2 3" xfId="12149" xr:uid="{64F7471A-5025-47F3-9FAF-1BC3D4B7A65C}"/>
    <cellStyle name="Currency 10 5 2 3 2" xfId="12150" xr:uid="{E3A37ADE-BA9B-437D-8E27-377E85031C8A}"/>
    <cellStyle name="Currency 10 5 2 3 2 2" xfId="12151" xr:uid="{636C194B-6ECD-4D1E-8BF5-53F10C4CDF65}"/>
    <cellStyle name="Currency 10 5 2 3 3" xfId="12152" xr:uid="{09E631A2-166C-416D-87F1-7246D32BF7DE}"/>
    <cellStyle name="Currency 10 5 2 3 3 2" xfId="12153" xr:uid="{80B8F223-B1D9-4A50-959F-E2D497AF7DD9}"/>
    <cellStyle name="Currency 10 5 2 3 4" xfId="12154" xr:uid="{54107665-1983-4B39-9070-1FE5DAFC0ABC}"/>
    <cellStyle name="Currency 10 5 2 3 4 2" xfId="12155" xr:uid="{62DB2AB5-9713-47F1-85BE-9DF718BDB23D}"/>
    <cellStyle name="Currency 10 5 2 3 5" xfId="12156" xr:uid="{28AAD24E-ACC2-4C29-8BA5-01D961A9C802}"/>
    <cellStyle name="Currency 10 5 2 4" xfId="12157" xr:uid="{46888322-B330-4204-80F1-D58A9901BAD0}"/>
    <cellStyle name="Currency 10 5 2 4 2" xfId="12158" xr:uid="{3ECFE243-3A0D-4258-BA96-9AFE9887F725}"/>
    <cellStyle name="Currency 10 5 2 4 2 2" xfId="12159" xr:uid="{324243A4-4641-461B-8668-4967DCFB4E1C}"/>
    <cellStyle name="Currency 10 5 2 4 3" xfId="12160" xr:uid="{85C62FED-9698-42E9-8475-96BD38E584D5}"/>
    <cellStyle name="Currency 10 5 2 4 3 2" xfId="12161" xr:uid="{42961D20-AEAF-4539-86F5-794DBA68C849}"/>
    <cellStyle name="Currency 10 5 2 4 4" xfId="12162" xr:uid="{BD056878-57E5-40B7-842D-FAC420B6951C}"/>
    <cellStyle name="Currency 10 5 2 4 4 2" xfId="12163" xr:uid="{D3E748E9-B6A9-4CC7-A9BE-420157C52831}"/>
    <cellStyle name="Currency 10 5 2 4 5" xfId="12164" xr:uid="{A279080F-C834-487F-8193-7E892C4E383F}"/>
    <cellStyle name="Currency 10 5 2 5" xfId="12165" xr:uid="{A19EDFB8-B27E-4811-9005-3310B255C9BF}"/>
    <cellStyle name="Currency 10 5 2 5 2" xfId="12166" xr:uid="{654CFF27-E805-4C2A-9DB3-8983EE527E2B}"/>
    <cellStyle name="Currency 10 5 2 6" xfId="12167" xr:uid="{C89BE54F-E4AF-4C49-B6F4-B6E65D42FF25}"/>
    <cellStyle name="Currency 10 5 2 6 2" xfId="12168" xr:uid="{93728CA5-C784-4C95-9FCE-0349EDB043CC}"/>
    <cellStyle name="Currency 10 5 2 7" xfId="12169" xr:uid="{53BF7099-B250-41DE-BA30-44ED8CB9712F}"/>
    <cellStyle name="Currency 10 5 2 7 2" xfId="12170" xr:uid="{5464A81C-D832-4A35-9759-17B9EC4D1CAA}"/>
    <cellStyle name="Currency 10 5 2 8" xfId="12171" xr:uid="{F5DDAA58-261D-47AE-8E79-DD8B306FA37F}"/>
    <cellStyle name="Currency 10 5 2 8 2" xfId="12172" xr:uid="{79D4E643-0344-4FD8-9377-4E743CDA9D45}"/>
    <cellStyle name="Currency 10 5 2 9" xfId="12173" xr:uid="{5AA10863-0B19-4884-B68E-F797275D66C4}"/>
    <cellStyle name="Currency 10 5 2 9 2" xfId="12174" xr:uid="{CE62A6D5-D727-44DE-BEB3-1F64B373F8AF}"/>
    <cellStyle name="Currency 10 5 3" xfId="12175" xr:uid="{CA54AC10-8014-472F-8746-B5AE5A1E6352}"/>
    <cellStyle name="Currency 10 5 3 2" xfId="12176" xr:uid="{069C1058-6FCF-4189-893D-CDE5E463FF5D}"/>
    <cellStyle name="Currency 10 5 3 2 2" xfId="12177" xr:uid="{5EBFC4BA-9DA2-4540-9908-00E6B0569B83}"/>
    <cellStyle name="Currency 10 5 3 2 2 2" xfId="12178" xr:uid="{2B7CC06C-CC7C-47C5-84E1-E29A075B111F}"/>
    <cellStyle name="Currency 10 5 3 2 3" xfId="12179" xr:uid="{F030338F-BCA7-4AAB-9DA3-10B4AEB022B9}"/>
    <cellStyle name="Currency 10 5 3 2 3 2" xfId="12180" xr:uid="{0E21D38C-E19E-4E61-AC16-72D9A253E55F}"/>
    <cellStyle name="Currency 10 5 3 2 4" xfId="12181" xr:uid="{0010ECA3-4E3F-421A-90F4-0B81C37797E6}"/>
    <cellStyle name="Currency 10 5 3 2 4 2" xfId="12182" xr:uid="{3C3995F7-4E02-42F2-91CC-9F95DA638D3E}"/>
    <cellStyle name="Currency 10 5 3 2 5" xfId="12183" xr:uid="{B23E121F-96E0-4BC3-B67D-D3069C214A72}"/>
    <cellStyle name="Currency 10 5 3 3" xfId="12184" xr:uid="{CB1EE525-3F42-46AA-A226-B2B9AF6686E9}"/>
    <cellStyle name="Currency 10 5 3 3 2" xfId="12185" xr:uid="{3C9F0AC1-8345-4F82-87C6-E1233B12CE6E}"/>
    <cellStyle name="Currency 10 5 3 3 2 2" xfId="12186" xr:uid="{953DE8F1-80BE-415B-9051-BAC887190968}"/>
    <cellStyle name="Currency 10 5 3 3 3" xfId="12187" xr:uid="{235C5510-A210-4C85-8799-00885472B06E}"/>
    <cellStyle name="Currency 10 5 3 3 3 2" xfId="12188" xr:uid="{5A6FB888-C348-4F72-A4A5-1FEE6F435A46}"/>
    <cellStyle name="Currency 10 5 3 3 4" xfId="12189" xr:uid="{D6AF1A1A-43DD-4E4B-A780-7A9690EEAFF9}"/>
    <cellStyle name="Currency 10 5 3 3 4 2" xfId="12190" xr:uid="{F74733C8-5F85-4C9B-B1B6-289BFA10490E}"/>
    <cellStyle name="Currency 10 5 3 3 5" xfId="12191" xr:uid="{2CDB75C7-EDF7-40CA-908B-246E1D6E476A}"/>
    <cellStyle name="Currency 10 5 3 4" xfId="12192" xr:uid="{1F3BAA90-41F8-4BF7-B1CA-6246BB439EE3}"/>
    <cellStyle name="Currency 10 5 3 4 2" xfId="12193" xr:uid="{4D4DE5A3-5BC9-47BA-909B-6930EA93C37F}"/>
    <cellStyle name="Currency 10 5 3 5" xfId="12194" xr:uid="{768BD137-D8E5-436C-9B5B-8803600E564D}"/>
    <cellStyle name="Currency 10 5 3 5 2" xfId="12195" xr:uid="{4920976C-28F8-403A-B141-3814442DCC38}"/>
    <cellStyle name="Currency 10 5 3 6" xfId="12196" xr:uid="{9C859BB5-7A28-4FDC-A87F-FBD840BEE148}"/>
    <cellStyle name="Currency 10 5 3 6 2" xfId="12197" xr:uid="{28998908-968D-4975-8A62-6857AEB19554}"/>
    <cellStyle name="Currency 10 5 3 7" xfId="12198" xr:uid="{9D8846A7-A65C-4741-8800-4168964FC418}"/>
    <cellStyle name="Currency 10 5 3 7 2" xfId="12199" xr:uid="{A14DC09C-5C1E-485A-BA17-9E97CF66CF07}"/>
    <cellStyle name="Currency 10 5 3 8" xfId="12200" xr:uid="{7899526E-3F84-4E14-B4CD-0AD6383200CD}"/>
    <cellStyle name="Currency 10 5 3 8 2" xfId="12201" xr:uid="{32666AC1-DBA4-4407-A9CE-D0DEF3EA485E}"/>
    <cellStyle name="Currency 10 5 3 9" xfId="12202" xr:uid="{43DD10DB-9111-4BA9-9738-4D5DE6BE278D}"/>
    <cellStyle name="Currency 10 5 4" xfId="12203" xr:uid="{79E5CEF8-A760-404C-A0EC-8E42B8700232}"/>
    <cellStyle name="Currency 10 5 4 2" xfId="12204" xr:uid="{2C2F8D06-23D9-4629-82FA-63BE26CA17D9}"/>
    <cellStyle name="Currency 10 5 4 2 2" xfId="12205" xr:uid="{EA104D2A-58DA-403A-845E-369BE37F83E6}"/>
    <cellStyle name="Currency 10 5 4 3" xfId="12206" xr:uid="{CA73C945-A215-4756-BC07-47CEE3F2A6B3}"/>
    <cellStyle name="Currency 10 5 4 3 2" xfId="12207" xr:uid="{678E40A6-B895-4DF3-A147-744BA0A7854A}"/>
    <cellStyle name="Currency 10 5 4 4" xfId="12208" xr:uid="{3C34EBC4-5B43-491F-9F55-13C1E19FB68A}"/>
    <cellStyle name="Currency 10 5 4 4 2" xfId="12209" xr:uid="{4C7526C4-B8D8-4DE1-8817-7DCD2CAF54D7}"/>
    <cellStyle name="Currency 10 5 4 5" xfId="12210" xr:uid="{8D87B005-878D-4250-9707-BBBA9731A753}"/>
    <cellStyle name="Currency 10 5 5" xfId="12211" xr:uid="{F9FED79C-690B-4B07-8A81-E740A4063935}"/>
    <cellStyle name="Currency 10 5 5 2" xfId="12212" xr:uid="{26C75E69-2B32-4F49-8DDF-755C9079FF49}"/>
    <cellStyle name="Currency 10 5 5 2 2" xfId="12213" xr:uid="{D24A206F-42FF-4A47-86D0-9F0BB14C7E50}"/>
    <cellStyle name="Currency 10 5 5 3" xfId="12214" xr:uid="{934D206A-D417-45BD-9F64-5F4F84723E54}"/>
    <cellStyle name="Currency 10 5 5 3 2" xfId="12215" xr:uid="{268CAEE8-E324-41C5-B5E5-693592167070}"/>
    <cellStyle name="Currency 10 5 5 4" xfId="12216" xr:uid="{C30AC34E-D097-4267-B72B-692A0C344E23}"/>
    <cellStyle name="Currency 10 5 5 4 2" xfId="12217" xr:uid="{420C3B95-3BBF-4F01-A2E8-26E6C7A221C6}"/>
    <cellStyle name="Currency 10 5 5 5" xfId="12218" xr:uid="{10B1518F-8391-4513-B449-7C341A6D58BD}"/>
    <cellStyle name="Currency 10 5 6" xfId="12219" xr:uid="{10B67719-AE66-4FEB-84AA-64BF80AAD065}"/>
    <cellStyle name="Currency 10 5 6 2" xfId="12220" xr:uid="{8ADD6C0A-F242-4B19-A3C3-7FB1347288A9}"/>
    <cellStyle name="Currency 10 5 7" xfId="12221" xr:uid="{CFA9A84D-2FFC-4EF8-A5E8-9AEBA4CB1005}"/>
    <cellStyle name="Currency 10 5 7 2" xfId="12222" xr:uid="{A6335D34-A256-4A3C-82C2-3DE020218E08}"/>
    <cellStyle name="Currency 10 5 8" xfId="12223" xr:uid="{8BD06B4F-305D-487B-9983-F7825E42B1BC}"/>
    <cellStyle name="Currency 10 5 8 2" xfId="12224" xr:uid="{EBD6593A-5D7B-45C4-9A79-2C09F6EBEC79}"/>
    <cellStyle name="Currency 10 5 9" xfId="12225" xr:uid="{578A3556-28EA-4E11-9D1C-3DC40B80783D}"/>
    <cellStyle name="Currency 10 5 9 2" xfId="12226" xr:uid="{BCBF15BB-6B5A-4F24-9671-ACDFED65EFB7}"/>
    <cellStyle name="Currency 10 6" xfId="12227" xr:uid="{C4E30291-A1CD-4BE2-BE11-690517FF014D}"/>
    <cellStyle name="Currency 10 6 10" xfId="12228" xr:uid="{A6D2B7A1-E3D4-40FD-8B5C-30733A2AA71E}"/>
    <cellStyle name="Currency 10 6 10 2" xfId="12229" xr:uid="{A798B9EC-5312-497E-8F45-171F48FE5E81}"/>
    <cellStyle name="Currency 10 6 11" xfId="12230" xr:uid="{EDDB0E53-97AF-47CE-9B39-E4B0F5FDC795}"/>
    <cellStyle name="Currency 10 6 2" xfId="12231" xr:uid="{EC4A44BB-478F-4E84-BB86-3DD0D4EDA22A}"/>
    <cellStyle name="Currency 10 6 2 10" xfId="12232" xr:uid="{E4B87AE0-76B1-4C1C-AAE9-5D14267D6920}"/>
    <cellStyle name="Currency 10 6 2 2" xfId="12233" xr:uid="{C437549A-F94E-4607-AE1B-00C8270693C0}"/>
    <cellStyle name="Currency 10 6 2 2 2" xfId="12234" xr:uid="{B2E06A78-837E-4714-A9D0-6757AE9E4BAC}"/>
    <cellStyle name="Currency 10 6 2 2 2 2" xfId="12235" xr:uid="{4B8964B8-678C-42DA-A41C-F9D9007B27F1}"/>
    <cellStyle name="Currency 10 6 2 2 2 2 2" xfId="12236" xr:uid="{19326FFD-DB59-4C90-BA69-D135801D172D}"/>
    <cellStyle name="Currency 10 6 2 2 2 3" xfId="12237" xr:uid="{96BD195C-56C5-46D3-8515-D00D0E246EA6}"/>
    <cellStyle name="Currency 10 6 2 2 2 3 2" xfId="12238" xr:uid="{8C223A30-18FA-4310-9D1D-51D884DA474A}"/>
    <cellStyle name="Currency 10 6 2 2 2 4" xfId="12239" xr:uid="{9F7A5ECE-CF53-45CF-8E8C-76C83FF188F7}"/>
    <cellStyle name="Currency 10 6 2 2 2 4 2" xfId="12240" xr:uid="{3BA2F76D-EA88-4165-A6CD-627FF43A74E1}"/>
    <cellStyle name="Currency 10 6 2 2 2 5" xfId="12241" xr:uid="{05CF2677-BA20-41F3-8C20-04B7E2576822}"/>
    <cellStyle name="Currency 10 6 2 2 3" xfId="12242" xr:uid="{E31B7FA6-E50C-46F9-A8EE-12350BB64E6E}"/>
    <cellStyle name="Currency 10 6 2 2 3 2" xfId="12243" xr:uid="{FB04FCBA-C4CC-46B8-B5C8-6D15C48BB117}"/>
    <cellStyle name="Currency 10 6 2 2 3 2 2" xfId="12244" xr:uid="{2C6074DE-FA3D-432A-AA88-61A4DBBE5A5F}"/>
    <cellStyle name="Currency 10 6 2 2 3 3" xfId="12245" xr:uid="{95319A03-760A-4DCE-BC13-E91C9FFB4116}"/>
    <cellStyle name="Currency 10 6 2 2 3 3 2" xfId="12246" xr:uid="{E65B5B26-62B5-4D1E-9E8F-3AD2BC71928F}"/>
    <cellStyle name="Currency 10 6 2 2 3 4" xfId="12247" xr:uid="{8DA0FE0C-939A-41FD-8B72-9713DF05ECDB}"/>
    <cellStyle name="Currency 10 6 2 2 3 4 2" xfId="12248" xr:uid="{9396B2B5-AD46-403B-A442-25CFB24F668A}"/>
    <cellStyle name="Currency 10 6 2 2 3 5" xfId="12249" xr:uid="{4AA4422D-1D20-442D-8546-95C2C46C14F8}"/>
    <cellStyle name="Currency 10 6 2 2 4" xfId="12250" xr:uid="{C27B5A80-98AC-4FC9-B6B1-239F07A71E86}"/>
    <cellStyle name="Currency 10 6 2 2 4 2" xfId="12251" xr:uid="{7CEB7BD1-C168-46C4-AF5D-92781C92180D}"/>
    <cellStyle name="Currency 10 6 2 2 5" xfId="12252" xr:uid="{985A713E-6AF5-4CE4-9BD5-33296FD8DAA4}"/>
    <cellStyle name="Currency 10 6 2 2 5 2" xfId="12253" xr:uid="{21ED844F-4945-4C69-BA28-02E9D93D1EB2}"/>
    <cellStyle name="Currency 10 6 2 2 6" xfId="12254" xr:uid="{6D655CA8-E004-4824-8F3D-6AE4D817371B}"/>
    <cellStyle name="Currency 10 6 2 2 6 2" xfId="12255" xr:uid="{FBF869CD-F5AD-4265-B2A8-E25670E0EFEC}"/>
    <cellStyle name="Currency 10 6 2 2 7" xfId="12256" xr:uid="{8CBA45E3-0D15-4DF0-B123-816A6F115CF0}"/>
    <cellStyle name="Currency 10 6 2 2 7 2" xfId="12257" xr:uid="{A085D99F-2DA0-4EDF-AC33-EC448C2FA6E8}"/>
    <cellStyle name="Currency 10 6 2 2 8" xfId="12258" xr:uid="{7F694E98-7D6B-47EF-B3B0-EEA097412EC8}"/>
    <cellStyle name="Currency 10 6 2 2 8 2" xfId="12259" xr:uid="{E8E772B7-DC21-4D06-99D9-E57D76018E3C}"/>
    <cellStyle name="Currency 10 6 2 2 9" xfId="12260" xr:uid="{E05BD64E-EA6E-4506-AECA-159E62BBAB50}"/>
    <cellStyle name="Currency 10 6 2 3" xfId="12261" xr:uid="{660F015B-7D30-496C-93C8-CA6556B33AFE}"/>
    <cellStyle name="Currency 10 6 2 3 2" xfId="12262" xr:uid="{10A652C5-7E1D-4C7D-96A8-02DA7FE0B292}"/>
    <cellStyle name="Currency 10 6 2 3 2 2" xfId="12263" xr:uid="{268A2053-0678-4CB5-AE73-6C09C67D633A}"/>
    <cellStyle name="Currency 10 6 2 3 3" xfId="12264" xr:uid="{1DBC9324-DADB-4AB4-B33E-713213362DA8}"/>
    <cellStyle name="Currency 10 6 2 3 3 2" xfId="12265" xr:uid="{A3D88149-7E02-4D87-809A-34593A6442EE}"/>
    <cellStyle name="Currency 10 6 2 3 4" xfId="12266" xr:uid="{7BB95D29-32FB-474D-9436-33BAB1F18E3A}"/>
    <cellStyle name="Currency 10 6 2 3 4 2" xfId="12267" xr:uid="{22D150F2-F2AC-4C98-B239-DDC48B848FE1}"/>
    <cellStyle name="Currency 10 6 2 3 5" xfId="12268" xr:uid="{AD2D21F4-0907-46A1-94A0-42520BEEFC68}"/>
    <cellStyle name="Currency 10 6 2 4" xfId="12269" xr:uid="{932F15C3-D73A-4809-B01D-3603038663E9}"/>
    <cellStyle name="Currency 10 6 2 4 2" xfId="12270" xr:uid="{8C891972-E293-4176-9959-66FB0AC3C9E8}"/>
    <cellStyle name="Currency 10 6 2 4 2 2" xfId="12271" xr:uid="{2368134C-8285-4BCE-8761-F9B19F78A8A9}"/>
    <cellStyle name="Currency 10 6 2 4 3" xfId="12272" xr:uid="{639B6F26-B998-4C5C-9B37-97B0E6727464}"/>
    <cellStyle name="Currency 10 6 2 4 3 2" xfId="12273" xr:uid="{02289F51-4AD5-49B5-8803-E19785296656}"/>
    <cellStyle name="Currency 10 6 2 4 4" xfId="12274" xr:uid="{C67B5492-3BBD-43E8-8C79-801DE3CD7F7E}"/>
    <cellStyle name="Currency 10 6 2 4 4 2" xfId="12275" xr:uid="{D5BC723A-B761-48AB-876C-78E04D38E2D2}"/>
    <cellStyle name="Currency 10 6 2 4 5" xfId="12276" xr:uid="{55220231-1D4B-4DF9-B5D7-E60A9259B67A}"/>
    <cellStyle name="Currency 10 6 2 5" xfId="12277" xr:uid="{488C41FD-3A14-4F60-B8EF-4EF68AD0D5B2}"/>
    <cellStyle name="Currency 10 6 2 5 2" xfId="12278" xr:uid="{1EE5E90E-2F96-4A64-8063-A72D9931BA36}"/>
    <cellStyle name="Currency 10 6 2 6" xfId="12279" xr:uid="{9D464A1E-AE83-489E-9F78-BD688258C55E}"/>
    <cellStyle name="Currency 10 6 2 6 2" xfId="12280" xr:uid="{FC956223-2F3E-4626-B312-8FB6D2A90C1E}"/>
    <cellStyle name="Currency 10 6 2 7" xfId="12281" xr:uid="{D528EE32-D0D2-452C-903F-A5081F27534E}"/>
    <cellStyle name="Currency 10 6 2 7 2" xfId="12282" xr:uid="{8747B376-4952-4BF8-A1B0-E2205F6C0F07}"/>
    <cellStyle name="Currency 10 6 2 8" xfId="12283" xr:uid="{557E3DEE-20BC-4875-9C25-DE4CBFC92EF9}"/>
    <cellStyle name="Currency 10 6 2 8 2" xfId="12284" xr:uid="{2CC60B8C-31C9-4F5E-80D6-1CA834288901}"/>
    <cellStyle name="Currency 10 6 2 9" xfId="12285" xr:uid="{0C9BAA50-9AB2-408E-91FB-15C62908B688}"/>
    <cellStyle name="Currency 10 6 2 9 2" xfId="12286" xr:uid="{F305710A-BE1A-4C77-9593-DF3B7D93B88A}"/>
    <cellStyle name="Currency 10 6 3" xfId="12287" xr:uid="{741EF746-631A-4C0B-85CA-1738EEAF52F3}"/>
    <cellStyle name="Currency 10 6 3 2" xfId="12288" xr:uid="{3BF9F9B8-BB47-46C7-B730-0B1D2669FD19}"/>
    <cellStyle name="Currency 10 6 3 2 2" xfId="12289" xr:uid="{CCD1F9BB-FD59-4793-A6C6-65DF81686A9F}"/>
    <cellStyle name="Currency 10 6 3 2 2 2" xfId="12290" xr:uid="{032C50FB-92AC-4DEC-AE09-26A4BF02E196}"/>
    <cellStyle name="Currency 10 6 3 2 3" xfId="12291" xr:uid="{56F54970-CD6B-44CC-8B35-36AD172E7192}"/>
    <cellStyle name="Currency 10 6 3 2 3 2" xfId="12292" xr:uid="{FDE96D73-F04A-4F3B-BDCB-F5F3E9F15A55}"/>
    <cellStyle name="Currency 10 6 3 2 4" xfId="12293" xr:uid="{1AA80259-7185-4FB6-906D-62B964E2639B}"/>
    <cellStyle name="Currency 10 6 3 2 4 2" xfId="12294" xr:uid="{9D69CE33-A113-446A-B866-774BEC7FE66E}"/>
    <cellStyle name="Currency 10 6 3 2 5" xfId="12295" xr:uid="{792F161A-6519-4CF6-ABFD-40F597C5337C}"/>
    <cellStyle name="Currency 10 6 3 3" xfId="12296" xr:uid="{3AE73065-518B-4125-B7F2-73A06274547A}"/>
    <cellStyle name="Currency 10 6 3 3 2" xfId="12297" xr:uid="{CE1353CB-65A6-47D6-9166-6F9F570A85AF}"/>
    <cellStyle name="Currency 10 6 3 3 2 2" xfId="12298" xr:uid="{B23A3932-F0B5-4DC1-B530-94A80F231AB4}"/>
    <cellStyle name="Currency 10 6 3 3 3" xfId="12299" xr:uid="{4CDFDC8F-7575-458E-963A-B322E583BB7E}"/>
    <cellStyle name="Currency 10 6 3 3 3 2" xfId="12300" xr:uid="{41D1FC1E-4BCB-4081-873F-D0B4A407C47A}"/>
    <cellStyle name="Currency 10 6 3 3 4" xfId="12301" xr:uid="{ECB56260-D8F7-4021-9420-00C16D23E0FB}"/>
    <cellStyle name="Currency 10 6 3 3 4 2" xfId="12302" xr:uid="{5BFD2698-A8DD-4FFF-8103-2C49DEDD41DC}"/>
    <cellStyle name="Currency 10 6 3 3 5" xfId="12303" xr:uid="{80FF1043-8396-416C-B1A5-13F268B855E5}"/>
    <cellStyle name="Currency 10 6 3 4" xfId="12304" xr:uid="{E8C37DB5-0FC7-4908-A193-7FAC3880E38F}"/>
    <cellStyle name="Currency 10 6 3 4 2" xfId="12305" xr:uid="{500AD2B8-3837-4105-9F81-5B143198933B}"/>
    <cellStyle name="Currency 10 6 3 5" xfId="12306" xr:uid="{CA8BABD4-9268-4FBB-8D31-79894862C48C}"/>
    <cellStyle name="Currency 10 6 3 5 2" xfId="12307" xr:uid="{8700192B-F349-449D-B2E5-0254E3F5E454}"/>
    <cellStyle name="Currency 10 6 3 6" xfId="12308" xr:uid="{053BE942-10DA-477B-A1E2-7BE8C780C517}"/>
    <cellStyle name="Currency 10 6 3 6 2" xfId="12309" xr:uid="{1AAB6E4B-2B4C-4272-A87D-FA4FCBDA4659}"/>
    <cellStyle name="Currency 10 6 3 7" xfId="12310" xr:uid="{F56E099E-0418-4610-A9B2-97ACE3AE5F64}"/>
    <cellStyle name="Currency 10 6 3 7 2" xfId="12311" xr:uid="{E3495493-037F-4382-A553-09C1A48C965F}"/>
    <cellStyle name="Currency 10 6 3 8" xfId="12312" xr:uid="{A81AB76A-92C6-4E06-9D66-3E9B41FDC646}"/>
    <cellStyle name="Currency 10 6 3 8 2" xfId="12313" xr:uid="{582D4E7D-BB35-4A65-907C-7B8BCD7FB8B1}"/>
    <cellStyle name="Currency 10 6 3 9" xfId="12314" xr:uid="{B85263F2-B481-4D91-A7CA-CDAF01CDBF11}"/>
    <cellStyle name="Currency 10 6 4" xfId="12315" xr:uid="{83934967-D55F-4E5F-A9EB-872F5603A2F7}"/>
    <cellStyle name="Currency 10 6 4 2" xfId="12316" xr:uid="{A1512EB2-3FF3-4BD9-A46D-FCC4EC2D631C}"/>
    <cellStyle name="Currency 10 6 4 2 2" xfId="12317" xr:uid="{08134F69-E37B-47A9-9626-46CC66D0B581}"/>
    <cellStyle name="Currency 10 6 4 3" xfId="12318" xr:uid="{524D19C9-A816-44B9-AA3D-EC68719E2AAD}"/>
    <cellStyle name="Currency 10 6 4 3 2" xfId="12319" xr:uid="{CC1B136E-C2C0-4D00-AAAB-9245CF39C0B5}"/>
    <cellStyle name="Currency 10 6 4 4" xfId="12320" xr:uid="{03670D7F-D5F6-4244-BA8A-27DF50BC2E20}"/>
    <cellStyle name="Currency 10 6 4 4 2" xfId="12321" xr:uid="{7FD51EC1-E289-43FC-9A59-BA403F72C562}"/>
    <cellStyle name="Currency 10 6 4 5" xfId="12322" xr:uid="{1DA6DE5F-F16D-4776-ABBB-7B23576D663E}"/>
    <cellStyle name="Currency 10 6 5" xfId="12323" xr:uid="{BC6234B4-9AE6-4967-8B57-79DBF6865EEB}"/>
    <cellStyle name="Currency 10 6 5 2" xfId="12324" xr:uid="{3C04CBA5-13CA-4147-8586-0622248798F5}"/>
    <cellStyle name="Currency 10 6 5 2 2" xfId="12325" xr:uid="{256C1629-6349-48E1-82AA-B707B4A3A330}"/>
    <cellStyle name="Currency 10 6 5 3" xfId="12326" xr:uid="{1F9D653E-B0AE-4AC9-922E-643FFC87FD5F}"/>
    <cellStyle name="Currency 10 6 5 3 2" xfId="12327" xr:uid="{670322FB-4A64-4F49-87A8-F36D809A030F}"/>
    <cellStyle name="Currency 10 6 5 4" xfId="12328" xr:uid="{DF9F58F7-CC51-4E79-B55B-A1DC4655A037}"/>
    <cellStyle name="Currency 10 6 5 4 2" xfId="12329" xr:uid="{456A0A72-74C8-45B8-BDFE-AB42329E593B}"/>
    <cellStyle name="Currency 10 6 5 5" xfId="12330" xr:uid="{4E6E098B-BB4D-4EA9-9A03-75DFB8AA4D61}"/>
    <cellStyle name="Currency 10 6 6" xfId="12331" xr:uid="{2682820D-DB4A-4846-A07C-D2C39F78DA43}"/>
    <cellStyle name="Currency 10 6 6 2" xfId="12332" xr:uid="{B77EE23B-6B14-411E-903A-36C43F8B7031}"/>
    <cellStyle name="Currency 10 6 7" xfId="12333" xr:uid="{6B7DAFAE-527B-426F-BFDD-AA560856185A}"/>
    <cellStyle name="Currency 10 6 7 2" xfId="12334" xr:uid="{7E904A14-A6F1-4505-A383-D38BCD694AB4}"/>
    <cellStyle name="Currency 10 6 8" xfId="12335" xr:uid="{82D0C652-AAFC-43F4-80EE-CB051E04DCBD}"/>
    <cellStyle name="Currency 10 6 8 2" xfId="12336" xr:uid="{56243ABB-E638-4C98-835B-DE9BE31C7092}"/>
    <cellStyle name="Currency 10 6 9" xfId="12337" xr:uid="{AE192732-FEF8-40C2-B24E-82109895D620}"/>
    <cellStyle name="Currency 10 6 9 2" xfId="12338" xr:uid="{273535EC-17D4-44F2-AA19-CC0254AAF053}"/>
    <cellStyle name="Currency 10 7" xfId="12339" xr:uid="{1BEBE392-FAFB-43C7-A86C-858BF6A44457}"/>
    <cellStyle name="Currency 10 7 10" xfId="12340" xr:uid="{23F47DCA-2637-4AE2-A21C-7DC39C43A107}"/>
    <cellStyle name="Currency 10 7 10 2" xfId="12341" xr:uid="{0ADEC308-56A8-405D-830F-B6E7ABDA71DE}"/>
    <cellStyle name="Currency 10 7 11" xfId="12342" xr:uid="{99A5B6CD-9317-454C-ABD5-69B60D363E10}"/>
    <cellStyle name="Currency 10 7 2" xfId="12343" xr:uid="{F153085E-FE2F-4DD6-9C53-AFAB0B19D03C}"/>
    <cellStyle name="Currency 10 7 2 10" xfId="12344" xr:uid="{82363686-D11E-40C6-9B13-9618F7E62C61}"/>
    <cellStyle name="Currency 10 7 2 2" xfId="12345" xr:uid="{0C4F0C26-3C75-4FEE-99F8-33C2BF1FED8B}"/>
    <cellStyle name="Currency 10 7 2 2 2" xfId="12346" xr:uid="{CA6FBA15-196B-406B-B9FB-4C62AF2FB5BC}"/>
    <cellStyle name="Currency 10 7 2 2 2 2" xfId="12347" xr:uid="{E67DB52C-7064-457B-B700-F1E321CE9DA9}"/>
    <cellStyle name="Currency 10 7 2 2 2 2 2" xfId="12348" xr:uid="{CCE068C2-AC18-41A0-B1C6-8EAEA0E121F4}"/>
    <cellStyle name="Currency 10 7 2 2 2 3" xfId="12349" xr:uid="{57B63ED2-250E-4E5E-9955-C610D274C4EF}"/>
    <cellStyle name="Currency 10 7 2 2 2 3 2" xfId="12350" xr:uid="{8A9817A9-D130-4DCE-B59A-9DB4F274417C}"/>
    <cellStyle name="Currency 10 7 2 2 2 4" xfId="12351" xr:uid="{AA722D0B-9DB0-4D97-9D6F-1B1AF4BC3DDB}"/>
    <cellStyle name="Currency 10 7 2 2 2 4 2" xfId="12352" xr:uid="{4E4BB9D1-67F9-4BF3-B2C6-B757A1943E11}"/>
    <cellStyle name="Currency 10 7 2 2 2 5" xfId="12353" xr:uid="{2222966A-7CC9-4F35-943C-85AE9D64070D}"/>
    <cellStyle name="Currency 10 7 2 2 3" xfId="12354" xr:uid="{607BC9EA-273B-4F51-A553-014F180728B7}"/>
    <cellStyle name="Currency 10 7 2 2 3 2" xfId="12355" xr:uid="{E2D3CE47-5C0A-4F37-8DFF-3B13082ED59F}"/>
    <cellStyle name="Currency 10 7 2 2 3 2 2" xfId="12356" xr:uid="{5D40F303-6F75-4FA0-B42A-8F4D964BC028}"/>
    <cellStyle name="Currency 10 7 2 2 3 3" xfId="12357" xr:uid="{4C76FCA5-DDE4-4D53-BA7D-59C3CD845FE0}"/>
    <cellStyle name="Currency 10 7 2 2 3 3 2" xfId="12358" xr:uid="{1FF62B3D-20A4-4068-B448-0EE89B13C263}"/>
    <cellStyle name="Currency 10 7 2 2 3 4" xfId="12359" xr:uid="{6EC7E853-BE48-4BF1-8FD7-CE2705E834FF}"/>
    <cellStyle name="Currency 10 7 2 2 3 4 2" xfId="12360" xr:uid="{7651BBAB-F6CD-4B8E-8C94-7CCD622231FA}"/>
    <cellStyle name="Currency 10 7 2 2 3 5" xfId="12361" xr:uid="{FEFBF0C9-689D-4C1A-90C8-A894D1E03F79}"/>
    <cellStyle name="Currency 10 7 2 2 4" xfId="12362" xr:uid="{F9B28AC6-F497-45D1-B7AE-A7E5A01A18BE}"/>
    <cellStyle name="Currency 10 7 2 2 4 2" xfId="12363" xr:uid="{A8CC07BE-7083-48D0-9062-01AA6DB26D86}"/>
    <cellStyle name="Currency 10 7 2 2 5" xfId="12364" xr:uid="{E8137587-8BA4-421A-A044-3696E16B028B}"/>
    <cellStyle name="Currency 10 7 2 2 5 2" xfId="12365" xr:uid="{D451841F-8014-4130-B2F2-3FDA81636C04}"/>
    <cellStyle name="Currency 10 7 2 2 6" xfId="12366" xr:uid="{B63A7DC8-3CF3-4B8A-B365-F9C02A0B6721}"/>
    <cellStyle name="Currency 10 7 2 2 6 2" xfId="12367" xr:uid="{9BB4BB22-5F71-4D73-BA83-CD66AAD81D9C}"/>
    <cellStyle name="Currency 10 7 2 2 7" xfId="12368" xr:uid="{608E0E32-9ECE-4DB2-85C9-73D5588DAB7E}"/>
    <cellStyle name="Currency 10 7 2 2 7 2" xfId="12369" xr:uid="{6555F527-84F6-4B9A-9BD4-A28C14209F92}"/>
    <cellStyle name="Currency 10 7 2 2 8" xfId="12370" xr:uid="{F4753D00-E7C0-46FB-A30D-7F0DB131FC64}"/>
    <cellStyle name="Currency 10 7 2 2 8 2" xfId="12371" xr:uid="{B5431A4F-6CCE-43D8-9D20-76DE715667E2}"/>
    <cellStyle name="Currency 10 7 2 2 9" xfId="12372" xr:uid="{C2C5FB52-9A3D-41A1-A1BD-0E78895231F5}"/>
    <cellStyle name="Currency 10 7 2 3" xfId="12373" xr:uid="{A5E6CD18-91BD-41EC-9861-D10EF07A05E0}"/>
    <cellStyle name="Currency 10 7 2 3 2" xfId="12374" xr:uid="{8C308F7A-C6F6-4D72-B654-EFF428979B24}"/>
    <cellStyle name="Currency 10 7 2 3 2 2" xfId="12375" xr:uid="{FFB68EE2-A497-422F-B21A-4884FD98F768}"/>
    <cellStyle name="Currency 10 7 2 3 3" xfId="12376" xr:uid="{86A47D04-4ACB-4FEC-9E45-CEE2876C8BD4}"/>
    <cellStyle name="Currency 10 7 2 3 3 2" xfId="12377" xr:uid="{E55E9B67-1E1E-4393-9D4C-50AE447177C5}"/>
    <cellStyle name="Currency 10 7 2 3 4" xfId="12378" xr:uid="{24344C39-C85E-427A-AF03-CEE1BDBCE807}"/>
    <cellStyle name="Currency 10 7 2 3 4 2" xfId="12379" xr:uid="{0FBA44DB-F10D-4472-AD01-743DFFB38AD3}"/>
    <cellStyle name="Currency 10 7 2 3 5" xfId="12380" xr:uid="{62A13D5B-CB0D-4735-AE71-B94E4203786D}"/>
    <cellStyle name="Currency 10 7 2 4" xfId="12381" xr:uid="{2B681EF4-F93D-4770-AB16-163C9399823E}"/>
    <cellStyle name="Currency 10 7 2 4 2" xfId="12382" xr:uid="{4B74E3E8-3497-456E-A5A9-43A411036FBE}"/>
    <cellStyle name="Currency 10 7 2 4 2 2" xfId="12383" xr:uid="{98EBFB89-6CBE-474C-BDD7-A2F87A99DF65}"/>
    <cellStyle name="Currency 10 7 2 4 3" xfId="12384" xr:uid="{DB5720F3-8EE4-41BE-B1BD-8814E46B06F4}"/>
    <cellStyle name="Currency 10 7 2 4 3 2" xfId="12385" xr:uid="{0754CDDE-C860-4CA4-AD31-37319DE3F95D}"/>
    <cellStyle name="Currency 10 7 2 4 4" xfId="12386" xr:uid="{C547DA00-B232-4C8E-B615-7A8CBD03C54A}"/>
    <cellStyle name="Currency 10 7 2 4 4 2" xfId="12387" xr:uid="{6D40351B-F467-4143-86B8-EC0276DB785E}"/>
    <cellStyle name="Currency 10 7 2 4 5" xfId="12388" xr:uid="{866930E4-C5CC-4FB4-9CAB-7E6092BC54EE}"/>
    <cellStyle name="Currency 10 7 2 5" xfId="12389" xr:uid="{D7AE8722-1220-49E5-A520-31AB321DE077}"/>
    <cellStyle name="Currency 10 7 2 5 2" xfId="12390" xr:uid="{A81A48D8-006E-4C53-BF17-FE7920055315}"/>
    <cellStyle name="Currency 10 7 2 6" xfId="12391" xr:uid="{ED218707-02E4-4A6A-BFC2-FF3543176632}"/>
    <cellStyle name="Currency 10 7 2 6 2" xfId="12392" xr:uid="{0471030F-BE2F-4311-A9BD-5CA7E9594FD2}"/>
    <cellStyle name="Currency 10 7 2 7" xfId="12393" xr:uid="{4A9F2AC0-0CAF-4D40-A787-15D861D15B21}"/>
    <cellStyle name="Currency 10 7 2 7 2" xfId="12394" xr:uid="{AD8354F4-78C0-418A-B42C-F412C7117AAC}"/>
    <cellStyle name="Currency 10 7 2 8" xfId="12395" xr:uid="{985602EE-6FB7-452A-B65F-57E49667189C}"/>
    <cellStyle name="Currency 10 7 2 8 2" xfId="12396" xr:uid="{C0097EAC-D64E-4F2A-9919-2A2492D2F5A3}"/>
    <cellStyle name="Currency 10 7 2 9" xfId="12397" xr:uid="{12C796BF-FF96-4BD3-96C2-4A785F538CE7}"/>
    <cellStyle name="Currency 10 7 2 9 2" xfId="12398" xr:uid="{B40D30B5-222D-47AE-9E36-074E99B6117F}"/>
    <cellStyle name="Currency 10 7 3" xfId="12399" xr:uid="{6E24ADD7-601E-4955-82D1-49C3F04AEDD9}"/>
    <cellStyle name="Currency 10 7 3 2" xfId="12400" xr:uid="{6C233ED5-57C7-4A25-B41D-9DB1EAA7BDC5}"/>
    <cellStyle name="Currency 10 7 3 2 2" xfId="12401" xr:uid="{FA4157CA-E145-47AC-BDFA-24717133CB23}"/>
    <cellStyle name="Currency 10 7 3 2 2 2" xfId="12402" xr:uid="{15840DA4-8559-4995-B2DE-5002241A402D}"/>
    <cellStyle name="Currency 10 7 3 2 3" xfId="12403" xr:uid="{6CA58069-79AB-47DA-B193-7E1C3D654D0E}"/>
    <cellStyle name="Currency 10 7 3 2 3 2" xfId="12404" xr:uid="{555CF62C-CEC3-4C08-BCB1-5638775B6097}"/>
    <cellStyle name="Currency 10 7 3 2 4" xfId="12405" xr:uid="{6375B561-7DB7-4E9D-A5B9-5DB7B7654139}"/>
    <cellStyle name="Currency 10 7 3 2 4 2" xfId="12406" xr:uid="{D3DE4AEB-D6F1-40DF-B683-1A122B25C4DD}"/>
    <cellStyle name="Currency 10 7 3 2 5" xfId="12407" xr:uid="{7434FC0D-B330-4605-BB87-0E065205FEA8}"/>
    <cellStyle name="Currency 10 7 3 3" xfId="12408" xr:uid="{C850F3CC-CE63-466E-9FAF-AF7ADF9B7716}"/>
    <cellStyle name="Currency 10 7 3 3 2" xfId="12409" xr:uid="{F5B614BD-B459-43CB-9273-AEB43772A557}"/>
    <cellStyle name="Currency 10 7 3 3 2 2" xfId="12410" xr:uid="{B87EE0C7-B81F-419C-927F-DBD782246C77}"/>
    <cellStyle name="Currency 10 7 3 3 3" xfId="12411" xr:uid="{CF548B4A-0621-48D7-8E97-7803444647AD}"/>
    <cellStyle name="Currency 10 7 3 3 3 2" xfId="12412" xr:uid="{5098D69E-60CD-41DA-80AD-4198C1FBA652}"/>
    <cellStyle name="Currency 10 7 3 3 4" xfId="12413" xr:uid="{EBD2634A-FAD0-4D5E-B6E6-5F741266F841}"/>
    <cellStyle name="Currency 10 7 3 3 4 2" xfId="12414" xr:uid="{B0C26ACE-6978-40D7-8B20-98E15673C2E7}"/>
    <cellStyle name="Currency 10 7 3 3 5" xfId="12415" xr:uid="{088D7567-32D8-476F-B18C-E0618D8BF7F3}"/>
    <cellStyle name="Currency 10 7 3 4" xfId="12416" xr:uid="{3F2BCCFA-F9E4-41AB-BD9B-B963B2B8E112}"/>
    <cellStyle name="Currency 10 7 3 4 2" xfId="12417" xr:uid="{7CF2B6FE-EB9D-43D9-A991-4D5C0FFBDF1A}"/>
    <cellStyle name="Currency 10 7 3 5" xfId="12418" xr:uid="{787767F5-0B82-4DE9-B6DB-5424C69D02CB}"/>
    <cellStyle name="Currency 10 7 3 5 2" xfId="12419" xr:uid="{7179A563-00D8-460E-8B4D-A0C3D0F43A01}"/>
    <cellStyle name="Currency 10 7 3 6" xfId="12420" xr:uid="{B9E0FA5F-3148-4D9E-A671-AF6FAA67C380}"/>
    <cellStyle name="Currency 10 7 3 6 2" xfId="12421" xr:uid="{2AAA0085-AD42-45CF-8B14-859D151AD503}"/>
    <cellStyle name="Currency 10 7 3 7" xfId="12422" xr:uid="{D9FDF239-FF65-46A4-BE00-76343B4C255B}"/>
    <cellStyle name="Currency 10 7 3 7 2" xfId="12423" xr:uid="{FCA1EE6A-C82D-421F-BEFE-690E8D5BDE8A}"/>
    <cellStyle name="Currency 10 7 3 8" xfId="12424" xr:uid="{2E4C344F-CCB1-4D66-AB31-FBF9A0BCDE27}"/>
    <cellStyle name="Currency 10 7 3 8 2" xfId="12425" xr:uid="{A22C7A3C-CB83-4305-9AEA-D021FF075BAC}"/>
    <cellStyle name="Currency 10 7 3 9" xfId="12426" xr:uid="{F4DFFA21-483A-46E1-919A-F588CD83A74A}"/>
    <cellStyle name="Currency 10 7 4" xfId="12427" xr:uid="{6CDEBB0D-50EF-452B-AF78-3F1A41958EE6}"/>
    <cellStyle name="Currency 10 7 4 2" xfId="12428" xr:uid="{01D428DA-45FD-4F72-8D16-648B4A585F63}"/>
    <cellStyle name="Currency 10 7 4 2 2" xfId="12429" xr:uid="{EB928613-B45B-467D-9C04-843F81F4D7D3}"/>
    <cellStyle name="Currency 10 7 4 3" xfId="12430" xr:uid="{8EB7F972-128A-42EC-B3AB-98DFE92AF1EF}"/>
    <cellStyle name="Currency 10 7 4 3 2" xfId="12431" xr:uid="{75A63626-056F-4F6D-A94C-02306B4694F7}"/>
    <cellStyle name="Currency 10 7 4 4" xfId="12432" xr:uid="{33D51B5E-0400-41F3-991C-6077D3B5DB89}"/>
    <cellStyle name="Currency 10 7 4 4 2" xfId="12433" xr:uid="{79F6A2F3-67C2-4B7B-92CE-F1151412248A}"/>
    <cellStyle name="Currency 10 7 4 5" xfId="12434" xr:uid="{D7ED543F-0F18-4CE0-B1FC-4297C5AB2434}"/>
    <cellStyle name="Currency 10 7 5" xfId="12435" xr:uid="{70576423-4292-4ED7-985D-61F5A41EABEA}"/>
    <cellStyle name="Currency 10 7 5 2" xfId="12436" xr:uid="{AF440302-74FB-4B51-9242-2CD266FAF86A}"/>
    <cellStyle name="Currency 10 7 5 2 2" xfId="12437" xr:uid="{90805BC1-00E6-4BEE-8DAA-1B69BC15E68D}"/>
    <cellStyle name="Currency 10 7 5 3" xfId="12438" xr:uid="{0C73D05B-226C-4E18-99CD-AC13752FDD45}"/>
    <cellStyle name="Currency 10 7 5 3 2" xfId="12439" xr:uid="{1B68FD7F-1ED8-467B-86EC-E17B53D0FA20}"/>
    <cellStyle name="Currency 10 7 5 4" xfId="12440" xr:uid="{FBF9B913-1071-4B9D-8345-62C1E7730602}"/>
    <cellStyle name="Currency 10 7 5 4 2" xfId="12441" xr:uid="{1FA325D7-6B03-45D8-B1E2-67E5407E8E15}"/>
    <cellStyle name="Currency 10 7 5 5" xfId="12442" xr:uid="{D69AC0D5-886E-47EE-86DB-50BEEDA7279A}"/>
    <cellStyle name="Currency 10 7 6" xfId="12443" xr:uid="{EEC0EB83-B04F-4FF0-BFB0-28825661A4C4}"/>
    <cellStyle name="Currency 10 7 6 2" xfId="12444" xr:uid="{B6A3A7DF-AA2C-4F67-8E53-1E23D9763A51}"/>
    <cellStyle name="Currency 10 7 7" xfId="12445" xr:uid="{6C2914E4-3BE8-45F6-93E8-63BB12B4E6E3}"/>
    <cellStyle name="Currency 10 7 7 2" xfId="12446" xr:uid="{6AE31C40-5B74-4A93-9765-CE00E6CA3432}"/>
    <cellStyle name="Currency 10 7 8" xfId="12447" xr:uid="{876975EA-AE40-4BF6-9545-272A5E6E64E2}"/>
    <cellStyle name="Currency 10 7 8 2" xfId="12448" xr:uid="{F4FE5DA8-CAE0-4AE6-A801-68E18B163EC0}"/>
    <cellStyle name="Currency 10 7 9" xfId="12449" xr:uid="{A4BCE0FA-A410-4B09-A656-5F68A0A1243A}"/>
    <cellStyle name="Currency 10 7 9 2" xfId="12450" xr:uid="{9A882950-47A0-44D7-A11C-156325B4B674}"/>
    <cellStyle name="Currency 10 8" xfId="12451" xr:uid="{D6DBD7B2-8B2C-4A7E-AF64-D56CD30401D8}"/>
    <cellStyle name="Currency 10 8 10" xfId="12452" xr:uid="{EB730AF5-2292-410F-B749-0BCAF9590AF1}"/>
    <cellStyle name="Currency 10 8 2" xfId="12453" xr:uid="{46D81D6B-D7E4-4B0B-B76B-33A3388B849E}"/>
    <cellStyle name="Currency 10 8 2 2" xfId="12454" xr:uid="{FA4A23CD-4D65-4B20-8F79-9EDCE5F6DA4D}"/>
    <cellStyle name="Currency 10 8 2 2 2" xfId="12455" xr:uid="{DC04A49C-B0AF-4874-BEE4-AB3C7A7B46F0}"/>
    <cellStyle name="Currency 10 8 2 2 2 2" xfId="12456" xr:uid="{EE5C2127-23B7-46E6-90C7-D5B9A2FD06C7}"/>
    <cellStyle name="Currency 10 8 2 2 3" xfId="12457" xr:uid="{35F3F400-F5EB-45F9-A4E3-1A04D35353CA}"/>
    <cellStyle name="Currency 10 8 2 2 3 2" xfId="12458" xr:uid="{FAAE5FBF-FBB5-4D75-A738-E95585D12D78}"/>
    <cellStyle name="Currency 10 8 2 2 4" xfId="12459" xr:uid="{20166971-7D0A-4CFD-AE62-404EF5FC50AA}"/>
    <cellStyle name="Currency 10 8 2 2 4 2" xfId="12460" xr:uid="{68291086-01D5-4468-8C42-8E9E309B34DB}"/>
    <cellStyle name="Currency 10 8 2 2 5" xfId="12461" xr:uid="{A25C4817-787E-49B5-AFF1-629041876F4F}"/>
    <cellStyle name="Currency 10 8 2 3" xfId="12462" xr:uid="{8390A7F3-AC01-4226-9866-469A3D72427F}"/>
    <cellStyle name="Currency 10 8 2 3 2" xfId="12463" xr:uid="{FAAE88B0-E726-4F9A-9CCE-C2D488CF658C}"/>
    <cellStyle name="Currency 10 8 2 3 2 2" xfId="12464" xr:uid="{D9F3B08C-F210-4AA0-B338-039C1B78E456}"/>
    <cellStyle name="Currency 10 8 2 3 3" xfId="12465" xr:uid="{88EAD8D3-64D5-49B5-AD47-9AAE6368EDF7}"/>
    <cellStyle name="Currency 10 8 2 3 3 2" xfId="12466" xr:uid="{A1BF3A51-2722-4794-81F8-5BDA17172C7A}"/>
    <cellStyle name="Currency 10 8 2 3 4" xfId="12467" xr:uid="{ED52FE23-05E1-43CA-8DA2-B5D8A012C1C0}"/>
    <cellStyle name="Currency 10 8 2 3 4 2" xfId="12468" xr:uid="{30C15303-5DCA-413D-98AE-480B5076BC08}"/>
    <cellStyle name="Currency 10 8 2 3 5" xfId="12469" xr:uid="{79FCB2CB-6ACC-4F7A-9CED-8A7B1E01A747}"/>
    <cellStyle name="Currency 10 8 2 4" xfId="12470" xr:uid="{F2938F25-EE56-44A9-AC2F-7A55595367E3}"/>
    <cellStyle name="Currency 10 8 2 4 2" xfId="12471" xr:uid="{FA0670D5-F052-42B3-B8BD-1637EFA8CBAA}"/>
    <cellStyle name="Currency 10 8 2 5" xfId="12472" xr:uid="{5709D2BA-A976-4B00-8FB7-E18359F2295A}"/>
    <cellStyle name="Currency 10 8 2 5 2" xfId="12473" xr:uid="{51EFB555-9D30-4EF9-BD84-6F31BEED2D6C}"/>
    <cellStyle name="Currency 10 8 2 6" xfId="12474" xr:uid="{085F0AB9-B49A-499F-BA0D-586256CD73AA}"/>
    <cellStyle name="Currency 10 8 2 6 2" xfId="12475" xr:uid="{82291319-CC6C-457D-8562-932E3046F9C6}"/>
    <cellStyle name="Currency 10 8 2 7" xfId="12476" xr:uid="{3E86DB07-95BE-403E-808A-CCD382D1E785}"/>
    <cellStyle name="Currency 10 8 2 7 2" xfId="12477" xr:uid="{ADE09F8A-FEDE-4D4F-8029-6AEF6590B1C2}"/>
    <cellStyle name="Currency 10 8 2 8" xfId="12478" xr:uid="{31577DAD-47A2-4F2F-957F-DCEA78F82019}"/>
    <cellStyle name="Currency 10 8 2 8 2" xfId="12479" xr:uid="{8B3B8560-4FA1-4A11-A495-7711D026016A}"/>
    <cellStyle name="Currency 10 8 2 9" xfId="12480" xr:uid="{52F1AC51-EB4A-416D-8A2F-1AF6ADA19A79}"/>
    <cellStyle name="Currency 10 8 3" xfId="12481" xr:uid="{7DAC9321-3536-4AB3-96C4-D570233D48E1}"/>
    <cellStyle name="Currency 10 8 3 2" xfId="12482" xr:uid="{258FEB78-0CD8-4698-8012-B51C2DAB119E}"/>
    <cellStyle name="Currency 10 8 3 2 2" xfId="12483" xr:uid="{B1FA108E-1C0B-4C1A-B020-CDECBA91F220}"/>
    <cellStyle name="Currency 10 8 3 3" xfId="12484" xr:uid="{CAB6FA6E-C8EA-46BE-94BE-A6660804C471}"/>
    <cellStyle name="Currency 10 8 3 3 2" xfId="12485" xr:uid="{5F4C9DE8-B086-452B-92CA-65DB565E87D9}"/>
    <cellStyle name="Currency 10 8 3 4" xfId="12486" xr:uid="{75210C28-980B-4A1E-86E6-03FCA4B9793A}"/>
    <cellStyle name="Currency 10 8 3 4 2" xfId="12487" xr:uid="{8675DB27-B15E-40B6-BABB-54115351A242}"/>
    <cellStyle name="Currency 10 8 3 5" xfId="12488" xr:uid="{21E93924-B172-477F-8076-CD14B669DD69}"/>
    <cellStyle name="Currency 10 8 4" xfId="12489" xr:uid="{7E839938-6DF9-4FFE-B790-A5E2D0B67453}"/>
    <cellStyle name="Currency 10 8 4 2" xfId="12490" xr:uid="{160A954D-0AD3-4999-BC69-7F8191B97FC7}"/>
    <cellStyle name="Currency 10 8 4 2 2" xfId="12491" xr:uid="{119563D3-A6E3-4A06-AA54-2118CB7B6EA5}"/>
    <cellStyle name="Currency 10 8 4 3" xfId="12492" xr:uid="{AFB0E2F0-EB69-471F-9FAD-28301B80BD04}"/>
    <cellStyle name="Currency 10 8 4 3 2" xfId="12493" xr:uid="{2F07B2BA-43EB-41E8-ADF6-15E2A18BAB2A}"/>
    <cellStyle name="Currency 10 8 4 4" xfId="12494" xr:uid="{3292C510-08F6-45A7-A715-CAD15F86B21A}"/>
    <cellStyle name="Currency 10 8 4 4 2" xfId="12495" xr:uid="{DEEC2D25-FA65-4349-BD5B-CFE5D1610F8F}"/>
    <cellStyle name="Currency 10 8 4 5" xfId="12496" xr:uid="{E3CB0DE1-05CD-4189-A625-3631A9EE8BC8}"/>
    <cellStyle name="Currency 10 8 5" xfId="12497" xr:uid="{7C91FE22-8375-421E-A6AC-86F65C0DFDC4}"/>
    <cellStyle name="Currency 10 8 5 2" xfId="12498" xr:uid="{D69EE785-0E45-43A4-BD39-660F0D9EAD96}"/>
    <cellStyle name="Currency 10 8 6" xfId="12499" xr:uid="{83A509F1-40BA-41BF-BA4B-D54089D0AEC9}"/>
    <cellStyle name="Currency 10 8 6 2" xfId="12500" xr:uid="{1DCBDF8A-E11D-4323-8AE3-979FCFBEB8BA}"/>
    <cellStyle name="Currency 10 8 7" xfId="12501" xr:uid="{F1A28DB1-EC33-4E81-A7D6-C54503B2CF58}"/>
    <cellStyle name="Currency 10 8 7 2" xfId="12502" xr:uid="{B9250004-9FB2-492A-9D61-C0914876A114}"/>
    <cellStyle name="Currency 10 8 8" xfId="12503" xr:uid="{3ABC5F62-446F-47CB-9998-D02583CE49A9}"/>
    <cellStyle name="Currency 10 8 8 2" xfId="12504" xr:uid="{E50B2F7B-E5DC-4BFB-960D-7562F175C0D1}"/>
    <cellStyle name="Currency 10 8 9" xfId="12505" xr:uid="{1D400808-B2DE-4A3F-B07D-75AA9FC52DF4}"/>
    <cellStyle name="Currency 10 8 9 2" xfId="12506" xr:uid="{26404ADC-4D51-4EC1-92E1-767BAF9D8D6B}"/>
    <cellStyle name="Currency 10 9" xfId="12507" xr:uid="{3EB15BC8-D9E6-4BBA-B976-7A9934B31EC8}"/>
    <cellStyle name="Currency 10 9 2" xfId="12508" xr:uid="{702AA910-9A66-4B9D-BC2B-C283B541FFAF}"/>
    <cellStyle name="Currency 10 9 2 2" xfId="12509" xr:uid="{AF758874-DFEC-425B-A6CB-3382A19EC1E5}"/>
    <cellStyle name="Currency 10 9 2 2 2" xfId="12510" xr:uid="{270E6702-31ED-4FFC-8713-20A2494ADD87}"/>
    <cellStyle name="Currency 10 9 2 3" xfId="12511" xr:uid="{53D06131-473F-4879-B41D-008887D9AA54}"/>
    <cellStyle name="Currency 10 9 2 3 2" xfId="12512" xr:uid="{45F78AA0-4FD4-45A7-868D-57A0224F3277}"/>
    <cellStyle name="Currency 10 9 2 4" xfId="12513" xr:uid="{923AE67C-CED7-4F65-8242-4D7FBB1B71F7}"/>
    <cellStyle name="Currency 10 9 2 4 2" xfId="12514" xr:uid="{28D4733A-F057-4415-8902-A4C948BC3D93}"/>
    <cellStyle name="Currency 10 9 2 5" xfId="12515" xr:uid="{87DDF86D-138C-4764-A586-7344579DD02E}"/>
    <cellStyle name="Currency 10 9 3" xfId="12516" xr:uid="{056BE65B-AA7E-467E-B81A-55F2B0F981BA}"/>
    <cellStyle name="Currency 10 9 3 2" xfId="12517" xr:uid="{4C411C31-3A80-4E93-AECE-35666AF1468C}"/>
    <cellStyle name="Currency 10 9 3 2 2" xfId="12518" xr:uid="{088F9953-40A1-4630-83AB-C09F0871E742}"/>
    <cellStyle name="Currency 10 9 3 3" xfId="12519" xr:uid="{71C36351-D7C1-445D-82E2-67B5E7E22EE3}"/>
    <cellStyle name="Currency 10 9 3 3 2" xfId="12520" xr:uid="{5EE3B42F-6FCC-4FFF-B766-8525B8E220FA}"/>
    <cellStyle name="Currency 10 9 3 4" xfId="12521" xr:uid="{5C9A428C-37CA-4182-9088-122C277DD622}"/>
    <cellStyle name="Currency 10 9 3 4 2" xfId="12522" xr:uid="{D93511FE-34FB-451B-B35A-3023CB780FCF}"/>
    <cellStyle name="Currency 10 9 3 5" xfId="12523" xr:uid="{7D75D007-F3F9-47F0-83D1-31EA54358E22}"/>
    <cellStyle name="Currency 10 9 4" xfId="12524" xr:uid="{4C50C582-0768-42AA-8E86-5D0CB4179A30}"/>
    <cellStyle name="Currency 10 9 4 2" xfId="12525" xr:uid="{B777358A-C7B5-4364-8FE2-899896F88A87}"/>
    <cellStyle name="Currency 10 9 5" xfId="12526" xr:uid="{26A4585E-29EF-45C8-8DD7-BA24644BBB87}"/>
    <cellStyle name="Currency 10 9 5 2" xfId="12527" xr:uid="{3AB20D27-ABE9-4B75-BA00-D40935317B46}"/>
    <cellStyle name="Currency 10 9 6" xfId="12528" xr:uid="{0A94771A-0D6B-4C57-8404-0238F9B4C039}"/>
    <cellStyle name="Currency 10 9 6 2" xfId="12529" xr:uid="{F04E1CCD-E6CE-41D6-90F2-067B605E4A47}"/>
    <cellStyle name="Currency 10 9 7" xfId="12530" xr:uid="{E918E181-297B-48EC-9B7A-029D72AA932C}"/>
    <cellStyle name="Currency 10 9 7 2" xfId="12531" xr:uid="{A0C284C2-663F-41AE-9B51-F7607979D047}"/>
    <cellStyle name="Currency 10 9 8" xfId="12532" xr:uid="{C362CA95-75CA-4664-80E3-F5F074FB8C78}"/>
    <cellStyle name="Currency 10 9 8 2" xfId="12533" xr:uid="{C434EAD5-962D-41FA-AF2A-E83378494E9D}"/>
    <cellStyle name="Currency 10 9 9" xfId="12534" xr:uid="{F39C937B-BDCD-4193-9D20-54F1EF9036C9}"/>
    <cellStyle name="Currency 100" xfId="12535" xr:uid="{CF68DEF0-779A-4CCB-86AE-2D853F0FBA25}"/>
    <cellStyle name="Currency 101" xfId="12536" xr:uid="{58F4A7C0-EEF8-4B0F-B8A4-3B282B61C53C}"/>
    <cellStyle name="Currency 102" xfId="33032" xr:uid="{B1C7AD39-0CDE-4ED5-9C8C-AB237BE593BF}"/>
    <cellStyle name="Currency 102 2" xfId="64" xr:uid="{B2027717-BECC-4B82-B03D-AE282B997F39}"/>
    <cellStyle name="Currency 103" xfId="41235" xr:uid="{46A48208-08F0-4CCE-8D6A-ECA165F9B1A5}"/>
    <cellStyle name="Currency 103 2" xfId="41236" xr:uid="{3C5C8CD6-A7E8-4545-A0A6-4ADFA41DAFFF}"/>
    <cellStyle name="Currency 104" xfId="41237" xr:uid="{80A51FCD-71F6-40DA-BF2D-947813B316B0}"/>
    <cellStyle name="Currency 105" xfId="41238" xr:uid="{9CB77386-4C2A-4BCB-9278-04FE1EA9053F}"/>
    <cellStyle name="Currency 106" xfId="41239" xr:uid="{86D80CAD-FF6F-4AF0-A023-99DDD8802ACE}"/>
    <cellStyle name="Currency 107" xfId="41240" xr:uid="{8FA4332D-46A0-45D9-B6EF-71DFEFC65E0D}"/>
    <cellStyle name="Currency 108" xfId="41241" xr:uid="{246DAA1C-4E28-4600-ACC7-2606CF12CA23}"/>
    <cellStyle name="Currency 109" xfId="41242" xr:uid="{5974B4DB-9D3C-49AC-B3BD-6F82F1D40232}"/>
    <cellStyle name="Currency 11" xfId="12537" xr:uid="{999B2E2D-4F86-427D-9B82-0D722F25298A}"/>
    <cellStyle name="Currency 11 2" xfId="41243" xr:uid="{9B85F540-C7FA-424C-A589-84585ACD8F90}"/>
    <cellStyle name="Currency 110" xfId="41244" xr:uid="{94DC530D-5E67-4380-B72E-300C516B6D9F}"/>
    <cellStyle name="Currency 111" xfId="41245" xr:uid="{BBE590FB-1D71-4B83-A788-4147256B6B69}"/>
    <cellStyle name="Currency 112" xfId="41246" xr:uid="{62E04C9E-F6EA-4239-B9AD-647C0F53FCCF}"/>
    <cellStyle name="Currency 113" xfId="43459" xr:uid="{51566D56-0A75-43DE-A00D-902CFC47C317}"/>
    <cellStyle name="Currency 114" xfId="22" xr:uid="{00000000-0005-0000-0000-000008000000}"/>
    <cellStyle name="Currency 114 2" xfId="43615" xr:uid="{31AE9CD9-D905-409F-9B88-5272D7FC96F7}"/>
    <cellStyle name="Currency 115" xfId="43632" xr:uid="{D24F5599-FEC1-4AE5-9DBC-C6C770F36459}"/>
    <cellStyle name="Currency 115 2" xfId="59" xr:uid="{248496BE-8401-41B1-97C1-33F262328C1D}"/>
    <cellStyle name="Currency 117" xfId="43603" xr:uid="{BFC46C84-D250-46EE-B736-F587B0925EDB}"/>
    <cellStyle name="Currency 118" xfId="43604" xr:uid="{1A4B4542-7AD9-4E43-975D-9F29C1FBAC38}"/>
    <cellStyle name="Currency 119" xfId="43605" xr:uid="{434A6867-8853-4288-850F-D8C699CFAA35}"/>
    <cellStyle name="Currency 12" xfId="12538" xr:uid="{A1899CCD-CDDC-4BBD-8109-047870078D5E}"/>
    <cellStyle name="Currency 12 2" xfId="12539" xr:uid="{82B8FB05-4C9B-4B05-954A-78A5B5C29D0E}"/>
    <cellStyle name="Currency 12 3" xfId="12540" xr:uid="{01A0EB95-FEDD-411E-9A53-3834E99758DB}"/>
    <cellStyle name="Currency 121" xfId="43606" xr:uid="{07850CF8-4A50-40EA-BDB1-BA07A22BA964}"/>
    <cellStyle name="Currency 13" xfId="12541" xr:uid="{47550CD2-968D-41CD-A7CE-A0D313C1315C}"/>
    <cellStyle name="Currency 13 2" xfId="12542" xr:uid="{16D4A3CC-66DC-4959-B2E4-BA468BE0E2CD}"/>
    <cellStyle name="Currency 13 3" xfId="12543" xr:uid="{F2B108DC-9111-415D-8E61-64C86B52F1E4}"/>
    <cellStyle name="Currency 14" xfId="12544" xr:uid="{58C5401C-7D70-4A15-866E-D280FE16DF56}"/>
    <cellStyle name="Currency 14 2" xfId="12545" xr:uid="{6A2F7EB7-3A3D-42CF-8DA5-C82F061E1773}"/>
    <cellStyle name="Currency 14 3" xfId="12546" xr:uid="{E2010260-7A9E-42FB-8628-A8F90EDB7339}"/>
    <cellStyle name="Currency 15" xfId="12547" xr:uid="{11425D35-0FAE-40E9-A0DA-77B7585F7F05}"/>
    <cellStyle name="Currency 15 2" xfId="12548" xr:uid="{C4D1BEE2-0FE5-45AE-9590-B678DE96C1D5}"/>
    <cellStyle name="Currency 15 3" xfId="12549" xr:uid="{A3A56C75-7EFB-46FB-B602-C7384A1186A9}"/>
    <cellStyle name="Currency 15 3 2" xfId="12550" xr:uid="{3706E130-BF1A-48F7-9F32-726BF753339B}"/>
    <cellStyle name="Currency 16" xfId="12551" xr:uid="{CC903287-4A02-4530-B913-4AB11E5B7B85}"/>
    <cellStyle name="Currency 16 2" xfId="12552" xr:uid="{7ED66813-A7C8-46DE-B5B3-4ADB32B31C48}"/>
    <cellStyle name="Currency 16 3" xfId="12553" xr:uid="{032A7C0A-6736-44FE-92BB-2CBF7FB9AC02}"/>
    <cellStyle name="Currency 16 3 2" xfId="12554" xr:uid="{CEF37839-443D-46E8-A155-59F69F821C02}"/>
    <cellStyle name="Currency 17" xfId="12555" xr:uid="{F3E3B1A0-D006-4051-A14B-48EF2B1EBB30}"/>
    <cellStyle name="Currency 17 2" xfId="12556" xr:uid="{F69E42DC-9A6D-4A1E-9CCA-A8A9F7DAA37B}"/>
    <cellStyle name="Currency 17 3" xfId="12557" xr:uid="{1000686E-139B-49C0-A7F2-B62A989763B5}"/>
    <cellStyle name="Currency 17 3 2" xfId="12558" xr:uid="{0DE32598-8A12-4B30-9AC1-CE0A4130630D}"/>
    <cellStyle name="Currency 18" xfId="12559" xr:uid="{7C6B8C18-E3EB-4335-8688-DA2A2A966DB9}"/>
    <cellStyle name="Currency 18 2" xfId="12560" xr:uid="{96F9972F-2C31-46EB-85E7-2DFC8A51FE6F}"/>
    <cellStyle name="Currency 18 3" xfId="12561" xr:uid="{18E533B0-52DF-42C0-AEBF-8EFFBC57F145}"/>
    <cellStyle name="Currency 19" xfId="12562" xr:uid="{4CEBDD8C-3CCD-4B6D-A9AE-7E38A7F80696}"/>
    <cellStyle name="Currency 19 2" xfId="12563" xr:uid="{B111F318-7C97-4ABA-911D-4A5A3BDC1411}"/>
    <cellStyle name="Currency 19 3" xfId="12564" xr:uid="{0C617641-4FEB-4B64-A9E5-21B0A2098983}"/>
    <cellStyle name="Currency 2" xfId="10" xr:uid="{00000000-0005-0000-0000-000009000000}"/>
    <cellStyle name="Currency 2 10" xfId="60" xr:uid="{B8E7765C-F23D-40BB-AEAE-1418B11CDBC9}"/>
    <cellStyle name="Currency 2 11" xfId="41247" xr:uid="{6B1E1232-E79D-4D9C-86B0-1468B9898D31}"/>
    <cellStyle name="Currency 2 12" xfId="41248" xr:uid="{26AEE475-C4D6-42A2-800A-83B2126C101B}"/>
    <cellStyle name="Currency 2 13" xfId="41249" xr:uid="{46DC932E-6F38-4231-A603-B40188958D8D}"/>
    <cellStyle name="Currency 2 14" xfId="41250" xr:uid="{6BEB9E42-F6B6-4220-AB82-5A432F250366}"/>
    <cellStyle name="Currency 2 15" xfId="41251" xr:uid="{91E0C4F2-39C0-429E-A6C9-1A27CA4FC50C}"/>
    <cellStyle name="Currency 2 2" xfId="232" xr:uid="{CE9BE75D-AC2C-4D4F-B7EC-1D48C49AF43D}"/>
    <cellStyle name="Currency 2 2 2" xfId="12565" xr:uid="{FEC5669F-8EE3-4EB2-B5E1-CB34745F739E}"/>
    <cellStyle name="Currency 2 2 2 2" xfId="41252" xr:uid="{C071303A-480C-47FB-BA98-1D07D7EB54C0}"/>
    <cellStyle name="Currency 2 2 3" xfId="41253" xr:uid="{D263DC4A-B1E2-4B9F-B504-A634901D34A2}"/>
    <cellStyle name="Currency 2 3" xfId="12566" xr:uid="{2A20718E-C453-4816-8ECD-4E6C04A62BE7}"/>
    <cellStyle name="Currency 2 3 2" xfId="12567" xr:uid="{31E1E85C-D0E7-4E48-AFAC-DAC7E9EEE550}"/>
    <cellStyle name="Currency 2 3 2 2" xfId="41254" xr:uid="{50594EC5-0FB1-449A-B513-3C7B7F94DA00}"/>
    <cellStyle name="Currency 2 3 2 3" xfId="41255" xr:uid="{99C599D2-120A-4B5B-8314-1B0FCA89B6C1}"/>
    <cellStyle name="Currency 2 3 3" xfId="12568" xr:uid="{CF0D69A4-7C11-4965-B00D-75CE21563EAB}"/>
    <cellStyle name="Currency 2 3 4" xfId="41256" xr:uid="{A6023318-54A7-44B0-B486-9FE33814917F}"/>
    <cellStyle name="Currency 2 4" xfId="12569" xr:uid="{6EC04D29-A13C-4234-ADD0-DCEA643BF28D}"/>
    <cellStyle name="Currency 2 4 2" xfId="12570" xr:uid="{27BFFFC5-6F9B-4195-A973-BBF14E09D819}"/>
    <cellStyle name="Currency 2 4 2 2" xfId="41257" xr:uid="{692A704B-4D5F-4C6A-AAF8-67F331E4A859}"/>
    <cellStyle name="Currency 2 4 3" xfId="41258" xr:uid="{A78CB19F-F488-4ABC-9C5E-BCF2A1A5F902}"/>
    <cellStyle name="Currency 2 5" xfId="12571" xr:uid="{6CFFB259-7CDE-48D5-996F-011541F7B10F}"/>
    <cellStyle name="Currency 2 5 2" xfId="41259" xr:uid="{BDF049E4-9BED-4D12-91F5-F3004CDC31B5}"/>
    <cellStyle name="Currency 2 6" xfId="41260" xr:uid="{94F46EDC-C6D8-4206-9323-F341553913FE}"/>
    <cellStyle name="Currency 2 6 2" xfId="41261" xr:uid="{F9BF51F7-07DD-4E29-ABDA-12ACBF355D9F}"/>
    <cellStyle name="Currency 2 7" xfId="41262" xr:uid="{333B0EEE-58EF-4935-B65D-B4848DEB8004}"/>
    <cellStyle name="Currency 2 8" xfId="41263" xr:uid="{376A7A81-3747-441B-BCC4-ED5293FAB941}"/>
    <cellStyle name="Currency 2 9" xfId="41264" xr:uid="{2D0B5CAC-EF5C-4887-BF5C-A0D7D72172CE}"/>
    <cellStyle name="Currency 20" xfId="12572" xr:uid="{B3108299-4AB8-4018-95DA-D3F783E81F84}"/>
    <cellStyle name="Currency 20 2" xfId="12573" xr:uid="{A3AB1648-8B28-4218-AFEE-70124C3423EE}"/>
    <cellStyle name="Currency 20 3" xfId="12574" xr:uid="{4023981C-27A2-46E6-97D1-121238214949}"/>
    <cellStyle name="Currency 21" xfId="12575" xr:uid="{F6941BBA-DA9D-4BBA-A40A-20C704F0DA9E}"/>
    <cellStyle name="Currency 21 2" xfId="12576" xr:uid="{074FAE05-30CB-4687-98D3-90527A3E78B7}"/>
    <cellStyle name="Currency 21 3" xfId="12577" xr:uid="{ECE4B16C-9CD8-4350-A5AB-EEAF5916B807}"/>
    <cellStyle name="Currency 22" xfId="12578" xr:uid="{DD6A76E2-88AC-4489-81C1-C93DFCBC5636}"/>
    <cellStyle name="Currency 22 2" xfId="12579" xr:uid="{D109FD8E-BBD9-447F-9C65-FD82252BA1DA}"/>
    <cellStyle name="Currency 22 3" xfId="12580" xr:uid="{82D08843-3FC8-48BA-8968-E4A102DEFDAB}"/>
    <cellStyle name="Currency 22 4" xfId="12581" xr:uid="{0DFA5804-99E8-4EEA-B774-66E4889E9A23}"/>
    <cellStyle name="Currency 23" xfId="12582" xr:uid="{834B1209-8138-451B-A212-1DFA0363A053}"/>
    <cellStyle name="Currency 23 2" xfId="12583" xr:uid="{8B966757-D9C7-45F7-B38E-D19934C208AB}"/>
    <cellStyle name="Currency 23 3" xfId="12584" xr:uid="{B7D7EC08-0089-4CF7-BF9C-693A95F9FB2C}"/>
    <cellStyle name="Currency 23 4" xfId="12585" xr:uid="{E051350A-45A1-41C1-8FA5-7BA3E32F2F74}"/>
    <cellStyle name="Currency 24" xfId="12586" xr:uid="{2D219233-9200-40D1-8596-903BBCE9C72D}"/>
    <cellStyle name="Currency 24 2" xfId="12587" xr:uid="{7BB9C91F-4579-43AE-A871-DF279AAA36EC}"/>
    <cellStyle name="Currency 24 3" xfId="12588" xr:uid="{6778EA87-C3E9-4206-B9B6-0FEF37A33A11}"/>
    <cellStyle name="Currency 24 4" xfId="12589" xr:uid="{EE409719-1077-4AA8-A0B0-778011FC27F8}"/>
    <cellStyle name="Currency 25" xfId="12590" xr:uid="{023007C2-603E-49B3-8FBD-3BAD6AA442BE}"/>
    <cellStyle name="Currency 25 2" xfId="12591" xr:uid="{D7A608D5-5CFD-4793-B8D2-7BDAEB92A92B}"/>
    <cellStyle name="Currency 25 3" xfId="12592" xr:uid="{388C7CD1-3659-4BD8-B151-9E186BC24C83}"/>
    <cellStyle name="Currency 25 4" xfId="12593" xr:uid="{7D5816C1-ABD8-4A0B-B71E-23F185A3EE0B}"/>
    <cellStyle name="Currency 26" xfId="12594" xr:uid="{B58174E0-7720-4E00-BD8B-1D886A1EA650}"/>
    <cellStyle name="Currency 26 2" xfId="12595" xr:uid="{EC3218A2-DCC2-4FCB-8412-4A9022A68686}"/>
    <cellStyle name="Currency 26 3" xfId="12596" xr:uid="{30DB113A-8E71-4DAF-9D2C-D57F51AED705}"/>
    <cellStyle name="Currency 26 4" xfId="12597" xr:uid="{4433EC0E-7869-4168-96E8-0725A8DA6209}"/>
    <cellStyle name="Currency 27" xfId="12598" xr:uid="{1E69DA1B-E864-4F94-9DE8-FAB0D06DFCF1}"/>
    <cellStyle name="Currency 27 2" xfId="12599" xr:uid="{63D6BC53-0A8A-4F32-986C-91B4BD77ECAE}"/>
    <cellStyle name="Currency 27 3" xfId="12600" xr:uid="{69C39765-052A-405C-9400-A424AB9BB7E2}"/>
    <cellStyle name="Currency 27 4" xfId="12601" xr:uid="{773CF417-C771-4B83-86FA-EF745518762F}"/>
    <cellStyle name="Currency 28" xfId="12602" xr:uid="{A53790F0-75BE-48FA-9911-EBE495F58463}"/>
    <cellStyle name="Currency 28 2" xfId="12603" xr:uid="{BA297FEE-8DCB-41E0-8D78-13D1A5A5121E}"/>
    <cellStyle name="Currency 28 3" xfId="12604" xr:uid="{FCBD5ABB-9291-4283-A7C8-CD576A55C973}"/>
    <cellStyle name="Currency 28 4" xfId="12605" xr:uid="{EED2C5D7-4786-4660-AAF5-A0A1DD522A30}"/>
    <cellStyle name="Currency 29" xfId="12606" xr:uid="{B8C34948-7426-44FF-B04B-B89FB64319DC}"/>
    <cellStyle name="Currency 29 2" xfId="12607" xr:uid="{89056312-F00A-4A78-88BF-E48E03D16409}"/>
    <cellStyle name="Currency 29 3" xfId="12608" xr:uid="{3874AA66-F769-4301-B8DC-A1EE72A6E3C7}"/>
    <cellStyle name="Currency 29 4" xfId="12609" xr:uid="{9A12D8FB-2325-4F9A-A3CE-C5830AA1FBE4}"/>
    <cellStyle name="Currency 3" xfId="6" xr:uid="{00000000-0005-0000-0000-00000A000000}"/>
    <cellStyle name="Currency 3 2" xfId="156" xr:uid="{D5AAA10A-972D-442A-83E2-4358336805D5}"/>
    <cellStyle name="Currency 3 2 2" xfId="12610" xr:uid="{5D847529-23E2-46DD-91F1-DFDF0FE9B610}"/>
    <cellStyle name="Currency 3 2 2 2" xfId="41265" xr:uid="{28AFC8EB-BDAE-4356-8748-A304B1DC896E}"/>
    <cellStyle name="Currency 3 2 3" xfId="41266" xr:uid="{90F67BB0-E226-4472-A554-C66FCC5FB3B8}"/>
    <cellStyle name="Currency 3 3" xfId="12611" xr:uid="{30021825-8277-4B79-984C-53A8FC46D5C6}"/>
    <cellStyle name="Currency 3 3 2" xfId="12612" xr:uid="{9A881EB2-3619-4909-9559-74693DCFE985}"/>
    <cellStyle name="Currency 3 3 2 2" xfId="41267" xr:uid="{86D2338E-8404-44D6-9195-C3D59ED46539}"/>
    <cellStyle name="Currency 3 3 3" xfId="41268" xr:uid="{1CEFE114-79F0-44F9-8C9A-EB30656E63E9}"/>
    <cellStyle name="Currency 3 4" xfId="12613" xr:uid="{94E0D655-0E47-42FD-9AFD-0FE5DE60655C}"/>
    <cellStyle name="Currency 3 4 2" xfId="41269" xr:uid="{FC1D6822-CF3D-444B-8CC4-8449EEF64583}"/>
    <cellStyle name="Currency 3 5" xfId="41270" xr:uid="{A85A7480-DDF8-47A6-A59A-5BD3849FE681}"/>
    <cellStyle name="Currency 3 6" xfId="41271" xr:uid="{3A9CCB54-0A62-4955-AB0D-6137F77BED1E}"/>
    <cellStyle name="Currency 3 7" xfId="41272" xr:uid="{E0ABB758-7839-4CA0-9056-60B7B9AD9746}"/>
    <cellStyle name="Currency 30" xfId="12614" xr:uid="{315B08C4-9577-4C78-925F-32BCF42AE26E}"/>
    <cellStyle name="Currency 30 2" xfId="12615" xr:uid="{E05552BC-979C-4C83-ACB9-AB8DA176054E}"/>
    <cellStyle name="Currency 30 3" xfId="12616" xr:uid="{97FA6589-F16D-4119-B9CA-13F2AD9DF8AA}"/>
    <cellStyle name="Currency 30 4" xfId="12617" xr:uid="{3BDD3B50-D3B3-4CC4-BF36-E87A880F48AE}"/>
    <cellStyle name="Currency 31" xfId="12618" xr:uid="{94A7CD72-6071-4668-821A-4C010670F725}"/>
    <cellStyle name="Currency 31 2" xfId="12619" xr:uid="{4A0ADFE8-4AB8-4218-8ED9-C48ABC1D57C6}"/>
    <cellStyle name="Currency 31 3" xfId="12620" xr:uid="{8A394DA4-609E-456A-B659-FC28FF0F0771}"/>
    <cellStyle name="Currency 31 4" xfId="12621" xr:uid="{5BA04A72-93BA-4380-A36F-B20732688CA4}"/>
    <cellStyle name="Currency 32" xfId="12622" xr:uid="{D3ACB46D-5300-4BD4-9784-2F29D4D394BE}"/>
    <cellStyle name="Currency 32 2" xfId="12623" xr:uid="{63A13DF5-3856-46A9-95D7-B9E1AA2550C6}"/>
    <cellStyle name="Currency 32 3" xfId="12624" xr:uid="{2C7D27BD-B40F-4F4B-B40B-288E18605DF3}"/>
    <cellStyle name="Currency 32 4" xfId="12625" xr:uid="{7AE9044C-08D0-493E-89ED-F346C60A4C5D}"/>
    <cellStyle name="Currency 33" xfId="12626" xr:uid="{518B267D-8AD3-4B85-B630-7528AEB5D25F}"/>
    <cellStyle name="Currency 33 2" xfId="12627" xr:uid="{818F6000-B511-4EC4-9A13-ED46B744EEA6}"/>
    <cellStyle name="Currency 33 3" xfId="12628" xr:uid="{F47C0074-BF70-4A02-9BC3-6AB057A4A398}"/>
    <cellStyle name="Currency 33 4" xfId="12629" xr:uid="{3B212FD3-B83F-47D7-8C04-BD6C89EC2A4F}"/>
    <cellStyle name="Currency 34" xfId="12630" xr:uid="{25D65AC3-F270-4835-B29E-A5B7D4683B12}"/>
    <cellStyle name="Currency 34 2" xfId="12631" xr:uid="{DC03E2EB-B9EF-42B9-9C52-F061402AD1CA}"/>
    <cellStyle name="Currency 34 3" xfId="12632" xr:uid="{B7A4B850-5813-42C2-A88C-04ECC7F47145}"/>
    <cellStyle name="Currency 34 4" xfId="12633" xr:uid="{B7517F17-2F28-4B97-84C5-CDC904C0C082}"/>
    <cellStyle name="Currency 35" xfId="12634" xr:uid="{E5037223-962D-4A98-86D6-E88CA7BAB37A}"/>
    <cellStyle name="Currency 35 2" xfId="12635" xr:uid="{38F9F907-ED2A-42A3-8C5F-0F60DB9F6CAB}"/>
    <cellStyle name="Currency 35 3" xfId="12636" xr:uid="{93F6E524-704B-4115-9B06-D287477019A3}"/>
    <cellStyle name="Currency 35 4" xfId="12637" xr:uid="{46C49C2F-820C-4A56-9B6E-35F3C45BB598}"/>
    <cellStyle name="Currency 36" xfId="12638" xr:uid="{6E80CCBC-AF36-4957-A991-058FFD694103}"/>
    <cellStyle name="Currency 36 2" xfId="12639" xr:uid="{6009B547-8792-4607-9166-8641B7EFE3F5}"/>
    <cellStyle name="Currency 36 3" xfId="12640" xr:uid="{85ACA926-2716-4F31-A6E3-AA274224ED41}"/>
    <cellStyle name="Currency 36 4" xfId="12641" xr:uid="{ACADDB6E-1E25-4A2F-B18E-93291AEA2D01}"/>
    <cellStyle name="Currency 37" xfId="12642" xr:uid="{FC0B1EF8-DA86-4665-B465-F8E0713B6CF9}"/>
    <cellStyle name="Currency 37 2" xfId="12643" xr:uid="{70A73CD9-BE37-48BB-8C35-0D897824EEF2}"/>
    <cellStyle name="Currency 37 3" xfId="12644" xr:uid="{D2C83BBA-0593-4A79-B8CF-784E99DA741C}"/>
    <cellStyle name="Currency 37 4" xfId="12645" xr:uid="{546C65CD-9DC8-42E8-A49F-A7C22B9FF5A3}"/>
    <cellStyle name="Currency 38" xfId="12646" xr:uid="{DD941063-3583-44F1-BBA3-763BF1FA359A}"/>
    <cellStyle name="Currency 38 2" xfId="12647" xr:uid="{045C7E5C-DCCF-472C-9F50-51FAB3ABD546}"/>
    <cellStyle name="Currency 38 3" xfId="12648" xr:uid="{0B515C04-A17E-43E5-BA99-12E0087F424A}"/>
    <cellStyle name="Currency 38 4" xfId="12649" xr:uid="{B5ECB281-0F4F-4E0F-A581-E619E821BEA4}"/>
    <cellStyle name="Currency 39" xfId="12650" xr:uid="{87AD27B4-CB5C-4CF2-B2BE-FF3C99DE046A}"/>
    <cellStyle name="Currency 39 2" xfId="12651" xr:uid="{B881CFDE-92E8-4984-B873-0C681D82918F}"/>
    <cellStyle name="Currency 39 3" xfId="12652" xr:uid="{F67E9F1C-8CFB-464F-9D2C-821789DAC759}"/>
    <cellStyle name="Currency 39 4" xfId="12653" xr:uid="{14E4252E-DD6D-4512-84D1-82AD0A063EF0}"/>
    <cellStyle name="Currency 4" xfId="233" xr:uid="{FFDD0A6C-FD85-4DDE-A74C-396AA7C48254}"/>
    <cellStyle name="Currency 4 2" xfId="12654" xr:uid="{63A2515F-6668-426A-A089-A72FA30CC0F3}"/>
    <cellStyle name="Currency 4 2 2" xfId="12655" xr:uid="{DD922F85-74B9-4FC5-B0BC-D753FBC0FDD5}"/>
    <cellStyle name="Currency 4 2 2 2" xfId="41273" xr:uid="{6B0816F2-1576-4C3A-BDE7-7A16ED86957D}"/>
    <cellStyle name="Currency 4 2 3" xfId="41274" xr:uid="{C28BE064-EBB3-41A9-AFDD-D5EEB06AEAA0}"/>
    <cellStyle name="Currency 4 3" xfId="12656" xr:uid="{29DA9F74-4679-4EA1-8584-095DABBE19FD}"/>
    <cellStyle name="Currency 4 3 2" xfId="41275" xr:uid="{ABA785A9-5484-4FD2-851D-08DEEF82E759}"/>
    <cellStyle name="Currency 4 4" xfId="41276" xr:uid="{698A06AE-233E-4088-838F-03A479E6EBAA}"/>
    <cellStyle name="Currency 4 5" xfId="41277" xr:uid="{01BFFFD8-1D0A-4961-B5AF-C43C43DC9B20}"/>
    <cellStyle name="Currency 4 6" xfId="41278" xr:uid="{32EA8B8C-691C-427E-9CF3-0DA2DE4C7700}"/>
    <cellStyle name="Currency 40" xfId="12657" xr:uid="{61FBBB5F-8924-4749-B052-9A2C1538D29F}"/>
    <cellStyle name="Currency 40 2" xfId="12658" xr:uid="{9D0C6B2F-E7D5-494D-93F0-03B3DD34789F}"/>
    <cellStyle name="Currency 40 3" xfId="12659" xr:uid="{735BE393-DE01-4BCE-909C-EE45DCB9BE04}"/>
    <cellStyle name="Currency 40 4" xfId="12660" xr:uid="{0E623AC2-4125-4707-BAF2-6999D284190E}"/>
    <cellStyle name="Currency 41" xfId="12661" xr:uid="{30842170-202D-4CCD-B867-56F1AD8E120A}"/>
    <cellStyle name="Currency 41 2" xfId="12662" xr:uid="{89A1649B-703B-4CD3-87D8-A31ACEA9008C}"/>
    <cellStyle name="Currency 41 3" xfId="12663" xr:uid="{C4F10735-A114-44A5-9036-A4F1DBAAAB6E}"/>
    <cellStyle name="Currency 41 4" xfId="12664" xr:uid="{7F3EE04E-D729-4A50-A6FA-8FC27AB46BC2}"/>
    <cellStyle name="Currency 42" xfId="12665" xr:uid="{B55ED5F5-E440-4E40-91F8-238F6271A668}"/>
    <cellStyle name="Currency 42 2" xfId="12666" xr:uid="{0766A037-A4E9-439A-94D3-EE062B0DC339}"/>
    <cellStyle name="Currency 42 3" xfId="12667" xr:uid="{75E80578-45DC-4619-830C-26A32E6F0AC8}"/>
    <cellStyle name="Currency 42 4" xfId="12668" xr:uid="{A2DF030D-9FF1-497D-8FD7-E5677AC1A84C}"/>
    <cellStyle name="Currency 43" xfId="12669" xr:uid="{2E0C40D3-2923-4046-AF0B-837440EFC0BD}"/>
    <cellStyle name="Currency 43 2" xfId="12670" xr:uid="{9D75BAB8-11C5-455C-8C63-43CDA943AE94}"/>
    <cellStyle name="Currency 43 3" xfId="12671" xr:uid="{260ED8BF-220F-46BC-8EFF-D581C4FEFED0}"/>
    <cellStyle name="Currency 43 4" xfId="12672" xr:uid="{31042614-74EA-465A-BDB0-765AD475338F}"/>
    <cellStyle name="Currency 44" xfId="12673" xr:uid="{E64B8826-593E-4AEB-BFB6-BCB1BAC80F69}"/>
    <cellStyle name="Currency 44 2" xfId="12674" xr:uid="{A61673D1-F354-401F-940C-08F83EFE2953}"/>
    <cellStyle name="Currency 44 3" xfId="12675" xr:uid="{6D81AC3F-A9B8-4061-A633-FF909737B6F1}"/>
    <cellStyle name="Currency 45" xfId="12676" xr:uid="{ED536998-A9FE-4237-96DE-337CD684F109}"/>
    <cellStyle name="Currency 45 2" xfId="12677" xr:uid="{D60EBEC2-5DD4-49E6-8AED-1BBA05EA9D36}"/>
    <cellStyle name="Currency 45 3" xfId="12678" xr:uid="{76EC2438-462E-455A-B1B2-9CAF46556F8A}"/>
    <cellStyle name="Currency 46" xfId="12679" xr:uid="{CE2E017B-196B-47F2-92A4-CF49CDFA480D}"/>
    <cellStyle name="Currency 46 2" xfId="12680" xr:uid="{87930520-33D7-4BBB-9F2F-28090C7D440A}"/>
    <cellStyle name="Currency 46 3" xfId="12681" xr:uid="{F00497D3-D5FD-46E5-8754-3B550D476AFD}"/>
    <cellStyle name="Currency 47" xfId="12682" xr:uid="{5615D18B-8C01-4123-B9AF-A79C77EDEF1A}"/>
    <cellStyle name="Currency 47 2" xfId="12683" xr:uid="{5B2071B9-6E63-4DED-862F-8F4D1CDA7BB1}"/>
    <cellStyle name="Currency 47 3" xfId="12684" xr:uid="{73B88686-D3AF-4B3A-B794-4DA964EC3ED4}"/>
    <cellStyle name="Currency 48" xfId="12685" xr:uid="{87ED8B76-C67C-4AC6-A06D-18B4D36A50D8}"/>
    <cellStyle name="Currency 48 2" xfId="12686" xr:uid="{1CA8D2BE-6AEE-4417-840E-CC947603FA95}"/>
    <cellStyle name="Currency 48 3" xfId="12687" xr:uid="{13ED0592-BB4D-4BF2-B87A-346829EE6013}"/>
    <cellStyle name="Currency 49" xfId="12688" xr:uid="{B4FC64B1-82DC-4177-86A9-3ED0710279B4}"/>
    <cellStyle name="Currency 49 2" xfId="12689" xr:uid="{851F9966-525A-49E8-9947-C481FBA5AE93}"/>
    <cellStyle name="Currency 49 3" xfId="12690" xr:uid="{8587CC61-E492-4FA7-B668-F62F7EF6367E}"/>
    <cellStyle name="Currency 5" xfId="312" xr:uid="{F382F78A-2989-4C5F-B1D7-AB53AF512AF1}"/>
    <cellStyle name="Currency 5 2" xfId="12691" xr:uid="{4C820A21-0A48-467F-94B0-D86975C77F70}"/>
    <cellStyle name="Currency 5 2 2" xfId="12692" xr:uid="{6C68DBAD-BA6C-4762-A413-8A0A2BEBF888}"/>
    <cellStyle name="Currency 5 2 2 2" xfId="41279" xr:uid="{070DB5B6-0D8C-4B7D-8D8C-B812DEED1469}"/>
    <cellStyle name="Currency 5 2 3" xfId="41280" xr:uid="{FC59060D-BFEA-4F8F-ACF6-E76891BA6866}"/>
    <cellStyle name="Currency 5 3" xfId="12693" xr:uid="{A014933A-8FF1-46D6-A9F0-B6423628D4E6}"/>
    <cellStyle name="Currency 5 3 2" xfId="41281" xr:uid="{AA0E8257-94BB-4CCA-93A5-C2142716A689}"/>
    <cellStyle name="Currency 5 4" xfId="41282" xr:uid="{F6206483-6A4B-46E0-B1D8-EA9CD8E3620C}"/>
    <cellStyle name="Currency 50" xfId="12694" xr:uid="{1C849CAA-B0C0-4DE6-A315-D2BA46D594CB}"/>
    <cellStyle name="Currency 50 2" xfId="12695" xr:uid="{82DBCF1C-3D46-4A50-A968-9E9D48475F28}"/>
    <cellStyle name="Currency 50 3" xfId="12696" xr:uid="{00720BE1-F7FC-4C4E-9076-7A8E9D3D76FE}"/>
    <cellStyle name="Currency 51" xfId="12697" xr:uid="{88830BA2-3EB9-4651-A6C7-0165313CDD47}"/>
    <cellStyle name="Currency 51 2" xfId="12698" xr:uid="{389EF1EA-52DD-464E-B02A-697BE39A69A8}"/>
    <cellStyle name="Currency 51 3" xfId="12699" xr:uid="{4825BA82-E9EF-4254-88D6-D88A61162AD7}"/>
    <cellStyle name="Currency 52" xfId="12700" xr:uid="{BC798581-DB69-4DCA-A777-43E4935978B5}"/>
    <cellStyle name="Currency 52 2" xfId="12701" xr:uid="{667DE32E-2568-4846-ACBF-CA8B2D98537F}"/>
    <cellStyle name="Currency 52 3" xfId="12702" xr:uid="{8CF134C0-25BA-4635-994C-0D95BD89F175}"/>
    <cellStyle name="Currency 53" xfId="12703" xr:uid="{F340751D-AF4F-4FB2-9373-611BF330FD96}"/>
    <cellStyle name="Currency 53 2" xfId="12704" xr:uid="{851C0154-E4C2-4F07-AFB2-41B1D6C42664}"/>
    <cellStyle name="Currency 53 3" xfId="12705" xr:uid="{D24E6E39-DAB7-4EEC-BF61-EB9B7EB97BA5}"/>
    <cellStyle name="Currency 54" xfId="12706" xr:uid="{8796450C-C74F-45D2-B01A-DA2CF81E6375}"/>
    <cellStyle name="Currency 54 2" xfId="12707" xr:uid="{5E57A809-AAB8-48FE-93AA-7842D2115E0B}"/>
    <cellStyle name="Currency 54 3" xfId="12708" xr:uid="{F7FD14EB-65C8-40C4-9511-12A33D5191A7}"/>
    <cellStyle name="Currency 55" xfId="12709" xr:uid="{CEE086D5-B6AC-40D4-88FE-D1F386C1CE2C}"/>
    <cellStyle name="Currency 55 2" xfId="12710" xr:uid="{591B6072-4730-4F65-8648-CFC3E7A859DA}"/>
    <cellStyle name="Currency 55 3" xfId="12711" xr:uid="{CF79526B-3A7F-4950-8017-68FB8AA548CD}"/>
    <cellStyle name="Currency 56" xfId="12712" xr:uid="{72506698-5AB7-46B4-B59A-E2DF7F96CAE4}"/>
    <cellStyle name="Currency 57" xfId="12713" xr:uid="{6E7B1C63-ACD0-4CED-8AE8-8C903F2894B3}"/>
    <cellStyle name="Currency 58" xfId="12714" xr:uid="{70C7483F-CDDA-48C5-9F7E-1A6BD7D22FBA}"/>
    <cellStyle name="Currency 59" xfId="12715" xr:uid="{6DC4CD02-ADA8-4C04-B809-3F272563B6E0}"/>
    <cellStyle name="Currency 6" xfId="314" xr:uid="{F8BC4A82-C17A-4891-86EE-BC0FD6C3B9F2}"/>
    <cellStyle name="Currency 6 2" xfId="12716" xr:uid="{5ED4D221-DA16-424E-B007-E1F0682A18B8}"/>
    <cellStyle name="Currency 6 2 2" xfId="12717" xr:uid="{C700458F-7470-499B-A5C6-A056166F260E}"/>
    <cellStyle name="Currency 6 2 2 2" xfId="41283" xr:uid="{C28C0A8B-E8B9-43FC-847C-A279947DDEEC}"/>
    <cellStyle name="Currency 6 2 3" xfId="41284" xr:uid="{FB53B16E-65D4-495B-A03A-954FD015A526}"/>
    <cellStyle name="Currency 6 3" xfId="12718" xr:uid="{95463466-9D4B-4CE9-9429-B804736F5E12}"/>
    <cellStyle name="Currency 6 3 2" xfId="41285" xr:uid="{E800659F-B6B8-4BFA-B258-8538ABDDA9CE}"/>
    <cellStyle name="Currency 6 4" xfId="41286" xr:uid="{9BC8BF32-951B-4B5A-B77A-4FE9FE73E14E}"/>
    <cellStyle name="Currency 60" xfId="12719" xr:uid="{556D801D-428B-4A49-AB90-4417C5D67F80}"/>
    <cellStyle name="Currency 60 2" xfId="12720" xr:uid="{91190EFD-7D54-420E-9105-73C003353655}"/>
    <cellStyle name="Currency 61" xfId="12721" xr:uid="{32B84AFF-184A-4658-B197-F3046E20721D}"/>
    <cellStyle name="Currency 61 2" xfId="12722" xr:uid="{5D850805-0A63-4AE1-8A2A-E4AF7FDC8DEE}"/>
    <cellStyle name="Currency 62" xfId="12723" xr:uid="{ACEA3821-5B2F-4E19-88C8-BA2F919E90D4}"/>
    <cellStyle name="Currency 63" xfId="12724" xr:uid="{16CB4F0D-AE00-40AA-8673-2787FE1D1D48}"/>
    <cellStyle name="Currency 64" xfId="12725" xr:uid="{8B3F788A-B3D3-4F37-A090-97256B582ED6}"/>
    <cellStyle name="Currency 65" xfId="12726" xr:uid="{4B71D79E-FDE0-4F8B-8481-6711CF87C2B0}"/>
    <cellStyle name="Currency 66" xfId="12727" xr:uid="{2B4AC512-D581-4DC5-9162-917895867AC6}"/>
    <cellStyle name="Currency 67" xfId="12728" xr:uid="{870C207A-B6D7-4E0F-BF73-C5D5E041C5B2}"/>
    <cellStyle name="Currency 68" xfId="12729" xr:uid="{8E21D4D6-6EC3-4800-9954-204152DBB346}"/>
    <cellStyle name="Currency 69" xfId="12730" xr:uid="{FC7CE07C-44F2-4C56-9676-D6B3BC3A1803}"/>
    <cellStyle name="Currency 7" xfId="12731" xr:uid="{CF2D7499-FE33-4A98-8ABF-DF1015DB2464}"/>
    <cellStyle name="Currency 7 2" xfId="12732" xr:uid="{0F42201B-2158-4DC9-8392-65066C2CED5F}"/>
    <cellStyle name="Currency 7 2 2" xfId="41287" xr:uid="{64358F2D-0EB2-433E-A925-0CDAA0D21455}"/>
    <cellStyle name="Currency 7 3" xfId="41288" xr:uid="{5F7452C2-6D71-4A77-AAAB-A26B8883EAB1}"/>
    <cellStyle name="Currency 70" xfId="12733" xr:uid="{F9098509-849A-4A5B-B3A8-910AD041B761}"/>
    <cellStyle name="Currency 71" xfId="12734" xr:uid="{86316D88-4D31-4845-B8FC-B6564676A38F}"/>
    <cellStyle name="Currency 72" xfId="12735" xr:uid="{8E3EE422-2D54-4A64-B80F-AC89D656034F}"/>
    <cellStyle name="Currency 73" xfId="12736" xr:uid="{8DA91ED8-06BC-4C16-BE63-70F18B071075}"/>
    <cellStyle name="Currency 74" xfId="12737" xr:uid="{A7083FD4-E2C9-419E-A88D-1311C114A34A}"/>
    <cellStyle name="Currency 75" xfId="12738" xr:uid="{A080F271-9307-437B-A80A-6AC4F4FF8B60}"/>
    <cellStyle name="Currency 76" xfId="12739" xr:uid="{2CD29840-3E5C-41B0-9CE3-A4796001ADBC}"/>
    <cellStyle name="Currency 77" xfId="12740" xr:uid="{6202BA90-20D3-4D3D-93FE-51DE6002A088}"/>
    <cellStyle name="Currency 78" xfId="12741" xr:uid="{44A6B16A-B253-4B65-B23A-BB0BF079940A}"/>
    <cellStyle name="Currency 79" xfId="12742" xr:uid="{BE8DDC8F-DCF7-48DA-A802-4CFC303BBE1A}"/>
    <cellStyle name="Currency 8" xfId="12743" xr:uid="{C60867D7-0040-440C-AE45-F528F18316B5}"/>
    <cellStyle name="Currency 8 2" xfId="12744" xr:uid="{6F5E5FEB-090B-44F1-B71D-0D66754F8B15}"/>
    <cellStyle name="Currency 8 2 2" xfId="41289" xr:uid="{8B817FA0-AB4A-4DD1-B166-D19E423A13F2}"/>
    <cellStyle name="Currency 8 3" xfId="41290" xr:uid="{D652F27E-70AE-40FF-99C3-19A1920553E9}"/>
    <cellStyle name="Currency 80" xfId="12745" xr:uid="{4DA95F7A-C05B-4B4E-A038-31D71C3DE5E0}"/>
    <cellStyle name="Currency 81" xfId="12746" xr:uid="{A5225D3F-48E9-4444-90BD-8988D4E7D97D}"/>
    <cellStyle name="Currency 82" xfId="12747" xr:uid="{ACCF3FBC-9B6A-4987-98D9-423E06EC50C5}"/>
    <cellStyle name="Currency 83" xfId="12748" xr:uid="{E5B7A6E3-F039-46C7-AD6D-27CC11D01912}"/>
    <cellStyle name="Currency 84" xfId="12749" xr:uid="{9BE86A2C-59B7-496E-A243-435D815E6619}"/>
    <cellStyle name="Currency 85" xfId="12750" xr:uid="{78CBC2A0-F21D-43A8-9A0D-64BE88DDFAB1}"/>
    <cellStyle name="Currency 86" xfId="12751" xr:uid="{2F5E425D-7957-4243-B503-888489D5C53C}"/>
    <cellStyle name="Currency 87" xfId="12752" xr:uid="{A936E46B-D137-4124-B41A-B88C080DF9CC}"/>
    <cellStyle name="Currency 88" xfId="12753" xr:uid="{A13F00AF-40E7-4130-BB49-48077A1A04F7}"/>
    <cellStyle name="Currency 89" xfId="12754" xr:uid="{E2293D0E-443D-4B64-879B-CDDBF115662F}"/>
    <cellStyle name="Currency 9" xfId="12755" xr:uid="{46154819-806B-41EB-B32B-C6EEFC66B5C1}"/>
    <cellStyle name="Currency 9 2" xfId="12756" xr:uid="{E8E44983-D717-4023-9A1F-90EAC6132CE9}"/>
    <cellStyle name="Currency 9 2 2" xfId="41291" xr:uid="{E640BA5D-ABEE-4155-B6B6-DBA38D8B77A0}"/>
    <cellStyle name="Currency 9 3" xfId="41292" xr:uid="{04A63A86-2E93-4EED-BD29-5CEBC0B9F58A}"/>
    <cellStyle name="Currency 90" xfId="12757" xr:uid="{2B92A541-F053-4DB3-8E31-787E71420752}"/>
    <cellStyle name="Currency 91" xfId="12758" xr:uid="{A2F9C367-370D-490A-92D7-F7BFAEDBCA47}"/>
    <cellStyle name="Currency 92" xfId="12759" xr:uid="{A34B1149-87C8-41FF-BE6B-432E7FF004EA}"/>
    <cellStyle name="Currency 93" xfId="12760" xr:uid="{2C63BDB0-EB69-4DE0-A62A-70BEBE3539DB}"/>
    <cellStyle name="Currency 94" xfId="12761" xr:uid="{E993192C-2A5F-47B6-ACC6-38F3E7B69D22}"/>
    <cellStyle name="Currency 95" xfId="12762" xr:uid="{C49C1047-4F57-4888-87EB-207A106CB9A6}"/>
    <cellStyle name="Currency 96" xfId="12763" xr:uid="{FBDD6B26-5F5A-4EF4-AD2A-172FC927C202}"/>
    <cellStyle name="Currency 97" xfId="12764" xr:uid="{0173EA9A-2E13-4E26-9A3C-1D27F6989198}"/>
    <cellStyle name="Currency 98" xfId="12765" xr:uid="{380D2AB9-2CFF-4DCC-B253-D6C4C26F0F7F}"/>
    <cellStyle name="Currency 99" xfId="12766" xr:uid="{284EF2B6-5438-421B-82F7-7AD9F5A94101}"/>
    <cellStyle name="Currency0" xfId="234" xr:uid="{0C36C93D-3EDC-4589-9126-7B14F1D7DF30}"/>
    <cellStyle name="Currency0 2" xfId="12767" xr:uid="{77922D44-BEF0-4756-AAA7-A511EAF6BA66}"/>
    <cellStyle name="Currency0 2 10" xfId="12768" xr:uid="{7B55274C-AABB-4785-8ACE-8688286D8CC1}"/>
    <cellStyle name="Currency0 2 11" xfId="12769" xr:uid="{C37239BF-FBE5-480E-AD0E-2681BD559AC6}"/>
    <cellStyle name="Currency0 2 12" xfId="12770" xr:uid="{E22B27B6-D6C4-4C56-9206-FB807A948E1F}"/>
    <cellStyle name="Currency0 2 13" xfId="12771" xr:uid="{6E40F486-3883-4C87-A9FA-CD98D131324C}"/>
    <cellStyle name="Currency0 2 14" xfId="12772" xr:uid="{52CEBE8C-BBFD-4EC4-A61B-2977409A024F}"/>
    <cellStyle name="Currency0 2 15" xfId="12773" xr:uid="{A16220C6-2DC8-4E88-B7A1-7370C1950BCA}"/>
    <cellStyle name="Currency0 2 16" xfId="12774" xr:uid="{02F19701-585B-4982-9D3A-C21802B62E36}"/>
    <cellStyle name="Currency0 2 17" xfId="12775" xr:uid="{6D653A68-CFF0-4F3D-91C6-1ECCA7C0B165}"/>
    <cellStyle name="Currency0 2 18" xfId="12776" xr:uid="{3ED5BE6F-E0AE-46CA-826B-D6668BD0172C}"/>
    <cellStyle name="Currency0 2 19" xfId="12777" xr:uid="{3A7F217D-FAF2-4CFE-AB0C-78196EAD54FC}"/>
    <cellStyle name="Currency0 2 2" xfId="12778" xr:uid="{A3E80C12-12CE-49F1-B034-705172286AC7}"/>
    <cellStyle name="Currency0 2 2 2" xfId="12779" xr:uid="{A0148C59-C909-4625-8086-AA989EB4EDB6}"/>
    <cellStyle name="Currency0 2 2 3" xfId="12780" xr:uid="{D1334AD6-970B-4ABB-8EA9-FE00C3E682AB}"/>
    <cellStyle name="Currency0 2 2 4" xfId="12781" xr:uid="{ADF1CA00-7B90-472B-AE4F-75B4067698FD}"/>
    <cellStyle name="Currency0 2 20" xfId="12782" xr:uid="{1F41F206-43BB-4FD2-9726-E3C605419749}"/>
    <cellStyle name="Currency0 2 21" xfId="12783" xr:uid="{DAEEF472-F067-40A7-9B95-517ED4606201}"/>
    <cellStyle name="Currency0 2 22" xfId="12784" xr:uid="{4433F324-3E65-4A59-9C27-327F8CA83A59}"/>
    <cellStyle name="Currency0 2 23" xfId="12785" xr:uid="{5A676C04-BB0F-4B04-A76F-4B651D1C3C1D}"/>
    <cellStyle name="Currency0 2 24" xfId="12786" xr:uid="{7B2342C8-EC65-4630-B4B4-AC1B492C043A}"/>
    <cellStyle name="Currency0 2 25" xfId="12787" xr:uid="{F2C1C3EC-3C6F-4770-8EFA-1A5C1ACD8E85}"/>
    <cellStyle name="Currency0 2 26" xfId="12788" xr:uid="{6851C980-36EE-4C62-883F-C62DD25734E8}"/>
    <cellStyle name="Currency0 2 27" xfId="12789" xr:uid="{509B4674-587D-4523-8878-0D8CE58B9E7C}"/>
    <cellStyle name="Currency0 2 3" xfId="12790" xr:uid="{7754E1E6-BEBC-4D35-832E-84E6EA6CE68C}"/>
    <cellStyle name="Currency0 2 3 2" xfId="12791" xr:uid="{7E03A59B-2476-4573-8A1D-F12EEBC7E681}"/>
    <cellStyle name="Currency0 2 3 3" xfId="12792" xr:uid="{1B89727C-69AA-4378-B7BB-6833A0779D44}"/>
    <cellStyle name="Currency0 2 3 4" xfId="12793" xr:uid="{CFCCF4AD-A62C-49B6-8845-5118A4FC4BA5}"/>
    <cellStyle name="Currency0 2 4" xfId="12794" xr:uid="{1EED3401-7B36-4B21-8C99-D900529F5900}"/>
    <cellStyle name="Currency0 2 4 2" xfId="12795" xr:uid="{1015571F-D092-4945-B695-1F6BEFDCBDC5}"/>
    <cellStyle name="Currency0 2 4 3" xfId="12796" xr:uid="{AE90D1DB-DB68-4CC7-BD12-157ADADCD5C1}"/>
    <cellStyle name="Currency0 2 4 4" xfId="12797" xr:uid="{AA5243AE-35FB-4137-9781-3ABB130FAB51}"/>
    <cellStyle name="Currency0 2 5" xfId="12798" xr:uid="{C22D5F5A-0481-42C7-846C-18399F2A9C47}"/>
    <cellStyle name="Currency0 2 5 2" xfId="12799" xr:uid="{4815F13C-DBE9-4CD2-9615-DAB2BA7E286B}"/>
    <cellStyle name="Currency0 2 5 3" xfId="12800" xr:uid="{122F815A-DCD0-4F5F-9F65-BC74B28F3597}"/>
    <cellStyle name="Currency0 2 5 4" xfId="12801" xr:uid="{97AB609C-0ECC-498C-8837-6341D3BED733}"/>
    <cellStyle name="Currency0 2 6" xfId="12802" xr:uid="{3BEC81D3-B0D5-4A11-88F7-B221BA24216C}"/>
    <cellStyle name="Currency0 2 7" xfId="12803" xr:uid="{8EA8A6D9-3641-4EEC-998F-0D0651466BB0}"/>
    <cellStyle name="Currency0 2 8" xfId="12804" xr:uid="{40BE0B4D-81E4-48A0-AB83-BA740D92EFCF}"/>
    <cellStyle name="Currency0 2 9" xfId="12805" xr:uid="{51C68649-10D2-4446-B905-FDE107AB9812}"/>
    <cellStyle name="Currency0 3" xfId="12806" xr:uid="{2308E7EA-2E61-4E05-8712-08A0F24746DC}"/>
    <cellStyle name="Currency0 4" xfId="12807" xr:uid="{4B66AFC1-F50C-4C2B-AA4A-3476D7663D93}"/>
    <cellStyle name="Currency0 5" xfId="41293" xr:uid="{B93C3AE9-8C85-4E0B-9E0D-29299C38F05A}"/>
    <cellStyle name="CVSTYLE1" xfId="41294" xr:uid="{2698CAAA-5B1F-455A-86F2-DD0F0FAE1ECA}"/>
    <cellStyle name="CVSTYLE2" xfId="41295" xr:uid="{4A2CA03A-EAAA-4E2D-9CB6-10B72EAF823D}"/>
    <cellStyle name="Date" xfId="235" xr:uid="{80D279EA-27DA-407B-AD84-8AA268F9852D}"/>
    <cellStyle name="Date - m/d" xfId="12808" xr:uid="{77913A98-64F4-4DED-98CB-73C0C38B219B}"/>
    <cellStyle name="Date - m/d 10" xfId="12809" xr:uid="{87E95D4D-63D4-4D0B-B256-88167D89DAED}"/>
    <cellStyle name="Date - m/d 10 10" xfId="12810" xr:uid="{6320323F-2CD5-4D5E-BB20-97CC7A3FF4FC}"/>
    <cellStyle name="Date - m/d 10 11" xfId="12811" xr:uid="{50D54297-AFFE-4F10-8FF4-2F7E28E7C952}"/>
    <cellStyle name="Date - m/d 10 12" xfId="12812" xr:uid="{6ECAFE7E-8A21-41D7-A1B4-D42C275D3879}"/>
    <cellStyle name="Date - m/d 10 13" xfId="12813" xr:uid="{B58D330B-36AA-42B4-A9E4-FAFA0AE41EED}"/>
    <cellStyle name="Date - m/d 10 14" xfId="12814" xr:uid="{08FE9E58-35C6-4E0B-951C-03CF6ED15342}"/>
    <cellStyle name="Date - m/d 10 15" xfId="12815" xr:uid="{643FB216-0543-4709-B278-267B31908C58}"/>
    <cellStyle name="Date - m/d 10 16" xfId="12816" xr:uid="{5434E8F1-33CF-4F96-9A61-805B1B332BCB}"/>
    <cellStyle name="Date - m/d 10 17" xfId="12817" xr:uid="{C253F5DB-7788-44AD-8F45-E046A3E9C3C1}"/>
    <cellStyle name="Date - m/d 10 18" xfId="12818" xr:uid="{5D78DF1F-5BE3-4D05-8A5B-4389536A3E09}"/>
    <cellStyle name="Date - m/d 10 19" xfId="12819" xr:uid="{394F0E4E-CB49-486B-9C40-EAB3090CAFFD}"/>
    <cellStyle name="Date - m/d 10 2" xfId="12820" xr:uid="{F3FEAB0A-078E-465A-917C-1AA871EAA1E1}"/>
    <cellStyle name="Date - m/d 10 20" xfId="12821" xr:uid="{7AA241ED-76E1-4152-AB2A-E51FA91A882D}"/>
    <cellStyle name="Date - m/d 10 21" xfId="12822" xr:uid="{CD22EA1B-3714-4BDF-A5A0-693ECDC2AC87}"/>
    <cellStyle name="Date - m/d 10 22" xfId="12823" xr:uid="{54F8EF55-011D-4B5E-AA38-D3618D4C2B5F}"/>
    <cellStyle name="Date - m/d 10 23" xfId="12824" xr:uid="{DEE83F18-247B-4408-AA16-5E16D287A773}"/>
    <cellStyle name="Date - m/d 10 3" xfId="12825" xr:uid="{4F4E356B-27C5-4C67-8994-EAF35732A124}"/>
    <cellStyle name="Date - m/d 10 4" xfId="12826" xr:uid="{E1204519-9B11-4685-9F43-FAD8A6163518}"/>
    <cellStyle name="Date - m/d 10 5" xfId="12827" xr:uid="{6F74CDED-859D-4C7A-AD84-F38150189B09}"/>
    <cellStyle name="Date - m/d 10 6" xfId="12828" xr:uid="{27F9DF33-7D66-4500-AC40-97EE7CB09DA2}"/>
    <cellStyle name="Date - m/d 10 7" xfId="12829" xr:uid="{8C053CC9-2AA0-48AF-9E43-33557195BBD6}"/>
    <cellStyle name="Date - m/d 10 8" xfId="12830" xr:uid="{96F6E8A6-6813-46E0-95EF-FFDF6D45CB98}"/>
    <cellStyle name="Date - m/d 10 9" xfId="12831" xr:uid="{75AD2D8B-492A-4922-B40F-A86B8A80E129}"/>
    <cellStyle name="Date - m/d 11" xfId="12832" xr:uid="{F518FDA5-6688-4670-98B2-BCF10921A147}"/>
    <cellStyle name="Date - m/d 11 10" xfId="12833" xr:uid="{D9A7A56A-4105-490A-AB47-643B80C3C9D9}"/>
    <cellStyle name="Date - m/d 11 11" xfId="12834" xr:uid="{EC599C28-6A69-4AF0-9C6F-053A6B520AF4}"/>
    <cellStyle name="Date - m/d 11 12" xfId="12835" xr:uid="{D777D2BD-6B43-4BF5-978D-B7C27444345A}"/>
    <cellStyle name="Date - m/d 11 13" xfId="12836" xr:uid="{457F1708-02D4-4D1A-8445-DF2F8456EC6C}"/>
    <cellStyle name="Date - m/d 11 14" xfId="12837" xr:uid="{021291C3-B7F9-4D18-B659-07711F4271F5}"/>
    <cellStyle name="Date - m/d 11 15" xfId="12838" xr:uid="{FB7ACC4C-DFD7-49C7-AA0D-4147FFB3EB37}"/>
    <cellStyle name="Date - m/d 11 16" xfId="12839" xr:uid="{554A1D44-F984-4F67-BC35-5FD84D13F8AE}"/>
    <cellStyle name="Date - m/d 11 17" xfId="12840" xr:uid="{33A7804D-72F5-4C10-BC27-A348286A2A2E}"/>
    <cellStyle name="Date - m/d 11 18" xfId="12841" xr:uid="{0015357E-8149-4C25-86A1-B95686B5AA4D}"/>
    <cellStyle name="Date - m/d 11 19" xfId="12842" xr:uid="{5E970B72-E8B2-42A4-8512-0DB7102B1A6E}"/>
    <cellStyle name="Date - m/d 11 2" xfId="12843" xr:uid="{EFC34C96-C667-4FBF-B542-4DABFFA9D43A}"/>
    <cellStyle name="Date - m/d 11 20" xfId="12844" xr:uid="{5BB8F4F3-EDD8-43EA-85C2-C9ECF3B6FBBE}"/>
    <cellStyle name="Date - m/d 11 21" xfId="12845" xr:uid="{F9A44F07-2513-4C92-B260-ED86836EEEB6}"/>
    <cellStyle name="Date - m/d 11 22" xfId="12846" xr:uid="{F64EB9E1-DAB3-4ED8-B731-0247E712E17A}"/>
    <cellStyle name="Date - m/d 11 23" xfId="12847" xr:uid="{C874BEA3-95D0-47DD-8591-05F1E92257EF}"/>
    <cellStyle name="Date - m/d 11 3" xfId="12848" xr:uid="{08DAED4A-AED2-45FD-9DE2-70B022B3F515}"/>
    <cellStyle name="Date - m/d 11 4" xfId="12849" xr:uid="{5CFDB096-BE6C-49D6-B19B-4FB9993039E5}"/>
    <cellStyle name="Date - m/d 11 5" xfId="12850" xr:uid="{E493ECFF-B328-4D67-993D-052EBBFCC1FC}"/>
    <cellStyle name="Date - m/d 11 6" xfId="12851" xr:uid="{3CC1FEF1-CB34-40BA-BF14-EA6D56681471}"/>
    <cellStyle name="Date - m/d 11 7" xfId="12852" xr:uid="{63EF0E2D-443A-41A1-A3AA-FB762B482162}"/>
    <cellStyle name="Date - m/d 11 8" xfId="12853" xr:uid="{037B6DC5-663C-4E86-A7DD-03AB08F6C0FB}"/>
    <cellStyle name="Date - m/d 11 9" xfId="12854" xr:uid="{2AEB19CA-40BA-45DF-A829-B9EBEC7BF1B8}"/>
    <cellStyle name="Date - m/d 12" xfId="12855" xr:uid="{2FB7AC7A-EEE0-4AA6-9422-6F7B9B768B57}"/>
    <cellStyle name="Date - m/d 12 2" xfId="12856" xr:uid="{B1410FD3-8257-49E0-AA99-65B73785283A}"/>
    <cellStyle name="Date - m/d 12 3" xfId="12857" xr:uid="{4D41B0FE-BEE6-4DBE-9E66-2066B25316DC}"/>
    <cellStyle name="Date - m/d 12 4" xfId="12858" xr:uid="{758AB0F8-D5B8-46F8-981A-7B9FDC1F83CF}"/>
    <cellStyle name="Date - m/d 13" xfId="12859" xr:uid="{F5B1112C-4B23-433A-9049-F6DEBBD1997C}"/>
    <cellStyle name="Date - m/d 14" xfId="12860" xr:uid="{4367755D-1D1E-4F19-9141-72D457B46C1C}"/>
    <cellStyle name="Date - m/d 15" xfId="12861" xr:uid="{3ABE3DA9-724C-4C01-8283-CAF0E0A37F9A}"/>
    <cellStyle name="Date - m/d 16" xfId="12862" xr:uid="{CECE2043-8386-41E1-BC48-92A31FE4E488}"/>
    <cellStyle name="Date - m/d 2" xfId="12863" xr:uid="{75980B63-6E1D-49F8-B7F5-8629EE3EB64D}"/>
    <cellStyle name="Date - m/d 2 10" xfId="12864" xr:uid="{C52FA190-BC33-461D-A266-DCD11AAAD1F2}"/>
    <cellStyle name="Date - m/d 2 11" xfId="12865" xr:uid="{0B88107E-1EC2-4514-9E0D-337C066B5AAF}"/>
    <cellStyle name="Date - m/d 2 12" xfId="12866" xr:uid="{54A41E58-577A-491D-8401-B021A2CB8D55}"/>
    <cellStyle name="Date - m/d 2 13" xfId="12867" xr:uid="{2B730374-A722-4F2F-BF9B-46D3E6B04700}"/>
    <cellStyle name="Date - m/d 2 14" xfId="12868" xr:uid="{C187E2BD-7724-4FE7-ACF9-B13A2EF08C7E}"/>
    <cellStyle name="Date - m/d 2 15" xfId="12869" xr:uid="{E4C6E2DB-85B3-4474-93C3-A79A3D59529F}"/>
    <cellStyle name="Date - m/d 2 16" xfId="12870" xr:uid="{36B5CBF5-24E8-429B-94A6-37C658C1036C}"/>
    <cellStyle name="Date - m/d 2 17" xfId="12871" xr:uid="{D4737201-A336-4B6E-9E49-21757DD38D73}"/>
    <cellStyle name="Date - m/d 2 18" xfId="12872" xr:uid="{E9247DA2-85C0-4F84-A8A1-99C16F14DFD2}"/>
    <cellStyle name="Date - m/d 2 19" xfId="12873" xr:uid="{80AECD1C-7CCD-47C5-9330-5190DF470F10}"/>
    <cellStyle name="Date - m/d 2 2" xfId="12874" xr:uid="{68D0B3F2-582C-48A3-998F-9F4B0534E755}"/>
    <cellStyle name="Date - m/d 2 2 10" xfId="12875" xr:uid="{12B3ACEE-0454-47CA-9471-C3EF0E3C229E}"/>
    <cellStyle name="Date - m/d 2 2 11" xfId="12876" xr:uid="{5E2F6FB1-6E0E-4ECF-A7FF-ABBDD3D99D24}"/>
    <cellStyle name="Date - m/d 2 2 12" xfId="12877" xr:uid="{078D204D-E7E6-4E45-B24C-138D4DF1384A}"/>
    <cellStyle name="Date - m/d 2 2 13" xfId="12878" xr:uid="{2D1AE5BB-1A94-4B51-B723-2A43226AF243}"/>
    <cellStyle name="Date - m/d 2 2 14" xfId="12879" xr:uid="{13DD50DD-A9B5-4127-94F9-DC2051BC7A3D}"/>
    <cellStyle name="Date - m/d 2 2 15" xfId="12880" xr:uid="{6DDB6061-C76E-48A7-89F5-E1D1A62B523B}"/>
    <cellStyle name="Date - m/d 2 2 16" xfId="12881" xr:uid="{CF1BF1D2-7D5D-4AB1-9982-3B401D9BBCD1}"/>
    <cellStyle name="Date - m/d 2 2 17" xfId="12882" xr:uid="{BD94E818-988B-445B-9F9E-25D70591B3F3}"/>
    <cellStyle name="Date - m/d 2 2 18" xfId="12883" xr:uid="{A6C8639F-D681-4488-906A-4A380444F0F1}"/>
    <cellStyle name="Date - m/d 2 2 19" xfId="12884" xr:uid="{7EFF8F31-C4F6-4480-A805-946067231468}"/>
    <cellStyle name="Date - m/d 2 2 2" xfId="12885" xr:uid="{FFC928EB-6C21-47FA-9B2C-9E021916BF51}"/>
    <cellStyle name="Date - m/d 2 2 20" xfId="12886" xr:uid="{D3C3AB81-5DF9-486E-BA61-1C69B4B856D0}"/>
    <cellStyle name="Date - m/d 2 2 21" xfId="12887" xr:uid="{79AAD3EB-3758-406A-B337-FB45BCCA4868}"/>
    <cellStyle name="Date - m/d 2 2 22" xfId="12888" xr:uid="{17F6A850-56F1-4B7A-ABD5-02DA54ED814E}"/>
    <cellStyle name="Date - m/d 2 2 23" xfId="12889" xr:uid="{09ED5405-85FC-46B6-82AC-E0FDAE3BE7DF}"/>
    <cellStyle name="Date - m/d 2 2 3" xfId="12890" xr:uid="{E68176DD-32E3-479E-953E-45893B5E725D}"/>
    <cellStyle name="Date - m/d 2 2 4" xfId="12891" xr:uid="{C088863B-CEDE-4E8D-AA72-0CE586E4F5E7}"/>
    <cellStyle name="Date - m/d 2 2 5" xfId="12892" xr:uid="{ECAD3B27-C4B3-4945-824A-321567DC6619}"/>
    <cellStyle name="Date - m/d 2 2 6" xfId="12893" xr:uid="{39B0BF2D-0DE0-4D43-AC2E-4F7B2DBEB541}"/>
    <cellStyle name="Date - m/d 2 2 7" xfId="12894" xr:uid="{231D6919-0891-40D8-BF7D-D295A57C7407}"/>
    <cellStyle name="Date - m/d 2 2 8" xfId="12895" xr:uid="{EDAC7114-08DF-4FEF-B181-81034049FD57}"/>
    <cellStyle name="Date - m/d 2 2 9" xfId="12896" xr:uid="{E3C7A3A1-7E0B-4CD5-9160-3A3958D5A15A}"/>
    <cellStyle name="Date - m/d 2 20" xfId="12897" xr:uid="{03B1C2D9-B815-4992-B964-19CEBF6E0F76}"/>
    <cellStyle name="Date - m/d 2 21" xfId="12898" xr:uid="{A6F2DBA1-4F06-4C83-8912-98C6EA468905}"/>
    <cellStyle name="Date - m/d 2 22" xfId="12899" xr:uid="{63B5C281-DF80-48F4-BB91-29DF75E6745D}"/>
    <cellStyle name="Date - m/d 2 23" xfId="12900" xr:uid="{38037EC3-42FA-4E42-8CC6-256B4922944E}"/>
    <cellStyle name="Date - m/d 2 24" xfId="12901" xr:uid="{D98D78B1-F9DD-4CD5-BB55-34376A3DB374}"/>
    <cellStyle name="Date - m/d 2 25" xfId="12902" xr:uid="{CF48D2FD-A16B-4B01-8809-0BE4496DC75F}"/>
    <cellStyle name="Date - m/d 2 26" xfId="12903" xr:uid="{441D33FF-6E67-4F23-AA02-E1B47FD612AE}"/>
    <cellStyle name="Date - m/d 2 27" xfId="12904" xr:uid="{2099E224-D503-4779-86E8-2D36FCBA5503}"/>
    <cellStyle name="Date - m/d 2 3" xfId="12905" xr:uid="{3EDCD828-5330-4899-99A9-B47105B4F098}"/>
    <cellStyle name="Date - m/d 2 3 10" xfId="12906" xr:uid="{2EB2B502-8D37-478B-81C7-A1DB9D93F5F7}"/>
    <cellStyle name="Date - m/d 2 3 11" xfId="12907" xr:uid="{99F4DE62-AAD7-40F5-8D63-BD13F4FC6289}"/>
    <cellStyle name="Date - m/d 2 3 12" xfId="12908" xr:uid="{EE8858A1-8EC5-4016-865F-258D11AFE356}"/>
    <cellStyle name="Date - m/d 2 3 13" xfId="12909" xr:uid="{413C73A6-DDB0-42D2-BA97-B8D4806E88D6}"/>
    <cellStyle name="Date - m/d 2 3 14" xfId="12910" xr:uid="{DAE9056F-CE55-418C-BBA8-FA78E7528C9A}"/>
    <cellStyle name="Date - m/d 2 3 15" xfId="12911" xr:uid="{3C1CCB29-8959-45A6-A4FB-41A95A14FA29}"/>
    <cellStyle name="Date - m/d 2 3 16" xfId="12912" xr:uid="{91B958A1-3CAD-4F50-96AF-CF26AF3B0695}"/>
    <cellStyle name="Date - m/d 2 3 17" xfId="12913" xr:uid="{0C1CBEFC-9243-455B-8017-52E64334462B}"/>
    <cellStyle name="Date - m/d 2 3 18" xfId="12914" xr:uid="{B92D1784-1504-460E-AFB6-8ACE3B6B0514}"/>
    <cellStyle name="Date - m/d 2 3 19" xfId="12915" xr:uid="{30B3E8C4-756A-41F1-A056-7C50BFDCD011}"/>
    <cellStyle name="Date - m/d 2 3 2" xfId="12916" xr:uid="{6AE49F94-9C0E-4C60-AAD9-AE65F9D33651}"/>
    <cellStyle name="Date - m/d 2 3 20" xfId="12917" xr:uid="{5A08C1ED-B09D-472C-B862-B2FEF3A9FD17}"/>
    <cellStyle name="Date - m/d 2 3 21" xfId="12918" xr:uid="{188F250A-603E-4C52-815E-D4515495D656}"/>
    <cellStyle name="Date - m/d 2 3 22" xfId="12919" xr:uid="{F1935A1C-E7A2-4A0B-8DAC-76D70FD311B0}"/>
    <cellStyle name="Date - m/d 2 3 23" xfId="12920" xr:uid="{E481DE1E-C0FA-4DE2-A9C8-F1514A7D0EE9}"/>
    <cellStyle name="Date - m/d 2 3 3" xfId="12921" xr:uid="{F7ECCA35-5F1C-4BBD-B9D5-A28544354FDB}"/>
    <cellStyle name="Date - m/d 2 3 4" xfId="12922" xr:uid="{E38E0B21-578B-4C0D-83D8-D0091D7F64CD}"/>
    <cellStyle name="Date - m/d 2 3 5" xfId="12923" xr:uid="{5043ACDE-BB0F-408C-BE78-BC6A68E0A7A1}"/>
    <cellStyle name="Date - m/d 2 3 6" xfId="12924" xr:uid="{FB6CF070-8FA8-4AA1-B8A6-FBBD461AA68F}"/>
    <cellStyle name="Date - m/d 2 3 7" xfId="12925" xr:uid="{493BA8B7-AA82-4656-8443-A1FBD65CA855}"/>
    <cellStyle name="Date - m/d 2 3 8" xfId="12926" xr:uid="{4A036EEE-4C55-4C4C-8B9B-A125F05B4D7A}"/>
    <cellStyle name="Date - m/d 2 3 9" xfId="12927" xr:uid="{2D6648E6-B767-4DFC-8EF6-E37DC85E3AD6}"/>
    <cellStyle name="Date - m/d 2 4" xfId="12928" xr:uid="{9C9CDD90-3D1E-4B6D-8B5E-445C9A781007}"/>
    <cellStyle name="Date - m/d 2 4 10" xfId="12929" xr:uid="{DD31FF73-A4A9-41CF-9286-0DEB32535B45}"/>
    <cellStyle name="Date - m/d 2 4 11" xfId="12930" xr:uid="{08B5D1B6-C79B-45EE-9CD0-96E8652FBAE3}"/>
    <cellStyle name="Date - m/d 2 4 12" xfId="12931" xr:uid="{BAF4701C-29E4-4A2A-8B16-C3123624F4CC}"/>
    <cellStyle name="Date - m/d 2 4 13" xfId="12932" xr:uid="{22D1BDFA-5CD2-4C81-BAF3-757C5D568CAF}"/>
    <cellStyle name="Date - m/d 2 4 14" xfId="12933" xr:uid="{CFAA7E11-B320-4983-88BC-AC589B06475E}"/>
    <cellStyle name="Date - m/d 2 4 15" xfId="12934" xr:uid="{25CA1C1B-28E8-407E-9600-B8E2D3EE0FEF}"/>
    <cellStyle name="Date - m/d 2 4 16" xfId="12935" xr:uid="{B66BE1F5-94FE-42BE-B6D5-879333830751}"/>
    <cellStyle name="Date - m/d 2 4 17" xfId="12936" xr:uid="{CF478B93-FD8E-4EA3-9285-5C75D4F43339}"/>
    <cellStyle name="Date - m/d 2 4 18" xfId="12937" xr:uid="{78CA1CE4-E222-48AB-B2DC-31E640B50B21}"/>
    <cellStyle name="Date - m/d 2 4 19" xfId="12938" xr:uid="{5C16547E-E67F-4901-A805-B83BD87552DB}"/>
    <cellStyle name="Date - m/d 2 4 2" xfId="12939" xr:uid="{BD4F52C9-D1A8-4D3C-9D60-46A901AB3278}"/>
    <cellStyle name="Date - m/d 2 4 20" xfId="12940" xr:uid="{5C4E9F1C-0CD8-403F-9332-B2192C202601}"/>
    <cellStyle name="Date - m/d 2 4 21" xfId="12941" xr:uid="{DBF81CBA-EF9D-4927-ACA6-3EFEC0C8B204}"/>
    <cellStyle name="Date - m/d 2 4 22" xfId="12942" xr:uid="{D3043A66-FA72-4BD1-9215-E5286E3BF04A}"/>
    <cellStyle name="Date - m/d 2 4 23" xfId="12943" xr:uid="{DBEEFDBE-537A-4741-8C92-1A8813C63774}"/>
    <cellStyle name="Date - m/d 2 4 3" xfId="12944" xr:uid="{E3B1D42E-390B-49A0-81ED-777DF74C2A3F}"/>
    <cellStyle name="Date - m/d 2 4 4" xfId="12945" xr:uid="{165821BB-AFEA-462B-A1C5-778D6764C7C2}"/>
    <cellStyle name="Date - m/d 2 4 5" xfId="12946" xr:uid="{F72D758E-8002-4F9A-A3B2-78A79B1E50E4}"/>
    <cellStyle name="Date - m/d 2 4 6" xfId="12947" xr:uid="{AE796BD8-4315-4D98-A654-8CD2640684F9}"/>
    <cellStyle name="Date - m/d 2 4 7" xfId="12948" xr:uid="{23F5BB68-3B23-4D81-B353-7D878E5BEECB}"/>
    <cellStyle name="Date - m/d 2 4 8" xfId="12949" xr:uid="{1593B90F-C3F1-4D34-999A-09EFA8913D37}"/>
    <cellStyle name="Date - m/d 2 4 9" xfId="12950" xr:uid="{97CA8C95-8AA0-4102-B462-A98F43A0EFC5}"/>
    <cellStyle name="Date - m/d 2 5" xfId="12951" xr:uid="{4040AA3C-CA8A-48FD-89E9-39802953DD80}"/>
    <cellStyle name="Date - m/d 2 5 10" xfId="12952" xr:uid="{1C1D5366-B8CD-4EBF-814D-25B5258F12AE}"/>
    <cellStyle name="Date - m/d 2 5 11" xfId="12953" xr:uid="{DC76E46F-EF56-4ABA-B576-FBD1EB7AA225}"/>
    <cellStyle name="Date - m/d 2 5 12" xfId="12954" xr:uid="{6F27CEF6-6F6B-484C-B437-50BDD0F4A2A7}"/>
    <cellStyle name="Date - m/d 2 5 13" xfId="12955" xr:uid="{55DF9884-F59D-4142-A593-9C8557974CF1}"/>
    <cellStyle name="Date - m/d 2 5 14" xfId="12956" xr:uid="{921A2B5E-4D38-4162-B066-DD071CD2D69D}"/>
    <cellStyle name="Date - m/d 2 5 15" xfId="12957" xr:uid="{1DBBBA02-67E6-4586-9176-2761EC2D121B}"/>
    <cellStyle name="Date - m/d 2 5 16" xfId="12958" xr:uid="{A2D0046B-F8CB-44C7-ABAA-A928AB58666D}"/>
    <cellStyle name="Date - m/d 2 5 17" xfId="12959" xr:uid="{4D7117F9-29A8-4D6A-8CEC-1176C7E11D98}"/>
    <cellStyle name="Date - m/d 2 5 18" xfId="12960" xr:uid="{C7F8519D-16F3-45AA-A3D4-54F87ADFEB9D}"/>
    <cellStyle name="Date - m/d 2 5 19" xfId="12961" xr:uid="{F5E62BD9-7B96-42E6-B61A-4AB20EF70308}"/>
    <cellStyle name="Date - m/d 2 5 2" xfId="12962" xr:uid="{CFCB1A67-4172-4531-A09B-FCC3842CA7F1}"/>
    <cellStyle name="Date - m/d 2 5 20" xfId="12963" xr:uid="{F981B500-5525-4697-B015-A80081DC8711}"/>
    <cellStyle name="Date - m/d 2 5 21" xfId="12964" xr:uid="{3C0A40E4-6AAC-4554-918F-E8FCB2ADECB3}"/>
    <cellStyle name="Date - m/d 2 5 22" xfId="12965" xr:uid="{5F4098E6-FC7B-4934-9FF0-6626D3E76304}"/>
    <cellStyle name="Date - m/d 2 5 23" xfId="12966" xr:uid="{82FC0531-66E0-47E7-962A-D6BBC86FA844}"/>
    <cellStyle name="Date - m/d 2 5 3" xfId="12967" xr:uid="{749C8FA3-9DF8-417D-8C65-65A35AEF5BDE}"/>
    <cellStyle name="Date - m/d 2 5 4" xfId="12968" xr:uid="{2682982C-9A38-4BA3-839B-A1EE4A9B3099}"/>
    <cellStyle name="Date - m/d 2 5 5" xfId="12969" xr:uid="{C6C9E0AF-1866-4715-A376-7C6F1CD96072}"/>
    <cellStyle name="Date - m/d 2 5 6" xfId="12970" xr:uid="{9D25AEA7-B5FA-4327-85D2-7BF90CB312B6}"/>
    <cellStyle name="Date - m/d 2 5 7" xfId="12971" xr:uid="{705AB903-2BF0-48EF-916C-40F0730CF7D0}"/>
    <cellStyle name="Date - m/d 2 5 8" xfId="12972" xr:uid="{A9F89BD8-9FAE-4E9F-A2CF-2FBFE8863DD5}"/>
    <cellStyle name="Date - m/d 2 5 9" xfId="12973" xr:uid="{D408BCF0-71A5-4A20-BA82-53431E42DEC5}"/>
    <cellStyle name="Date - m/d 2 6" xfId="12974" xr:uid="{11D9D17A-C02B-422E-A441-BB14E0CE5BB8}"/>
    <cellStyle name="Date - m/d 2 7" xfId="12975" xr:uid="{23F76AD5-AE4A-438B-A040-BD639C85BA08}"/>
    <cellStyle name="Date - m/d 2 8" xfId="12976" xr:uid="{7184D6EE-5EE8-4E3D-AEFA-A7350802B004}"/>
    <cellStyle name="Date - m/d 2 9" xfId="12977" xr:uid="{8BD79AEA-716F-4E9D-8CE4-CDE8287736E4}"/>
    <cellStyle name="Date - m/d 3" xfId="12978" xr:uid="{E6BA52EA-964B-47AF-A3F6-844501F4F4A6}"/>
    <cellStyle name="Date - m/d 3 10" xfId="12979" xr:uid="{C0C36882-F8A9-4C86-A99A-9FEAD575DCCB}"/>
    <cellStyle name="Date - m/d 3 11" xfId="12980" xr:uid="{AE595000-A186-4E6F-BE28-08EDACA2243B}"/>
    <cellStyle name="Date - m/d 3 12" xfId="12981" xr:uid="{136F57D1-0DF7-4264-BE4A-23138C323BC0}"/>
    <cellStyle name="Date - m/d 3 13" xfId="12982" xr:uid="{41449021-4D7F-4A41-9779-04C8C88FA6AB}"/>
    <cellStyle name="Date - m/d 3 14" xfId="12983" xr:uid="{1777F8CA-78A4-4C31-B113-233B29555889}"/>
    <cellStyle name="Date - m/d 3 15" xfId="12984" xr:uid="{08E1D66B-0E18-45AE-A7FF-39CDE7EBC9A7}"/>
    <cellStyle name="Date - m/d 3 16" xfId="12985" xr:uid="{C7DD7D17-8CDA-45E9-A6B3-A47A77CF63E9}"/>
    <cellStyle name="Date - m/d 3 17" xfId="12986" xr:uid="{114E983B-40EE-44E3-96AD-36EBB75DADA5}"/>
    <cellStyle name="Date - m/d 3 18" xfId="12987" xr:uid="{BCFE1532-FC9E-4E69-AE2E-ED78C39BB01E}"/>
    <cellStyle name="Date - m/d 3 19" xfId="12988" xr:uid="{0EB6ECCB-1006-428E-ADD3-EF2651D81116}"/>
    <cellStyle name="Date - m/d 3 2" xfId="12989" xr:uid="{60B32FD5-DD8D-4F7E-BD13-71411BA861BA}"/>
    <cellStyle name="Date - m/d 3 20" xfId="12990" xr:uid="{0AF4442F-9684-4956-BC02-B41A6D005363}"/>
    <cellStyle name="Date - m/d 3 21" xfId="12991" xr:uid="{9BB2734D-87DD-46D8-9DEF-5613D2FD6696}"/>
    <cellStyle name="Date - m/d 3 22" xfId="12992" xr:uid="{A5E73E44-7495-410C-BBF4-148B780CC16F}"/>
    <cellStyle name="Date - m/d 3 23" xfId="12993" xr:uid="{E4F48EED-6C1D-42DA-BB5E-718B1EF29461}"/>
    <cellStyle name="Date - m/d 3 3" xfId="12994" xr:uid="{7CD7E361-96A8-4A44-8CCB-9B71A8BA7CF6}"/>
    <cellStyle name="Date - m/d 3 4" xfId="12995" xr:uid="{25289430-DA07-44FB-92F4-5E5B5FFC2564}"/>
    <cellStyle name="Date - m/d 3 5" xfId="12996" xr:uid="{0367AC39-A42C-442C-A26B-3D034FB23BDE}"/>
    <cellStyle name="Date - m/d 3 6" xfId="12997" xr:uid="{A6565750-B1A0-4090-9759-0DEF1D0C08A0}"/>
    <cellStyle name="Date - m/d 3 7" xfId="12998" xr:uid="{DA39E3D1-C0AA-4998-9EA2-25BEA87EB36F}"/>
    <cellStyle name="Date - m/d 3 8" xfId="12999" xr:uid="{6268552D-192B-4A59-9E55-1AF17DC0CFD8}"/>
    <cellStyle name="Date - m/d 3 9" xfId="13000" xr:uid="{B5AFBBCC-7E87-4583-B527-545C68631EEC}"/>
    <cellStyle name="Date - m/d 4" xfId="13001" xr:uid="{CACCDF30-F30D-49B7-8CF2-2D8E72261D5E}"/>
    <cellStyle name="Date - m/d 4 10" xfId="13002" xr:uid="{960F6ECA-A658-4CE6-8FFD-3E69737BA746}"/>
    <cellStyle name="Date - m/d 4 11" xfId="13003" xr:uid="{C9732902-45C9-4B4B-BCA2-5DB38CEC2AE8}"/>
    <cellStyle name="Date - m/d 4 12" xfId="13004" xr:uid="{1057DED7-367A-4B39-83A6-794CDCAAAB3B}"/>
    <cellStyle name="Date - m/d 4 13" xfId="13005" xr:uid="{D86A21D7-C01A-47B5-8D0C-E90D063512E9}"/>
    <cellStyle name="Date - m/d 4 14" xfId="13006" xr:uid="{E8F4F671-B097-4B0C-8DE0-13DD02DB2455}"/>
    <cellStyle name="Date - m/d 4 15" xfId="13007" xr:uid="{F01E5BD4-570A-460D-AFAB-4AA1ACC91C2F}"/>
    <cellStyle name="Date - m/d 4 16" xfId="13008" xr:uid="{FA34455A-AF11-40EC-983A-40ED8704392A}"/>
    <cellStyle name="Date - m/d 4 17" xfId="13009" xr:uid="{59E41967-2292-44AB-B2E0-0666607AAA52}"/>
    <cellStyle name="Date - m/d 4 18" xfId="13010" xr:uid="{B8298BC5-2E7A-4C37-BA77-3331341154FB}"/>
    <cellStyle name="Date - m/d 4 19" xfId="13011" xr:uid="{1DDA8D2E-D057-48FD-A961-BA2DC3261FC8}"/>
    <cellStyle name="Date - m/d 4 2" xfId="13012" xr:uid="{2FBF7412-3B55-4338-A7E4-103A8643792B}"/>
    <cellStyle name="Date - m/d 4 20" xfId="13013" xr:uid="{D64CE266-046E-4BED-9723-7EA1AD3F64B9}"/>
    <cellStyle name="Date - m/d 4 21" xfId="13014" xr:uid="{ED7B75A9-6130-4249-A646-37C30BDF3965}"/>
    <cellStyle name="Date - m/d 4 22" xfId="13015" xr:uid="{39FAD3F9-573A-4717-A53B-F2A1F257E18A}"/>
    <cellStyle name="Date - m/d 4 23" xfId="13016" xr:uid="{26FF2C01-1FB3-494A-862C-AE78DDA8E590}"/>
    <cellStyle name="Date - m/d 4 3" xfId="13017" xr:uid="{3A41D637-9AA9-4B2B-AFB4-4AA5F1380823}"/>
    <cellStyle name="Date - m/d 4 4" xfId="13018" xr:uid="{09137DCB-8CA7-4128-8FCD-6708668CB5C5}"/>
    <cellStyle name="Date - m/d 4 5" xfId="13019" xr:uid="{DA6B68C7-D763-43F5-B95A-E3F21DE36D99}"/>
    <cellStyle name="Date - m/d 4 6" xfId="13020" xr:uid="{25030FC3-7214-4A13-B80F-F8584719B16B}"/>
    <cellStyle name="Date - m/d 4 7" xfId="13021" xr:uid="{76D2B0F1-BFF6-4283-9CAD-B9008954EEF0}"/>
    <cellStyle name="Date - m/d 4 8" xfId="13022" xr:uid="{ABABC608-D1F3-4BC5-B14D-0CB128B2CB4C}"/>
    <cellStyle name="Date - m/d 4 9" xfId="13023" xr:uid="{566CBED6-B48D-4318-A357-2E2C42722C94}"/>
    <cellStyle name="Date - m/d 5" xfId="13024" xr:uid="{DAA4113E-501A-4F7F-BC7C-851A8E486D99}"/>
    <cellStyle name="Date - m/d 5 10" xfId="13025" xr:uid="{8D26B948-48C8-4DD8-B0B9-01D0200963DD}"/>
    <cellStyle name="Date - m/d 5 11" xfId="13026" xr:uid="{FAB9829D-43B8-427D-95BF-C49DC249CFC8}"/>
    <cellStyle name="Date - m/d 5 12" xfId="13027" xr:uid="{24053BE3-4D47-4404-B9B7-5C2B8031BAF6}"/>
    <cellStyle name="Date - m/d 5 13" xfId="13028" xr:uid="{14D068A5-C2DA-418B-B848-63FA9EFDFE56}"/>
    <cellStyle name="Date - m/d 5 14" xfId="13029" xr:uid="{C7F7E244-A704-4709-80AD-E917E77F9BCA}"/>
    <cellStyle name="Date - m/d 5 15" xfId="13030" xr:uid="{97C2FF2C-1D1A-4240-9EDE-4D488A80CBA7}"/>
    <cellStyle name="Date - m/d 5 16" xfId="13031" xr:uid="{9F693E9C-BD4E-4F1E-B517-B5D2D90B58AE}"/>
    <cellStyle name="Date - m/d 5 17" xfId="13032" xr:uid="{DD13CE46-1812-4A2D-9BC3-7E306A68D26D}"/>
    <cellStyle name="Date - m/d 5 18" xfId="13033" xr:uid="{C486E459-4788-430A-8002-C50C1D0951A9}"/>
    <cellStyle name="Date - m/d 5 19" xfId="13034" xr:uid="{46003D78-A51A-459F-8237-12DBA83FF18C}"/>
    <cellStyle name="Date - m/d 5 2" xfId="13035" xr:uid="{19049E63-D17F-4509-BC62-D79414E2EE29}"/>
    <cellStyle name="Date - m/d 5 20" xfId="13036" xr:uid="{429D83B3-EBFA-4398-9A57-2A528CE89581}"/>
    <cellStyle name="Date - m/d 5 21" xfId="13037" xr:uid="{390F850A-7BF7-473C-A900-BDE5FB3A0BE8}"/>
    <cellStyle name="Date - m/d 5 22" xfId="13038" xr:uid="{46B5BE67-52EF-4784-B306-428065CD0287}"/>
    <cellStyle name="Date - m/d 5 23" xfId="13039" xr:uid="{E525CFBB-3440-49A4-A809-0AE7060EAD6B}"/>
    <cellStyle name="Date - m/d 5 3" xfId="13040" xr:uid="{819C446A-C568-4C57-B737-9518350C8097}"/>
    <cellStyle name="Date - m/d 5 4" xfId="13041" xr:uid="{7F086660-CF1A-4A5D-9E10-CEE858BAE65A}"/>
    <cellStyle name="Date - m/d 5 5" xfId="13042" xr:uid="{0534B997-81E7-4A2F-9023-94FFD0B1F3F7}"/>
    <cellStyle name="Date - m/d 5 6" xfId="13043" xr:uid="{B833053D-B8F6-4B12-BB07-439805043D8D}"/>
    <cellStyle name="Date - m/d 5 7" xfId="13044" xr:uid="{9C9F239B-55C1-471E-8895-3DD661372E7D}"/>
    <cellStyle name="Date - m/d 5 8" xfId="13045" xr:uid="{347005C0-DD61-4115-83D7-3CD7858EBB37}"/>
    <cellStyle name="Date - m/d 5 9" xfId="13046" xr:uid="{428C4631-8981-4897-9C2C-86BAC5A29F11}"/>
    <cellStyle name="Date - m/d 6" xfId="13047" xr:uid="{CA84F2FE-CAF5-4293-A228-3C993CD74317}"/>
    <cellStyle name="Date - m/d 6 10" xfId="13048" xr:uid="{6D43F178-AEF4-48A4-A596-86C4E5B1EA2B}"/>
    <cellStyle name="Date - m/d 6 11" xfId="13049" xr:uid="{DE6817CE-C519-4BBC-9588-BF0B3C1F9EFF}"/>
    <cellStyle name="Date - m/d 6 12" xfId="13050" xr:uid="{9DE4BD6D-D7AE-4968-95EF-F53CAD7B3D53}"/>
    <cellStyle name="Date - m/d 6 13" xfId="13051" xr:uid="{0689E006-1324-4259-B8A8-7B10203A34A5}"/>
    <cellStyle name="Date - m/d 6 14" xfId="13052" xr:uid="{6E18688C-BA3B-46D4-9A90-CDBCEF0580E2}"/>
    <cellStyle name="Date - m/d 6 15" xfId="13053" xr:uid="{AD4A25A3-1A0C-406E-ACF7-9F23EB889BB0}"/>
    <cellStyle name="Date - m/d 6 16" xfId="13054" xr:uid="{558E84E0-210F-46B0-B54C-BAACDF8EA90A}"/>
    <cellStyle name="Date - m/d 6 17" xfId="13055" xr:uid="{987EA5E4-F3A3-4AB8-8DD3-003A894D4320}"/>
    <cellStyle name="Date - m/d 6 18" xfId="13056" xr:uid="{A627A010-103D-4A0E-8AD9-357980ED90EB}"/>
    <cellStyle name="Date - m/d 6 19" xfId="13057" xr:uid="{ACEB3238-BFDF-4859-BCB8-59B3DA36D9BB}"/>
    <cellStyle name="Date - m/d 6 2" xfId="13058" xr:uid="{FAD319C6-3E1F-436E-83E6-046D595F998C}"/>
    <cellStyle name="Date - m/d 6 20" xfId="13059" xr:uid="{82B14DB4-0000-43E8-8E2E-952B428E5F87}"/>
    <cellStyle name="Date - m/d 6 21" xfId="13060" xr:uid="{ECD06D9E-6ABB-46DC-B528-3F1C016CA47C}"/>
    <cellStyle name="Date - m/d 6 22" xfId="13061" xr:uid="{BD002F3A-F459-42DF-B66F-8F5E23DA784A}"/>
    <cellStyle name="Date - m/d 6 23" xfId="13062" xr:uid="{6552803E-0AF1-4CF5-8C24-5421D83BF1AB}"/>
    <cellStyle name="Date - m/d 6 3" xfId="13063" xr:uid="{AEAEA6DB-0CB7-4A75-92DF-C5EADEBF8948}"/>
    <cellStyle name="Date - m/d 6 4" xfId="13064" xr:uid="{0F38B61F-7F7A-4D1B-ABC7-9F433417FBEF}"/>
    <cellStyle name="Date - m/d 6 5" xfId="13065" xr:uid="{142FB9CA-3215-40B1-AF3D-2C6E93A2FD76}"/>
    <cellStyle name="Date - m/d 6 6" xfId="13066" xr:uid="{6551CB31-DB97-4CA8-9371-DA171CCD285B}"/>
    <cellStyle name="Date - m/d 6 7" xfId="13067" xr:uid="{03FA1BCE-71EE-4851-B5BC-5C1B776B5CC8}"/>
    <cellStyle name="Date - m/d 6 8" xfId="13068" xr:uid="{8E21DEFF-ACAE-435C-B1B6-9388F352150D}"/>
    <cellStyle name="Date - m/d 6 9" xfId="13069" xr:uid="{653BB9D5-E9A5-4866-ABA5-94745C9B22B5}"/>
    <cellStyle name="Date - m/d 7" xfId="13070" xr:uid="{71545917-4E65-4D98-A68F-EA4A089EBD9B}"/>
    <cellStyle name="Date - m/d 7 10" xfId="13071" xr:uid="{21B844D3-17B3-4131-A153-8193CECBA6EC}"/>
    <cellStyle name="Date - m/d 7 11" xfId="13072" xr:uid="{23421E94-452F-4838-A053-F89FD7372415}"/>
    <cellStyle name="Date - m/d 7 12" xfId="13073" xr:uid="{156CB588-06CF-4E2C-9ED4-69FA296D5402}"/>
    <cellStyle name="Date - m/d 7 13" xfId="13074" xr:uid="{CAF7D526-772C-4E4D-BFF6-C41E9B007537}"/>
    <cellStyle name="Date - m/d 7 14" xfId="13075" xr:uid="{5AF6480B-CECA-41AE-B5A1-92F0BB8BDC33}"/>
    <cellStyle name="Date - m/d 7 15" xfId="13076" xr:uid="{5DEF7BF7-760B-48DF-9F83-5F1DE7F19CAA}"/>
    <cellStyle name="Date - m/d 7 16" xfId="13077" xr:uid="{EB058326-387E-45B0-A272-F84080FFB609}"/>
    <cellStyle name="Date - m/d 7 17" xfId="13078" xr:uid="{D4CF2422-03B8-414F-A0BD-4366A38D7271}"/>
    <cellStyle name="Date - m/d 7 18" xfId="13079" xr:uid="{F4E5E9A3-6076-4E2E-851D-3946B49EE33A}"/>
    <cellStyle name="Date - m/d 7 19" xfId="13080" xr:uid="{1A6911B1-994F-4DAD-B8DF-08126733B131}"/>
    <cellStyle name="Date - m/d 7 2" xfId="13081" xr:uid="{647ED718-2246-4D0C-9BD3-D6CC70972A11}"/>
    <cellStyle name="Date - m/d 7 20" xfId="13082" xr:uid="{E4EA1B59-9377-4DE6-AEA1-B3DD30935858}"/>
    <cellStyle name="Date - m/d 7 21" xfId="13083" xr:uid="{B7FEBEC8-9B7D-403E-B8AF-80FE4C3B6A6D}"/>
    <cellStyle name="Date - m/d 7 22" xfId="13084" xr:uid="{6EFB5B76-E389-4FD8-B429-E5E6A57D148F}"/>
    <cellStyle name="Date - m/d 7 23" xfId="13085" xr:uid="{187060C1-6351-45E7-A413-1FC654BAA725}"/>
    <cellStyle name="Date - m/d 7 3" xfId="13086" xr:uid="{D00EA98F-48A9-4955-8385-D5DA69FD82D6}"/>
    <cellStyle name="Date - m/d 7 4" xfId="13087" xr:uid="{A89DD128-A602-488C-A5A8-368E12A12C4B}"/>
    <cellStyle name="Date - m/d 7 5" xfId="13088" xr:uid="{065A2E89-DB5D-44E1-BC7B-27E93BFAC6D4}"/>
    <cellStyle name="Date - m/d 7 6" xfId="13089" xr:uid="{F09AD963-8255-4441-8A36-EE5B38CAB7DA}"/>
    <cellStyle name="Date - m/d 7 7" xfId="13090" xr:uid="{2460BD40-1D24-4005-A78C-661FCD7F9AB2}"/>
    <cellStyle name="Date - m/d 7 8" xfId="13091" xr:uid="{C23A35FE-3311-4FEF-AA6C-1AFFFA5E559A}"/>
    <cellStyle name="Date - m/d 7 9" xfId="13092" xr:uid="{6D92643E-2273-4AA9-A759-708DD8F4AE46}"/>
    <cellStyle name="Date - m/d 8" xfId="13093" xr:uid="{283150F4-AB6F-462B-B2F5-2BB1510B0783}"/>
    <cellStyle name="Date - m/d 8 10" xfId="13094" xr:uid="{640D7487-4AEE-42C9-9BC0-46BE8515CDD9}"/>
    <cellStyle name="Date - m/d 8 11" xfId="13095" xr:uid="{27BB187B-91AF-46CA-9D7C-A89924AB7E01}"/>
    <cellStyle name="Date - m/d 8 12" xfId="13096" xr:uid="{3560E81D-E767-4E62-B0F9-FCCC777F3AF8}"/>
    <cellStyle name="Date - m/d 8 13" xfId="13097" xr:uid="{DECC714E-6B77-4DAD-B082-F34DD1C5D5B9}"/>
    <cellStyle name="Date - m/d 8 14" xfId="13098" xr:uid="{2A2F1CF7-2F3C-4EB5-8931-DCD69C79EC88}"/>
    <cellStyle name="Date - m/d 8 15" xfId="13099" xr:uid="{8A6E48D4-1C72-40FA-BCA4-15F9D5501BF2}"/>
    <cellStyle name="Date - m/d 8 16" xfId="13100" xr:uid="{63A1D285-B267-4B59-BCF0-570D9B314AC2}"/>
    <cellStyle name="Date - m/d 8 17" xfId="13101" xr:uid="{476BB833-B08A-4F9E-8AFC-10B12241C4FF}"/>
    <cellStyle name="Date - m/d 8 18" xfId="13102" xr:uid="{FD9D4CE6-CA7B-416E-89E3-EFC7BDEB479B}"/>
    <cellStyle name="Date - m/d 8 19" xfId="13103" xr:uid="{609E866A-8AEC-419C-82BA-7B23EA55D52A}"/>
    <cellStyle name="Date - m/d 8 2" xfId="13104" xr:uid="{DA22685E-D214-48CA-B403-CEC090D30033}"/>
    <cellStyle name="Date - m/d 8 20" xfId="13105" xr:uid="{9D0BD832-A7F9-4DFE-BCDF-4BEBEED40416}"/>
    <cellStyle name="Date - m/d 8 21" xfId="13106" xr:uid="{197C0380-CFF1-4BB5-9924-BAF4C5960D0E}"/>
    <cellStyle name="Date - m/d 8 22" xfId="13107" xr:uid="{AB6C1902-0334-4524-9018-1B4CE3522EB1}"/>
    <cellStyle name="Date - m/d 8 23" xfId="13108" xr:uid="{89191637-3E12-4476-B6BB-B30978CA1219}"/>
    <cellStyle name="Date - m/d 8 3" xfId="13109" xr:uid="{B9FE5D77-96FB-4082-9599-A3C34A270271}"/>
    <cellStyle name="Date - m/d 8 4" xfId="13110" xr:uid="{B3F4355C-E8F6-4AD8-9F2A-1F2B96116682}"/>
    <cellStyle name="Date - m/d 8 5" xfId="13111" xr:uid="{CCE149B8-939C-4FC1-A37F-B413AECD1D19}"/>
    <cellStyle name="Date - m/d 8 6" xfId="13112" xr:uid="{7C433844-E4F4-455A-8AC3-53909A8F3A6A}"/>
    <cellStyle name="Date - m/d 8 7" xfId="13113" xr:uid="{AF335973-7333-4306-BD1A-C0D84346AAE2}"/>
    <cellStyle name="Date - m/d 8 8" xfId="13114" xr:uid="{969A5248-26E6-4412-B80C-F30CE5A5829B}"/>
    <cellStyle name="Date - m/d 8 9" xfId="13115" xr:uid="{8D72F31C-178B-440F-BC3D-185AE927DF52}"/>
    <cellStyle name="Date - m/d 9" xfId="13116" xr:uid="{3B32DF99-9086-4B20-BE38-3CB1721C09DB}"/>
    <cellStyle name="Date - m/d 9 10" xfId="13117" xr:uid="{8BE5CC02-9846-40AA-B1DE-2B5EFEE69738}"/>
    <cellStyle name="Date - m/d 9 11" xfId="13118" xr:uid="{63E56994-5EA7-48CE-8B6F-345F6399B19D}"/>
    <cellStyle name="Date - m/d 9 12" xfId="13119" xr:uid="{EED6351A-36C0-4FA9-9A18-53E4A962C22D}"/>
    <cellStyle name="Date - m/d 9 13" xfId="13120" xr:uid="{33749CA2-08B3-46D3-9AE5-F689C68BA616}"/>
    <cellStyle name="Date - m/d 9 14" xfId="13121" xr:uid="{5DBF78FA-8000-4F63-BBDF-87DAE05E5588}"/>
    <cellStyle name="Date - m/d 9 15" xfId="13122" xr:uid="{CB751827-457C-410F-9C3C-DFB434EB5E0B}"/>
    <cellStyle name="Date - m/d 9 16" xfId="13123" xr:uid="{29B0EBA1-2A3D-4BF0-83F2-3F1CEE96410C}"/>
    <cellStyle name="Date - m/d 9 17" xfId="13124" xr:uid="{3D6993BC-5CF7-42F0-BDB4-21F8E78ABD45}"/>
    <cellStyle name="Date - m/d 9 18" xfId="13125" xr:uid="{EFB57CBC-BD3A-4F53-ABD7-2DB02D875036}"/>
    <cellStyle name="Date - m/d 9 19" xfId="13126" xr:uid="{54A02722-47F4-44A5-A6E8-674360ED609C}"/>
    <cellStyle name="Date - m/d 9 2" xfId="13127" xr:uid="{77A3FC15-C9EF-4DFC-BBB0-B8244D745FBD}"/>
    <cellStyle name="Date - m/d 9 20" xfId="13128" xr:uid="{C082212D-DA18-4894-A9D8-66502E04BCC6}"/>
    <cellStyle name="Date - m/d 9 21" xfId="13129" xr:uid="{38E2E7B2-BC6A-4A31-9AC5-BFB576703346}"/>
    <cellStyle name="Date - m/d 9 22" xfId="13130" xr:uid="{054A9BE9-1484-4468-8101-1A98FAC3818E}"/>
    <cellStyle name="Date - m/d 9 23" xfId="13131" xr:uid="{FBFC5D0C-915A-4C6D-A646-ED9BA2CB208B}"/>
    <cellStyle name="Date - m/d 9 3" xfId="13132" xr:uid="{BA25C409-D057-4ECD-A83B-E1856796B50B}"/>
    <cellStyle name="Date - m/d 9 4" xfId="13133" xr:uid="{7CB180CA-6EAF-49E9-8231-CE24DB47B7E6}"/>
    <cellStyle name="Date - m/d 9 5" xfId="13134" xr:uid="{081E34E7-0F04-4ADB-B7B2-53037BBA5806}"/>
    <cellStyle name="Date - m/d 9 6" xfId="13135" xr:uid="{0391EB29-4670-464F-9DED-517AD81DFB63}"/>
    <cellStyle name="Date - m/d 9 7" xfId="13136" xr:uid="{7B69CA29-3754-4DBA-B403-02E48EDF81F0}"/>
    <cellStyle name="Date - m/d 9 8" xfId="13137" xr:uid="{3E2C5DD3-4A7A-4C99-93B3-0E5577B3AF73}"/>
    <cellStyle name="Date - m/d 9 9" xfId="13138" xr:uid="{DE9EF7E3-BF77-43BE-891A-B2C54DC05AC7}"/>
    <cellStyle name="Date 10" xfId="41296" xr:uid="{C9BD3D98-BFFA-438F-A01E-4B19DE62B7D4}"/>
    <cellStyle name="Date 11" xfId="41297" xr:uid="{07B43EAF-198D-4C68-9577-6D79AB9CAE3D}"/>
    <cellStyle name="Date 12" xfId="41298" xr:uid="{DA927967-88E6-4AE5-8703-3130CFA602F0}"/>
    <cellStyle name="Date 13" xfId="41299" xr:uid="{11B18126-F2B4-4A38-9BC4-2DA54FF6FAA9}"/>
    <cellStyle name="Date 14" xfId="41300" xr:uid="{CE05C2EF-01BE-49DC-A3FA-7BE9FDE7ED15}"/>
    <cellStyle name="Date 2" xfId="13139" xr:uid="{8C30A1F7-455E-4948-ADC9-E1062F2BF81D}"/>
    <cellStyle name="Date 2 10" xfId="13140" xr:uid="{EC469451-E4B9-434E-A056-5E1319222D19}"/>
    <cellStyle name="Date 2 11" xfId="13141" xr:uid="{A586971D-E736-426D-9074-B2041BCDF225}"/>
    <cellStyle name="Date 2 12" xfId="13142" xr:uid="{BDA12C95-54D1-4BD4-A554-5CA9ABE5AF19}"/>
    <cellStyle name="Date 2 13" xfId="13143" xr:uid="{978C2C86-B866-40A2-9C98-C70505960AB6}"/>
    <cellStyle name="Date 2 14" xfId="13144" xr:uid="{74824EBD-D1CE-4D8B-927F-08522ED0E2BB}"/>
    <cellStyle name="Date 2 15" xfId="13145" xr:uid="{0B2F90AF-15B5-4C60-9DB2-0FDFBE402DB2}"/>
    <cellStyle name="Date 2 16" xfId="13146" xr:uid="{DE9231A4-DA79-4455-B461-2F78C050906A}"/>
    <cellStyle name="Date 2 17" xfId="13147" xr:uid="{44CF4DFA-21BD-4EBC-8279-7FB3345C0CF4}"/>
    <cellStyle name="Date 2 18" xfId="13148" xr:uid="{CCBF7C5A-03B0-4354-B427-88A0614C321D}"/>
    <cellStyle name="Date 2 19" xfId="13149" xr:uid="{8E19B151-CC72-4F7B-949B-B5D5F59543C4}"/>
    <cellStyle name="Date 2 2" xfId="13150" xr:uid="{21FD51E9-7FA1-4538-840E-94CE2917067F}"/>
    <cellStyle name="Date 2 2 2" xfId="13151" xr:uid="{A1E7613B-8E2C-446E-8D87-D1C26225BADA}"/>
    <cellStyle name="Date 2 2 3" xfId="13152" xr:uid="{32AE9A73-8647-4380-B079-37132AE9690C}"/>
    <cellStyle name="Date 2 2 4" xfId="13153" xr:uid="{376AB781-52D8-409C-84D7-82C17AB6A484}"/>
    <cellStyle name="Date 2 20" xfId="13154" xr:uid="{1B488BC1-9BF2-4D80-8FF1-F1BAD9A8C073}"/>
    <cellStyle name="Date 2 21" xfId="13155" xr:uid="{8D080C1D-41AB-47AA-B5F2-8EBB068F5F2E}"/>
    <cellStyle name="Date 2 22" xfId="13156" xr:uid="{E84CC9FF-EBC1-4430-9202-596CB373B48E}"/>
    <cellStyle name="Date 2 23" xfId="13157" xr:uid="{60D7DAC2-32E1-47C3-B4DD-FEA2893CDA71}"/>
    <cellStyle name="Date 2 24" xfId="13158" xr:uid="{C2E5B045-1342-4F68-A784-2A7DC18041CA}"/>
    <cellStyle name="Date 2 25" xfId="13159" xr:uid="{E2D15668-B10D-4ABC-BB5B-4D3D6266672C}"/>
    <cellStyle name="Date 2 26" xfId="13160" xr:uid="{8EF9521D-009D-4E72-B737-D7E8EB742078}"/>
    <cellStyle name="Date 2 27" xfId="13161" xr:uid="{51E85C65-854F-486E-A70C-138F851E17B2}"/>
    <cellStyle name="Date 2 3" xfId="13162" xr:uid="{018E626D-7B81-4E83-9253-B7A8D187E3D6}"/>
    <cellStyle name="Date 2 3 2" xfId="13163" xr:uid="{E091D7E6-0CC6-4C75-87AB-D561AE09C84D}"/>
    <cellStyle name="Date 2 3 3" xfId="13164" xr:uid="{266FEE46-22AF-4725-A9B5-25C24CCB8A25}"/>
    <cellStyle name="Date 2 3 4" xfId="13165" xr:uid="{3F20F28F-2B61-48EC-B820-6B488B169CC0}"/>
    <cellStyle name="Date 2 4" xfId="13166" xr:uid="{256879D4-2D9F-4C18-A1A4-AFFAF3B714EC}"/>
    <cellStyle name="Date 2 4 2" xfId="13167" xr:uid="{66BE231C-48B3-4082-836F-111F8D25A78E}"/>
    <cellStyle name="Date 2 4 3" xfId="13168" xr:uid="{B6F86D63-C2EF-4E83-ADA1-DEC55DE8D601}"/>
    <cellStyle name="Date 2 4 4" xfId="13169" xr:uid="{35FC590D-72D1-484D-85D4-85C6F6280209}"/>
    <cellStyle name="Date 2 5" xfId="13170" xr:uid="{141C1DB4-BE2E-4FC7-B746-BF1A254D951C}"/>
    <cellStyle name="Date 2 5 2" xfId="13171" xr:uid="{69C3F13B-A5C9-4E28-9367-ADFFB860EF53}"/>
    <cellStyle name="Date 2 5 3" xfId="13172" xr:uid="{796A0EE9-9CD0-41DC-AE18-02A5ECBC4636}"/>
    <cellStyle name="Date 2 5 4" xfId="13173" xr:uid="{129B0E1D-E828-491E-A8C5-2D35F6B1AF97}"/>
    <cellStyle name="Date 2 6" xfId="13174" xr:uid="{EA12D39A-C388-4ACC-A067-89AD5D3FF52B}"/>
    <cellStyle name="Date 2 7" xfId="13175" xr:uid="{0C35DBB4-230F-44FC-AE5E-F6E3CBF2372C}"/>
    <cellStyle name="Date 2 8" xfId="13176" xr:uid="{91715E64-17CD-4051-A67D-264302B8BD2B}"/>
    <cellStyle name="Date 2 9" xfId="13177" xr:uid="{D5FE80B4-8FB1-46A1-ACC1-F964D965BA9E}"/>
    <cellStyle name="Date 3" xfId="13178" xr:uid="{81CB2D81-AB20-402A-B281-71E1EE91F9E3}"/>
    <cellStyle name="Date 4" xfId="13179" xr:uid="{5897E05C-7856-4F8D-BCF0-45475B3DD938}"/>
    <cellStyle name="Date 5" xfId="41301" xr:uid="{5F242E3B-0673-4FE4-865B-EF822925651D}"/>
    <cellStyle name="Date 6" xfId="41302" xr:uid="{B08634C1-321A-4D09-AF43-49FAE3078B4A}"/>
    <cellStyle name="Date 7" xfId="41303" xr:uid="{B0B44142-EB3B-4E1A-B6D0-76F01D18F01E}"/>
    <cellStyle name="Date 8" xfId="41304" xr:uid="{5F8692C8-EC39-4370-A95E-1814A63E67DA}"/>
    <cellStyle name="Date 9" xfId="41305" xr:uid="{F81F0D09-B892-4526-946D-E6E31A89373B}"/>
    <cellStyle name="Date-day" xfId="13180" xr:uid="{4299E41F-E468-4FE1-A24C-493DBD32C7F5}"/>
    <cellStyle name="Date-month" xfId="13181" xr:uid="{AF0CDB4C-D60D-4859-874A-A42B1B33ED68}"/>
    <cellStyle name="Date-time" xfId="13182" xr:uid="{3E11B7B8-7249-40F6-99C1-485A9E5E67EF}"/>
    <cellStyle name="Date-time 2" xfId="13183" xr:uid="{B18A1F8E-902B-46C4-82AB-FDA3EC3497A0}"/>
    <cellStyle name="Date-time 2 10" xfId="13184" xr:uid="{D5F37B9E-2391-493A-B05F-4117FF4194D6}"/>
    <cellStyle name="Date-time 2 11" xfId="13185" xr:uid="{04D684AA-EEBB-425F-AF81-FFCF2C4FF22D}"/>
    <cellStyle name="Date-time 2 12" xfId="13186" xr:uid="{4CF1EC88-EE13-452D-99CA-2BD5F7CB713D}"/>
    <cellStyle name="Date-time 2 13" xfId="13187" xr:uid="{9FB9E32A-C598-46CF-8F6B-2A0BEAB2C7F3}"/>
    <cellStyle name="Date-time 2 14" xfId="13188" xr:uid="{5C7B5C93-A2B0-4D93-96F8-AD3F156F05F6}"/>
    <cellStyle name="Date-time 2 15" xfId="13189" xr:uid="{3ED0B3AF-99BD-491B-A003-96B774B62B79}"/>
    <cellStyle name="Date-time 2 16" xfId="13190" xr:uid="{26DDFE71-820C-4596-ADAD-53852E2427E7}"/>
    <cellStyle name="Date-time 2 17" xfId="13191" xr:uid="{52F75D1B-4B24-470D-A2DF-6F84D4A7D4E9}"/>
    <cellStyle name="Date-time 2 18" xfId="13192" xr:uid="{F668667B-9824-4807-BB9F-7E65650F76F6}"/>
    <cellStyle name="Date-time 2 19" xfId="13193" xr:uid="{F9909A28-AFB4-440C-8E1A-1D3ECBDBD476}"/>
    <cellStyle name="Date-time 2 2" xfId="13194" xr:uid="{74E702C8-27C3-4773-8783-55C7B3E13F8B}"/>
    <cellStyle name="Date-time 2 2 2" xfId="13195" xr:uid="{0187A09A-B77E-466B-BCD0-8ECD409295F1}"/>
    <cellStyle name="Date-time 2 2 3" xfId="13196" xr:uid="{8FE34F2A-F264-47FF-8D77-9233E0705A69}"/>
    <cellStyle name="Date-time 2 2 4" xfId="13197" xr:uid="{DCBB0498-7926-4A7C-AC12-42EFA94263F1}"/>
    <cellStyle name="Date-time 2 20" xfId="13198" xr:uid="{E8B71841-9E45-4C16-8A7B-93117383D33F}"/>
    <cellStyle name="Date-time 2 21" xfId="13199" xr:uid="{C94960D6-2871-4AF3-A22A-AA22AEFB9AE2}"/>
    <cellStyle name="Date-time 2 22" xfId="13200" xr:uid="{7FB8BA53-36E1-479B-A47A-4A0DA596AB15}"/>
    <cellStyle name="Date-time 2 23" xfId="13201" xr:uid="{72143566-8FE4-4A7A-A4F2-FC81FA99C5D5}"/>
    <cellStyle name="Date-time 2 24" xfId="13202" xr:uid="{FF06C1CF-71F7-4AF5-B449-1A736FB426D4}"/>
    <cellStyle name="Date-time 2 25" xfId="13203" xr:uid="{1AB62A13-E4AB-4A9D-83BF-6706898BDB4F}"/>
    <cellStyle name="Date-time 2 26" xfId="13204" xr:uid="{88A6A10A-CE05-4785-975A-9336837F90FC}"/>
    <cellStyle name="Date-time 2 27" xfId="13205" xr:uid="{512BE8BF-ED3B-4BCE-9934-FCD74B3DDEB3}"/>
    <cellStyle name="Date-time 2 3" xfId="13206" xr:uid="{8F93961B-4269-4D74-BA44-7A063ADA56FC}"/>
    <cellStyle name="Date-time 2 3 2" xfId="13207" xr:uid="{3809190F-A34B-4684-86B6-E6F593AD172B}"/>
    <cellStyle name="Date-time 2 3 3" xfId="13208" xr:uid="{B0B870D7-0530-4437-AEEC-62FD577FEA2F}"/>
    <cellStyle name="Date-time 2 3 4" xfId="13209" xr:uid="{B636B9FA-314F-4214-BD69-05D133021DA3}"/>
    <cellStyle name="Date-time 2 4" xfId="13210" xr:uid="{6D6057D6-FEE3-498D-92D5-0C8FAB65B53D}"/>
    <cellStyle name="Date-time 2 4 2" xfId="13211" xr:uid="{F8CC5941-647F-499A-B70A-3DC2A12CE04E}"/>
    <cellStyle name="Date-time 2 4 3" xfId="13212" xr:uid="{90B5E2C5-DFEA-4D2F-83B0-17C7A190ADAB}"/>
    <cellStyle name="Date-time 2 4 4" xfId="13213" xr:uid="{417BBFD2-E49D-4B53-9D87-B7B9DA1DB844}"/>
    <cellStyle name="Date-time 2 5" xfId="13214" xr:uid="{90964EE8-A8F4-4492-8FA9-E49D2EE5EFF7}"/>
    <cellStyle name="Date-time 2 5 2" xfId="13215" xr:uid="{9AC1315C-51A2-4D8E-8D5A-9E9BCF7F8918}"/>
    <cellStyle name="Date-time 2 5 3" xfId="13216" xr:uid="{78E2CD6A-0698-4EFB-8264-F30BF71D12DF}"/>
    <cellStyle name="Date-time 2 5 4" xfId="13217" xr:uid="{872071F2-E90C-4642-B67B-2AC4D786BB7C}"/>
    <cellStyle name="Date-time 2 6" xfId="13218" xr:uid="{D36538A0-FBEE-4108-A057-A367C0148C72}"/>
    <cellStyle name="Date-time 2 7" xfId="13219" xr:uid="{78F8ED47-B080-4683-B8EE-8147E9321D47}"/>
    <cellStyle name="Date-time 2 8" xfId="13220" xr:uid="{0A12BB95-1BC0-4272-A19E-96AC4011C91D}"/>
    <cellStyle name="Date-time 2 9" xfId="13221" xr:uid="{23D977A5-2E92-409A-AB89-858E3C70FEA6}"/>
    <cellStyle name="Date-time 3" xfId="13222" xr:uid="{434F6E86-4984-412F-A474-716B87D21D34}"/>
    <cellStyle name="Date-time 3 2" xfId="13223" xr:uid="{A4333237-FC3F-4F07-9892-6FEE725FBECC}"/>
    <cellStyle name="Date-time 3 3" xfId="13224" xr:uid="{665990D3-AC0A-4D02-A35E-237259BB3080}"/>
    <cellStyle name="Date-time 3 4" xfId="13225" xr:uid="{2E05C127-AF6B-458F-BB3D-18DF73BF9F08}"/>
    <cellStyle name="Date-time 4" xfId="13226" xr:uid="{0287EE2B-00FB-453A-9C5A-62721076CED8}"/>
    <cellStyle name="Date-time 4 2" xfId="13227" xr:uid="{7C418C3C-98E3-4DAC-ABE4-EB06ECED5C27}"/>
    <cellStyle name="Date-time 4 3" xfId="13228" xr:uid="{B6562502-38C9-407B-8716-FD1120CB994E}"/>
    <cellStyle name="Date-time 4 4" xfId="13229" xr:uid="{09EEDF25-3C9B-49F7-8AF8-5C8BD44ABCB5}"/>
    <cellStyle name="Date-time 5" xfId="13230" xr:uid="{512868BB-0C1F-4AB2-B59B-446DA64318B1}"/>
    <cellStyle name="Date-time 6" xfId="13231" xr:uid="{EDC78B83-0E32-435F-88B6-A3CDB6A751C9}"/>
    <cellStyle name="Emphasis 1" xfId="13232" xr:uid="{D0BAE2FB-7869-4F36-ADE7-C60354EFB484}"/>
    <cellStyle name="Emphasis 2" xfId="13233" xr:uid="{CB1FFF5B-D121-4697-B08F-E9B67F1997CC}"/>
    <cellStyle name="Emphasis 3" xfId="13234" xr:uid="{80E39F90-F791-4F97-8234-0587048AF9BE}"/>
    <cellStyle name="Euro" xfId="13235" xr:uid="{BECE7F24-3425-4670-A82A-3FCC3ED45A38}"/>
    <cellStyle name="Euro 10" xfId="13236" xr:uid="{673AE602-6C75-4CDF-95F7-B878287AE370}"/>
    <cellStyle name="Euro 10 10" xfId="13237" xr:uid="{CCB06E60-7862-432B-8A31-E814E17A7C8D}"/>
    <cellStyle name="Euro 10 11" xfId="13238" xr:uid="{B73BB632-C7C5-4FFC-8543-ACEA649FE241}"/>
    <cellStyle name="Euro 10 12" xfId="13239" xr:uid="{EBAE4A8C-0BB3-4406-950D-C40047E0F3F3}"/>
    <cellStyle name="Euro 10 13" xfId="13240" xr:uid="{79F621F9-1AD5-40D9-AA60-F529482878A5}"/>
    <cellStyle name="Euro 10 14" xfId="13241" xr:uid="{593C9186-6BBE-460F-817F-BD02CC8E5BB9}"/>
    <cellStyle name="Euro 10 15" xfId="13242" xr:uid="{ACBDA7E5-9B4F-42F6-994C-64C89AFCE7FC}"/>
    <cellStyle name="Euro 10 16" xfId="13243" xr:uid="{DE591E65-907E-42A3-A811-343E04369443}"/>
    <cellStyle name="Euro 10 17" xfId="13244" xr:uid="{DFE7850E-91A7-47AD-8731-3BF463ED76C0}"/>
    <cellStyle name="Euro 10 18" xfId="13245" xr:uid="{4B48B796-24CC-4DA0-BFA1-952D6FBF5E03}"/>
    <cellStyle name="Euro 10 19" xfId="13246" xr:uid="{69B24B45-6FD0-4F1E-B836-685F88F6A40C}"/>
    <cellStyle name="Euro 10 2" xfId="13247" xr:uid="{D7B36964-061E-4D29-A6C8-5DBECF2FEC27}"/>
    <cellStyle name="Euro 10 20" xfId="13248" xr:uid="{AA2CB9E6-02B0-4D66-9130-C37ED04AF971}"/>
    <cellStyle name="Euro 10 21" xfId="13249" xr:uid="{2F4668ED-D5EE-49AE-99B8-DDCA4C4A3B3E}"/>
    <cellStyle name="Euro 10 22" xfId="13250" xr:uid="{58757B42-B2E4-45C2-94B2-2C225646FB1F}"/>
    <cellStyle name="Euro 10 23" xfId="13251" xr:uid="{0FB3D1D8-6DD7-4AF6-BCE5-8DEDCCEF5F35}"/>
    <cellStyle name="Euro 10 3" xfId="13252" xr:uid="{B528FB3A-A244-48FC-9EF6-9DF81BD4F822}"/>
    <cellStyle name="Euro 10 4" xfId="13253" xr:uid="{6476FB81-5EA1-4BC0-B6E4-7BA7D943F791}"/>
    <cellStyle name="Euro 10 5" xfId="13254" xr:uid="{1C77AF27-DDBA-488B-A9BC-E29BD0139B0B}"/>
    <cellStyle name="Euro 10 6" xfId="13255" xr:uid="{562B876A-1CEB-4A66-A658-67A0BF57660C}"/>
    <cellStyle name="Euro 10 7" xfId="13256" xr:uid="{E596C09B-DDCB-4770-B61A-617A2E8417A5}"/>
    <cellStyle name="Euro 10 8" xfId="13257" xr:uid="{8D030407-7093-45F7-A61C-DD93970397EE}"/>
    <cellStyle name="Euro 10 9" xfId="13258" xr:uid="{68649326-DF25-4FCB-8D4D-5996F91AE8E5}"/>
    <cellStyle name="Euro 11" xfId="13259" xr:uid="{8A9D98CF-11AE-4D1B-95CE-ABA0D8B05EFB}"/>
    <cellStyle name="Euro 11 10" xfId="13260" xr:uid="{CE69F4B9-ACB4-4A52-9AAE-788008045BF8}"/>
    <cellStyle name="Euro 11 11" xfId="13261" xr:uid="{BC82AC92-9FDD-433B-9131-CCA9E012F7DC}"/>
    <cellStyle name="Euro 11 12" xfId="13262" xr:uid="{60284D01-2532-4E63-8C37-82963DA03B4A}"/>
    <cellStyle name="Euro 11 13" xfId="13263" xr:uid="{1D523F68-B4F1-4769-99CF-75CF57600492}"/>
    <cellStyle name="Euro 11 14" xfId="13264" xr:uid="{E815F907-7624-4278-83F4-27715348136F}"/>
    <cellStyle name="Euro 11 15" xfId="13265" xr:uid="{9E2A43B0-5D87-4B92-99AA-1247F188F322}"/>
    <cellStyle name="Euro 11 16" xfId="13266" xr:uid="{02E91A07-D182-4E6E-99C1-AEDFD3355217}"/>
    <cellStyle name="Euro 11 17" xfId="13267" xr:uid="{3CC6C11B-CADA-4290-A919-299C4AE9776F}"/>
    <cellStyle name="Euro 11 18" xfId="13268" xr:uid="{CC2C7DA9-A085-406A-989F-C6C5043EED55}"/>
    <cellStyle name="Euro 11 19" xfId="13269" xr:uid="{C610F7D7-486F-4E4B-87C3-1FDED14EA95F}"/>
    <cellStyle name="Euro 11 2" xfId="13270" xr:uid="{BFCF7E2C-1F49-4129-BF3A-DE11C63B1C8A}"/>
    <cellStyle name="Euro 11 20" xfId="13271" xr:uid="{931652AB-0752-42B7-ABAC-E2BC1DC89B73}"/>
    <cellStyle name="Euro 11 21" xfId="13272" xr:uid="{EEDC7300-CA8B-45B7-ACFA-EEE9F4EFBF1E}"/>
    <cellStyle name="Euro 11 22" xfId="13273" xr:uid="{E8D98FA3-D486-44CF-9A32-85240A420598}"/>
    <cellStyle name="Euro 11 23" xfId="13274" xr:uid="{4086C1F5-2BD7-4621-A69D-FCEE581017C3}"/>
    <cellStyle name="Euro 11 3" xfId="13275" xr:uid="{B2ABAA75-C4B8-4CD9-BD61-AC34AFBC7AD3}"/>
    <cellStyle name="Euro 11 4" xfId="13276" xr:uid="{8F0CAA4F-A06E-4976-A43D-76F51F631922}"/>
    <cellStyle name="Euro 11 5" xfId="13277" xr:uid="{844C4604-D3E2-4EDA-9276-2BA5DACDE4B4}"/>
    <cellStyle name="Euro 11 6" xfId="13278" xr:uid="{C15EB453-4462-4250-8CAF-87926E3B6329}"/>
    <cellStyle name="Euro 11 7" xfId="13279" xr:uid="{4A865D3D-EA8D-4041-A237-AC1E428D4210}"/>
    <cellStyle name="Euro 11 8" xfId="13280" xr:uid="{FA85F163-26EE-423C-9092-A5E62486DCB0}"/>
    <cellStyle name="Euro 11 9" xfId="13281" xr:uid="{D6EC9DB0-A22E-49EF-BFFE-E65F54A60E62}"/>
    <cellStyle name="Euro 12" xfId="13282" xr:uid="{B570171F-61D8-47E9-9BE0-B9F0B211A6A6}"/>
    <cellStyle name="Euro 12 2" xfId="13283" xr:uid="{FE45516A-1353-47FC-84DB-B81F48914C22}"/>
    <cellStyle name="Euro 12 3" xfId="13284" xr:uid="{1D7A44E9-B15C-41C2-A8AC-617CC16C4FBB}"/>
    <cellStyle name="Euro 12 4" xfId="13285" xr:uid="{0BD66A94-5299-4D9C-AB22-5F842C156A23}"/>
    <cellStyle name="Euro 13" xfId="13286" xr:uid="{3080BD56-FBB3-4421-92A7-C3A13A5F644D}"/>
    <cellStyle name="Euro 14" xfId="13287" xr:uid="{92DD9E74-9DC5-478A-941F-FFF8724F8231}"/>
    <cellStyle name="Euro 15" xfId="13288" xr:uid="{A643228D-C456-4BC4-8F85-E99464597DFF}"/>
    <cellStyle name="Euro 16" xfId="13289" xr:uid="{40118BEE-5C04-4D13-8F06-858F0E54E601}"/>
    <cellStyle name="Euro 2" xfId="13290" xr:uid="{ECF043A0-58EF-4E5F-A5BC-CAF8B9BBB577}"/>
    <cellStyle name="Euro 2 10" xfId="13291" xr:uid="{9C084D32-B699-4500-9694-E3EB87562E2A}"/>
    <cellStyle name="Euro 2 11" xfId="13292" xr:uid="{A68EAB78-ECC6-47A0-956E-0C8D244C2DF7}"/>
    <cellStyle name="Euro 2 12" xfId="13293" xr:uid="{EAB29349-E3C8-4EC2-98CB-8646C506E363}"/>
    <cellStyle name="Euro 2 13" xfId="13294" xr:uid="{F00344A5-A5A2-40B4-BF91-665308662F87}"/>
    <cellStyle name="Euro 2 14" xfId="13295" xr:uid="{D82E7716-CFAF-4F90-A917-D4AEED436FD9}"/>
    <cellStyle name="Euro 2 15" xfId="13296" xr:uid="{66E761CC-772E-4157-9D7B-44A4AC09D483}"/>
    <cellStyle name="Euro 2 16" xfId="13297" xr:uid="{01FC9196-17D3-4B89-8EA8-4EE262C98BD3}"/>
    <cellStyle name="Euro 2 17" xfId="13298" xr:uid="{F80358AA-E867-4722-9065-26264415D4F2}"/>
    <cellStyle name="Euro 2 18" xfId="13299" xr:uid="{81368923-894D-4CD3-A6E0-2868C457E368}"/>
    <cellStyle name="Euro 2 19" xfId="13300" xr:uid="{89C69EB2-0D15-41BF-808E-AFB8FDBAF413}"/>
    <cellStyle name="Euro 2 2" xfId="13301" xr:uid="{69DA3652-EEF6-4533-91F8-C5B4D62488C7}"/>
    <cellStyle name="Euro 2 2 10" xfId="13302" xr:uid="{B5B006FE-857C-4B33-AF26-C814B0B5796A}"/>
    <cellStyle name="Euro 2 2 11" xfId="13303" xr:uid="{0B97994D-CE6B-450B-A525-A7014A030B25}"/>
    <cellStyle name="Euro 2 2 12" xfId="13304" xr:uid="{21551D60-DD76-4B93-84BE-C9BA0633131E}"/>
    <cellStyle name="Euro 2 2 13" xfId="13305" xr:uid="{BB6F4D02-32E7-4CF7-83B3-E836886BB024}"/>
    <cellStyle name="Euro 2 2 14" xfId="13306" xr:uid="{B74F6827-26B1-4D9D-A98C-56255C4ACF14}"/>
    <cellStyle name="Euro 2 2 15" xfId="13307" xr:uid="{40B8B1CA-F8B1-4FF8-A4B5-51A8D7A4744E}"/>
    <cellStyle name="Euro 2 2 16" xfId="13308" xr:uid="{319B66EB-53D6-467A-A041-339A0E366698}"/>
    <cellStyle name="Euro 2 2 17" xfId="13309" xr:uid="{874FC2FD-0ED0-4938-A65E-FBD531FD0777}"/>
    <cellStyle name="Euro 2 2 18" xfId="13310" xr:uid="{023C854E-1823-4BC1-9990-A4B6C42B752C}"/>
    <cellStyle name="Euro 2 2 19" xfId="13311" xr:uid="{E99478DD-1867-499B-9889-28AE15A37110}"/>
    <cellStyle name="Euro 2 2 2" xfId="13312" xr:uid="{68001E06-F77D-413A-92F8-FA48932A1201}"/>
    <cellStyle name="Euro 2 2 20" xfId="13313" xr:uid="{819DE434-F6F7-43F0-A919-00C64B0B1182}"/>
    <cellStyle name="Euro 2 2 21" xfId="13314" xr:uid="{75267E47-714A-488B-AD4B-4C5A12720D62}"/>
    <cellStyle name="Euro 2 2 22" xfId="13315" xr:uid="{61A9FD00-37FE-4D26-B1CF-F4BDFFEC36D7}"/>
    <cellStyle name="Euro 2 2 23" xfId="13316" xr:uid="{3F9A3EFF-289F-4210-B1F2-958BFDD65DA4}"/>
    <cellStyle name="Euro 2 2 3" xfId="13317" xr:uid="{7F0DF64B-DE98-47D3-B328-1E305AFFFCD3}"/>
    <cellStyle name="Euro 2 2 4" xfId="13318" xr:uid="{FBF81F01-3FA3-4936-A038-A3A69A112522}"/>
    <cellStyle name="Euro 2 2 5" xfId="13319" xr:uid="{22E6E7BB-7C0B-4799-9333-EF951DF5A066}"/>
    <cellStyle name="Euro 2 2 6" xfId="13320" xr:uid="{385DE85B-AD9C-4026-B9D4-B64F83F933F7}"/>
    <cellStyle name="Euro 2 2 7" xfId="13321" xr:uid="{40813FD6-7F1B-44DF-88F8-1BC3A685DC59}"/>
    <cellStyle name="Euro 2 2 8" xfId="13322" xr:uid="{A02016C9-E16B-41F6-B453-C2984B4626AA}"/>
    <cellStyle name="Euro 2 2 9" xfId="13323" xr:uid="{C605BCAD-5825-4467-BCDE-6C4CF8E5655C}"/>
    <cellStyle name="Euro 2 20" xfId="13324" xr:uid="{95546E4A-8523-474E-92E4-685C659C618C}"/>
    <cellStyle name="Euro 2 21" xfId="13325" xr:uid="{6D5EDC80-53E1-40FA-9D32-F68E4894BB7F}"/>
    <cellStyle name="Euro 2 22" xfId="13326" xr:uid="{4DFD66D9-AB34-4D0A-BB74-471B7545BB4C}"/>
    <cellStyle name="Euro 2 23" xfId="13327" xr:uid="{E0854919-6CCB-43BC-B7CA-3AB3C52ECFCC}"/>
    <cellStyle name="Euro 2 24" xfId="13328" xr:uid="{C7300D84-C2D8-497E-AC98-E602860D8BAB}"/>
    <cellStyle name="Euro 2 25" xfId="13329" xr:uid="{97C1A6F2-9641-4671-BF71-310F929891B9}"/>
    <cellStyle name="Euro 2 26" xfId="13330" xr:uid="{DDD4FB85-8292-452A-AEFD-20476554ADE9}"/>
    <cellStyle name="Euro 2 27" xfId="13331" xr:uid="{4BAC9BAD-F05C-4142-B004-A3A92342A8E0}"/>
    <cellStyle name="Euro 2 3" xfId="13332" xr:uid="{978AB450-1CCF-4F2C-A537-7E64F4A2B660}"/>
    <cellStyle name="Euro 2 3 10" xfId="13333" xr:uid="{0B6AE026-AC9C-45C3-9783-6BFFC23D3187}"/>
    <cellStyle name="Euro 2 3 11" xfId="13334" xr:uid="{D5444D85-52ED-4DBD-A334-4DFA98898946}"/>
    <cellStyle name="Euro 2 3 12" xfId="13335" xr:uid="{F3B0487D-D73D-4D08-A6C5-2F077CB4CE78}"/>
    <cellStyle name="Euro 2 3 13" xfId="13336" xr:uid="{12CB34D9-B323-4914-9250-045FF8A5B7B9}"/>
    <cellStyle name="Euro 2 3 14" xfId="13337" xr:uid="{368D5E9E-9BCE-49C8-8251-84008B8FAA95}"/>
    <cellStyle name="Euro 2 3 15" xfId="13338" xr:uid="{17B55287-5AA2-4B11-9A7C-D997C9997A87}"/>
    <cellStyle name="Euro 2 3 16" xfId="13339" xr:uid="{2A68BBA7-CDDB-4255-8BDA-7CE1AA130400}"/>
    <cellStyle name="Euro 2 3 17" xfId="13340" xr:uid="{DB6F2D1B-6B60-451C-87BC-DBC120246199}"/>
    <cellStyle name="Euro 2 3 18" xfId="13341" xr:uid="{4534FD34-1976-4116-AA51-6E3145C38DBF}"/>
    <cellStyle name="Euro 2 3 19" xfId="13342" xr:uid="{0758CF60-4110-482E-AE19-4592188D661D}"/>
    <cellStyle name="Euro 2 3 2" xfId="13343" xr:uid="{226BD760-68D0-4591-A8F4-97F824E84BB2}"/>
    <cellStyle name="Euro 2 3 20" xfId="13344" xr:uid="{8A3E2CA8-BF28-4445-BC50-5DF8DF70C384}"/>
    <cellStyle name="Euro 2 3 21" xfId="13345" xr:uid="{DA37D84F-0F4F-4B65-B09B-0708B79274E2}"/>
    <cellStyle name="Euro 2 3 22" xfId="13346" xr:uid="{8DC7C9F2-0669-474F-9C4E-DA64E74A28E0}"/>
    <cellStyle name="Euro 2 3 23" xfId="13347" xr:uid="{14BA556B-AD72-4BDA-8E2E-6989C2453796}"/>
    <cellStyle name="Euro 2 3 3" xfId="13348" xr:uid="{E89C42A5-6C8F-48C8-ADEB-0D594797BD40}"/>
    <cellStyle name="Euro 2 3 4" xfId="13349" xr:uid="{CDA6ED67-5ECC-4AA5-AA95-E8A76F029A89}"/>
    <cellStyle name="Euro 2 3 5" xfId="13350" xr:uid="{E32A6348-E077-4427-98FE-3BE5266B89A4}"/>
    <cellStyle name="Euro 2 3 6" xfId="13351" xr:uid="{8D947E8F-91E6-4411-8823-4AB1CC0C0C43}"/>
    <cellStyle name="Euro 2 3 7" xfId="13352" xr:uid="{01D8BD48-D855-4851-BD19-EAEBDD9E5F7D}"/>
    <cellStyle name="Euro 2 3 8" xfId="13353" xr:uid="{C89902DE-87E2-4289-B430-634458CB7E1B}"/>
    <cellStyle name="Euro 2 3 9" xfId="13354" xr:uid="{A85E982F-3562-47A8-B8AC-486C3A3AA6CF}"/>
    <cellStyle name="Euro 2 4" xfId="13355" xr:uid="{41418AF5-5386-4B3D-BC57-8BB6C53DEE20}"/>
    <cellStyle name="Euro 2 4 10" xfId="13356" xr:uid="{7201391F-7E40-4877-91BD-14CA0BDBE663}"/>
    <cellStyle name="Euro 2 4 11" xfId="13357" xr:uid="{4AE40EF9-87D7-4117-B7FD-A6DF4B67DF2C}"/>
    <cellStyle name="Euro 2 4 12" xfId="13358" xr:uid="{E858E642-A5D7-4FBB-9DED-B2DD65420164}"/>
    <cellStyle name="Euro 2 4 13" xfId="13359" xr:uid="{EE0141E5-0989-4BBB-AFDB-26D134A6CF1E}"/>
    <cellStyle name="Euro 2 4 14" xfId="13360" xr:uid="{BCD69C53-3EAB-4521-BDB7-B5D48E280528}"/>
    <cellStyle name="Euro 2 4 15" xfId="13361" xr:uid="{F414B330-8635-4F5E-A89B-36C4F6A974C7}"/>
    <cellStyle name="Euro 2 4 16" xfId="13362" xr:uid="{6879583A-15E4-445A-8D05-F61583D0DD80}"/>
    <cellStyle name="Euro 2 4 17" xfId="13363" xr:uid="{19534EFB-7474-4EAC-BF00-36FF90CE503E}"/>
    <cellStyle name="Euro 2 4 18" xfId="13364" xr:uid="{B4987EA3-B984-4FDF-9844-DD447F0B7C19}"/>
    <cellStyle name="Euro 2 4 19" xfId="13365" xr:uid="{9D93E95C-862C-4040-9473-F2CE25B11933}"/>
    <cellStyle name="Euro 2 4 2" xfId="13366" xr:uid="{C5FE4A27-3D14-499D-8CE3-9B1D2D94F11B}"/>
    <cellStyle name="Euro 2 4 20" xfId="13367" xr:uid="{5FCF0EC4-9D23-4C86-8823-893A58442C74}"/>
    <cellStyle name="Euro 2 4 21" xfId="13368" xr:uid="{3B126E8C-34EA-4518-9103-2161125C8A40}"/>
    <cellStyle name="Euro 2 4 22" xfId="13369" xr:uid="{F5FC4146-A2D6-4CE6-ACF5-711FE46E927E}"/>
    <cellStyle name="Euro 2 4 23" xfId="13370" xr:uid="{9EDB8B00-55E5-47BD-A4C8-69160A2C9D19}"/>
    <cellStyle name="Euro 2 4 3" xfId="13371" xr:uid="{9ECFD1CC-B52C-44EB-B64B-759AEB7D88CE}"/>
    <cellStyle name="Euro 2 4 4" xfId="13372" xr:uid="{9971564B-C3B6-460C-9698-4466724751C2}"/>
    <cellStyle name="Euro 2 4 5" xfId="13373" xr:uid="{3F942393-3697-42EE-8A84-9B230DC177B2}"/>
    <cellStyle name="Euro 2 4 6" xfId="13374" xr:uid="{5BA34FFB-D2D6-4D10-9814-968A7B11B39D}"/>
    <cellStyle name="Euro 2 4 7" xfId="13375" xr:uid="{170B8A17-651A-4199-BE74-1D320B4555B4}"/>
    <cellStyle name="Euro 2 4 8" xfId="13376" xr:uid="{E5CB6527-E029-44C4-8F3B-5E23638D7A11}"/>
    <cellStyle name="Euro 2 4 9" xfId="13377" xr:uid="{1C2B1DA3-A7F0-4E2B-8176-6C6D4A0C7B10}"/>
    <cellStyle name="Euro 2 5" xfId="13378" xr:uid="{F994DF4B-81BB-49DF-AF6B-69DD02A4527D}"/>
    <cellStyle name="Euro 2 5 10" xfId="13379" xr:uid="{5E83AFB2-063D-4535-9FC1-1A24BE398C42}"/>
    <cellStyle name="Euro 2 5 11" xfId="13380" xr:uid="{65CCC042-F809-4626-89C7-55F4C28D7F15}"/>
    <cellStyle name="Euro 2 5 12" xfId="13381" xr:uid="{FEBED86F-B6D5-4EB6-BA74-B27D3AABA4CD}"/>
    <cellStyle name="Euro 2 5 13" xfId="13382" xr:uid="{8FA63B1B-53DA-44EF-9F36-938E2104FCA7}"/>
    <cellStyle name="Euro 2 5 14" xfId="13383" xr:uid="{D605413A-F0A2-40EF-A46B-B668949E95FA}"/>
    <cellStyle name="Euro 2 5 15" xfId="13384" xr:uid="{2A6EF8E5-CA27-46B7-A459-8AB73803C76B}"/>
    <cellStyle name="Euro 2 5 16" xfId="13385" xr:uid="{AFDB3E60-24AE-4778-96D2-C571A54D4F40}"/>
    <cellStyle name="Euro 2 5 17" xfId="13386" xr:uid="{5ED74D6E-7E85-4BBD-9B37-B8A984B53D34}"/>
    <cellStyle name="Euro 2 5 18" xfId="13387" xr:uid="{3FD43497-4239-4D2C-9CE3-C50CC9F00117}"/>
    <cellStyle name="Euro 2 5 19" xfId="13388" xr:uid="{DFC2126B-E056-415C-9FD2-5E5795672205}"/>
    <cellStyle name="Euro 2 5 2" xfId="13389" xr:uid="{1FAE11F8-0A65-41B3-9821-0F9DDCE4DC8F}"/>
    <cellStyle name="Euro 2 5 20" xfId="13390" xr:uid="{9F944310-58DF-4BA3-9288-CCCE510E5353}"/>
    <cellStyle name="Euro 2 5 21" xfId="13391" xr:uid="{25C70DD7-2B08-4B1B-9C2C-CC5F1433E279}"/>
    <cellStyle name="Euro 2 5 22" xfId="13392" xr:uid="{B83F4DDD-AFCC-4CFD-869B-7A18F3CCF460}"/>
    <cellStyle name="Euro 2 5 23" xfId="13393" xr:uid="{0A322480-4A55-4B9D-86DE-3B126EAC0255}"/>
    <cellStyle name="Euro 2 5 3" xfId="13394" xr:uid="{27329135-211A-490F-B2EA-EB4C83317AA7}"/>
    <cellStyle name="Euro 2 5 4" xfId="13395" xr:uid="{A5D2AE4C-5699-42E9-937C-0B4079A88A8E}"/>
    <cellStyle name="Euro 2 5 5" xfId="13396" xr:uid="{4C542C9A-FA72-44ED-B0C5-D9791B5D2C0D}"/>
    <cellStyle name="Euro 2 5 6" xfId="13397" xr:uid="{5FEB5C21-15CD-48EA-B1AB-77E4EFA09671}"/>
    <cellStyle name="Euro 2 5 7" xfId="13398" xr:uid="{E44BCC1C-872F-4AB4-B4BC-494422891D7C}"/>
    <cellStyle name="Euro 2 5 8" xfId="13399" xr:uid="{8EAA4E1A-549D-4EBA-89E6-6E1AAF1DE08D}"/>
    <cellStyle name="Euro 2 5 9" xfId="13400" xr:uid="{D745B2CD-0ABA-4C21-BBCD-570BBB444D7B}"/>
    <cellStyle name="Euro 2 6" xfId="13401" xr:uid="{DB9CE7D1-2EE2-4AAB-9800-43AC418452B5}"/>
    <cellStyle name="Euro 2 7" xfId="13402" xr:uid="{9B962FF9-CC8A-47F9-801A-7F7B5199BE00}"/>
    <cellStyle name="Euro 2 8" xfId="13403" xr:uid="{5E73F82F-D9ED-4F9A-B376-8AE276AA019B}"/>
    <cellStyle name="Euro 2 9" xfId="13404" xr:uid="{BBA3748E-8796-4B4F-B80D-0AFF45811668}"/>
    <cellStyle name="Euro 3" xfId="13405" xr:uid="{A159DB2D-A711-40C0-94A7-0AD2C3FE5600}"/>
    <cellStyle name="Euro 3 10" xfId="13406" xr:uid="{7D3FFEE6-B8AA-4F8F-A730-1F54F902BC94}"/>
    <cellStyle name="Euro 3 11" xfId="13407" xr:uid="{7972EDAD-0A06-4AB4-8FBC-DC22666EAF1E}"/>
    <cellStyle name="Euro 3 12" xfId="13408" xr:uid="{29FC416C-DD5C-4A07-9F40-D065FD048BB0}"/>
    <cellStyle name="Euro 3 13" xfId="13409" xr:uid="{45A04BFA-D0BD-4F71-A571-4B5C9286D779}"/>
    <cellStyle name="Euro 3 14" xfId="13410" xr:uid="{67F8EF82-711A-4B25-9DA7-62AE5A2D664A}"/>
    <cellStyle name="Euro 3 15" xfId="13411" xr:uid="{B6080995-9F18-475B-9470-52EBC6133471}"/>
    <cellStyle name="Euro 3 16" xfId="13412" xr:uid="{0364CA4B-2724-45A2-B18A-B4CE333CB637}"/>
    <cellStyle name="Euro 3 17" xfId="13413" xr:uid="{9515D653-8F73-44B2-A8D9-B9D97EB7E0A1}"/>
    <cellStyle name="Euro 3 18" xfId="13414" xr:uid="{C48AA817-4923-4DB1-929F-5B7DC220992B}"/>
    <cellStyle name="Euro 3 19" xfId="13415" xr:uid="{396633EF-3F47-4CEB-BAD7-3AB5F9ED7748}"/>
    <cellStyle name="Euro 3 2" xfId="13416" xr:uid="{FBCA860B-61FB-4BFC-AE7D-62DD7390CCA1}"/>
    <cellStyle name="Euro 3 20" xfId="13417" xr:uid="{EDA9D784-6805-4B4D-8634-AA10DF50E9E9}"/>
    <cellStyle name="Euro 3 21" xfId="13418" xr:uid="{8CEA0609-3A09-4591-A6AF-B1250B76AB2C}"/>
    <cellStyle name="Euro 3 22" xfId="13419" xr:uid="{CAE4E3A7-BB5A-470C-A1E8-C04D926BB227}"/>
    <cellStyle name="Euro 3 23" xfId="13420" xr:uid="{89B0ED3B-48BC-47AE-A2DE-F926CB7500FD}"/>
    <cellStyle name="Euro 3 3" xfId="13421" xr:uid="{473D8D9B-EBEE-4133-A7D4-F458C3B46809}"/>
    <cellStyle name="Euro 3 4" xfId="13422" xr:uid="{6A89C7A8-B50C-49F5-B439-DE3CD2C7305E}"/>
    <cellStyle name="Euro 3 5" xfId="13423" xr:uid="{772ECA7A-0D20-46FE-9CB9-0EBEF1288727}"/>
    <cellStyle name="Euro 3 6" xfId="13424" xr:uid="{CAEA16C5-7B13-4D53-8ACD-8F7609186A46}"/>
    <cellStyle name="Euro 3 7" xfId="13425" xr:uid="{C5D1DB0D-13A2-4E4E-B7CE-0185E6454C1B}"/>
    <cellStyle name="Euro 3 8" xfId="13426" xr:uid="{960E2CFF-06E5-4E00-9743-C96AC02DC035}"/>
    <cellStyle name="Euro 3 9" xfId="13427" xr:uid="{A410B716-1698-4716-8301-7843D30B5054}"/>
    <cellStyle name="Euro 4" xfId="13428" xr:uid="{517046E1-EA39-443D-940A-E6F7BBDA191B}"/>
    <cellStyle name="Euro 4 10" xfId="13429" xr:uid="{E0893A21-B347-4162-B8C2-D38F481841AA}"/>
    <cellStyle name="Euro 4 11" xfId="13430" xr:uid="{76E850E0-7D85-4814-8EAD-8CE4E1C8FDE0}"/>
    <cellStyle name="Euro 4 12" xfId="13431" xr:uid="{ACE58851-6CD0-4A5C-8731-3331ECC89713}"/>
    <cellStyle name="Euro 4 13" xfId="13432" xr:uid="{85793541-9185-4620-AA0D-C034AB5E5C62}"/>
    <cellStyle name="Euro 4 14" xfId="13433" xr:uid="{CA075E17-9A26-4106-824B-FCB96AF23061}"/>
    <cellStyle name="Euro 4 15" xfId="13434" xr:uid="{E2D1D4B6-58B4-4199-A33E-A4AC50C22EDB}"/>
    <cellStyle name="Euro 4 16" xfId="13435" xr:uid="{1A38A805-E728-4688-9674-449179F3AF4E}"/>
    <cellStyle name="Euro 4 17" xfId="13436" xr:uid="{0CCD807C-3219-4A62-8F58-266E7DBE8EBD}"/>
    <cellStyle name="Euro 4 18" xfId="13437" xr:uid="{8C0AAFED-788B-48AB-BB09-EE8E5E82AF64}"/>
    <cellStyle name="Euro 4 19" xfId="13438" xr:uid="{C70FBE78-EEEC-4440-B395-52A72D990FFF}"/>
    <cellStyle name="Euro 4 2" xfId="13439" xr:uid="{9426F18B-6AB2-4B96-A97D-36177837D11A}"/>
    <cellStyle name="Euro 4 20" xfId="13440" xr:uid="{1C99336E-70CB-4A1F-B2FA-2D33721B4E14}"/>
    <cellStyle name="Euro 4 21" xfId="13441" xr:uid="{CA0D5609-6960-4650-975A-03CE8FEE5C73}"/>
    <cellStyle name="Euro 4 22" xfId="13442" xr:uid="{BB0E99AC-F370-42B3-8584-AC5E31AFC514}"/>
    <cellStyle name="Euro 4 23" xfId="13443" xr:uid="{68AEF5A9-AABF-4D00-8F4D-FDACC5B1BC38}"/>
    <cellStyle name="Euro 4 3" xfId="13444" xr:uid="{4439B350-0879-47E4-844B-9590C584D1EE}"/>
    <cellStyle name="Euro 4 4" xfId="13445" xr:uid="{262B89E8-C1D5-4F1D-8811-8910EAC77485}"/>
    <cellStyle name="Euro 4 5" xfId="13446" xr:uid="{7104C00F-D87E-4384-8D4A-A10F72EF5780}"/>
    <cellStyle name="Euro 4 6" xfId="13447" xr:uid="{F22CD072-F7D9-42DB-B13B-9FB4F55ED88B}"/>
    <cellStyle name="Euro 4 7" xfId="13448" xr:uid="{084F91CA-3235-447B-AE87-22A1AB68820C}"/>
    <cellStyle name="Euro 4 8" xfId="13449" xr:uid="{E7D11CFC-D473-4058-BCE8-DEF9C7C729C4}"/>
    <cellStyle name="Euro 4 9" xfId="13450" xr:uid="{21BE2D3A-E962-4132-A62B-E6DA6B1E61BA}"/>
    <cellStyle name="Euro 5" xfId="13451" xr:uid="{39519374-D2E0-4863-A971-F7FC57D9917C}"/>
    <cellStyle name="Euro 5 10" xfId="13452" xr:uid="{5CB20F95-06F1-415D-BEBA-5EDB1AA0776C}"/>
    <cellStyle name="Euro 5 11" xfId="13453" xr:uid="{3BD64FD4-FC12-46AE-8DB9-E9D104B8CBAF}"/>
    <cellStyle name="Euro 5 12" xfId="13454" xr:uid="{9305BA82-A65F-4F87-A9B0-1828539F06E3}"/>
    <cellStyle name="Euro 5 13" xfId="13455" xr:uid="{6CCB859E-1152-4160-A392-2B0FD0CE6233}"/>
    <cellStyle name="Euro 5 14" xfId="13456" xr:uid="{78677152-0BB2-45E9-8AD8-1B3FF657700E}"/>
    <cellStyle name="Euro 5 15" xfId="13457" xr:uid="{AA38B58E-3F51-4CAF-AB67-E7B13F00B619}"/>
    <cellStyle name="Euro 5 16" xfId="13458" xr:uid="{63F98280-2A1E-423F-835D-31499F6A8095}"/>
    <cellStyle name="Euro 5 17" xfId="13459" xr:uid="{DC8AD90F-5793-4683-B218-A3B785FCDD40}"/>
    <cellStyle name="Euro 5 18" xfId="13460" xr:uid="{4E30B067-C6DC-4517-AA06-BF5FC02B87B8}"/>
    <cellStyle name="Euro 5 19" xfId="13461" xr:uid="{046EF3A6-ABF3-46AF-8A64-23883F07DF48}"/>
    <cellStyle name="Euro 5 2" xfId="13462" xr:uid="{CDF1CF51-0D4D-4BD8-8779-FB2F5959BA28}"/>
    <cellStyle name="Euro 5 20" xfId="13463" xr:uid="{93DE0484-AABC-4C53-ABA6-1E22C55D3E8B}"/>
    <cellStyle name="Euro 5 21" xfId="13464" xr:uid="{132FF458-DD46-4C5A-8B4C-BD837A49550F}"/>
    <cellStyle name="Euro 5 22" xfId="13465" xr:uid="{58EE6F78-64B8-45CE-B072-03F990D864CE}"/>
    <cellStyle name="Euro 5 23" xfId="13466" xr:uid="{262F456F-D294-49EB-B78E-DC0E488C5ABB}"/>
    <cellStyle name="Euro 5 3" xfId="13467" xr:uid="{949A3D2A-D59D-49C4-ABF5-A9A7D8B78FF4}"/>
    <cellStyle name="Euro 5 4" xfId="13468" xr:uid="{72A41A0F-6CCB-4C97-A9A3-1B65A4C294F9}"/>
    <cellStyle name="Euro 5 5" xfId="13469" xr:uid="{886342B5-F074-4ED0-B392-637A3A764A01}"/>
    <cellStyle name="Euro 5 6" xfId="13470" xr:uid="{304428B2-B557-4F4A-8CE2-6F8B9CEF3EDB}"/>
    <cellStyle name="Euro 5 7" xfId="13471" xr:uid="{F154F893-1541-497D-AD5E-45ECEEE8748E}"/>
    <cellStyle name="Euro 5 8" xfId="13472" xr:uid="{9448E532-AE37-4C82-930A-AB64DBA6CF38}"/>
    <cellStyle name="Euro 5 9" xfId="13473" xr:uid="{37384647-4500-46C4-851B-EA6EEE470053}"/>
    <cellStyle name="Euro 6" xfId="13474" xr:uid="{2D8F2C28-B4F9-42B1-A4C5-EBBC12F54E3F}"/>
    <cellStyle name="Euro 6 10" xfId="13475" xr:uid="{BFC4D1FF-AEB7-4A6A-AB15-9921416DFDFC}"/>
    <cellStyle name="Euro 6 11" xfId="13476" xr:uid="{03BA8F57-02D8-4747-BF69-185CECF894DA}"/>
    <cellStyle name="Euro 6 12" xfId="13477" xr:uid="{25B37A08-BBDF-4490-B667-7E7897944A43}"/>
    <cellStyle name="Euro 6 13" xfId="13478" xr:uid="{3C07941E-DA75-4446-8970-4FBFEB1AF023}"/>
    <cellStyle name="Euro 6 14" xfId="13479" xr:uid="{1836CB67-3ED0-45FF-902B-0A1BB63293C6}"/>
    <cellStyle name="Euro 6 15" xfId="13480" xr:uid="{0B8B2A94-892F-4ADA-8375-5AFED8360DD5}"/>
    <cellStyle name="Euro 6 16" xfId="13481" xr:uid="{3032BA8A-E9F6-4B4E-AD80-DF99612C1914}"/>
    <cellStyle name="Euro 6 17" xfId="13482" xr:uid="{881A3160-0130-4C4D-B89F-B6D617019B46}"/>
    <cellStyle name="Euro 6 18" xfId="13483" xr:uid="{26A58114-5646-4C59-8534-84F4B194F5E6}"/>
    <cellStyle name="Euro 6 19" xfId="13484" xr:uid="{00CDC4F6-B4BA-44A7-898D-2E2BD88F322C}"/>
    <cellStyle name="Euro 6 2" xfId="13485" xr:uid="{DC437F35-24DC-48DD-8CC1-7A533FF615A4}"/>
    <cellStyle name="Euro 6 20" xfId="13486" xr:uid="{A8F44BFD-80F9-4E8F-AE24-B7FAD18FE339}"/>
    <cellStyle name="Euro 6 21" xfId="13487" xr:uid="{AB1DBC3F-4D17-44EC-B4C8-F12F9CB8D00B}"/>
    <cellStyle name="Euro 6 22" xfId="13488" xr:uid="{766E6236-7AA0-4AB2-82F3-6E5AB46A6CFA}"/>
    <cellStyle name="Euro 6 23" xfId="13489" xr:uid="{0AB8F64B-F042-4B3A-B3FE-5E9D5F596085}"/>
    <cellStyle name="Euro 6 3" xfId="13490" xr:uid="{0942AEF6-2531-4330-AA98-947C13A6488D}"/>
    <cellStyle name="Euro 6 4" xfId="13491" xr:uid="{E7DA68FC-C510-46C1-A6B7-518AD0945ECD}"/>
    <cellStyle name="Euro 6 5" xfId="13492" xr:uid="{42B45B95-9F51-48F6-80F8-C8C82D37454B}"/>
    <cellStyle name="Euro 6 6" xfId="13493" xr:uid="{4C0DAF12-42F0-46AE-84C3-9B118D4FC719}"/>
    <cellStyle name="Euro 6 7" xfId="13494" xr:uid="{1C7A5164-3E01-4D51-A4C3-AB81DC9355DD}"/>
    <cellStyle name="Euro 6 8" xfId="13495" xr:uid="{97D793AC-5BCC-4451-A9D3-26FCF78A83E0}"/>
    <cellStyle name="Euro 6 9" xfId="13496" xr:uid="{0D5C3D47-EC6B-4B4D-9A67-E77FC62DB8D5}"/>
    <cellStyle name="Euro 7" xfId="13497" xr:uid="{D4CC3BD6-3F5D-4E0C-8FA5-B42166988FF4}"/>
    <cellStyle name="Euro 7 10" xfId="13498" xr:uid="{19389224-382E-4AC3-B073-60D78556C179}"/>
    <cellStyle name="Euro 7 11" xfId="13499" xr:uid="{78ADF186-AB66-413B-931B-135A20D3E037}"/>
    <cellStyle name="Euro 7 12" xfId="13500" xr:uid="{21A81B0C-ECCC-4C2E-809A-333E3BE305D8}"/>
    <cellStyle name="Euro 7 13" xfId="13501" xr:uid="{26926AE4-AA69-4889-A4D5-454700E04209}"/>
    <cellStyle name="Euro 7 14" xfId="13502" xr:uid="{FB05E4D6-A61B-46E4-84C7-89D27EEF9EBB}"/>
    <cellStyle name="Euro 7 15" xfId="13503" xr:uid="{B916BC2C-810C-4C92-9C8A-853C67C6A663}"/>
    <cellStyle name="Euro 7 16" xfId="13504" xr:uid="{85540264-758C-44F5-84AE-9FD6C7E3982A}"/>
    <cellStyle name="Euro 7 17" xfId="13505" xr:uid="{BD64D802-372B-4407-9F4E-17BDD161506F}"/>
    <cellStyle name="Euro 7 18" xfId="13506" xr:uid="{AD44E490-2273-42C1-AD79-166FB88F7B7F}"/>
    <cellStyle name="Euro 7 19" xfId="13507" xr:uid="{757C7A65-1DB4-4A3A-8538-28714C381087}"/>
    <cellStyle name="Euro 7 2" xfId="13508" xr:uid="{C6663408-6A3D-4908-9DE1-6092AB3C2F9A}"/>
    <cellStyle name="Euro 7 20" xfId="13509" xr:uid="{81CDBC04-84CB-482F-807C-E474B59F40A6}"/>
    <cellStyle name="Euro 7 21" xfId="13510" xr:uid="{A128AA87-38EE-473C-B501-9741068E37E5}"/>
    <cellStyle name="Euro 7 22" xfId="13511" xr:uid="{6AB83B0F-BFCB-4958-8D34-65EE863157FD}"/>
    <cellStyle name="Euro 7 23" xfId="13512" xr:uid="{1676A6EB-BAEC-4904-9928-CAA63FA95615}"/>
    <cellStyle name="Euro 7 3" xfId="13513" xr:uid="{8F61C37B-FE66-43C5-B5E1-476A1E4CCB9B}"/>
    <cellStyle name="Euro 7 4" xfId="13514" xr:uid="{1775FBA4-D795-490C-87AE-4F4BF9748659}"/>
    <cellStyle name="Euro 7 5" xfId="13515" xr:uid="{07918747-BD69-4B24-ABF3-B2E92BF5475F}"/>
    <cellStyle name="Euro 7 6" xfId="13516" xr:uid="{D01C62BD-9FDF-47E3-A0A8-625CEF2581AC}"/>
    <cellStyle name="Euro 7 7" xfId="13517" xr:uid="{515AC96A-F9A3-40F2-9315-4EACAE72FCD0}"/>
    <cellStyle name="Euro 7 8" xfId="13518" xr:uid="{A2FD289A-EF69-4C49-BC4B-8CD8CD3459FB}"/>
    <cellStyle name="Euro 7 9" xfId="13519" xr:uid="{65634EE8-6CAB-43F5-8A3C-049F3C437DCB}"/>
    <cellStyle name="Euro 8" xfId="13520" xr:uid="{185EBFC3-4CA9-4C1E-9742-235FB22A1066}"/>
    <cellStyle name="Euro 8 10" xfId="13521" xr:uid="{84B5006D-077A-481B-BDAD-A2020D45A3A4}"/>
    <cellStyle name="Euro 8 11" xfId="13522" xr:uid="{65F7ED77-BE9D-4A2A-BDB7-2DCE08E9E6B7}"/>
    <cellStyle name="Euro 8 12" xfId="13523" xr:uid="{59744742-E8E1-4ED0-9E1F-B30961024B19}"/>
    <cellStyle name="Euro 8 13" xfId="13524" xr:uid="{CB74BDC0-782C-4E0A-B0A8-AA0B1CAF59AA}"/>
    <cellStyle name="Euro 8 14" xfId="13525" xr:uid="{24945C22-056A-4F27-8787-93444CA888C0}"/>
    <cellStyle name="Euro 8 15" xfId="13526" xr:uid="{70056B3B-41D4-4166-854C-CCF4A1503C6E}"/>
    <cellStyle name="Euro 8 16" xfId="13527" xr:uid="{B9AF8CCF-8D83-4989-B16E-D5E6D9DD07F2}"/>
    <cellStyle name="Euro 8 17" xfId="13528" xr:uid="{75CF17A8-B0C0-4F77-ABB3-17F0E710A549}"/>
    <cellStyle name="Euro 8 18" xfId="13529" xr:uid="{2215C633-2935-41F5-BD49-2084C53F9011}"/>
    <cellStyle name="Euro 8 19" xfId="13530" xr:uid="{04BE3D6A-1391-48B7-B6D5-20E3F463C911}"/>
    <cellStyle name="Euro 8 2" xfId="13531" xr:uid="{A42A1F7B-B9D1-4A32-8CCC-A891F843E731}"/>
    <cellStyle name="Euro 8 20" xfId="13532" xr:uid="{F8C0425E-0C95-4CA6-A626-DA341B3418A4}"/>
    <cellStyle name="Euro 8 21" xfId="13533" xr:uid="{FEAED978-6C89-4F87-AA4D-293A4CE257D9}"/>
    <cellStyle name="Euro 8 22" xfId="13534" xr:uid="{E8D8799D-FC55-48A2-A639-B114300BAF7B}"/>
    <cellStyle name="Euro 8 23" xfId="13535" xr:uid="{21854B27-F8A8-45FC-B655-FF66765A8D1B}"/>
    <cellStyle name="Euro 8 3" xfId="13536" xr:uid="{B1C3D352-6ED0-4B26-A647-B1323278220B}"/>
    <cellStyle name="Euro 8 4" xfId="13537" xr:uid="{23547BC1-630C-4362-BD74-6B219A6CF0F8}"/>
    <cellStyle name="Euro 8 5" xfId="13538" xr:uid="{21FAA682-1301-4EFF-ACF1-71606EB84B6C}"/>
    <cellStyle name="Euro 8 6" xfId="13539" xr:uid="{EB25EB56-66FE-4A50-AC76-3FD0A27D0086}"/>
    <cellStyle name="Euro 8 7" xfId="13540" xr:uid="{4918A76F-367B-4CFA-BC80-AE04B8B9DC25}"/>
    <cellStyle name="Euro 8 8" xfId="13541" xr:uid="{4C5B0312-62C5-4325-A5A4-0F97E81C4090}"/>
    <cellStyle name="Euro 8 9" xfId="13542" xr:uid="{067FA25B-EDAB-4F92-B71B-D4FD8AE222E9}"/>
    <cellStyle name="Euro 9" xfId="13543" xr:uid="{66A7319A-B550-461E-88A6-FA03939CF856}"/>
    <cellStyle name="Euro 9 10" xfId="13544" xr:uid="{0A29D332-7B38-46BA-A63E-6382E1D33F8D}"/>
    <cellStyle name="Euro 9 11" xfId="13545" xr:uid="{AED1B3E0-4B14-4235-A67B-6697A3E71D32}"/>
    <cellStyle name="Euro 9 12" xfId="13546" xr:uid="{4FB89555-F878-4197-969D-946649E768B1}"/>
    <cellStyle name="Euro 9 13" xfId="13547" xr:uid="{9DFB9B7B-3AD3-4ECC-99C0-B5D350A3203C}"/>
    <cellStyle name="Euro 9 14" xfId="13548" xr:uid="{F4FDDA53-CD35-457F-994A-069EB848C65B}"/>
    <cellStyle name="Euro 9 15" xfId="13549" xr:uid="{C92D72E9-A670-46C5-B017-1302C687D90F}"/>
    <cellStyle name="Euro 9 16" xfId="13550" xr:uid="{6752A30A-83D1-42F6-957C-12CC7861EE87}"/>
    <cellStyle name="Euro 9 17" xfId="13551" xr:uid="{A9559094-4576-422E-B3D9-29EAD86F1C45}"/>
    <cellStyle name="Euro 9 18" xfId="13552" xr:uid="{ACC050AE-F7C8-48B3-81CC-83D7F13D9706}"/>
    <cellStyle name="Euro 9 19" xfId="13553" xr:uid="{8EEA2E02-BC87-434A-BACA-872FBB33AE44}"/>
    <cellStyle name="Euro 9 2" xfId="13554" xr:uid="{CE029312-0621-4D05-8DAD-E8F9840199D3}"/>
    <cellStyle name="Euro 9 20" xfId="13555" xr:uid="{947689DA-7375-4652-83C2-9AB776FCF3A4}"/>
    <cellStyle name="Euro 9 21" xfId="13556" xr:uid="{C6C460D2-F515-4BC4-9F26-EC3EC8A9CD09}"/>
    <cellStyle name="Euro 9 22" xfId="13557" xr:uid="{10F28AAC-162F-4B45-A3C5-A706F1EE5842}"/>
    <cellStyle name="Euro 9 23" xfId="13558" xr:uid="{09F9D2BC-26B1-4833-82A1-DA11E722B51D}"/>
    <cellStyle name="Euro 9 3" xfId="13559" xr:uid="{B2E772AD-05C1-4429-9740-153ED3B25AF3}"/>
    <cellStyle name="Euro 9 4" xfId="13560" xr:uid="{7B4D28EA-3005-4AB2-A845-239C0BC53F6C}"/>
    <cellStyle name="Euro 9 5" xfId="13561" xr:uid="{F9D5DADC-59BC-4424-A7EE-4D8721327A5C}"/>
    <cellStyle name="Euro 9 6" xfId="13562" xr:uid="{04BFB59B-E9AA-4789-88B2-4645C05D15E3}"/>
    <cellStyle name="Euro 9 7" xfId="13563" xr:uid="{30219D81-2145-424F-BF1A-E45462F96EC0}"/>
    <cellStyle name="Euro 9 8" xfId="13564" xr:uid="{261A9F82-B7FD-4EA7-9612-09415B939514}"/>
    <cellStyle name="Euro 9 9" xfId="13565" xr:uid="{D4C7E4B5-BA14-4E83-8EDC-485F8F5D84E9}"/>
    <cellStyle name="EXPFORMAT" xfId="13566" xr:uid="{C41C3607-8F5B-4D42-8AF1-016616F30164}"/>
    <cellStyle name="Explanatory Text 10" xfId="13567" xr:uid="{C50CA4F9-19C3-41E9-AC0E-E80A8238E450}"/>
    <cellStyle name="Explanatory Text 10 2" xfId="13568" xr:uid="{7F8EDF0F-8F72-486C-BEDA-F9DE09B90DDE}"/>
    <cellStyle name="Explanatory Text 10 3" xfId="13569" xr:uid="{0409D1BC-417E-4715-A92D-D97F764C406D}"/>
    <cellStyle name="Explanatory Text 11" xfId="13570" xr:uid="{877A3859-51B1-477D-9884-5A89ED363532}"/>
    <cellStyle name="Explanatory Text 11 2" xfId="13571" xr:uid="{6A7EFA50-5C71-4424-BEFE-3B9F0427FD23}"/>
    <cellStyle name="Explanatory Text 11 3" xfId="13572" xr:uid="{B40C411A-3598-4394-8482-3B8754FB65F4}"/>
    <cellStyle name="Explanatory Text 12" xfId="13573" xr:uid="{D3514CCC-BD21-4994-9DD7-ED16CA4E6ED5}"/>
    <cellStyle name="Explanatory Text 12 2" xfId="13574" xr:uid="{FC77CF08-8C53-4EB2-949B-0D2532AB7777}"/>
    <cellStyle name="Explanatory Text 13" xfId="13575" xr:uid="{3E4E374F-D90C-472C-9913-B7DA8DFFCFD4}"/>
    <cellStyle name="Explanatory Text 13 2" xfId="13576" xr:uid="{1C494FFB-7D03-4C2F-84C9-A4711865EE24}"/>
    <cellStyle name="Explanatory Text 14" xfId="13577" xr:uid="{E86AE506-69D1-48A9-AE4F-BA5825D738BA}"/>
    <cellStyle name="Explanatory Text 14 2" xfId="13578" xr:uid="{700B50A7-B04D-4C8C-96AC-8F61B75D8089}"/>
    <cellStyle name="Explanatory Text 15" xfId="13579" xr:uid="{20EFBBAA-8BC9-437D-828B-B70EA94DE204}"/>
    <cellStyle name="Explanatory Text 15 2" xfId="13580" xr:uid="{A06B5434-90CD-430B-AC99-208A76B885E3}"/>
    <cellStyle name="Explanatory Text 16" xfId="13581" xr:uid="{1A594F05-5217-4AD7-961D-9E2ABCD30F97}"/>
    <cellStyle name="Explanatory Text 16 2" xfId="13582" xr:uid="{5F755D4A-0119-468A-B37F-E18CD7C9A181}"/>
    <cellStyle name="Explanatory Text 17" xfId="13583" xr:uid="{6FB8287F-4EB8-4CB1-8AA7-B8CEAC3DF7D9}"/>
    <cellStyle name="Explanatory Text 17 2" xfId="13584" xr:uid="{4E4E3D58-B6EB-4282-A9FE-F504CEB2B874}"/>
    <cellStyle name="Explanatory Text 18" xfId="13585" xr:uid="{A67D45C8-4C2F-4DF6-973C-E1249E182489}"/>
    <cellStyle name="Explanatory Text 18 2" xfId="13586" xr:uid="{A49686FD-E181-4658-96BD-65A5915C9ED9}"/>
    <cellStyle name="Explanatory Text 19" xfId="13587" xr:uid="{B6D3111F-AC9A-4D3E-B041-4EA0A9A06FCF}"/>
    <cellStyle name="Explanatory Text 19 2" xfId="13588" xr:uid="{7A695E2F-B967-4324-A768-AB16A480F2C6}"/>
    <cellStyle name="Explanatory Text 2" xfId="13589" xr:uid="{D4EDDA58-2F18-4536-ADB9-BFDEE1101818}"/>
    <cellStyle name="Explanatory Text 2 2" xfId="13590" xr:uid="{7A00E5D4-D919-41CC-9856-BB25A9E95E70}"/>
    <cellStyle name="Explanatory Text 2 3" xfId="13591" xr:uid="{9BF4D833-1FAE-4910-A8B6-3E7D5F4219BD}"/>
    <cellStyle name="Explanatory Text 2 3 2" xfId="13592" xr:uid="{8B16D1A9-1510-4660-A2DF-EAB3E12A8A9C}"/>
    <cellStyle name="Explanatory Text 2 3 3" xfId="13593" xr:uid="{5AB589F5-0387-4E4D-9C7F-312537893546}"/>
    <cellStyle name="Explanatory Text 2 4" xfId="41306" xr:uid="{9BD6BCA5-9301-47BD-8908-A0413814CA83}"/>
    <cellStyle name="Explanatory Text 2_PwrTax 51040" xfId="13594" xr:uid="{DCA28329-B76C-4F4C-BC19-88C735627CB9}"/>
    <cellStyle name="Explanatory Text 20" xfId="13595" xr:uid="{3E99A114-5E8F-4EC2-B3BB-E77CD51E94DA}"/>
    <cellStyle name="Explanatory Text 21" xfId="13596" xr:uid="{B2B0E6C2-3705-4A7F-A7CC-073631D98160}"/>
    <cellStyle name="Explanatory Text 22" xfId="13597" xr:uid="{E3FA998F-6068-4068-A43B-AD79A6397CB1}"/>
    <cellStyle name="Explanatory Text 23" xfId="13598" xr:uid="{7F4920FC-E823-402F-BD9C-D3B6B608CD81}"/>
    <cellStyle name="Explanatory Text 24" xfId="13599" xr:uid="{D2A680A6-B23A-4BDF-BAEC-F9C214E59DEB}"/>
    <cellStyle name="Explanatory Text 25" xfId="13600" xr:uid="{86908D1C-CC54-43D0-878B-BCB4D766CE12}"/>
    <cellStyle name="Explanatory Text 26" xfId="13601" xr:uid="{BD9788FE-ED2D-4B87-8633-98329A1E8025}"/>
    <cellStyle name="Explanatory Text 27" xfId="13602" xr:uid="{66DFD76A-D936-477C-A098-34ECFE7CF567}"/>
    <cellStyle name="Explanatory Text 28" xfId="13603" xr:uid="{97188FAF-DCFC-4FE3-AE5D-1C8E55E56749}"/>
    <cellStyle name="Explanatory Text 29" xfId="13604" xr:uid="{CC4C540C-715D-4690-B0F4-9ED2675D5483}"/>
    <cellStyle name="Explanatory Text 3" xfId="13605" xr:uid="{58B14CEA-7E0C-4675-BA5E-1DE7FE8A3E98}"/>
    <cellStyle name="Explanatory Text 3 2" xfId="13606" xr:uid="{394B3524-823D-4758-A2D1-3A016A25DB19}"/>
    <cellStyle name="Explanatory Text 3 3" xfId="13607" xr:uid="{0472F056-34A8-460F-A9B9-E9BE73956A5B}"/>
    <cellStyle name="Explanatory Text 3 3 2" xfId="13608" xr:uid="{555BE487-5A08-46B2-A182-1B437B6CEF26}"/>
    <cellStyle name="Explanatory Text 3 3 3" xfId="13609" xr:uid="{996E574B-8E3E-42FC-AF6F-6DD9F44F7512}"/>
    <cellStyle name="Explanatory Text 3 4" xfId="41307" xr:uid="{EBA3ED71-6E95-4347-8674-63DF7322679C}"/>
    <cellStyle name="Explanatory Text 30" xfId="13610" xr:uid="{3AA2013A-6840-431D-BC0E-59A9F66A125C}"/>
    <cellStyle name="Explanatory Text 31" xfId="13611" xr:uid="{137CB3F9-C00D-4073-8398-EF2338D7CACC}"/>
    <cellStyle name="Explanatory Text 32" xfId="13612" xr:uid="{28B5747C-C57B-43BA-AB29-CBE9435FE08D}"/>
    <cellStyle name="Explanatory Text 33" xfId="13613" xr:uid="{D559297D-05CD-44F9-B50D-83FA803DF0B2}"/>
    <cellStyle name="Explanatory Text 34" xfId="13614" xr:uid="{90BAE0A6-F886-4449-8678-D784D5418D2E}"/>
    <cellStyle name="Explanatory Text 35" xfId="13615" xr:uid="{A7322998-0F0B-412A-91F8-43FF82486636}"/>
    <cellStyle name="Explanatory Text 36" xfId="13616" xr:uid="{DA87C8D1-29A3-423D-8AFC-4D6999B24523}"/>
    <cellStyle name="Explanatory Text 37" xfId="41308" xr:uid="{4CC4A998-ED3A-4A11-9B4A-8F4CF6014C61}"/>
    <cellStyle name="Explanatory Text 38" xfId="191" xr:uid="{8E67DDC9-24A6-4159-B2FD-C7FE4A1426B7}"/>
    <cellStyle name="Explanatory Text 4" xfId="13617" xr:uid="{23F78AEB-39FA-4B44-A2F4-A576E5BA53BD}"/>
    <cellStyle name="Explanatory Text 4 2" xfId="13618" xr:uid="{51BA0456-E17F-4C21-B1B1-9693007FBE11}"/>
    <cellStyle name="Explanatory Text 4 3" xfId="13619" xr:uid="{70E54F32-13B4-40D8-A39D-147EDF24F63B}"/>
    <cellStyle name="Explanatory Text 5" xfId="13620" xr:uid="{21FEC243-59F4-4C36-8827-D36925C7A35B}"/>
    <cellStyle name="Explanatory Text 5 2" xfId="13621" xr:uid="{EB560AC8-1E6B-4AAF-8A71-2C713A08B61C}"/>
    <cellStyle name="Explanatory Text 5 3" xfId="13622" xr:uid="{3BAA4C42-F711-4DB0-8E5B-06CD4F339636}"/>
    <cellStyle name="Explanatory Text 6" xfId="13623" xr:uid="{AA750174-9FAF-4628-B903-704007103A5F}"/>
    <cellStyle name="Explanatory Text 6 2" xfId="13624" xr:uid="{1D653F2F-9742-47C9-8425-1CAB53350A5B}"/>
    <cellStyle name="Explanatory Text 6 3" xfId="13625" xr:uid="{B4F04BD0-A6A3-4932-87ED-BF87204E9A1F}"/>
    <cellStyle name="Explanatory Text 7" xfId="13626" xr:uid="{B5559CCA-7432-4938-9C19-7C5B6F6F7D27}"/>
    <cellStyle name="Explanatory Text 7 2" xfId="13627" xr:uid="{39C8D1CD-AA97-4B8A-825F-B5547E22F5E6}"/>
    <cellStyle name="Explanatory Text 7 3" xfId="13628" xr:uid="{E74114C8-6353-43E6-BA60-CCD2D41E9EFB}"/>
    <cellStyle name="Explanatory Text 8" xfId="13629" xr:uid="{4C69A7A5-C223-4004-A64D-911FB82981C0}"/>
    <cellStyle name="Explanatory Text 8 2" xfId="13630" xr:uid="{B0559F69-48BD-446D-811C-A2E2B0FBD5D4}"/>
    <cellStyle name="Explanatory Text 8 3" xfId="13631" xr:uid="{96A2978D-1739-4A08-ABAE-6ADB6829C9C4}"/>
    <cellStyle name="Explanatory Text 9" xfId="13632" xr:uid="{D35806DE-7E80-4614-8049-07CE3A1372D0}"/>
    <cellStyle name="Explanatory Text 9 2" xfId="13633" xr:uid="{AC9476E1-60AA-422C-9967-05C3F30C1B5E}"/>
    <cellStyle name="Explanatory Text 9 3" xfId="13634" xr:uid="{8B08C76D-0933-423F-8481-FAB1FCA67EC2}"/>
    <cellStyle name="Exponent" xfId="13635" xr:uid="{F2ED3159-9AB8-41E1-A38B-55D6A9494D6D}"/>
    <cellStyle name="Exponent 10" xfId="13636" xr:uid="{A6D8DDFF-E74B-40D6-BC83-080583B88898}"/>
    <cellStyle name="Exponent 10 10" xfId="13637" xr:uid="{383E42F0-9C05-4681-96BA-D86D4DEBC1BE}"/>
    <cellStyle name="Exponent 10 11" xfId="13638" xr:uid="{A0926670-1EC1-4394-A441-2CE67A4E86B3}"/>
    <cellStyle name="Exponent 10 12" xfId="13639" xr:uid="{BD7D338C-015C-4EA8-BF72-8D3FED2345DA}"/>
    <cellStyle name="Exponent 10 13" xfId="13640" xr:uid="{31107114-39FD-4957-A30B-5301F648355E}"/>
    <cellStyle name="Exponent 10 14" xfId="13641" xr:uid="{9EB67B2D-78AE-4E68-ABCF-45A7AE90C83D}"/>
    <cellStyle name="Exponent 10 15" xfId="13642" xr:uid="{5CCDF664-E933-418E-9C15-6EFB4310B66A}"/>
    <cellStyle name="Exponent 10 16" xfId="13643" xr:uid="{A3F2CBB6-0DB0-4376-9190-B54202FD4504}"/>
    <cellStyle name="Exponent 10 17" xfId="13644" xr:uid="{CE780DDC-EC92-479D-888A-DF137DA5E6E7}"/>
    <cellStyle name="Exponent 10 18" xfId="13645" xr:uid="{2A0581C1-206D-429A-8F30-5C0D720998FD}"/>
    <cellStyle name="Exponent 10 19" xfId="13646" xr:uid="{584CDCE8-6CD7-4227-9ED3-06A592E95E82}"/>
    <cellStyle name="Exponent 10 2" xfId="13647" xr:uid="{D8FAC38A-8E64-4738-BAF1-78D454EE20A0}"/>
    <cellStyle name="Exponent 10 20" xfId="13648" xr:uid="{675C542A-6891-4701-A871-2DBA0FC7DF52}"/>
    <cellStyle name="Exponent 10 21" xfId="13649" xr:uid="{0AC69891-C686-4FEE-A680-6DB4ECEBD24F}"/>
    <cellStyle name="Exponent 10 22" xfId="13650" xr:uid="{B807567C-56E0-4E6B-B536-A9130B1772C8}"/>
    <cellStyle name="Exponent 10 23" xfId="13651" xr:uid="{B7CF525E-F2F6-49C9-992B-12F91BA91651}"/>
    <cellStyle name="Exponent 10 3" xfId="13652" xr:uid="{31AEFB53-6BE9-417A-8B31-C49F2A551CCF}"/>
    <cellStyle name="Exponent 10 4" xfId="13653" xr:uid="{7C0D196B-A0C5-402C-AADD-8D0A3E32149B}"/>
    <cellStyle name="Exponent 10 5" xfId="13654" xr:uid="{76E70531-913B-49B2-9065-5CF660D12B7F}"/>
    <cellStyle name="Exponent 10 6" xfId="13655" xr:uid="{6E44A0E2-0232-4CDB-8B28-BC1CAFEFEA56}"/>
    <cellStyle name="Exponent 10 7" xfId="13656" xr:uid="{03D4E35C-D212-4157-9A85-0359E1BA19B5}"/>
    <cellStyle name="Exponent 10 8" xfId="13657" xr:uid="{28EE1E7D-48A3-4E1C-90C4-52DFB2685920}"/>
    <cellStyle name="Exponent 10 9" xfId="13658" xr:uid="{530C633D-E0B9-40EA-B157-DEB692837C38}"/>
    <cellStyle name="Exponent 11" xfId="13659" xr:uid="{CE982883-A05D-4670-85AD-14BF5E05C569}"/>
    <cellStyle name="Exponent 11 10" xfId="13660" xr:uid="{A975D746-4337-4E48-B58D-496A2328EBCB}"/>
    <cellStyle name="Exponent 11 11" xfId="13661" xr:uid="{86A49D15-B00D-46B3-9FC6-EA77F0CB2AE9}"/>
    <cellStyle name="Exponent 11 12" xfId="13662" xr:uid="{E6AFABAF-2F77-4BBC-8633-6FFC8BA71CFF}"/>
    <cellStyle name="Exponent 11 13" xfId="13663" xr:uid="{01A493C3-D4FD-4C26-96A8-B170AEFD0CFA}"/>
    <cellStyle name="Exponent 11 14" xfId="13664" xr:uid="{6694B354-E90A-47BA-8154-38BFF674DD69}"/>
    <cellStyle name="Exponent 11 15" xfId="13665" xr:uid="{94EA19AB-B25C-4AED-A66F-CE01C3F8E41B}"/>
    <cellStyle name="Exponent 11 16" xfId="13666" xr:uid="{B23FA65F-A75D-401A-9440-B4F03FD5489A}"/>
    <cellStyle name="Exponent 11 17" xfId="13667" xr:uid="{ACDF032A-3B1B-4F86-B2C9-8ADBFFA947BA}"/>
    <cellStyle name="Exponent 11 18" xfId="13668" xr:uid="{55F56435-EFA2-45B6-A815-5C5F6365A619}"/>
    <cellStyle name="Exponent 11 19" xfId="13669" xr:uid="{13128017-F1BC-49D6-AAD6-D5EABD7D881C}"/>
    <cellStyle name="Exponent 11 2" xfId="13670" xr:uid="{AADF41D8-26E1-4BA6-A81F-385B230AACFB}"/>
    <cellStyle name="Exponent 11 20" xfId="13671" xr:uid="{D1454228-9553-4518-8B68-A389FE927C1B}"/>
    <cellStyle name="Exponent 11 21" xfId="13672" xr:uid="{0CB92240-B755-47DD-AC44-A1F91A4486FF}"/>
    <cellStyle name="Exponent 11 22" xfId="13673" xr:uid="{D44AD0A0-1318-42F8-B644-0048CC7F28DB}"/>
    <cellStyle name="Exponent 11 23" xfId="13674" xr:uid="{B02EE43B-4097-494C-B81F-39086E5FEBD0}"/>
    <cellStyle name="Exponent 11 3" xfId="13675" xr:uid="{7B5B9F22-64E6-4523-9014-E02A288132E1}"/>
    <cellStyle name="Exponent 11 4" xfId="13676" xr:uid="{FEBCD51B-C145-42D2-8463-2EB669BDF982}"/>
    <cellStyle name="Exponent 11 5" xfId="13677" xr:uid="{B57A2492-5FEA-4C7A-9BFB-93AFF5501D4F}"/>
    <cellStyle name="Exponent 11 6" xfId="13678" xr:uid="{51931534-AFB4-4348-BE93-ED145E11084F}"/>
    <cellStyle name="Exponent 11 7" xfId="13679" xr:uid="{C26FF4D9-B500-4EBB-B60E-41F7DDFE5104}"/>
    <cellStyle name="Exponent 11 8" xfId="13680" xr:uid="{F2EDB1DA-A0E7-428C-BC60-D793B5D99EC7}"/>
    <cellStyle name="Exponent 11 9" xfId="13681" xr:uid="{D7A85C9D-7C9B-415F-B6D7-A0D8893628F0}"/>
    <cellStyle name="Exponent 12" xfId="13682" xr:uid="{284F903E-B52F-4AD2-8682-ADCE0C4EEF5E}"/>
    <cellStyle name="Exponent 12 2" xfId="13683" xr:uid="{3B5152CC-B7EF-41C4-947B-6BA0E06A4603}"/>
    <cellStyle name="Exponent 12 3" xfId="13684" xr:uid="{A0C6E761-037A-40C7-A47D-191B8373874B}"/>
    <cellStyle name="Exponent 12 4" xfId="13685" xr:uid="{FFB54006-4214-40A4-9A62-029D07C534D3}"/>
    <cellStyle name="Exponent 13" xfId="13686" xr:uid="{174686F1-6B6E-462A-B9E1-6A2553C52432}"/>
    <cellStyle name="Exponent 14" xfId="13687" xr:uid="{8CB590D4-848A-4D33-A361-3374BD59110F}"/>
    <cellStyle name="Exponent 15" xfId="13688" xr:uid="{C9CA0B02-A755-45D2-A531-C3AD78FF4950}"/>
    <cellStyle name="Exponent 16" xfId="13689" xr:uid="{90727E49-B64D-494E-8E84-AB8DB2C12DF0}"/>
    <cellStyle name="Exponent 2" xfId="13690" xr:uid="{829BC41D-BA43-40B8-82B9-7C66FCFC2B13}"/>
    <cellStyle name="Exponent 2 10" xfId="13691" xr:uid="{4402F7E6-BEC9-4385-9480-4ED3B9C8CDAD}"/>
    <cellStyle name="Exponent 2 11" xfId="13692" xr:uid="{9439BB5B-36F3-4A65-8458-D9AA83513464}"/>
    <cellStyle name="Exponent 2 12" xfId="13693" xr:uid="{A75DC41B-212C-407A-8857-2FFEDDE2430A}"/>
    <cellStyle name="Exponent 2 13" xfId="13694" xr:uid="{2AB42F01-816B-4EF4-8D47-E67821B8846D}"/>
    <cellStyle name="Exponent 2 14" xfId="13695" xr:uid="{4A2435A2-36F4-45B7-A4F3-E1BBA02D874C}"/>
    <cellStyle name="Exponent 2 15" xfId="13696" xr:uid="{DB956920-9AEE-4ADF-9143-7F79A6BD4699}"/>
    <cellStyle name="Exponent 2 16" xfId="13697" xr:uid="{B35B469A-8565-4ADC-A260-DF6A43DBC71C}"/>
    <cellStyle name="Exponent 2 17" xfId="13698" xr:uid="{B47303E7-52F5-4168-A241-BFC65F5C4B3F}"/>
    <cellStyle name="Exponent 2 18" xfId="13699" xr:uid="{C60560C4-3A0C-473F-9C9C-74EDF8F8D8B3}"/>
    <cellStyle name="Exponent 2 19" xfId="13700" xr:uid="{38292BC6-CCEC-4E7B-8A95-7A0AD147660D}"/>
    <cellStyle name="Exponent 2 2" xfId="13701" xr:uid="{63DCFC73-D2A8-480F-AB15-7BD38A0FD63F}"/>
    <cellStyle name="Exponent 2 2 10" xfId="13702" xr:uid="{4427CF64-4A45-4CE5-AB81-6629F417AF38}"/>
    <cellStyle name="Exponent 2 2 11" xfId="13703" xr:uid="{81F8DE27-696D-46FB-B2D5-25E5DE2FEB03}"/>
    <cellStyle name="Exponent 2 2 12" xfId="13704" xr:uid="{351DA12B-7C47-42D3-A011-A65CA436BB32}"/>
    <cellStyle name="Exponent 2 2 13" xfId="13705" xr:uid="{CA245AC0-F4A2-4F64-BFE2-27FFC31B5EDD}"/>
    <cellStyle name="Exponent 2 2 14" xfId="13706" xr:uid="{8D256342-7812-4E9C-8084-7EF81F0F2E55}"/>
    <cellStyle name="Exponent 2 2 15" xfId="13707" xr:uid="{3336CDE0-33F0-4AD7-B00E-70FAC0542A4C}"/>
    <cellStyle name="Exponent 2 2 16" xfId="13708" xr:uid="{B6DCF28E-2550-47D0-801C-C210A1190AC2}"/>
    <cellStyle name="Exponent 2 2 17" xfId="13709" xr:uid="{1B568554-1058-4C54-8750-255B63D11363}"/>
    <cellStyle name="Exponent 2 2 18" xfId="13710" xr:uid="{B927C1C6-C2E4-48FD-BCE3-60735DAE361E}"/>
    <cellStyle name="Exponent 2 2 19" xfId="13711" xr:uid="{D3525F59-A8ED-445C-BE59-BC69AA9E0037}"/>
    <cellStyle name="Exponent 2 2 2" xfId="13712" xr:uid="{BCD40EAB-CF17-48CC-801C-108813E640F0}"/>
    <cellStyle name="Exponent 2 2 20" xfId="13713" xr:uid="{9686BB3D-191F-49AD-ADC4-C2D0CAA1A74F}"/>
    <cellStyle name="Exponent 2 2 21" xfId="13714" xr:uid="{B06468CA-D34F-4AF2-9A76-1FDA9ABD9581}"/>
    <cellStyle name="Exponent 2 2 22" xfId="13715" xr:uid="{1E67486F-A56F-4A5E-B5FE-0CCA3FF9F2DF}"/>
    <cellStyle name="Exponent 2 2 23" xfId="13716" xr:uid="{168F672D-92D2-4774-9461-B09471718CDB}"/>
    <cellStyle name="Exponent 2 2 3" xfId="13717" xr:uid="{25D5E9DB-1126-449F-B7EC-A6FA12268C2D}"/>
    <cellStyle name="Exponent 2 2 4" xfId="13718" xr:uid="{4CD8733E-5427-4B28-96DB-CE221BC9F350}"/>
    <cellStyle name="Exponent 2 2 5" xfId="13719" xr:uid="{780D2FAC-6955-42E5-899C-7D8163560D5D}"/>
    <cellStyle name="Exponent 2 2 6" xfId="13720" xr:uid="{E203D3B8-7EC2-41DB-80B0-44D3C73A398C}"/>
    <cellStyle name="Exponent 2 2 7" xfId="13721" xr:uid="{70B1B233-7121-49D6-882D-F4F6F9E442D2}"/>
    <cellStyle name="Exponent 2 2 8" xfId="13722" xr:uid="{1413533F-2E30-434F-B64E-DBD85E24BF77}"/>
    <cellStyle name="Exponent 2 2 9" xfId="13723" xr:uid="{A45E398B-7495-426F-AF4A-136585125EBC}"/>
    <cellStyle name="Exponent 2 20" xfId="13724" xr:uid="{7021B07A-0E01-449C-BBE0-61DF80CB769F}"/>
    <cellStyle name="Exponent 2 21" xfId="13725" xr:uid="{39B935FC-96DD-4AFA-8958-4C178CD6C33F}"/>
    <cellStyle name="Exponent 2 22" xfId="13726" xr:uid="{4B91AB18-B182-4D39-9C84-C66755ED5FB4}"/>
    <cellStyle name="Exponent 2 23" xfId="13727" xr:uid="{5372803D-2245-48F9-86C4-A194B1F01447}"/>
    <cellStyle name="Exponent 2 24" xfId="13728" xr:uid="{0147FE9F-EB3B-4FAB-BD29-31579D3A8ABC}"/>
    <cellStyle name="Exponent 2 25" xfId="13729" xr:uid="{14A174CB-6C02-4736-858A-9E4977202C4A}"/>
    <cellStyle name="Exponent 2 26" xfId="13730" xr:uid="{82FF071C-5AB6-48A9-B9EE-E7864D83FE58}"/>
    <cellStyle name="Exponent 2 27" xfId="13731" xr:uid="{8CB2AFA8-A877-4A01-A924-D91765DA0ACA}"/>
    <cellStyle name="Exponent 2 3" xfId="13732" xr:uid="{67B75B0D-5528-4DF1-8645-0662C9EFAF57}"/>
    <cellStyle name="Exponent 2 3 10" xfId="13733" xr:uid="{898C1828-5F7B-4C87-94ED-D784267FA715}"/>
    <cellStyle name="Exponent 2 3 11" xfId="13734" xr:uid="{91EF58BC-732A-4D7A-AF26-6C6CA8A69D95}"/>
    <cellStyle name="Exponent 2 3 12" xfId="13735" xr:uid="{3B1211BA-3249-4813-8012-36360862B279}"/>
    <cellStyle name="Exponent 2 3 13" xfId="13736" xr:uid="{9D3DE5EF-2073-441D-9D7A-2B573F13B331}"/>
    <cellStyle name="Exponent 2 3 14" xfId="13737" xr:uid="{D744734E-FAC2-4EFF-B402-E8CA897BC880}"/>
    <cellStyle name="Exponent 2 3 15" xfId="13738" xr:uid="{7EB448E6-8D7A-44CD-982D-A66B20CD3FAF}"/>
    <cellStyle name="Exponent 2 3 16" xfId="13739" xr:uid="{F5EB2448-6DCF-483D-8E2F-1584B56F0797}"/>
    <cellStyle name="Exponent 2 3 17" xfId="13740" xr:uid="{1B1DFE05-7F8D-4F6E-94B1-36811A10E6C6}"/>
    <cellStyle name="Exponent 2 3 18" xfId="13741" xr:uid="{F02D6C25-E339-4968-A280-932FCED23142}"/>
    <cellStyle name="Exponent 2 3 19" xfId="13742" xr:uid="{7FEDA964-811B-43A0-B1A0-C6F8FE259C50}"/>
    <cellStyle name="Exponent 2 3 2" xfId="13743" xr:uid="{AB1A0438-1E7C-4E19-9459-E455FE4BE915}"/>
    <cellStyle name="Exponent 2 3 20" xfId="13744" xr:uid="{E09A2012-FBA4-4D91-936D-0FD050889EE4}"/>
    <cellStyle name="Exponent 2 3 21" xfId="13745" xr:uid="{0FEEF986-0C3F-4AA3-BC80-90B7738CF303}"/>
    <cellStyle name="Exponent 2 3 22" xfId="13746" xr:uid="{0FD0873E-7188-4E41-9FDA-155AD4E3BD4D}"/>
    <cellStyle name="Exponent 2 3 23" xfId="13747" xr:uid="{B3A1EC3A-FE69-4757-9887-A01ADBA3ED34}"/>
    <cellStyle name="Exponent 2 3 3" xfId="13748" xr:uid="{6B9D8B97-9826-4E40-9CD6-FEF5979E0B22}"/>
    <cellStyle name="Exponent 2 3 4" xfId="13749" xr:uid="{EFE68943-AC0E-48CE-9142-75CDAE9F64CF}"/>
    <cellStyle name="Exponent 2 3 5" xfId="13750" xr:uid="{938DB81E-C430-49EC-AD38-616515BC7416}"/>
    <cellStyle name="Exponent 2 3 6" xfId="13751" xr:uid="{71E56FA7-7FD5-44E0-AC6F-16D76F38AC6D}"/>
    <cellStyle name="Exponent 2 3 7" xfId="13752" xr:uid="{E657DD4E-E1FB-4BD5-8505-AAADDC931711}"/>
    <cellStyle name="Exponent 2 3 8" xfId="13753" xr:uid="{B7EE9F19-D102-4950-B4BC-C1A4912FE108}"/>
    <cellStyle name="Exponent 2 3 9" xfId="13754" xr:uid="{3062CA21-55A6-4895-9957-E72F7B83480B}"/>
    <cellStyle name="Exponent 2 4" xfId="13755" xr:uid="{23E2D658-C57B-4646-802C-6A47E09DDCE0}"/>
    <cellStyle name="Exponent 2 4 10" xfId="13756" xr:uid="{F5441E40-3A10-4577-B68F-2739C53C080E}"/>
    <cellStyle name="Exponent 2 4 11" xfId="13757" xr:uid="{C012CEA1-3481-402C-97BA-989AC8D38E33}"/>
    <cellStyle name="Exponent 2 4 12" xfId="13758" xr:uid="{353388A3-DB92-4AD6-A667-3D4550F8C98F}"/>
    <cellStyle name="Exponent 2 4 13" xfId="13759" xr:uid="{B7B2386F-BFE7-43DE-A589-2168A21468D5}"/>
    <cellStyle name="Exponent 2 4 14" xfId="13760" xr:uid="{86779D1C-36B0-4621-B5A7-6175C5BF5970}"/>
    <cellStyle name="Exponent 2 4 15" xfId="13761" xr:uid="{D3001F9C-8627-42D5-81B2-0B1BF9F16675}"/>
    <cellStyle name="Exponent 2 4 16" xfId="13762" xr:uid="{2DBF90D9-0793-42C4-A7A8-104107AF1AD8}"/>
    <cellStyle name="Exponent 2 4 17" xfId="13763" xr:uid="{A0168EF4-35E3-422C-A1E8-275983A2FB83}"/>
    <cellStyle name="Exponent 2 4 18" xfId="13764" xr:uid="{C0E72ADA-485B-4479-940E-8FDB308E6878}"/>
    <cellStyle name="Exponent 2 4 19" xfId="13765" xr:uid="{69C16041-35B4-44B0-A833-3F4EF0F0F7F1}"/>
    <cellStyle name="Exponent 2 4 2" xfId="13766" xr:uid="{416EE12C-432C-49CB-ACB7-6667BE862B9D}"/>
    <cellStyle name="Exponent 2 4 20" xfId="13767" xr:uid="{237975CA-68DF-44BE-9377-3F73F42DBC87}"/>
    <cellStyle name="Exponent 2 4 21" xfId="13768" xr:uid="{29E5CF60-2C0F-4BB9-B5D6-A9E4A0E96602}"/>
    <cellStyle name="Exponent 2 4 22" xfId="13769" xr:uid="{2F194965-D24A-4DFA-A968-FE00DD60FEC0}"/>
    <cellStyle name="Exponent 2 4 23" xfId="13770" xr:uid="{7F0E9A73-BD2B-44FB-AF58-EAD2402451F0}"/>
    <cellStyle name="Exponent 2 4 3" xfId="13771" xr:uid="{047EF927-F51B-406A-9134-9FC6AC8C2DDE}"/>
    <cellStyle name="Exponent 2 4 4" xfId="13772" xr:uid="{7133F558-A3A8-4CDB-8CD1-D266FDCDBABE}"/>
    <cellStyle name="Exponent 2 4 5" xfId="13773" xr:uid="{8AEC31AB-305A-4B4E-8766-83241DCD06FC}"/>
    <cellStyle name="Exponent 2 4 6" xfId="13774" xr:uid="{05286E9E-C8BC-49B8-967D-9309FBF6964B}"/>
    <cellStyle name="Exponent 2 4 7" xfId="13775" xr:uid="{9F5B588B-82F9-4A00-94BB-E0007CBEAA7D}"/>
    <cellStyle name="Exponent 2 4 8" xfId="13776" xr:uid="{CFBCDC23-0D35-4F08-AA4F-08F420CEC5D7}"/>
    <cellStyle name="Exponent 2 4 9" xfId="13777" xr:uid="{FC15EA97-D2AB-4594-A20D-3EC4C04A5F98}"/>
    <cellStyle name="Exponent 2 5" xfId="13778" xr:uid="{54E9A8C8-7EB1-4C4A-A3F2-FE30F8F0E0AA}"/>
    <cellStyle name="Exponent 2 5 10" xfId="13779" xr:uid="{2427B6EE-D01D-480F-AEBA-376406175668}"/>
    <cellStyle name="Exponent 2 5 11" xfId="13780" xr:uid="{EE598E3B-B1A7-431F-9423-AC5F8BA616B6}"/>
    <cellStyle name="Exponent 2 5 12" xfId="13781" xr:uid="{C93D1391-15BB-4497-8D8F-68080A254F42}"/>
    <cellStyle name="Exponent 2 5 13" xfId="13782" xr:uid="{224B0DAC-3496-41CF-A473-C265CF54B734}"/>
    <cellStyle name="Exponent 2 5 14" xfId="13783" xr:uid="{13FDDA4B-FF53-474C-B950-2B2D6467FE26}"/>
    <cellStyle name="Exponent 2 5 15" xfId="13784" xr:uid="{0018BA6C-4FCB-4CC5-9434-E6F31499AD2D}"/>
    <cellStyle name="Exponent 2 5 16" xfId="13785" xr:uid="{6F0FDC4F-07AD-4259-8F36-7F7A5354C120}"/>
    <cellStyle name="Exponent 2 5 17" xfId="13786" xr:uid="{69C422EE-8F3E-4DBB-B6B1-5437B8B9C392}"/>
    <cellStyle name="Exponent 2 5 18" xfId="13787" xr:uid="{953BD4A7-8071-4669-93D4-07B4C2A4E5B9}"/>
    <cellStyle name="Exponent 2 5 19" xfId="13788" xr:uid="{8B46BE56-1AAA-4484-98D8-6AF094F87E1F}"/>
    <cellStyle name="Exponent 2 5 2" xfId="13789" xr:uid="{963193B5-DA65-4AD5-8AA3-95B99BABCB2B}"/>
    <cellStyle name="Exponent 2 5 20" xfId="13790" xr:uid="{57AFCA39-FE16-4A3F-B965-5A2A6F624DFD}"/>
    <cellStyle name="Exponent 2 5 21" xfId="13791" xr:uid="{A391A645-CD1D-4C19-A5E9-69C8EC445A84}"/>
    <cellStyle name="Exponent 2 5 22" xfId="13792" xr:uid="{3C292442-59F2-4624-B380-03C91921112E}"/>
    <cellStyle name="Exponent 2 5 23" xfId="13793" xr:uid="{6E21137A-737D-418A-9DB0-863DDA98F255}"/>
    <cellStyle name="Exponent 2 5 3" xfId="13794" xr:uid="{09603022-70AA-46EE-A86A-5502BCE74A2A}"/>
    <cellStyle name="Exponent 2 5 4" xfId="13795" xr:uid="{5C77C903-CDEB-4356-8909-73B91D04118B}"/>
    <cellStyle name="Exponent 2 5 5" xfId="13796" xr:uid="{A44DB087-976B-4126-B7EC-029F357C044B}"/>
    <cellStyle name="Exponent 2 5 6" xfId="13797" xr:uid="{D8C925CA-0293-42E7-9A46-9A78982FCA0C}"/>
    <cellStyle name="Exponent 2 5 7" xfId="13798" xr:uid="{40D9E930-EB6C-4ED6-A53C-2659DD94F1BC}"/>
    <cellStyle name="Exponent 2 5 8" xfId="13799" xr:uid="{F23363E7-2250-45B0-A0B6-0F9DAD1C0A3E}"/>
    <cellStyle name="Exponent 2 5 9" xfId="13800" xr:uid="{6DDF2B5F-FD10-4868-B2C3-CC8C2F7D0C33}"/>
    <cellStyle name="Exponent 2 6" xfId="13801" xr:uid="{4873F32A-F703-4864-BBA9-6DC3D6960443}"/>
    <cellStyle name="Exponent 2 7" xfId="13802" xr:uid="{8301F6F1-6513-4081-B600-00C5477FED84}"/>
    <cellStyle name="Exponent 2 8" xfId="13803" xr:uid="{69964AD8-02B8-435E-A96F-9E254F383C31}"/>
    <cellStyle name="Exponent 2 9" xfId="13804" xr:uid="{7435436B-2F74-4A46-A5AF-764BE3C2C9A2}"/>
    <cellStyle name="Exponent 3" xfId="13805" xr:uid="{EB64A8C1-62EC-48B6-9BCC-13814BF3B299}"/>
    <cellStyle name="Exponent 3 10" xfId="13806" xr:uid="{65C79F3E-058D-484B-95E2-278E2407996C}"/>
    <cellStyle name="Exponent 3 11" xfId="13807" xr:uid="{907B5470-F8CB-49D2-B938-EADEC82C3B0F}"/>
    <cellStyle name="Exponent 3 12" xfId="13808" xr:uid="{51E790C4-0D04-47AB-8F27-FE560F5E4FA3}"/>
    <cellStyle name="Exponent 3 13" xfId="13809" xr:uid="{3796B42E-EC05-4D96-B546-1E55D0013187}"/>
    <cellStyle name="Exponent 3 14" xfId="13810" xr:uid="{504F4C4F-7E35-4C09-A50D-04F81EBA626A}"/>
    <cellStyle name="Exponent 3 15" xfId="13811" xr:uid="{F135B439-0E0C-4BAC-8F90-B324AE9673A2}"/>
    <cellStyle name="Exponent 3 16" xfId="13812" xr:uid="{6D836DFB-4D61-4D91-956F-C1F8979175B8}"/>
    <cellStyle name="Exponent 3 17" xfId="13813" xr:uid="{F3235C72-B155-4F47-B47B-4B3E70ED2668}"/>
    <cellStyle name="Exponent 3 18" xfId="13814" xr:uid="{DFA90B43-FE90-4AB1-95F1-8CB7A810B6FC}"/>
    <cellStyle name="Exponent 3 19" xfId="13815" xr:uid="{EF2A7165-1774-4D31-8F73-209A4098445A}"/>
    <cellStyle name="Exponent 3 2" xfId="13816" xr:uid="{6EC84961-93A3-4A6E-9394-7FF7A2C87155}"/>
    <cellStyle name="Exponent 3 20" xfId="13817" xr:uid="{F4E055E9-3ED4-4AF4-8000-A618A3A3469A}"/>
    <cellStyle name="Exponent 3 21" xfId="13818" xr:uid="{14ACDE50-52A9-4D97-ACA2-5F60B27E5350}"/>
    <cellStyle name="Exponent 3 22" xfId="13819" xr:uid="{428C2B44-1CBA-48CE-BE01-F21E417A29E0}"/>
    <cellStyle name="Exponent 3 23" xfId="13820" xr:uid="{0F41122F-8AB4-4A4D-80D6-770EE51BD636}"/>
    <cellStyle name="Exponent 3 3" xfId="13821" xr:uid="{BE91F29D-7F57-453C-8DF0-2135742EEB45}"/>
    <cellStyle name="Exponent 3 4" xfId="13822" xr:uid="{169C3672-42A0-4A8F-864C-969E030799DB}"/>
    <cellStyle name="Exponent 3 5" xfId="13823" xr:uid="{B72D4E92-D753-47EE-A6E1-AAA2971F7011}"/>
    <cellStyle name="Exponent 3 6" xfId="13824" xr:uid="{BADD1307-DB92-4100-BE23-3CBBE8D03559}"/>
    <cellStyle name="Exponent 3 7" xfId="13825" xr:uid="{032C8EB5-ED72-4BCC-BC01-9C626C6CA2D0}"/>
    <cellStyle name="Exponent 3 8" xfId="13826" xr:uid="{8A4B4F6F-C978-4BAD-8DBF-3324966A01BF}"/>
    <cellStyle name="Exponent 3 9" xfId="13827" xr:uid="{48A9C7D4-C3EF-4575-BBFA-CEA27DF904BE}"/>
    <cellStyle name="Exponent 4" xfId="13828" xr:uid="{EA72D161-BE6A-456B-AD34-1720725BFCD8}"/>
    <cellStyle name="Exponent 4 10" xfId="13829" xr:uid="{EBB7D090-71A5-45D0-BE75-355E327C4F19}"/>
    <cellStyle name="Exponent 4 11" xfId="13830" xr:uid="{A7EAFC5F-8CCB-4503-A130-98BE61304F86}"/>
    <cellStyle name="Exponent 4 12" xfId="13831" xr:uid="{5F704D91-911D-4B77-92B4-CE66444FE572}"/>
    <cellStyle name="Exponent 4 13" xfId="13832" xr:uid="{75A10DDF-C29E-4296-8849-500746B52194}"/>
    <cellStyle name="Exponent 4 14" xfId="13833" xr:uid="{5D3FD3C9-7073-4B48-B8E3-0B2842AECB05}"/>
    <cellStyle name="Exponent 4 15" xfId="13834" xr:uid="{FA476861-3173-4DDB-95E4-82A20A41C705}"/>
    <cellStyle name="Exponent 4 16" xfId="13835" xr:uid="{A693ADF0-0C64-4128-9224-A2889EE5B7AF}"/>
    <cellStyle name="Exponent 4 17" xfId="13836" xr:uid="{9C84EE76-9BA7-4216-B440-72745B67EF18}"/>
    <cellStyle name="Exponent 4 18" xfId="13837" xr:uid="{568525BB-900F-4D2D-B610-9F6B1D8B08E7}"/>
    <cellStyle name="Exponent 4 19" xfId="13838" xr:uid="{96CBF95F-F5E2-4363-AB61-8929A3F555D1}"/>
    <cellStyle name="Exponent 4 2" xfId="13839" xr:uid="{FC9EC9B0-D050-482E-A11A-3BFA59F22294}"/>
    <cellStyle name="Exponent 4 20" xfId="13840" xr:uid="{81DCBE69-258D-4689-A231-C38C737D16DC}"/>
    <cellStyle name="Exponent 4 21" xfId="13841" xr:uid="{7F279885-C223-4F7C-B943-EBE4510C2E82}"/>
    <cellStyle name="Exponent 4 22" xfId="13842" xr:uid="{AA58EBDF-58E7-4240-A4BF-A4B3A9660072}"/>
    <cellStyle name="Exponent 4 23" xfId="13843" xr:uid="{5466F3C1-1C96-47B2-BDD9-61219021A02A}"/>
    <cellStyle name="Exponent 4 3" xfId="13844" xr:uid="{ED4A64C9-6A58-49B1-800D-25E8F977DA28}"/>
    <cellStyle name="Exponent 4 4" xfId="13845" xr:uid="{FE83DBB5-C697-4198-9FE5-6DF2200E07D7}"/>
    <cellStyle name="Exponent 4 5" xfId="13846" xr:uid="{7AFD391F-5DD8-4C42-AD0C-25C628C37E0A}"/>
    <cellStyle name="Exponent 4 6" xfId="13847" xr:uid="{BDC56201-53A5-47EF-8BAE-4130798FEF31}"/>
    <cellStyle name="Exponent 4 7" xfId="13848" xr:uid="{F9DC8A2E-8AF3-4AA7-B58E-89B40DE1280F}"/>
    <cellStyle name="Exponent 4 8" xfId="13849" xr:uid="{46B24BF9-4749-4027-88FB-620ADCE6A0FF}"/>
    <cellStyle name="Exponent 4 9" xfId="13850" xr:uid="{7D8BADBC-9B50-4DDC-AAAF-93319525DBB5}"/>
    <cellStyle name="Exponent 5" xfId="13851" xr:uid="{369A42BC-BCB5-4C0D-817D-596A107B59E4}"/>
    <cellStyle name="Exponent 5 10" xfId="13852" xr:uid="{532A591D-F9BC-42C7-9708-ACE10E00CD4F}"/>
    <cellStyle name="Exponent 5 11" xfId="13853" xr:uid="{3C8C885D-54AE-4DC9-80D2-F98032978674}"/>
    <cellStyle name="Exponent 5 12" xfId="13854" xr:uid="{AA5A8E61-CBE8-4B2E-9351-6A417E508830}"/>
    <cellStyle name="Exponent 5 13" xfId="13855" xr:uid="{15570F07-D0E4-435F-8D7C-72BB3E45BCF4}"/>
    <cellStyle name="Exponent 5 14" xfId="13856" xr:uid="{36D0973A-3A43-45FA-A11C-8DE7E6A55A92}"/>
    <cellStyle name="Exponent 5 15" xfId="13857" xr:uid="{E1B9F66D-66DF-4C86-847B-D0211A1BEE58}"/>
    <cellStyle name="Exponent 5 16" xfId="13858" xr:uid="{BE2423DC-16DE-495A-AD4F-A471EE457A64}"/>
    <cellStyle name="Exponent 5 17" xfId="13859" xr:uid="{242CDD62-8FA7-4F63-8F24-16702C3DECF1}"/>
    <cellStyle name="Exponent 5 18" xfId="13860" xr:uid="{F659DD40-9023-4FC7-9FFD-3B3DA51B9231}"/>
    <cellStyle name="Exponent 5 19" xfId="13861" xr:uid="{4B3C1E60-D432-489B-A850-F9119195EED7}"/>
    <cellStyle name="Exponent 5 2" xfId="13862" xr:uid="{C0B69B57-9ECA-46E4-9927-3917BBAB89D8}"/>
    <cellStyle name="Exponent 5 20" xfId="13863" xr:uid="{5B0E4B19-6202-4384-BC71-F7B85E0B762A}"/>
    <cellStyle name="Exponent 5 21" xfId="13864" xr:uid="{F36BADD6-4905-4AFE-98FF-F5EF2CBC02EF}"/>
    <cellStyle name="Exponent 5 22" xfId="13865" xr:uid="{1C60D7CB-3854-411B-9D4E-2322A7B4458E}"/>
    <cellStyle name="Exponent 5 23" xfId="13866" xr:uid="{FF402315-7F94-4070-B6BF-A5924B6EA4DD}"/>
    <cellStyle name="Exponent 5 3" xfId="13867" xr:uid="{49DF2D61-4D34-45D5-B4CE-5259406C65CB}"/>
    <cellStyle name="Exponent 5 4" xfId="13868" xr:uid="{8F6934A6-13C4-4783-AD17-05BB32518C9C}"/>
    <cellStyle name="Exponent 5 5" xfId="13869" xr:uid="{BF625FB5-8784-4399-B9C8-F1260CDE369E}"/>
    <cellStyle name="Exponent 5 6" xfId="13870" xr:uid="{82649E46-99AB-44F0-B300-3418D3038978}"/>
    <cellStyle name="Exponent 5 7" xfId="13871" xr:uid="{C9D9F1C2-415B-42A2-AF19-22C975FE9DB0}"/>
    <cellStyle name="Exponent 5 8" xfId="13872" xr:uid="{DAF4C572-0047-4E61-A809-A292FA336DC1}"/>
    <cellStyle name="Exponent 5 9" xfId="13873" xr:uid="{F948C5EB-2790-4EC4-B244-7CFE70FE8E6C}"/>
    <cellStyle name="Exponent 6" xfId="13874" xr:uid="{5EE4F00F-D211-432C-A37F-CF0A0D5965A0}"/>
    <cellStyle name="Exponent 6 10" xfId="13875" xr:uid="{08EAED43-7E5A-4966-9242-3258E9E73C81}"/>
    <cellStyle name="Exponent 6 11" xfId="13876" xr:uid="{F77CF5C5-CE8C-40DB-ACF8-034179668D99}"/>
    <cellStyle name="Exponent 6 12" xfId="13877" xr:uid="{C9F4E552-4270-4363-A83B-3EB31C04CDE8}"/>
    <cellStyle name="Exponent 6 13" xfId="13878" xr:uid="{9E9E25AA-DC6E-4453-9FB6-55E4E3D7DC8C}"/>
    <cellStyle name="Exponent 6 14" xfId="13879" xr:uid="{80F0BBE8-9A16-4761-9883-E4AE869B167A}"/>
    <cellStyle name="Exponent 6 15" xfId="13880" xr:uid="{22B02D38-1213-42A5-871B-E27C696915E8}"/>
    <cellStyle name="Exponent 6 16" xfId="13881" xr:uid="{3A0C0101-29BF-47A4-AECD-860A359D7207}"/>
    <cellStyle name="Exponent 6 17" xfId="13882" xr:uid="{FEA557B4-5059-408E-B208-90BF0506914B}"/>
    <cellStyle name="Exponent 6 18" xfId="13883" xr:uid="{D2107D19-DC5B-41F9-976D-A6718A9BB168}"/>
    <cellStyle name="Exponent 6 19" xfId="13884" xr:uid="{D6809979-9099-4061-93CC-C0DDA48B6E34}"/>
    <cellStyle name="Exponent 6 2" xfId="13885" xr:uid="{2B1F359A-EDA5-4A44-89AC-4888C954FF1E}"/>
    <cellStyle name="Exponent 6 20" xfId="13886" xr:uid="{4B96F8C8-8F3B-4962-B19F-1A97CA94F0DD}"/>
    <cellStyle name="Exponent 6 21" xfId="13887" xr:uid="{B047259D-45F9-49BC-BB04-32A5452C7D58}"/>
    <cellStyle name="Exponent 6 22" xfId="13888" xr:uid="{C5417CA4-18FE-4D87-91F5-112C2DA9DB57}"/>
    <cellStyle name="Exponent 6 23" xfId="13889" xr:uid="{DA58D716-9C89-4C0A-9E1E-5B3A0A882222}"/>
    <cellStyle name="Exponent 6 3" xfId="13890" xr:uid="{01E48FD7-9F69-4725-90B8-71310DE0A027}"/>
    <cellStyle name="Exponent 6 4" xfId="13891" xr:uid="{9D44375A-43BB-49C3-AE56-E9C4F2A4B88B}"/>
    <cellStyle name="Exponent 6 5" xfId="13892" xr:uid="{9CFC9953-C748-4556-A385-9FDE9E2FBFEF}"/>
    <cellStyle name="Exponent 6 6" xfId="13893" xr:uid="{1E6AA347-4BE8-4D94-BBD4-8FCDC9EAFC3F}"/>
    <cellStyle name="Exponent 6 7" xfId="13894" xr:uid="{99DEF13C-6837-4DFC-B061-ECF9B9E68150}"/>
    <cellStyle name="Exponent 6 8" xfId="13895" xr:uid="{25196D30-D656-49B8-9365-14B5B9BAC713}"/>
    <cellStyle name="Exponent 6 9" xfId="13896" xr:uid="{1315C9CC-1E26-42FC-9765-68561BDFEC63}"/>
    <cellStyle name="Exponent 7" xfId="13897" xr:uid="{74634F73-8A66-4085-A3B1-A2DCABB3AF45}"/>
    <cellStyle name="Exponent 7 10" xfId="13898" xr:uid="{B0274636-AAD4-4AAA-96BB-61C6AE78E716}"/>
    <cellStyle name="Exponent 7 11" xfId="13899" xr:uid="{B39F488A-D56E-4B41-9660-C34748487129}"/>
    <cellStyle name="Exponent 7 12" xfId="13900" xr:uid="{82DC0608-D53F-4D0A-823F-61C442826506}"/>
    <cellStyle name="Exponent 7 13" xfId="13901" xr:uid="{408E1ED3-EE33-41CB-8453-C270807F68B9}"/>
    <cellStyle name="Exponent 7 14" xfId="13902" xr:uid="{B0BB3FB6-CF8F-41AF-A9CC-2016393B5268}"/>
    <cellStyle name="Exponent 7 15" xfId="13903" xr:uid="{BF68FA5B-95E1-4355-B20C-3765DFCC7FFC}"/>
    <cellStyle name="Exponent 7 16" xfId="13904" xr:uid="{6874F319-723B-419E-9AD4-0E9D19651060}"/>
    <cellStyle name="Exponent 7 17" xfId="13905" xr:uid="{A7F35E8A-08E9-472C-8A72-54D681AE4619}"/>
    <cellStyle name="Exponent 7 18" xfId="13906" xr:uid="{8B15ACE7-16C8-4C2E-B968-910733E0E926}"/>
    <cellStyle name="Exponent 7 19" xfId="13907" xr:uid="{5CC87B99-EDB1-4CF9-9B39-2C1D87A1CD52}"/>
    <cellStyle name="Exponent 7 2" xfId="13908" xr:uid="{6DB59AEB-1C2B-4073-847A-781ABB537D04}"/>
    <cellStyle name="Exponent 7 20" xfId="13909" xr:uid="{EED4278F-3E1D-4365-9B21-6E9FFC5C3F79}"/>
    <cellStyle name="Exponent 7 21" xfId="13910" xr:uid="{7CF9C9D3-8B6C-4F89-97D6-7C9E9D71303C}"/>
    <cellStyle name="Exponent 7 22" xfId="13911" xr:uid="{69B8FE50-6C4D-41E7-B791-29C6026C9D65}"/>
    <cellStyle name="Exponent 7 23" xfId="13912" xr:uid="{02266D2D-9656-473F-9FA9-06AA0C96E30E}"/>
    <cellStyle name="Exponent 7 3" xfId="13913" xr:uid="{DDE495A3-E7E3-44DD-A5A5-EB7ADEBEE05F}"/>
    <cellStyle name="Exponent 7 4" xfId="13914" xr:uid="{A0A9A7E0-861D-4544-883B-874D3A9A322D}"/>
    <cellStyle name="Exponent 7 5" xfId="13915" xr:uid="{1005EB8F-2A3D-4C2E-A54A-FAF78A1FE1C0}"/>
    <cellStyle name="Exponent 7 6" xfId="13916" xr:uid="{31C872D9-7903-463A-9B4B-E405802F6904}"/>
    <cellStyle name="Exponent 7 7" xfId="13917" xr:uid="{671081C9-3D3B-4928-BD97-76D0267CB9B1}"/>
    <cellStyle name="Exponent 7 8" xfId="13918" xr:uid="{9DFCA652-1C34-4AC0-8539-DCDE7507370D}"/>
    <cellStyle name="Exponent 7 9" xfId="13919" xr:uid="{E0FB426F-B647-4B85-9640-ED7C31482996}"/>
    <cellStyle name="Exponent 8" xfId="13920" xr:uid="{8BB841E4-2EE8-430E-A494-7FBE72A8D242}"/>
    <cellStyle name="Exponent 8 10" xfId="13921" xr:uid="{77FDFB62-36E5-4514-B4A2-B275E6D86109}"/>
    <cellStyle name="Exponent 8 11" xfId="13922" xr:uid="{6F02C0A4-F471-40A1-8275-624514FF7DDB}"/>
    <cellStyle name="Exponent 8 12" xfId="13923" xr:uid="{9B2C5296-CD50-4045-A21F-645DD0C4C69C}"/>
    <cellStyle name="Exponent 8 13" xfId="13924" xr:uid="{86CB4637-AD33-47CF-BF6B-EB09C55B4346}"/>
    <cellStyle name="Exponent 8 14" xfId="13925" xr:uid="{DE3D15F7-40AA-4E79-98F8-40AF424E5660}"/>
    <cellStyle name="Exponent 8 15" xfId="13926" xr:uid="{ECC3EF69-0BF3-4D3D-B596-49C75AD66562}"/>
    <cellStyle name="Exponent 8 16" xfId="13927" xr:uid="{6F2E9337-0664-4E6A-A52A-41AF56762413}"/>
    <cellStyle name="Exponent 8 17" xfId="13928" xr:uid="{F0FB26FD-C516-4F2C-9C41-602CB4571F9F}"/>
    <cellStyle name="Exponent 8 18" xfId="13929" xr:uid="{7794DB13-15F5-4BA5-B03A-726AEF42A9DB}"/>
    <cellStyle name="Exponent 8 19" xfId="13930" xr:uid="{E09E9699-DC5C-4DD0-8504-51072ED6D7A6}"/>
    <cellStyle name="Exponent 8 2" xfId="13931" xr:uid="{1B68C549-5A62-43D2-8952-359C8C0B9590}"/>
    <cellStyle name="Exponent 8 20" xfId="13932" xr:uid="{F33083C0-36B1-4B33-8AC2-AEE745AD2C69}"/>
    <cellStyle name="Exponent 8 21" xfId="13933" xr:uid="{C1DF4231-84E1-485E-89D2-97757979D954}"/>
    <cellStyle name="Exponent 8 22" xfId="13934" xr:uid="{C0675C02-AB08-45B1-8F75-01CAA9D9EA18}"/>
    <cellStyle name="Exponent 8 23" xfId="13935" xr:uid="{6984CF66-5ED3-4049-874A-BBE29F347A20}"/>
    <cellStyle name="Exponent 8 3" xfId="13936" xr:uid="{68073C26-7D5D-49F9-AB96-0EC978F6B74B}"/>
    <cellStyle name="Exponent 8 4" xfId="13937" xr:uid="{54160C6A-D401-4594-8CE3-AB86414BD9B2}"/>
    <cellStyle name="Exponent 8 5" xfId="13938" xr:uid="{8C61DADE-D4A9-4860-9ADC-D3A0BB56F416}"/>
    <cellStyle name="Exponent 8 6" xfId="13939" xr:uid="{D6A26DC7-DAD4-4140-9F30-EA3CD64972B8}"/>
    <cellStyle name="Exponent 8 7" xfId="13940" xr:uid="{94F389F0-EB43-43FA-9E78-3A9CFCA8CEB1}"/>
    <cellStyle name="Exponent 8 8" xfId="13941" xr:uid="{08DE54F8-E792-468C-B50F-C53CD3905073}"/>
    <cellStyle name="Exponent 8 9" xfId="13942" xr:uid="{D6BF0E04-2FB9-4AC6-8189-918C6AA90B98}"/>
    <cellStyle name="Exponent 9" xfId="13943" xr:uid="{2D3077DB-5A0B-426E-B2C8-D0C4481B8567}"/>
    <cellStyle name="Exponent 9 10" xfId="13944" xr:uid="{D4304FA5-279E-46A0-9C59-0520DDF3AE0C}"/>
    <cellStyle name="Exponent 9 11" xfId="13945" xr:uid="{5AD1637D-839F-4C4A-9550-9FFE0463599D}"/>
    <cellStyle name="Exponent 9 12" xfId="13946" xr:uid="{E7CAF572-667B-4695-95AC-0089E7B95F20}"/>
    <cellStyle name="Exponent 9 13" xfId="13947" xr:uid="{843641CB-6847-48ED-B6D4-BE0CAEA5491C}"/>
    <cellStyle name="Exponent 9 14" xfId="13948" xr:uid="{AE95394D-12EB-4DB8-AE47-FC54FA9D1C3C}"/>
    <cellStyle name="Exponent 9 15" xfId="13949" xr:uid="{3A62CBE7-EBD2-48F1-B54C-31DD442CC05B}"/>
    <cellStyle name="Exponent 9 16" xfId="13950" xr:uid="{E3645E0F-123C-4485-9730-7E24C2C80F55}"/>
    <cellStyle name="Exponent 9 17" xfId="13951" xr:uid="{93807A7D-5A6C-4DBF-BC56-5C4D77DE812F}"/>
    <cellStyle name="Exponent 9 18" xfId="13952" xr:uid="{4B3E6A9E-752D-4460-9030-BAA3146FE682}"/>
    <cellStyle name="Exponent 9 19" xfId="13953" xr:uid="{12824FA1-E7DC-4BD7-90B3-264185BA3C0C}"/>
    <cellStyle name="Exponent 9 2" xfId="13954" xr:uid="{93810600-A909-4CEC-87BB-D68C6C22175F}"/>
    <cellStyle name="Exponent 9 20" xfId="13955" xr:uid="{4B2189F6-B36F-4FDB-9ACF-0B0261555BA4}"/>
    <cellStyle name="Exponent 9 21" xfId="13956" xr:uid="{DE8F469C-0434-41A9-A396-A461999932AA}"/>
    <cellStyle name="Exponent 9 22" xfId="13957" xr:uid="{97E4CE1B-4280-4B96-8D3A-081A30B4840C}"/>
    <cellStyle name="Exponent 9 23" xfId="13958" xr:uid="{6C3B1761-D897-4F45-AAC8-41E402AD4342}"/>
    <cellStyle name="Exponent 9 3" xfId="13959" xr:uid="{2AFA6439-E9B6-4D8F-A709-306F35A9B0FE}"/>
    <cellStyle name="Exponent 9 4" xfId="13960" xr:uid="{815948BA-DDF0-400D-9564-4A5F02FBA5E8}"/>
    <cellStyle name="Exponent 9 5" xfId="13961" xr:uid="{808E88B8-176B-4F38-8650-A049429E31F6}"/>
    <cellStyle name="Exponent 9 6" xfId="13962" xr:uid="{0F75BB8E-354F-4A9D-B40B-42E64523C527}"/>
    <cellStyle name="Exponent 9 7" xfId="13963" xr:uid="{8A1FBE57-F6DB-4E7F-9A8D-AD00F26579AE}"/>
    <cellStyle name="Exponent 9 8" xfId="13964" xr:uid="{B36A1C0D-8CD3-4908-8706-1EC579D76F02}"/>
    <cellStyle name="Exponent 9 9" xfId="13965" xr:uid="{9B6EAAA8-9E2E-48CF-A436-7BB43F444571}"/>
    <cellStyle name="Fixed" xfId="236" xr:uid="{3057F303-F1CD-4842-B215-5A96FD3111AE}"/>
    <cellStyle name="Fixed 2" xfId="13966" xr:uid="{0E8FFB7B-FE4E-4CA6-8D2D-6BB4A08610ED}"/>
    <cellStyle name="Fixed 2 10" xfId="13967" xr:uid="{1613FF4F-B611-46EE-8766-C3495641D0E5}"/>
    <cellStyle name="Fixed 2 11" xfId="13968" xr:uid="{FE91B373-ACA0-410C-A47A-E47B9134D0FD}"/>
    <cellStyle name="Fixed 2 12" xfId="13969" xr:uid="{CFB526CE-549C-4E77-970A-FC75427CF837}"/>
    <cellStyle name="Fixed 2 13" xfId="13970" xr:uid="{EBBAEF6A-283B-4985-B0F9-08B49A80133A}"/>
    <cellStyle name="Fixed 2 14" xfId="13971" xr:uid="{5D72CCD5-9B06-4830-8502-D5D74F2B4BF3}"/>
    <cellStyle name="Fixed 2 15" xfId="13972" xr:uid="{4A5B535B-403C-46F7-BB42-529ED5E2FC83}"/>
    <cellStyle name="Fixed 2 16" xfId="13973" xr:uid="{C04BF317-58AF-4744-B504-C28671957606}"/>
    <cellStyle name="Fixed 2 17" xfId="13974" xr:uid="{3B6C5F1F-DE84-4B64-9313-5A304F363272}"/>
    <cellStyle name="Fixed 2 18" xfId="13975" xr:uid="{A368B84F-0D52-4886-8099-B6AF1F46303F}"/>
    <cellStyle name="Fixed 2 19" xfId="13976" xr:uid="{EF3F300E-2C66-4BC6-9AB0-B607BAC41165}"/>
    <cellStyle name="Fixed 2 2" xfId="13977" xr:uid="{8400727B-E941-4EEB-A902-F1BD2CF650DC}"/>
    <cellStyle name="Fixed 2 2 2" xfId="13978" xr:uid="{E3EECDBC-BB46-427E-BDFB-3F250BE83564}"/>
    <cellStyle name="Fixed 2 2 3" xfId="13979" xr:uid="{0F6FB0C5-3156-43FB-A26E-E9A70CC9A99F}"/>
    <cellStyle name="Fixed 2 2 4" xfId="13980" xr:uid="{4C0737D1-6DBA-4BFA-9419-20525B8AD314}"/>
    <cellStyle name="Fixed 2 20" xfId="13981" xr:uid="{1164372A-A681-4004-AC32-0D176A446A9B}"/>
    <cellStyle name="Fixed 2 21" xfId="13982" xr:uid="{65BA4BCD-973D-4210-97FB-F46F2CB5473B}"/>
    <cellStyle name="Fixed 2 22" xfId="13983" xr:uid="{DA0D34B9-E78C-46F5-89CC-E92FF76A53C5}"/>
    <cellStyle name="Fixed 2 23" xfId="13984" xr:uid="{98876F68-1BC7-433D-9795-7788CB95736C}"/>
    <cellStyle name="Fixed 2 24" xfId="13985" xr:uid="{0247DF8A-B572-4E9E-AC61-05CD6318F279}"/>
    <cellStyle name="Fixed 2 25" xfId="13986" xr:uid="{6EA07412-535A-4DE6-8B8F-1A583FC0D0D7}"/>
    <cellStyle name="Fixed 2 26" xfId="13987" xr:uid="{0F1DBBE9-510D-4B8F-B920-D73390BB9962}"/>
    <cellStyle name="Fixed 2 27" xfId="13988" xr:uid="{1D191534-AD54-479B-9CC7-C44D498EF54A}"/>
    <cellStyle name="Fixed 2 3" xfId="13989" xr:uid="{33B9E0CF-8344-4F95-A217-0B3D3ABE2716}"/>
    <cellStyle name="Fixed 2 3 2" xfId="13990" xr:uid="{03B6D439-3F50-4834-9E6E-C50B7CD85467}"/>
    <cellStyle name="Fixed 2 3 3" xfId="13991" xr:uid="{EE4C1055-AFBA-44BA-B7F8-4F1E8B3434BE}"/>
    <cellStyle name="Fixed 2 3 4" xfId="13992" xr:uid="{B0E44CEE-736B-43A1-A5D4-FABEF0197D33}"/>
    <cellStyle name="Fixed 2 4" xfId="13993" xr:uid="{88A25B0B-5D08-4C28-82BD-C116ED26736D}"/>
    <cellStyle name="Fixed 2 4 2" xfId="13994" xr:uid="{0CC1ED79-443C-4196-9D56-F127097CDF8E}"/>
    <cellStyle name="Fixed 2 4 3" xfId="13995" xr:uid="{9A3F7F95-4133-4C64-A9A2-5DBC93F15800}"/>
    <cellStyle name="Fixed 2 4 4" xfId="13996" xr:uid="{AB98B7F1-5E0C-4BD7-BF05-D9E29AF04E9D}"/>
    <cellStyle name="Fixed 2 5" xfId="13997" xr:uid="{74E1003E-5A04-4874-A62C-39AF0C19940C}"/>
    <cellStyle name="Fixed 2 5 2" xfId="13998" xr:uid="{9B26F419-97FD-48F5-A5B1-B653958FDDEB}"/>
    <cellStyle name="Fixed 2 5 3" xfId="13999" xr:uid="{87DDB73C-B5AF-4DE7-B0F5-BC193FEC7698}"/>
    <cellStyle name="Fixed 2 5 4" xfId="14000" xr:uid="{36924253-B1FF-4E0A-BA06-1F513CB2F701}"/>
    <cellStyle name="Fixed 2 6" xfId="14001" xr:uid="{14557D38-C2E8-4860-B21F-58F2712B894F}"/>
    <cellStyle name="Fixed 2 7" xfId="14002" xr:uid="{F1E29525-5403-4695-9112-F140291C42EA}"/>
    <cellStyle name="Fixed 2 8" xfId="14003" xr:uid="{5FA0198C-95E9-4F2E-A298-7074846FB812}"/>
    <cellStyle name="Fixed 2 9" xfId="14004" xr:uid="{98080771-4B99-47CB-B187-9235BD89EC4E}"/>
    <cellStyle name="Fixed 3" xfId="14005" xr:uid="{0A18AC1A-C413-4BC7-A273-FF952538DC32}"/>
    <cellStyle name="Fixed 4" xfId="14006" xr:uid="{85FBBEE6-9C4E-4859-A5EA-917651FE975F}"/>
    <cellStyle name="Fixed 5" xfId="41309" xr:uid="{25310A81-4F07-4B93-8754-A1834BB31419}"/>
    <cellStyle name="Good 10" xfId="14007" xr:uid="{57DB8FC8-FBE0-484C-87BE-C651677352B0}"/>
    <cellStyle name="Good 10 2" xfId="14008" xr:uid="{F6A2DFCC-237B-470C-80B7-B30166AA13EE}"/>
    <cellStyle name="Good 10 3" xfId="14009" xr:uid="{EBB2FAD8-7D9A-4535-9271-4E1A818530F2}"/>
    <cellStyle name="Good 11" xfId="14010" xr:uid="{0AC348B9-4A87-40D6-A8BB-7C596526C685}"/>
    <cellStyle name="Good 11 2" xfId="14011" xr:uid="{A8C69B83-67E7-47A5-B46C-AD6D929FF1AB}"/>
    <cellStyle name="Good 11 3" xfId="14012" xr:uid="{C3BDA78A-07C0-4164-A91F-A3902EB8D346}"/>
    <cellStyle name="Good 12" xfId="14013" xr:uid="{A8CD2D94-89B7-490C-A6B0-7EDACC4D1A82}"/>
    <cellStyle name="Good 12 2" xfId="14014" xr:uid="{C9229328-5BCA-436E-B591-ECBD26D5F4ED}"/>
    <cellStyle name="Good 13" xfId="14015" xr:uid="{56EDA2B2-7B35-4D9F-AB1C-83082F3A8B7A}"/>
    <cellStyle name="Good 13 2" xfId="14016" xr:uid="{9FB8CEB3-C756-415D-A561-34AEF42D436A}"/>
    <cellStyle name="Good 14" xfId="14017" xr:uid="{2483E8FF-F1AC-4A1E-AB33-BFFFE5407A30}"/>
    <cellStyle name="Good 14 2" xfId="14018" xr:uid="{FBB0A2CB-38F8-4A70-8053-2541B156DE4F}"/>
    <cellStyle name="Good 15" xfId="14019" xr:uid="{25A6A8EF-4109-49B8-93AD-C94A98BF304E}"/>
    <cellStyle name="Good 15 2" xfId="14020" xr:uid="{7C6D9834-5864-4CE6-81AD-B211E7A514E5}"/>
    <cellStyle name="Good 16" xfId="14021" xr:uid="{EAD38925-B524-4348-B143-2365EF8A82D2}"/>
    <cellStyle name="Good 16 2" xfId="14022" xr:uid="{6D6A248A-03CB-438B-A1CB-132891671775}"/>
    <cellStyle name="Good 17" xfId="14023" xr:uid="{2F5BD708-3F54-4B45-932F-53DCAA1A54FF}"/>
    <cellStyle name="Good 17 2" xfId="14024" xr:uid="{61100D84-0F4F-40A7-AC17-5FAA49A01EC2}"/>
    <cellStyle name="Good 18" xfId="14025" xr:uid="{51BD1A67-3BD9-44D4-BDC9-D3EFFDFBEFF1}"/>
    <cellStyle name="Good 18 2" xfId="14026" xr:uid="{362DE0AB-7E6E-41FB-A8E4-BB94B339F944}"/>
    <cellStyle name="Good 19" xfId="14027" xr:uid="{120963CC-BBEE-4074-B3D1-833E2816C7CC}"/>
    <cellStyle name="Good 19 2" xfId="14028" xr:uid="{0537E89E-C48F-43EC-80B2-D4C49DFE6238}"/>
    <cellStyle name="Good 2" xfId="14029" xr:uid="{EACDBAD3-3435-4F9E-8A25-0EF7C43F5E61}"/>
    <cellStyle name="Good 2 2" xfId="14030" xr:uid="{68634237-BBA5-4F98-801D-E287F1357EFD}"/>
    <cellStyle name="Good 2 3" xfId="14031" xr:uid="{6BDE23BC-FD3B-4EE4-BF4B-6D72C50E8C9E}"/>
    <cellStyle name="Good 2 3 2" xfId="14032" xr:uid="{9F6AAEE3-FD21-474D-8F96-122F8488F789}"/>
    <cellStyle name="Good 2 3 3" xfId="14033" xr:uid="{3882258D-2E17-4269-841F-EFAB7F4938A9}"/>
    <cellStyle name="Good 2 4" xfId="41310" xr:uid="{3D990E08-997A-4394-BAF7-74EDFE4D9708}"/>
    <cellStyle name="Good 2_PwrTax 51040" xfId="14034" xr:uid="{A75C9DDC-1520-4744-9347-0C0576812F1A}"/>
    <cellStyle name="Good 20" xfId="14035" xr:uid="{8C0486BC-812D-4435-8BC3-318C2BE56532}"/>
    <cellStyle name="Good 21" xfId="14036" xr:uid="{1115BC39-0C63-4CDC-8E25-96899D96E482}"/>
    <cellStyle name="Good 22" xfId="14037" xr:uid="{8630084D-06F8-4EB1-B9A8-6B99BC23E650}"/>
    <cellStyle name="Good 23" xfId="14038" xr:uid="{987B0D1A-1743-4705-AAB8-B503318E4752}"/>
    <cellStyle name="Good 24" xfId="14039" xr:uid="{7F2A98AA-A026-4363-9BAA-897F4A55738F}"/>
    <cellStyle name="Good 25" xfId="14040" xr:uid="{073577D2-427D-4E1B-B263-021FE085E2B3}"/>
    <cellStyle name="Good 26" xfId="14041" xr:uid="{73DBD0FA-CD5A-4656-B70E-46378D0DE78A}"/>
    <cellStyle name="Good 27" xfId="14042" xr:uid="{398F7DA4-5D49-4AF6-897F-B934279B113E}"/>
    <cellStyle name="Good 28" xfId="14043" xr:uid="{BF602F6D-A2B5-4A7E-BA2A-20D70DF7ED92}"/>
    <cellStyle name="Good 29" xfId="14044" xr:uid="{7BB824FA-45E3-413D-A90B-D0C1EB3381B4}"/>
    <cellStyle name="Good 3" xfId="14045" xr:uid="{3EDA4A2E-927A-4FB9-8DD0-6ED9B0568977}"/>
    <cellStyle name="Good 3 2" xfId="14046" xr:uid="{EADE3B5E-BC47-4F99-BBCC-21AB14FD90FD}"/>
    <cellStyle name="Good 3 3" xfId="14047" xr:uid="{29635A5F-FDB3-458F-9670-6CB428E8EDEC}"/>
    <cellStyle name="Good 3 3 2" xfId="14048" xr:uid="{F926001F-62C9-473D-A70B-3C63DE4A3B2A}"/>
    <cellStyle name="Good 3 3 3" xfId="14049" xr:uid="{62C5D86E-0005-4587-8CA1-9A56B99B126E}"/>
    <cellStyle name="Good 3 4" xfId="41311" xr:uid="{2BE236A9-D5E7-495B-9F0A-5FD3F7F0F7DA}"/>
    <cellStyle name="Good 30" xfId="14050" xr:uid="{15C43B81-5389-4126-B629-8787833DD72A}"/>
    <cellStyle name="Good 31" xfId="14051" xr:uid="{8FCA9BA9-003B-4AC2-9237-FCCB9CA2A22A}"/>
    <cellStyle name="Good 32" xfId="14052" xr:uid="{DC2ECB65-7C15-4DEA-A4BD-60AAEF16675B}"/>
    <cellStyle name="Good 33" xfId="14053" xr:uid="{D7036470-55DC-42DE-BF8F-8F2614069F29}"/>
    <cellStyle name="Good 34" xfId="14054" xr:uid="{96328AF6-8530-4B16-8647-9236F61E1F10}"/>
    <cellStyle name="Good 35" xfId="14055" xr:uid="{59F9D0D7-CEF8-453F-B9CA-24F27C7C0651}"/>
    <cellStyle name="Good 36" xfId="14056" xr:uid="{8F3AF6FF-419A-4739-BB08-E6FF18C6B5C7}"/>
    <cellStyle name="Good 37" xfId="41312" xr:uid="{6DADBA65-EBB8-4DBA-A00E-CB6A97ADFFBD}"/>
    <cellStyle name="Good 38" xfId="192" xr:uid="{CC84C4CE-D26F-4A14-A5D4-9FA942ABA053}"/>
    <cellStyle name="Good 4" xfId="14057" xr:uid="{EC082CB2-553B-448D-A641-D494A08B8304}"/>
    <cellStyle name="Good 4 2" xfId="14058" xr:uid="{91E2C161-0269-422E-A065-93446F229D8C}"/>
    <cellStyle name="Good 4 3" xfId="14059" xr:uid="{C993940C-F65F-4F67-A4CB-E6E20A78C54A}"/>
    <cellStyle name="Good 5" xfId="14060" xr:uid="{A95D6557-4800-4624-BC6A-9588F2951B8B}"/>
    <cellStyle name="Good 5 2" xfId="14061" xr:uid="{7044B0EF-3A03-41E7-A617-9F395E9B3187}"/>
    <cellStyle name="Good 5 3" xfId="14062" xr:uid="{5FCF772F-9182-42F2-8165-67178DFF9765}"/>
    <cellStyle name="Good 6" xfId="14063" xr:uid="{AD2679AF-4FE2-4065-87DC-47E1C0ECDD44}"/>
    <cellStyle name="Good 6 2" xfId="14064" xr:uid="{55360F02-CFDC-43E2-AA48-E2020D0E2013}"/>
    <cellStyle name="Good 6 3" xfId="14065" xr:uid="{1EA1BB33-E8D0-480C-AAAD-25E00E241121}"/>
    <cellStyle name="Good 7" xfId="14066" xr:uid="{4891719B-E644-4A9D-8A66-746F50766A42}"/>
    <cellStyle name="Good 7 2" xfId="14067" xr:uid="{D1292770-2E5E-42BF-BAC2-3A1267DE9F87}"/>
    <cellStyle name="Good 7 3" xfId="14068" xr:uid="{3DC88855-4323-4A03-94AC-DFA2B238F8BB}"/>
    <cellStyle name="Good 8" xfId="14069" xr:uid="{6390028E-3CFE-4932-99C8-E6BB3AFBCA6D}"/>
    <cellStyle name="Good 8 2" xfId="14070" xr:uid="{AAB4FC43-2278-44B9-AA54-5EA7A02A0D5D}"/>
    <cellStyle name="Good 8 3" xfId="14071" xr:uid="{0DDB84A5-9672-4961-8A7A-EEE922FB9101}"/>
    <cellStyle name="Good 9" xfId="14072" xr:uid="{AD3264CD-ABFF-4300-B288-62826125F899}"/>
    <cellStyle name="Good 9 2" xfId="14073" xr:uid="{D9114424-B69F-430D-A809-8013DAFEFF9D}"/>
    <cellStyle name="Good 9 3" xfId="14074" xr:uid="{E035F480-6F64-4479-82F0-B5A619E1660C}"/>
    <cellStyle name="Grey" xfId="41313" xr:uid="{27CEF3FF-42E1-47A9-82D5-FEC5CDD282A4}"/>
    <cellStyle name="Heading 1 10" xfId="14075" xr:uid="{1CB3C551-C3B8-4442-AEC6-578FACAD20CB}"/>
    <cellStyle name="Heading 1 10 2" xfId="14076" xr:uid="{9B56EA66-83CD-4557-8610-BFEF5D86A6E2}"/>
    <cellStyle name="Heading 1 10 3" xfId="14077" xr:uid="{1D1AE281-940E-430B-8AB1-E38AB64B7BAB}"/>
    <cellStyle name="Heading 1 11" xfId="14078" xr:uid="{E0D140E9-F8F0-456A-9EDD-8DDC562D3AFB}"/>
    <cellStyle name="Heading 1 11 2" xfId="14079" xr:uid="{06F70D49-955D-40AE-A1DA-E1E2EDEFC4E7}"/>
    <cellStyle name="Heading 1 11 3" xfId="14080" xr:uid="{45E17F1E-0C9C-47D5-80B2-E451DBDC4051}"/>
    <cellStyle name="Heading 1 12" xfId="14081" xr:uid="{44E89E12-CDB4-4295-A718-BA5F13DEA792}"/>
    <cellStyle name="Heading 1 12 2" xfId="14082" xr:uid="{64018885-E017-4CF3-98A2-7692A9AA5FFA}"/>
    <cellStyle name="Heading 1 13" xfId="14083" xr:uid="{DC77844B-784E-4083-8D69-59FE66712CDB}"/>
    <cellStyle name="Heading 1 13 2" xfId="14084" xr:uid="{82887C14-2114-495A-AC13-A00C7852E24D}"/>
    <cellStyle name="Heading 1 14" xfId="14085" xr:uid="{D4F33872-4035-4FEA-B37F-7E3C89AFB769}"/>
    <cellStyle name="Heading 1 14 2" xfId="14086" xr:uid="{376FA9B1-9309-44A8-AFCF-0349FF8A0108}"/>
    <cellStyle name="Heading 1 15" xfId="14087" xr:uid="{7FAB2262-99E9-4B96-BE80-D950D81A7EBE}"/>
    <cellStyle name="Heading 1 15 2" xfId="14088" xr:uid="{159AEBDF-4E5B-4316-A0A4-E60B51A501DE}"/>
    <cellStyle name="Heading 1 16" xfId="14089" xr:uid="{BCC28362-14D7-4795-91FC-43C055E39C93}"/>
    <cellStyle name="Heading 1 16 2" xfId="14090" xr:uid="{C2C164B0-21F2-4467-89E0-8AA443C76BD7}"/>
    <cellStyle name="Heading 1 17" xfId="14091" xr:uid="{248F95A6-D0B8-420B-80C0-22A613E0DF32}"/>
    <cellStyle name="Heading 1 17 2" xfId="14092" xr:uid="{A91E72FF-A379-490C-8AF4-795DEA4DBB70}"/>
    <cellStyle name="Heading 1 18" xfId="14093" xr:uid="{831E5F6B-1236-412E-8BBA-1544760DFE00}"/>
    <cellStyle name="Heading 1 18 2" xfId="14094" xr:uid="{91C7076C-3945-4F7B-982A-46B1763B88E8}"/>
    <cellStyle name="Heading 1 19" xfId="14095" xr:uid="{6633C015-CBA5-4995-A268-53214FC55AD4}"/>
    <cellStyle name="Heading 1 19 2" xfId="14096" xr:uid="{EC3E72AD-5437-4A20-B238-6F4ECC4C5F1A}"/>
    <cellStyle name="Heading 1 2" xfId="14097" xr:uid="{70E8D473-8040-45EB-8B4E-EB21D14FC02A}"/>
    <cellStyle name="Heading 1 2 2" xfId="14098" xr:uid="{0184FD6B-EA8F-4231-83CC-51ED08971C59}"/>
    <cellStyle name="Heading 1 2 3" xfId="14099" xr:uid="{1E55A874-12C6-45A2-87EA-AB28774D01EC}"/>
    <cellStyle name="Heading 1 2 3 2" xfId="14100" xr:uid="{DC8E1757-321A-4D96-BA86-F258369D08DF}"/>
    <cellStyle name="Heading 1 2 3 3" xfId="14101" xr:uid="{D9222148-32C7-4ED8-BBFC-806AF4DE880A}"/>
    <cellStyle name="Heading 1 2 4" xfId="41314" xr:uid="{D8362A9F-EA12-4309-B288-C67301B7CCA1}"/>
    <cellStyle name="Heading 1 2_PwrTax 51040" xfId="14102" xr:uid="{0B60EB5F-14E8-4786-9E3F-72132407E039}"/>
    <cellStyle name="Heading 1 20" xfId="14103" xr:uid="{764FD955-4370-4A86-BCEB-06F8614721D9}"/>
    <cellStyle name="Heading 1 21" xfId="14104" xr:uid="{18A3B0A7-6322-448C-A47B-3954C67AA3C5}"/>
    <cellStyle name="Heading 1 22" xfId="14105" xr:uid="{60076017-0566-4988-9E6A-7BFAD92A443F}"/>
    <cellStyle name="Heading 1 23" xfId="14106" xr:uid="{1B74C0C0-E077-4FA5-B1B9-AA48C5FDD374}"/>
    <cellStyle name="Heading 1 24" xfId="14107" xr:uid="{FCC81678-416F-412B-A67B-5F0F5166A02A}"/>
    <cellStyle name="Heading 1 25" xfId="14108" xr:uid="{EDAD04D6-7F87-4128-A68F-7A83F30ACA32}"/>
    <cellStyle name="Heading 1 26" xfId="14109" xr:uid="{02CA568F-3150-48C5-A079-AC22A3485FAB}"/>
    <cellStyle name="Heading 1 27" xfId="14110" xr:uid="{E60B6C48-6C22-485D-A14F-DEC0B92D1C03}"/>
    <cellStyle name="Heading 1 28" xfId="14111" xr:uid="{44BADFAF-C0DE-4EB7-BCF6-CD53C83CA72D}"/>
    <cellStyle name="Heading 1 29" xfId="14112" xr:uid="{2F1EF65D-0FD8-493F-98DB-F20AF82C4AF9}"/>
    <cellStyle name="Heading 1 3" xfId="14113" xr:uid="{39CCEB55-F73E-49EC-99F1-997A36358D03}"/>
    <cellStyle name="Heading 1 3 2" xfId="14114" xr:uid="{401FE6BE-481B-46E9-9127-DC83EFD68312}"/>
    <cellStyle name="Heading 1 3 3" xfId="14115" xr:uid="{2A3E06DC-4239-4CCD-BA04-383C0DEEE103}"/>
    <cellStyle name="Heading 1 3 3 2" xfId="14116" xr:uid="{12B0D661-989C-4F2A-9564-8832F4783BEB}"/>
    <cellStyle name="Heading 1 3 3 3" xfId="14117" xr:uid="{037A25FB-6983-475C-9B1B-1F88B730FDA0}"/>
    <cellStyle name="Heading 1 3 4" xfId="41315" xr:uid="{096358A2-CAEB-465D-919E-BAAD3B418F5F}"/>
    <cellStyle name="Heading 1 30" xfId="14118" xr:uid="{D4431C52-8AD4-41D0-8772-8986C8462007}"/>
    <cellStyle name="Heading 1 31" xfId="14119" xr:uid="{0B116074-6F40-4D4F-BA41-EF8A5BD7F455}"/>
    <cellStyle name="Heading 1 32" xfId="14120" xr:uid="{D138F53A-3B13-4CCB-A586-929E8393E94F}"/>
    <cellStyle name="Heading 1 33" xfId="14121" xr:uid="{1D5F7D97-DD47-47D6-913F-F21EB03C656B}"/>
    <cellStyle name="Heading 1 34" xfId="14122" xr:uid="{A785AAB4-569E-4F29-B6C2-FFE18BAF2BF5}"/>
    <cellStyle name="Heading 1 35" xfId="14123" xr:uid="{1ADA9EE3-827B-4720-AAD8-485039AD7BFC}"/>
    <cellStyle name="Heading 1 36" xfId="14124" xr:uid="{64A024EC-126B-47FD-A7A1-5D054FA82548}"/>
    <cellStyle name="Heading 1 37" xfId="41316" xr:uid="{AE5F7003-F368-4901-90DD-26879736CF62}"/>
    <cellStyle name="Heading 1 38" xfId="193" xr:uid="{407985E7-5DC1-4735-B63D-8F3173BC69CF}"/>
    <cellStyle name="Heading 1 4" xfId="14125" xr:uid="{D7153B4A-9860-4022-9D0B-136CD350B07D}"/>
    <cellStyle name="Heading 1 4 2" xfId="14126" xr:uid="{A87E6D6B-0BF3-444A-9B0A-F945CB95093B}"/>
    <cellStyle name="Heading 1 4 3" xfId="14127" xr:uid="{B66C1B21-0B9A-4CAA-B3F4-DBA5825E9AE4}"/>
    <cellStyle name="Heading 1 5" xfId="14128" xr:uid="{288945BC-869C-4AA2-84CA-89395350C4C6}"/>
    <cellStyle name="Heading 1 5 2" xfId="14129" xr:uid="{30E03D17-EA69-4985-8521-6D4DD623E568}"/>
    <cellStyle name="Heading 1 5 3" xfId="14130" xr:uid="{2DFB10D1-6B3F-4659-9B16-5F41B60C206C}"/>
    <cellStyle name="Heading 1 6" xfId="14131" xr:uid="{B87606A0-34B5-4EF6-9FF3-C50765377B45}"/>
    <cellStyle name="Heading 1 6 2" xfId="14132" xr:uid="{565A6A34-09AD-4A4A-8A1A-DA480A5D72FF}"/>
    <cellStyle name="Heading 1 6 3" xfId="14133" xr:uid="{5EAC5498-3AFD-401B-BD4B-532AF71C09F8}"/>
    <cellStyle name="Heading 1 7" xfId="14134" xr:uid="{D0BA63AF-E41F-4D16-8042-6CC44339F07B}"/>
    <cellStyle name="Heading 1 7 2" xfId="14135" xr:uid="{3E803BFA-A238-4A2A-916D-844EAE93A315}"/>
    <cellStyle name="Heading 1 7 3" xfId="14136" xr:uid="{41BB57BC-29F9-478E-BFC0-E773A4F21B7A}"/>
    <cellStyle name="Heading 1 8" xfId="14137" xr:uid="{77F98E98-75C0-4448-8532-6DDD1B0EC867}"/>
    <cellStyle name="Heading 1 8 2" xfId="14138" xr:uid="{6C3A47C5-DC67-415D-A74A-8053ECEB4A8D}"/>
    <cellStyle name="Heading 1 8 3" xfId="14139" xr:uid="{3F5D6C8F-B31A-4C7B-AE08-8BD6BAC46508}"/>
    <cellStyle name="Heading 1 9" xfId="14140" xr:uid="{A4FDEC2C-921A-48C6-8D76-8ACC06BC9097}"/>
    <cellStyle name="Heading 1 9 2" xfId="14141" xr:uid="{99158A98-1F91-41B7-96E6-4477DBB69D2A}"/>
    <cellStyle name="Heading 1 9 3" xfId="14142" xr:uid="{97E15FC8-411A-41B7-B085-15541EC7AA06}"/>
    <cellStyle name="Heading 2 10" xfId="14143" xr:uid="{8BE4FBDF-26FD-487C-B941-66CD31DCEF3D}"/>
    <cellStyle name="Heading 2 10 2" xfId="14144" xr:uid="{128AFE97-51DD-4B4D-AA86-28AEEF057644}"/>
    <cellStyle name="Heading 2 10 3" xfId="14145" xr:uid="{C9C9ABB7-C5B1-4007-8833-5C4D62E6A164}"/>
    <cellStyle name="Heading 2 11" xfId="14146" xr:uid="{E869F334-9EE4-44C5-ACAB-E16F05EDD66C}"/>
    <cellStyle name="Heading 2 11 2" xfId="14147" xr:uid="{3A274B95-B878-4823-BDC3-4110A93257C9}"/>
    <cellStyle name="Heading 2 11 3" xfId="14148" xr:uid="{F43C48E0-3D6B-4583-A5B0-7049230E1CC4}"/>
    <cellStyle name="Heading 2 12" xfId="14149" xr:uid="{01525C32-A460-475D-872A-8C86921BEDF8}"/>
    <cellStyle name="Heading 2 12 2" xfId="14150" xr:uid="{7B9C7789-2D33-4739-9E0E-443E639373B0}"/>
    <cellStyle name="Heading 2 13" xfId="14151" xr:uid="{273F0ACC-5772-4A37-A9C1-7A7F29381C5A}"/>
    <cellStyle name="Heading 2 13 2" xfId="14152" xr:uid="{3639EF37-403E-4810-B34F-331F99640AEC}"/>
    <cellStyle name="Heading 2 14" xfId="14153" xr:uid="{C2DB5DF8-88F9-4091-8716-5C594E805204}"/>
    <cellStyle name="Heading 2 14 2" xfId="14154" xr:uid="{578578B2-1B9E-45D6-AB7F-84A967CFE004}"/>
    <cellStyle name="Heading 2 15" xfId="14155" xr:uid="{0B9F2510-5ADE-4C43-8DF4-CF28F0C03885}"/>
    <cellStyle name="Heading 2 15 2" xfId="14156" xr:uid="{069711C5-00F3-4D6C-B204-83593DB2CA79}"/>
    <cellStyle name="Heading 2 16" xfId="14157" xr:uid="{8F49DC78-021E-42D2-A551-4865A3FDA94F}"/>
    <cellStyle name="Heading 2 16 2" xfId="14158" xr:uid="{0F263C32-24B8-47B0-A90F-A0629557DC7F}"/>
    <cellStyle name="Heading 2 17" xfId="14159" xr:uid="{14D285C6-5036-4FF9-8462-994D6E2FF87E}"/>
    <cellStyle name="Heading 2 17 2" xfId="14160" xr:uid="{4D189190-C2EC-4F4E-9B7C-88C6727F0FBB}"/>
    <cellStyle name="Heading 2 18" xfId="14161" xr:uid="{B24961C5-2319-431B-BEF0-95FE97F39352}"/>
    <cellStyle name="Heading 2 18 2" xfId="14162" xr:uid="{D4E656C5-AD46-43F1-88B9-E346F29569CF}"/>
    <cellStyle name="Heading 2 19" xfId="14163" xr:uid="{AACE207F-5468-4DCD-A2CE-2463CC68D4A5}"/>
    <cellStyle name="Heading 2 19 2" xfId="14164" xr:uid="{D58761E9-F1A1-4CE3-9ED6-FF58C3FB5B0E}"/>
    <cellStyle name="Heading 2 2" xfId="14165" xr:uid="{28FD7784-F50E-48AB-AC2F-4C2905E0AF12}"/>
    <cellStyle name="Heading 2 2 2" xfId="14166" xr:uid="{691B8C13-9363-4A7D-AEB2-588B95BDDDC1}"/>
    <cellStyle name="Heading 2 2 3" xfId="14167" xr:uid="{C0468924-045A-4055-87EA-697504EDB9F1}"/>
    <cellStyle name="Heading 2 2 3 2" xfId="14168" xr:uid="{1AE04023-2C29-424C-869D-08FF90F2DC08}"/>
    <cellStyle name="Heading 2 2 3 3" xfId="14169" xr:uid="{17FF20A6-6624-4723-AFA7-10D36293E4B2}"/>
    <cellStyle name="Heading 2 2 4" xfId="41317" xr:uid="{C33FC75B-F53A-4898-A519-0E185B1FA2B1}"/>
    <cellStyle name="Heading 2 2_PwrTax 51040" xfId="14170" xr:uid="{8428CD56-5EFE-422D-AED0-98FE8CD9DE47}"/>
    <cellStyle name="Heading 2 20" xfId="14171" xr:uid="{97B7309B-1BFA-4D84-9636-BEF3A62BF127}"/>
    <cellStyle name="Heading 2 21" xfId="14172" xr:uid="{0CA80E48-A0F8-4F4E-872E-2F0108ED5565}"/>
    <cellStyle name="Heading 2 22" xfId="14173" xr:uid="{0DF39ACD-0B3E-486F-A573-7A42B5C3E105}"/>
    <cellStyle name="Heading 2 23" xfId="14174" xr:uid="{7208E6C5-9B91-4BD1-8987-784DE15FC4E0}"/>
    <cellStyle name="Heading 2 24" xfId="14175" xr:uid="{5898AC2D-4EBD-4D6C-8839-E524C5F26A5B}"/>
    <cellStyle name="Heading 2 25" xfId="14176" xr:uid="{774C3C83-11E0-4A54-B2D6-95B6D0DFFDFA}"/>
    <cellStyle name="Heading 2 26" xfId="14177" xr:uid="{8BCA5A00-D687-43C8-A70A-6632556FB3AC}"/>
    <cellStyle name="Heading 2 27" xfId="14178" xr:uid="{D1E31E8C-23E5-4DDC-92CB-554B83EC869E}"/>
    <cellStyle name="Heading 2 28" xfId="14179" xr:uid="{AB202646-352A-4BDC-935E-920FEEC5E930}"/>
    <cellStyle name="Heading 2 29" xfId="14180" xr:uid="{DF831DD1-A225-49BA-8EBD-ECF92D446948}"/>
    <cellStyle name="Heading 2 3" xfId="14181" xr:uid="{31648AD0-C396-46D6-9321-C5B2ACD1B09B}"/>
    <cellStyle name="Heading 2 3 2" xfId="14182" xr:uid="{CC4FFE48-9C16-449A-B5DB-52DF25A2453B}"/>
    <cellStyle name="Heading 2 3 3" xfId="14183" xr:uid="{E6C26AFF-7AC2-4B48-89ED-18A65CD8A4B9}"/>
    <cellStyle name="Heading 2 3 3 2" xfId="14184" xr:uid="{C12B67DE-51CC-4830-B73A-F1EDC54AB581}"/>
    <cellStyle name="Heading 2 3 3 3" xfId="14185" xr:uid="{862DC9A9-F3DB-4964-8EE6-92137DA7100D}"/>
    <cellStyle name="Heading 2 3 4" xfId="41318" xr:uid="{7CDF0BFC-2945-45FC-A534-426366D0DD9C}"/>
    <cellStyle name="Heading 2 30" xfId="14186" xr:uid="{D1ABF939-03E5-4122-B8EE-FDA531287EE0}"/>
    <cellStyle name="Heading 2 31" xfId="14187" xr:uid="{FD72EAC6-C622-4761-8297-04D2BB6958C7}"/>
    <cellStyle name="Heading 2 32" xfId="14188" xr:uid="{B3DDF5BF-752A-46B0-8816-784E5DDCE4AB}"/>
    <cellStyle name="Heading 2 33" xfId="14189" xr:uid="{1946BCFE-1F90-48D5-BC7C-0FB7DA141C7C}"/>
    <cellStyle name="Heading 2 34" xfId="14190" xr:uid="{DA019265-D632-4BC0-85B7-F3187A345690}"/>
    <cellStyle name="Heading 2 35" xfId="14191" xr:uid="{6041D781-CDAE-4260-BC50-0BBBBD5D610B}"/>
    <cellStyle name="Heading 2 36" xfId="14192" xr:uid="{DD7E95FA-81D6-4314-A1AB-BE7CC5BBC2E8}"/>
    <cellStyle name="Heading 2 37" xfId="41319" xr:uid="{87CEFCF4-DB0D-41D2-AA77-BF318E7403C2}"/>
    <cellStyle name="Heading 2 38" xfId="194" xr:uid="{38EA9BBF-DFA6-4121-AE0C-8239A51B205B}"/>
    <cellStyle name="Heading 2 4" xfId="14193" xr:uid="{3388E1E6-9326-4130-B96E-BA1A0462684B}"/>
    <cellStyle name="Heading 2 4 2" xfId="14194" xr:uid="{53011601-8976-4A56-B023-E496735EB545}"/>
    <cellStyle name="Heading 2 4 3" xfId="14195" xr:uid="{D0124C74-D3D5-4127-9AB8-29465FB14501}"/>
    <cellStyle name="Heading 2 5" xfId="14196" xr:uid="{A53C318B-9C85-40EB-B722-A2AD9BF28D1B}"/>
    <cellStyle name="Heading 2 5 2" xfId="14197" xr:uid="{EE1B3FBD-724A-406D-87BF-0814C9367F3D}"/>
    <cellStyle name="Heading 2 5 3" xfId="14198" xr:uid="{F2157135-D1BE-408D-BCD0-E3F5783149A3}"/>
    <cellStyle name="Heading 2 6" xfId="14199" xr:uid="{1ACC0E96-9DC2-4B9F-A036-637ED1C4E790}"/>
    <cellStyle name="Heading 2 6 2" xfId="14200" xr:uid="{C0AE9A5D-AE6E-4B7E-8DFF-DD219C920935}"/>
    <cellStyle name="Heading 2 6 3" xfId="14201" xr:uid="{7A5A0D80-2C17-484B-8CBB-C7A21B153D0A}"/>
    <cellStyle name="Heading 2 7" xfId="14202" xr:uid="{DC8C916A-B915-4F03-86E3-261061D517AC}"/>
    <cellStyle name="Heading 2 7 2" xfId="14203" xr:uid="{FF963C68-3385-4162-841B-D9AC94FFFE00}"/>
    <cellStyle name="Heading 2 7 3" xfId="14204" xr:uid="{4182D760-9A8D-45E5-A676-EE661968DB35}"/>
    <cellStyle name="Heading 2 8" xfId="14205" xr:uid="{3A177D33-B394-4022-9C47-B4638E3E6E6F}"/>
    <cellStyle name="Heading 2 8 2" xfId="14206" xr:uid="{F45B3FB6-28E9-4214-B5C5-C6F391A76A17}"/>
    <cellStyle name="Heading 2 8 3" xfId="14207" xr:uid="{1DE0DC3C-A2C4-446D-8FF5-180FAEEC94EA}"/>
    <cellStyle name="Heading 2 9" xfId="14208" xr:uid="{232B83F0-03EE-44A0-B14F-615D0AAB16ED}"/>
    <cellStyle name="Heading 2 9 2" xfId="14209" xr:uid="{6D654C3F-6F51-4D20-B85D-A9212F3A2CDD}"/>
    <cellStyle name="Heading 2 9 3" xfId="14210" xr:uid="{4A11E613-23B4-45AB-A27A-0078DE6A98C7}"/>
    <cellStyle name="Heading 3 10" xfId="14211" xr:uid="{E9A75FFA-1259-4698-9A4F-5F51B50D8B2D}"/>
    <cellStyle name="Heading 3 10 2" xfId="14212" xr:uid="{05908A0A-11B8-4789-8DD8-915F4D6891E0}"/>
    <cellStyle name="Heading 3 10 3" xfId="14213" xr:uid="{60BDD034-62E3-4055-8C5F-AF79A4031D6C}"/>
    <cellStyle name="Heading 3 11" xfId="14214" xr:uid="{5E87E2D6-8623-47E2-A0FF-3FFC12E199A4}"/>
    <cellStyle name="Heading 3 11 2" xfId="14215" xr:uid="{B9D790C2-AB7F-44C9-8DDD-CCB08ABB9C9D}"/>
    <cellStyle name="Heading 3 11 3" xfId="14216" xr:uid="{261C596C-9090-4848-AF9D-0EB19A652528}"/>
    <cellStyle name="Heading 3 12" xfId="14217" xr:uid="{F893A890-315C-477B-B1E6-CA82BA1C93EB}"/>
    <cellStyle name="Heading 3 12 2" xfId="14218" xr:uid="{E9D93DAA-0CBF-48D6-ADEA-A4442284BB0C}"/>
    <cellStyle name="Heading 3 13" xfId="14219" xr:uid="{B855D591-9D0E-4E62-83C5-BC5360B24336}"/>
    <cellStyle name="Heading 3 13 2" xfId="14220" xr:uid="{B7033840-B541-49BC-A71C-148423FDCDF5}"/>
    <cellStyle name="Heading 3 14" xfId="14221" xr:uid="{60DD17FE-959A-4F0F-942D-73059CE8E882}"/>
    <cellStyle name="Heading 3 14 2" xfId="14222" xr:uid="{8DC0C6F1-7335-47A8-A419-269ABDD8BCC2}"/>
    <cellStyle name="Heading 3 15" xfId="14223" xr:uid="{61331974-B664-4750-B13C-502EDDBDA906}"/>
    <cellStyle name="Heading 3 15 2" xfId="14224" xr:uid="{7BF0B2A5-324B-465E-83FB-E4AF3927AE52}"/>
    <cellStyle name="Heading 3 16" xfId="14225" xr:uid="{F9D1DDD2-7FD0-46DA-AE55-D8AB860965D6}"/>
    <cellStyle name="Heading 3 16 2" xfId="14226" xr:uid="{61967D34-27D7-4F46-9530-3D8F43DC5D81}"/>
    <cellStyle name="Heading 3 17" xfId="14227" xr:uid="{7F090000-5C93-43BC-B0A9-02B6A37B165F}"/>
    <cellStyle name="Heading 3 17 2" xfId="14228" xr:uid="{A4C5881D-B10C-4FBE-A65E-4F7494F43DCB}"/>
    <cellStyle name="Heading 3 18" xfId="14229" xr:uid="{839C0F49-7A75-4622-8908-0E925C44A6D0}"/>
    <cellStyle name="Heading 3 18 2" xfId="14230" xr:uid="{45B95A58-4808-4BD8-B731-5D2A0371C32C}"/>
    <cellStyle name="Heading 3 19" xfId="14231" xr:uid="{CA05FF0D-9F75-4FB8-A56A-32ED5A62C3C3}"/>
    <cellStyle name="Heading 3 19 2" xfId="14232" xr:uid="{2213F4A0-505E-480C-91A5-5E453C9F49AD}"/>
    <cellStyle name="Heading 3 2" xfId="14233" xr:uid="{9C48F78B-2F32-4C24-B391-90320BE76186}"/>
    <cellStyle name="Heading 3 2 2" xfId="14234" xr:uid="{96FC63BC-A1DE-43A4-BE6C-604BF9F8CF55}"/>
    <cellStyle name="Heading 3 2 3" xfId="14235" xr:uid="{66E9EA70-74BC-4537-9301-12A839C62150}"/>
    <cellStyle name="Heading 3 2 3 2" xfId="14236" xr:uid="{F0A3586B-E244-464E-B218-7721677EB11B}"/>
    <cellStyle name="Heading 3 2 3 3" xfId="14237" xr:uid="{53E6F720-4561-4870-98B8-39B0278F7CD1}"/>
    <cellStyle name="Heading 3 2 4" xfId="41320" xr:uid="{F3BAE6D2-9718-4DCC-9EE4-C91EE8041068}"/>
    <cellStyle name="Heading 3 2_PwrTax 51040" xfId="14238" xr:uid="{728E07D9-8CC1-48F4-819D-6E10218A72CA}"/>
    <cellStyle name="Heading 3 20" xfId="14239" xr:uid="{90A2AEA1-C3BE-4350-B653-20549C5AD831}"/>
    <cellStyle name="Heading 3 21" xfId="14240" xr:uid="{83FD1CC5-080A-43B7-A0E2-3964436407A1}"/>
    <cellStyle name="Heading 3 22" xfId="14241" xr:uid="{35F73FC8-0BFC-4CBA-A60C-BD9A704EB711}"/>
    <cellStyle name="Heading 3 23" xfId="14242" xr:uid="{61482404-109A-40B7-9B56-3124153BE232}"/>
    <cellStyle name="Heading 3 24" xfId="14243" xr:uid="{5059F13F-3A7A-4A50-A0E8-7C4B19CBA64F}"/>
    <cellStyle name="Heading 3 25" xfId="14244" xr:uid="{60C8803A-B8AE-4D44-946E-392E475DE98F}"/>
    <cellStyle name="Heading 3 26" xfId="14245" xr:uid="{F3A8FBF7-9B57-4DC9-ABDB-D7149FC9D154}"/>
    <cellStyle name="Heading 3 27" xfId="14246" xr:uid="{625C3844-D53F-48F4-A36B-F1303B2009F4}"/>
    <cellStyle name="Heading 3 28" xfId="14247" xr:uid="{864719FB-BC74-4617-985E-EF259C250AC5}"/>
    <cellStyle name="Heading 3 29" xfId="14248" xr:uid="{BD9C206E-76FF-4B88-AE38-E8FC391B906A}"/>
    <cellStyle name="Heading 3 3" xfId="14249" xr:uid="{951B51FF-0C48-4898-AF4C-D787BE6C63A2}"/>
    <cellStyle name="Heading 3 3 2" xfId="14250" xr:uid="{89E0F1AF-B848-436A-8125-C9DA3D57F9D1}"/>
    <cellStyle name="Heading 3 3 3" xfId="14251" xr:uid="{7F636007-3235-4C42-B549-B30281B4E71D}"/>
    <cellStyle name="Heading 3 3 3 2" xfId="14252" xr:uid="{BF788782-CDB8-469B-899B-B77FD9EC0312}"/>
    <cellStyle name="Heading 3 3 3 3" xfId="14253" xr:uid="{AA530532-445C-4A26-A6C0-DA4C011A7962}"/>
    <cellStyle name="Heading 3 3 4" xfId="41321" xr:uid="{C49F402B-91E7-436E-8880-E772B18CBECC}"/>
    <cellStyle name="Heading 3 30" xfId="14254" xr:uid="{0CC2716B-3C57-4B02-B1E5-B4ADC1969BE8}"/>
    <cellStyle name="Heading 3 31" xfId="14255" xr:uid="{79912790-C223-4485-9907-05D15FD20A5F}"/>
    <cellStyle name="Heading 3 32" xfId="14256" xr:uid="{D1094C9F-298B-4E01-AADE-C9A0D683F981}"/>
    <cellStyle name="Heading 3 33" xfId="14257" xr:uid="{39698FCD-1293-41DA-B583-755D2F3D5EDE}"/>
    <cellStyle name="Heading 3 34" xfId="14258" xr:uid="{DD3ABEE3-94ED-4C1F-9632-1858A446215C}"/>
    <cellStyle name="Heading 3 35" xfId="14259" xr:uid="{C24896E0-E280-4EB5-A95E-FDFEDC0BC858}"/>
    <cellStyle name="Heading 3 36" xfId="14260" xr:uid="{41493355-6BDC-44B5-925F-F4954208DFFC}"/>
    <cellStyle name="Heading 3 37" xfId="41322" xr:uid="{B9EA927F-F14E-4CAB-B4C8-862ADFC5A83F}"/>
    <cellStyle name="Heading 3 38" xfId="195" xr:uid="{1182E389-BC96-4955-9499-67BBDB984A15}"/>
    <cellStyle name="Heading 3 4" xfId="14261" xr:uid="{E69C2DFC-222A-4D9E-A728-A57B9F7A0201}"/>
    <cellStyle name="Heading 3 4 2" xfId="14262" xr:uid="{0B4BB906-45D4-41A5-A2B4-931844F36B2D}"/>
    <cellStyle name="Heading 3 4 3" xfId="14263" xr:uid="{FD0F9505-ACD7-4EE0-A72C-ED5FE33CC609}"/>
    <cellStyle name="Heading 3 5" xfId="14264" xr:uid="{AA8F1F9D-0AD0-4F76-9294-5B39C5BB8572}"/>
    <cellStyle name="Heading 3 5 2" xfId="14265" xr:uid="{365AE3B9-EB13-4ED9-BF68-009AB68D3F79}"/>
    <cellStyle name="Heading 3 5 3" xfId="14266" xr:uid="{4DA2C358-7498-42E5-A016-40C837309AE8}"/>
    <cellStyle name="Heading 3 6" xfId="14267" xr:uid="{EEB8DF70-85FD-408A-AAD3-69B71FD423EC}"/>
    <cellStyle name="Heading 3 6 2" xfId="14268" xr:uid="{466F77E1-5EF6-4FC0-A386-3F5A73A05CD0}"/>
    <cellStyle name="Heading 3 6 3" xfId="14269" xr:uid="{94966649-9FC7-49D0-BE61-4BBC071E1E5E}"/>
    <cellStyle name="Heading 3 7" xfId="14270" xr:uid="{D9EE50C4-7863-40C3-AA5F-FFB0AA14AF5E}"/>
    <cellStyle name="Heading 3 7 2" xfId="14271" xr:uid="{AA7E0C26-E2A0-4A9F-8282-FA1B939B57DA}"/>
    <cellStyle name="Heading 3 7 3" xfId="14272" xr:uid="{DEDA5FE8-F671-4420-8E53-2A2E8C9F2FDD}"/>
    <cellStyle name="Heading 3 8" xfId="14273" xr:uid="{B0AEC466-6E52-4406-8309-5B0B441E218E}"/>
    <cellStyle name="Heading 3 8 2" xfId="14274" xr:uid="{3393C105-3F46-4920-BF30-9ED706C16FD6}"/>
    <cellStyle name="Heading 3 8 3" xfId="14275" xr:uid="{7DFD922A-0030-4C55-872C-0769A5EB6745}"/>
    <cellStyle name="Heading 3 9" xfId="14276" xr:uid="{089E04D3-52FE-48C6-9143-1646A81316AC}"/>
    <cellStyle name="Heading 3 9 2" xfId="14277" xr:uid="{AF4BD67C-3787-4192-98C9-66424F5BB41D}"/>
    <cellStyle name="Heading 3 9 3" xfId="14278" xr:uid="{2E2BB7E7-C818-443E-9E2A-0D2296DC94CF}"/>
    <cellStyle name="Heading 4 10" xfId="14279" xr:uid="{FF8B4DB6-5A68-400D-ADE4-3698C3B45D75}"/>
    <cellStyle name="Heading 4 10 2" xfId="14280" xr:uid="{FB1AA34A-CFE6-4554-92D5-717873611E34}"/>
    <cellStyle name="Heading 4 10 3" xfId="14281" xr:uid="{51DD8D6A-00F6-45EA-86DC-AB7B9D32C24E}"/>
    <cellStyle name="Heading 4 11" xfId="14282" xr:uid="{4C3F5ADA-1A81-4E32-AA5B-C38734AAA790}"/>
    <cellStyle name="Heading 4 11 2" xfId="14283" xr:uid="{01862364-A0C2-4976-AC42-9E4038C79449}"/>
    <cellStyle name="Heading 4 11 3" xfId="14284" xr:uid="{FC8546DA-BFFF-45E9-9C1F-E9C79EE47DB0}"/>
    <cellStyle name="Heading 4 12" xfId="14285" xr:uid="{53D1B80A-B471-4080-B2F0-80F8B386C27E}"/>
    <cellStyle name="Heading 4 12 2" xfId="14286" xr:uid="{6671C5C6-BF8A-4612-AF82-30701B58BAC5}"/>
    <cellStyle name="Heading 4 13" xfId="14287" xr:uid="{DACF533F-4AFE-4856-B4C0-F5C07B97B6F2}"/>
    <cellStyle name="Heading 4 13 2" xfId="14288" xr:uid="{4DD66636-FAA3-4489-B238-3C6F344E1562}"/>
    <cellStyle name="Heading 4 14" xfId="14289" xr:uid="{D039F026-5F0C-4977-8393-3F36DE69668F}"/>
    <cellStyle name="Heading 4 14 2" xfId="14290" xr:uid="{400A9A94-6EFD-4A21-A1A1-F405FD94B722}"/>
    <cellStyle name="Heading 4 15" xfId="14291" xr:uid="{7192ABD0-BFC2-44C3-BBCD-AE8E428E7C5A}"/>
    <cellStyle name="Heading 4 15 2" xfId="14292" xr:uid="{E68FFF63-8488-474F-A2EF-FEA10B345958}"/>
    <cellStyle name="Heading 4 16" xfId="14293" xr:uid="{6CC99C25-D7D7-481E-AC06-6BA7D5A9C622}"/>
    <cellStyle name="Heading 4 16 2" xfId="14294" xr:uid="{C2C11855-8D8C-42B0-BA1D-DE4FECC4405D}"/>
    <cellStyle name="Heading 4 17" xfId="14295" xr:uid="{48D511AB-8E2F-43BC-AB7D-CCCAD6F7EBB2}"/>
    <cellStyle name="Heading 4 17 2" xfId="14296" xr:uid="{AF9368D2-1A5F-4923-B8B9-170CC96D7D77}"/>
    <cellStyle name="Heading 4 18" xfId="14297" xr:uid="{60035871-5A1A-4B54-8B9C-8D824062BFF7}"/>
    <cellStyle name="Heading 4 18 2" xfId="14298" xr:uid="{3C15EDEF-B5EC-4B67-81B2-CA9EE8F08C63}"/>
    <cellStyle name="Heading 4 19" xfId="14299" xr:uid="{43F7C1D7-C91F-4452-A92D-DA0E89BFA05A}"/>
    <cellStyle name="Heading 4 19 2" xfId="14300" xr:uid="{213040D7-3A8A-48A3-A4F9-AE23B2ECBD2A}"/>
    <cellStyle name="Heading 4 2" xfId="14301" xr:uid="{4911D09C-2DD6-48A0-8FB5-850B9574CF6E}"/>
    <cellStyle name="Heading 4 2 2" xfId="14302" xr:uid="{75B16C2E-2876-46D6-A893-5B62C2CD128F}"/>
    <cellStyle name="Heading 4 2 3" xfId="14303" xr:uid="{094287ED-89C9-4F34-95D4-D70331AB37EB}"/>
    <cellStyle name="Heading 4 2 3 2" xfId="14304" xr:uid="{21511E1F-858D-4EF5-9010-B890EE3D96E9}"/>
    <cellStyle name="Heading 4 2 3 3" xfId="14305" xr:uid="{E84E3AD8-98D7-43F8-A319-AEEAA5D829FE}"/>
    <cellStyle name="Heading 4 2 4" xfId="41323" xr:uid="{E56B0925-6CA2-43B6-9BDC-E82A44C4C833}"/>
    <cellStyle name="Heading 4 2_PwrTax 51040" xfId="14306" xr:uid="{08ACF637-4A5C-44DF-838C-F08AA5E40D7E}"/>
    <cellStyle name="Heading 4 20" xfId="14307" xr:uid="{A5680DEC-3491-4278-8533-77CC0590191B}"/>
    <cellStyle name="Heading 4 21" xfId="14308" xr:uid="{CFACF8B6-E57E-4878-807F-154C96787915}"/>
    <cellStyle name="Heading 4 22" xfId="14309" xr:uid="{5FF26DBC-3D59-4E2E-916A-39CFB2FD45D8}"/>
    <cellStyle name="Heading 4 23" xfId="14310" xr:uid="{BF7D2C6B-48AF-42DA-B771-13706CAF44C1}"/>
    <cellStyle name="Heading 4 24" xfId="14311" xr:uid="{DADD4E5D-6A30-4959-B4A8-0352498E1797}"/>
    <cellStyle name="Heading 4 25" xfId="14312" xr:uid="{5E614E11-BA2E-4F71-A0F5-62E0F02EF7D6}"/>
    <cellStyle name="Heading 4 26" xfId="14313" xr:uid="{F0DE1B77-6BE6-4F42-A5AB-331AD30F4B04}"/>
    <cellStyle name="Heading 4 27" xfId="14314" xr:uid="{99E9978F-4EE4-495A-9D88-4B48A98698E2}"/>
    <cellStyle name="Heading 4 28" xfId="14315" xr:uid="{74F8121F-6904-4B59-9351-A34EB6774686}"/>
    <cellStyle name="Heading 4 29" xfId="14316" xr:uid="{892ACEDA-63E4-4F85-B444-DF3D4B740123}"/>
    <cellStyle name="Heading 4 3" xfId="14317" xr:uid="{2B7DFCDC-C043-45E3-A974-A3C1AC15D27D}"/>
    <cellStyle name="Heading 4 3 2" xfId="14318" xr:uid="{CE1D8834-81D8-4626-81CE-25FD86F05588}"/>
    <cellStyle name="Heading 4 3 3" xfId="14319" xr:uid="{3E2C9758-D828-4DF2-9E68-9E65C186FB23}"/>
    <cellStyle name="Heading 4 3 3 2" xfId="14320" xr:uid="{60930DCD-A057-4AF2-8C15-081ECC44BA87}"/>
    <cellStyle name="Heading 4 3 3 3" xfId="14321" xr:uid="{71B38D85-4E4E-4B25-A722-0EAEA1FE9D4B}"/>
    <cellStyle name="Heading 4 3 4" xfId="41324" xr:uid="{60AD9704-1675-4A5F-A515-931117593A7E}"/>
    <cellStyle name="Heading 4 30" xfId="14322" xr:uid="{1786CE32-CEBF-4B25-86A0-65B5D8C7373C}"/>
    <cellStyle name="Heading 4 31" xfId="14323" xr:uid="{68033EE2-BBAB-4924-9D56-3C340FF3D6A7}"/>
    <cellStyle name="Heading 4 32" xfId="14324" xr:uid="{750AC580-7624-4F9C-8E7F-05DC588D472B}"/>
    <cellStyle name="Heading 4 33" xfId="14325" xr:uid="{70C3662B-6BC7-4C3C-8C29-C5BA7F369DD5}"/>
    <cellStyle name="Heading 4 34" xfId="14326" xr:uid="{E77835D8-6173-469D-9456-7CE98348DFEC}"/>
    <cellStyle name="Heading 4 35" xfId="14327" xr:uid="{042C8C8E-41A6-4731-B02D-78166C388F46}"/>
    <cellStyle name="Heading 4 36" xfId="14328" xr:uid="{AC531A21-CD8D-4538-8AC2-232351F18D7E}"/>
    <cellStyle name="Heading 4 37" xfId="41325" xr:uid="{A564A84A-24AD-4B27-996B-2D0AE3BF7D01}"/>
    <cellStyle name="Heading 4 38" xfId="196" xr:uid="{57CE8770-E0F7-4A02-A18B-568159FB6E4E}"/>
    <cellStyle name="Heading 4 4" xfId="14329" xr:uid="{4C269A63-B2B6-4624-9EEB-DB432E50B343}"/>
    <cellStyle name="Heading 4 4 2" xfId="14330" xr:uid="{EC48E0AE-F7C0-4745-982E-16A15D66E745}"/>
    <cellStyle name="Heading 4 4 3" xfId="14331" xr:uid="{CF016A47-B3AC-47C0-B73A-396815EFFECD}"/>
    <cellStyle name="Heading 4 5" xfId="14332" xr:uid="{3E55E507-697B-4DAA-960B-5394ACD1087A}"/>
    <cellStyle name="Heading 4 5 2" xfId="14333" xr:uid="{2CF8FC84-C278-4110-91FA-B20A7F2131BB}"/>
    <cellStyle name="Heading 4 5 3" xfId="14334" xr:uid="{E0353F8D-761A-494C-B560-75882D391F39}"/>
    <cellStyle name="Heading 4 6" xfId="14335" xr:uid="{C97649F5-36A2-411E-A5A6-4548A155AC4B}"/>
    <cellStyle name="Heading 4 6 2" xfId="14336" xr:uid="{01E847E2-F0E0-4551-8E4C-25A0CEC6723E}"/>
    <cellStyle name="Heading 4 6 3" xfId="14337" xr:uid="{5E488A65-FE10-4661-A934-61F5464FDDCE}"/>
    <cellStyle name="Heading 4 7" xfId="14338" xr:uid="{4320F920-1EC9-4E7F-8C46-211532EDACD0}"/>
    <cellStyle name="Heading 4 7 2" xfId="14339" xr:uid="{61D2FDEF-03D9-45F3-9201-1FAA71919AED}"/>
    <cellStyle name="Heading 4 7 3" xfId="14340" xr:uid="{19A388C3-09E0-47EF-96CA-9E4650D0A18A}"/>
    <cellStyle name="Heading 4 8" xfId="14341" xr:uid="{A75D7CC7-4ABA-4B6D-93A1-5C96F94C8DBA}"/>
    <cellStyle name="Heading 4 8 2" xfId="14342" xr:uid="{D7324A73-88AA-4721-9338-E728F1098C90}"/>
    <cellStyle name="Heading 4 8 3" xfId="14343" xr:uid="{6743F610-3FC1-4B8D-B8AB-D4C43E6F424C}"/>
    <cellStyle name="Heading 4 9" xfId="14344" xr:uid="{D57C3AEA-66A1-4C0E-90B8-15D38777C416}"/>
    <cellStyle name="Heading 4 9 2" xfId="14345" xr:uid="{98D8C808-B632-4948-B57F-4771551A2DDD}"/>
    <cellStyle name="Heading 4 9 3" xfId="14346" xr:uid="{B4724C74-AB8F-4275-8A37-6EA75F03AC7D}"/>
    <cellStyle name="Hyperlink 2" xfId="14347" xr:uid="{E0E3DEA0-DE61-413B-B9AB-472CB24F0A6E}"/>
    <cellStyle name="Hyperlink 2 2" xfId="14348" xr:uid="{96AF7991-B17E-4319-86A1-B078F40C018F}"/>
    <cellStyle name="Hyperlink 2 2 2" xfId="14349" xr:uid="{2000D840-7011-4C58-96EC-5D6C7494CC32}"/>
    <cellStyle name="Hyperlink 2 3" xfId="14350" xr:uid="{B395CA21-514E-442A-A2B1-F90CCE6C199E}"/>
    <cellStyle name="Hyperlink 2 4" xfId="14351" xr:uid="{2CA9722B-157F-481E-A9C7-249321FF6C1F}"/>
    <cellStyle name="Hyperlink 3" xfId="14352" xr:uid="{076BD0C2-6D6F-4097-84C2-FA4908E46476}"/>
    <cellStyle name="Hyperlink 3 2" xfId="14353" xr:uid="{7D30D2AF-8D92-47F2-9347-348EF096B712}"/>
    <cellStyle name="Hyperlink 4" xfId="14354" xr:uid="{1E155A80-444C-466F-9561-7C96B6E51BF3}"/>
    <cellStyle name="Hyperlink 5" xfId="14355" xr:uid="{040E82E2-4822-4499-AC28-D00142615F5D}"/>
    <cellStyle name="Input [yellow]" xfId="41326" xr:uid="{02E4FE73-B617-415F-9E6D-3AE967D01FD1}"/>
    <cellStyle name="Input [yellow] 2" xfId="41327" xr:uid="{F48A6AEE-A58D-43F1-ACEB-FC0BFB8F6C31}"/>
    <cellStyle name="Input [yellow] 2 2" xfId="41328" xr:uid="{FF25BFDE-AE38-4C00-92F8-9F64965B98E4}"/>
    <cellStyle name="Input [yellow] 3" xfId="41329" xr:uid="{0038E1BD-2042-4A31-BC79-41EDEED8C867}"/>
    <cellStyle name="Input [yellow] 4" xfId="41330" xr:uid="{B198B7BA-854A-4910-9F7D-5747F301A9DC}"/>
    <cellStyle name="Input [yellow] 5" xfId="41331" xr:uid="{F9305942-9B65-4DBB-BB18-FD8D3B7E73AB}"/>
    <cellStyle name="Input 10" xfId="14356" xr:uid="{45C889BF-300E-4746-981F-43E41BDEB517}"/>
    <cellStyle name="Input 10 2" xfId="14357" xr:uid="{300C7871-7345-4765-996B-586D5BA2A991}"/>
    <cellStyle name="Input 10 2 2" xfId="14358" xr:uid="{37E7273B-A04B-4570-9B12-91601A6D0AE2}"/>
    <cellStyle name="Input 10 2 2 2" xfId="14359" xr:uid="{1C2E5644-B750-41E8-A770-66461113262E}"/>
    <cellStyle name="Input 10 2 2 3" xfId="14360" xr:uid="{046CED85-6804-442F-B6AB-0C411556A4CD}"/>
    <cellStyle name="Input 10 2 3" xfId="14361" xr:uid="{CB21295F-E7DA-4905-BC4E-C0944A3DC208}"/>
    <cellStyle name="Input 10 2 3 2" xfId="14362" xr:uid="{2FC52506-9AE9-4156-8447-C41B6BAFA234}"/>
    <cellStyle name="Input 10 2 3 3" xfId="14363" xr:uid="{77165424-E53A-43E3-A5CC-559D1008AA36}"/>
    <cellStyle name="Input 10 2 4" xfId="14364" xr:uid="{845005CC-C38D-4DD2-93C8-ED249807783A}"/>
    <cellStyle name="Input 10 2 5" xfId="14365" xr:uid="{96C96A12-7755-40E8-A2FB-46D638BD3B38}"/>
    <cellStyle name="Input 10 2 6" xfId="14366" xr:uid="{7E25CA73-395B-4472-8BFE-4C312C9530A0}"/>
    <cellStyle name="Input 10 2 7" xfId="14367" xr:uid="{812C3D97-90CB-4B45-9EB8-2164A9E5A77A}"/>
    <cellStyle name="Input 10 3" xfId="14368" xr:uid="{B8DAC597-9D30-47DF-8787-B149F26F655E}"/>
    <cellStyle name="Input 10 3 2" xfId="14369" xr:uid="{F232A619-4578-4446-9037-A16C9BF95D65}"/>
    <cellStyle name="Input 10 3 2 2" xfId="14370" xr:uid="{BD065ADF-6943-42C1-BC3E-99019C17D8A3}"/>
    <cellStyle name="Input 10 3 2 3" xfId="14371" xr:uid="{8B89E201-0B0D-4F4B-8216-F9840BEACC27}"/>
    <cellStyle name="Input 10 3 3" xfId="14372" xr:uid="{0D1AD25D-32FF-43E2-A5A8-169E615F655E}"/>
    <cellStyle name="Input 10 3 4" xfId="14373" xr:uid="{80CA70A0-42AB-411B-8E01-24342137DBD5}"/>
    <cellStyle name="Input 10 4" xfId="14374" xr:uid="{6944FC31-F85D-4A6F-9758-4685E68DC3C6}"/>
    <cellStyle name="Input 10 4 2" xfId="14375" xr:uid="{FC449BCA-337A-4345-9BC5-5CDF2AED7C5F}"/>
    <cellStyle name="Input 10 4 3" xfId="14376" xr:uid="{455D6B4B-33D8-4251-9D46-E74F029121A7}"/>
    <cellStyle name="Input 10 5" xfId="14377" xr:uid="{F7B7383E-C82B-4C8F-A425-53FD29DCF27A}"/>
    <cellStyle name="Input 10 6" xfId="14378" xr:uid="{BC3E6499-48E5-4FDB-A3F4-955BD67FB50A}"/>
    <cellStyle name="Input 10 7" xfId="14379" xr:uid="{86ACCF0D-8742-48AF-9DC8-4AC5ABFBC584}"/>
    <cellStyle name="Input 10 8" xfId="14380" xr:uid="{28ED5E0D-EABA-4E09-BA7D-89F10A39B66D}"/>
    <cellStyle name="Input 100" xfId="41332" xr:uid="{B486CBE3-F9A2-4E8E-B69F-B43B6D567D88}"/>
    <cellStyle name="Input 101" xfId="41333" xr:uid="{2721632D-AC5E-46ED-968C-12CD15099704}"/>
    <cellStyle name="Input 102" xfId="41334" xr:uid="{1B03F344-6A62-4F61-B1E8-8C570CEAE593}"/>
    <cellStyle name="Input 103" xfId="41335" xr:uid="{9092BCDA-B8E4-449C-804B-4688BC4A1920}"/>
    <cellStyle name="Input 104" xfId="41336" xr:uid="{57D290C6-6C22-4009-BA6C-6D0C3755AADF}"/>
    <cellStyle name="Input 105" xfId="41337" xr:uid="{E2F2D6EC-8260-48E9-85F6-C5C1481315D3}"/>
    <cellStyle name="Input 106" xfId="41338" xr:uid="{56B1D45A-EE45-4A76-A516-0823503CFC8B}"/>
    <cellStyle name="Input 107" xfId="41339" xr:uid="{CC5B1301-E049-4B53-99A7-73681D8D99E8}"/>
    <cellStyle name="Input 108" xfId="41340" xr:uid="{060E0F2F-9EBC-4DB7-AAE4-4370866ABBD8}"/>
    <cellStyle name="Input 109" xfId="41341" xr:uid="{7843568D-DB9F-480D-B2F7-356972DC0658}"/>
    <cellStyle name="Input 11" xfId="14381" xr:uid="{9BBD3E72-4E90-4418-9A5A-CA13BF8BFDDD}"/>
    <cellStyle name="Input 11 2" xfId="14382" xr:uid="{0AEC606F-35FE-4EF7-8EAE-924EB932B662}"/>
    <cellStyle name="Input 11 2 2" xfId="14383" xr:uid="{2E4447F6-F652-4D28-87A5-6EB5664F769F}"/>
    <cellStyle name="Input 11 2 2 2" xfId="14384" xr:uid="{62648F5A-0288-4AF7-8D42-0816271D77B1}"/>
    <cellStyle name="Input 11 2 2 3" xfId="14385" xr:uid="{FA468BB1-D627-402B-A51E-B85A926BBA58}"/>
    <cellStyle name="Input 11 2 3" xfId="14386" xr:uid="{DB539BFC-76D4-4402-9AAD-891DF3657966}"/>
    <cellStyle name="Input 11 2 3 2" xfId="14387" xr:uid="{5B6F70D7-4158-45F7-9902-82534AF3FA44}"/>
    <cellStyle name="Input 11 2 3 3" xfId="14388" xr:uid="{2D77EA88-5FFB-4284-872E-9DF61E081B3C}"/>
    <cellStyle name="Input 11 2 4" xfId="14389" xr:uid="{1DBE724A-39A9-486D-907F-112AACAF4E60}"/>
    <cellStyle name="Input 11 2 5" xfId="14390" xr:uid="{73CA99C4-4A33-4E0B-A14D-766AADD5B06B}"/>
    <cellStyle name="Input 11 2 6" xfId="14391" xr:uid="{C4F32578-46C8-41C6-9D1A-268FA7B697D3}"/>
    <cellStyle name="Input 11 2 7" xfId="14392" xr:uid="{C685F75A-3963-44C3-A2ED-05301F909CDF}"/>
    <cellStyle name="Input 11 3" xfId="14393" xr:uid="{40F342EF-2F59-46DF-82F8-57D075AADA4B}"/>
    <cellStyle name="Input 11 3 2" xfId="14394" xr:uid="{267D359F-5C86-4358-BC89-D681D5A123E6}"/>
    <cellStyle name="Input 11 3 2 2" xfId="14395" xr:uid="{46D8E86D-DF55-4931-976A-1E8D7F32A576}"/>
    <cellStyle name="Input 11 3 2 3" xfId="14396" xr:uid="{2432967E-89D9-496D-9A62-E69BB57C03FB}"/>
    <cellStyle name="Input 11 3 3" xfId="14397" xr:uid="{BE09BFCA-9ECC-4908-A897-6D4521764894}"/>
    <cellStyle name="Input 11 3 4" xfId="14398" xr:uid="{4CAA449E-72A0-47F0-8AFF-93582A92FFA9}"/>
    <cellStyle name="Input 11 4" xfId="14399" xr:uid="{12C56231-500D-47B9-B42A-5B897779B58B}"/>
    <cellStyle name="Input 11 4 2" xfId="14400" xr:uid="{3278492C-0074-44FE-8AF6-49A62071ABD5}"/>
    <cellStyle name="Input 11 4 3" xfId="14401" xr:uid="{AC53126F-F2F6-48AB-8512-FD5338F51CB1}"/>
    <cellStyle name="Input 11 5" xfId="14402" xr:uid="{91014049-4E21-49D8-B1D7-DA5DEE3A7275}"/>
    <cellStyle name="Input 11 6" xfId="14403" xr:uid="{A18A7136-FEFE-46F7-AFBC-D7B81233BB19}"/>
    <cellStyle name="Input 11 7" xfId="14404" xr:uid="{B08293A8-077F-455A-AD00-E89E5481EEB1}"/>
    <cellStyle name="Input 11 8" xfId="14405" xr:uid="{945E6402-B254-4DAB-9FDE-11097D00625E}"/>
    <cellStyle name="Input 110" xfId="41342" xr:uid="{E11D60F2-4B3A-4D19-ACA4-859127BDE828}"/>
    <cellStyle name="Input 111" xfId="41343" xr:uid="{D3D15504-E4BB-4C4A-8949-F0062EE06E2A}"/>
    <cellStyle name="Input 112" xfId="41344" xr:uid="{89721E9C-B503-4BF2-AF56-025051540B24}"/>
    <cellStyle name="Input 113" xfId="41345" xr:uid="{0CB50E97-F05A-4BF2-970C-D2993617BE43}"/>
    <cellStyle name="Input 114" xfId="41346" xr:uid="{81266FE5-0F85-4828-A28B-96D7EC65FEA7}"/>
    <cellStyle name="Input 115" xfId="41347" xr:uid="{1B4940A4-BBBA-4895-A283-4BEC6A9D345A}"/>
    <cellStyle name="Input 116" xfId="41348" xr:uid="{6897314E-93BF-4CCF-97EA-E8BEEE90D609}"/>
    <cellStyle name="Input 117" xfId="41349" xr:uid="{4E632C31-DE5E-4867-B3B6-01376E8A55F9}"/>
    <cellStyle name="Input 118" xfId="41350" xr:uid="{702A0170-ED97-4CC0-B8CD-613CB882EB90}"/>
    <cellStyle name="Input 119" xfId="41351" xr:uid="{7945EE08-8168-4910-84B6-AFDC86842F55}"/>
    <cellStyle name="Input 12" xfId="14406" xr:uid="{DC774E70-1B22-41F4-B8FB-4F4BE31D6414}"/>
    <cellStyle name="Input 12 2" xfId="14407" xr:uid="{1CC5E5CD-A78A-4A87-8E6E-9EA5F931DDF8}"/>
    <cellStyle name="Input 12 2 2" xfId="14408" xr:uid="{4F855005-F694-41A3-8164-1989BCF90AF3}"/>
    <cellStyle name="Input 12 2 2 2" xfId="14409" xr:uid="{C7478DF1-A3B5-4F8D-9FE3-759D82C3235C}"/>
    <cellStyle name="Input 12 2 2 3" xfId="14410" xr:uid="{EE7DF573-2438-4D48-B092-7E0C6E7A51B7}"/>
    <cellStyle name="Input 12 2 3" xfId="14411" xr:uid="{6D2747AA-565E-4541-A80C-08E8B7AC6AED}"/>
    <cellStyle name="Input 12 2 3 2" xfId="14412" xr:uid="{84E54E3B-F5C1-4866-B513-4A21A278FF9C}"/>
    <cellStyle name="Input 12 2 3 3" xfId="14413" xr:uid="{2904902C-C8C6-4814-AAB2-25523B4BADDC}"/>
    <cellStyle name="Input 12 2 4" xfId="14414" xr:uid="{B53F5110-32F2-4818-BD2B-503B0130DC74}"/>
    <cellStyle name="Input 12 2 5" xfId="14415" xr:uid="{D8118843-E55C-4B43-9580-26B0239D70CE}"/>
    <cellStyle name="Input 12 2 6" xfId="14416" xr:uid="{952CBF23-624B-46D2-9588-5FA7BA0C3926}"/>
    <cellStyle name="Input 12 2 7" xfId="14417" xr:uid="{9EBAAF27-DA0B-48BE-93B5-EA4ABFF593F5}"/>
    <cellStyle name="Input 12 3" xfId="14418" xr:uid="{A9679CB5-2CA8-4F5B-A453-2556A285244B}"/>
    <cellStyle name="Input 12 3 2" xfId="14419" xr:uid="{CEA38056-B458-4900-88C9-68B825C88249}"/>
    <cellStyle name="Input 12 3 3" xfId="14420" xr:uid="{39C55878-B545-4D5E-9739-EB6341A38F13}"/>
    <cellStyle name="Input 12 4" xfId="14421" xr:uid="{202F6EE7-21CB-4802-9785-FA9B91D13F18}"/>
    <cellStyle name="Input 12 4 2" xfId="14422" xr:uid="{C7A56820-C005-4A76-9C42-CBAFF9F2C8E8}"/>
    <cellStyle name="Input 12 4 3" xfId="14423" xr:uid="{5DBBC5BE-C9A1-4AA8-AAE0-F9D63B36A29D}"/>
    <cellStyle name="Input 12 5" xfId="14424" xr:uid="{EEE62B42-2546-4C89-A514-53E54BAD83FA}"/>
    <cellStyle name="Input 12 6" xfId="14425" xr:uid="{843D83AA-EAF2-4847-82D1-00A038251481}"/>
    <cellStyle name="Input 12 7" xfId="14426" xr:uid="{5103C0F9-417D-4A03-B212-368EBD0A96E8}"/>
    <cellStyle name="Input 12 8" xfId="14427" xr:uid="{6CF259A8-CED5-487B-8C27-3719D1D0683B}"/>
    <cellStyle name="Input 120" xfId="41352" xr:uid="{7DCB371B-905D-4607-98AF-B99DCD2C0E13}"/>
    <cellStyle name="Input 121" xfId="41353" xr:uid="{81C7BDAA-0C3D-43BB-90CA-006F5E2A258E}"/>
    <cellStyle name="Input 122" xfId="41354" xr:uid="{7AAA1301-5DE0-4BEC-BD04-449ED33093AA}"/>
    <cellStyle name="Input 123" xfId="41355" xr:uid="{B613EF5F-A6FA-4D12-B6DC-1959AE7F8E97}"/>
    <cellStyle name="Input 124" xfId="41356" xr:uid="{620707A6-581E-42F1-BB39-341C630B68C3}"/>
    <cellStyle name="Input 125" xfId="41357" xr:uid="{31BCFDF7-11C9-4426-AB50-97E8B4CE31C8}"/>
    <cellStyle name="Input 126" xfId="41358" xr:uid="{1026A0E6-3B96-495B-95C7-A7ADA5EEC12B}"/>
    <cellStyle name="Input 127" xfId="41359" xr:uid="{3A4FA01B-F14F-4215-9364-68D8154A15F7}"/>
    <cellStyle name="Input 128" xfId="41360" xr:uid="{BB5D49F3-BEF2-4FB9-BC24-17EAA1994CF4}"/>
    <cellStyle name="Input 129" xfId="41361" xr:uid="{612F8A42-3FE7-473F-AD80-83610F99E10D}"/>
    <cellStyle name="Input 13" xfId="14428" xr:uid="{6E0066AB-7C8F-4A96-BFEB-190683AF26FF}"/>
    <cellStyle name="Input 13 2" xfId="14429" xr:uid="{4EE290EC-DC5F-488C-B553-F8805BAFE2F8}"/>
    <cellStyle name="Input 13 2 2" xfId="14430" xr:uid="{CDEFC7D2-9F41-4961-8B4A-827F77418AF5}"/>
    <cellStyle name="Input 13 2 2 2" xfId="14431" xr:uid="{77253530-7CC9-4EF8-850C-9A0AC2E17C9F}"/>
    <cellStyle name="Input 13 2 2 3" xfId="14432" xr:uid="{1DE592A0-202D-4DDA-B44B-542F4D83CC97}"/>
    <cellStyle name="Input 13 2 3" xfId="14433" xr:uid="{E1E989DC-B91C-41A6-B536-949717359BCB}"/>
    <cellStyle name="Input 13 2 3 2" xfId="14434" xr:uid="{02DB6FA1-DD6E-4CCB-8A58-53FE4DACC70A}"/>
    <cellStyle name="Input 13 2 3 3" xfId="14435" xr:uid="{0AE99E6B-8CA3-4D88-86AC-04601F5CB196}"/>
    <cellStyle name="Input 13 2 4" xfId="14436" xr:uid="{6859BF6E-119B-4020-AB43-3759CDC689DD}"/>
    <cellStyle name="Input 13 2 5" xfId="14437" xr:uid="{8CE0D0EF-09A4-493F-9066-8B80FBD3A033}"/>
    <cellStyle name="Input 13 2 6" xfId="14438" xr:uid="{F81DFCEA-EFA5-4965-90B3-D431DC18B11A}"/>
    <cellStyle name="Input 13 2 7" xfId="14439" xr:uid="{CB80CCE8-3C81-4849-BE48-EA7DCF913397}"/>
    <cellStyle name="Input 13 3" xfId="14440" xr:uid="{0F6F7BDF-4BC3-427D-B759-26B513A4EC18}"/>
    <cellStyle name="Input 13 3 2" xfId="14441" xr:uid="{583C5130-79AF-4F41-9BCC-B9DB977AC2D4}"/>
    <cellStyle name="Input 13 3 3" xfId="14442" xr:uid="{EEAC2C27-9422-4EB2-8E79-2DBDCA7AB0C5}"/>
    <cellStyle name="Input 13 4" xfId="14443" xr:uid="{AEC2540D-CEF5-461F-9698-E8802FED5789}"/>
    <cellStyle name="Input 13 4 2" xfId="14444" xr:uid="{7C25FF5C-3C1C-462D-81E3-DDF922E6422F}"/>
    <cellStyle name="Input 13 4 3" xfId="14445" xr:uid="{64769061-0F49-4DC3-8389-EFD252F801FA}"/>
    <cellStyle name="Input 13 5" xfId="14446" xr:uid="{F8FFF044-EEEF-4C17-9D49-A2067C1592C4}"/>
    <cellStyle name="Input 13 6" xfId="14447" xr:uid="{D26E6C1D-5F32-4313-B907-CB909179B467}"/>
    <cellStyle name="Input 13 7" xfId="14448" xr:uid="{1B4AC631-6790-48FA-BD8D-907B73744BAB}"/>
    <cellStyle name="Input 13 8" xfId="14449" xr:uid="{73957546-FF50-4009-B8A9-EA398AD25E38}"/>
    <cellStyle name="Input 130" xfId="41362" xr:uid="{C5E44AE7-D867-4B83-8C04-3EDB801BE223}"/>
    <cellStyle name="Input 131" xfId="41363" xr:uid="{2A9629CB-5056-4313-AE51-70B87B7738AF}"/>
    <cellStyle name="Input 132" xfId="41364" xr:uid="{9C9F3449-C084-464A-8672-7167E1AA885B}"/>
    <cellStyle name="Input 133" xfId="41365" xr:uid="{9A936888-0161-4CBE-9373-1FF486739AF8}"/>
    <cellStyle name="Input 134" xfId="41366" xr:uid="{A90A820D-AB76-4921-82A1-AD080CEFD601}"/>
    <cellStyle name="Input 135" xfId="41367" xr:uid="{FB2DFB39-CA62-4983-B832-F770398A8AF0}"/>
    <cellStyle name="Input 136" xfId="43462" xr:uid="{EC60F553-E6BB-4613-A606-54E9E617D543}"/>
    <cellStyle name="Input 137" xfId="43522" xr:uid="{7959919B-E1E1-4459-8E2A-7FC583F0425E}"/>
    <cellStyle name="Input 138" xfId="43571" xr:uid="{63C1808E-F295-43DD-AFBD-0E5A7C91B034}"/>
    <cellStyle name="Input 139" xfId="43577" xr:uid="{F4B555C8-51D1-4CD7-9296-6FAAEB8A9CC2}"/>
    <cellStyle name="Input 14" xfId="14450" xr:uid="{348B6B5E-5BC8-419F-838A-3AF2A546C1F3}"/>
    <cellStyle name="Input 14 2" xfId="14451" xr:uid="{9BF34392-B1A2-45E6-BFE8-72C6573C2D66}"/>
    <cellStyle name="Input 14 2 2" xfId="14452" xr:uid="{C5601C9E-6AC5-4076-BE98-3F841A37A902}"/>
    <cellStyle name="Input 14 2 2 2" xfId="14453" xr:uid="{2837DC21-DE78-476A-97DF-D8D3EBB813DF}"/>
    <cellStyle name="Input 14 2 2 3" xfId="14454" xr:uid="{767F08BE-9BAC-45DB-9DE6-043F0E87115A}"/>
    <cellStyle name="Input 14 2 3" xfId="14455" xr:uid="{CB180C74-4989-4C6D-A1F2-007BEC26E957}"/>
    <cellStyle name="Input 14 2 3 2" xfId="14456" xr:uid="{80D2E54F-83B5-438C-BBA7-4C4303409FC0}"/>
    <cellStyle name="Input 14 2 3 3" xfId="14457" xr:uid="{493EE6B6-507F-4A91-88D5-346F48A16169}"/>
    <cellStyle name="Input 14 2 4" xfId="14458" xr:uid="{0E831344-EBF3-4B7A-B05E-0F40ABFD5E5F}"/>
    <cellStyle name="Input 14 2 5" xfId="14459" xr:uid="{89890760-0440-4AE1-B8AC-2588F60F35CC}"/>
    <cellStyle name="Input 14 2 6" xfId="14460" xr:uid="{DB1855E1-105D-4E86-870A-24D71291DEF5}"/>
    <cellStyle name="Input 14 2 7" xfId="14461" xr:uid="{1FB3CD51-374B-4605-B605-47A36565FE41}"/>
    <cellStyle name="Input 14 3" xfId="14462" xr:uid="{10B8A001-F3B2-4E95-86C2-8B6013D9DA49}"/>
    <cellStyle name="Input 14 3 2" xfId="14463" xr:uid="{26FAB496-46BB-4075-841E-8B99DC5F253F}"/>
    <cellStyle name="Input 14 3 3" xfId="14464" xr:uid="{33392321-96E3-4945-9105-387335250822}"/>
    <cellStyle name="Input 14 4" xfId="14465" xr:uid="{F28746FD-BD38-4CDA-B822-1DC8ED84C740}"/>
    <cellStyle name="Input 14 4 2" xfId="14466" xr:uid="{B8692D8D-B0DE-4F10-83EC-D8B9936D34BD}"/>
    <cellStyle name="Input 14 4 3" xfId="14467" xr:uid="{8C873A6E-A7E4-4D23-8012-F76C7048E37B}"/>
    <cellStyle name="Input 14 5" xfId="14468" xr:uid="{C5E47F51-08FB-4681-9287-DDB14CC38FE6}"/>
    <cellStyle name="Input 14 6" xfId="14469" xr:uid="{9CF4505D-3905-4A2A-A7AE-461F7C69F891}"/>
    <cellStyle name="Input 14 7" xfId="14470" xr:uid="{29D7820C-7CF0-42FC-9855-3F1279E2F80A}"/>
    <cellStyle name="Input 14 8" xfId="14471" xr:uid="{4F988BDE-86DA-432A-90D5-1B1A358101E4}"/>
    <cellStyle name="Input 140" xfId="43583" xr:uid="{9CDF051E-ED91-4AA0-9220-895F71AF37FA}"/>
    <cellStyle name="Input 141" xfId="197" xr:uid="{CAE221C5-087A-4E92-B414-9579C7F7D317}"/>
    <cellStyle name="Input 15" xfId="14472" xr:uid="{432EBA0F-803B-4C32-8CBF-B562D0729EF3}"/>
    <cellStyle name="Input 15 2" xfId="14473" xr:uid="{F32F7AF7-E159-4750-A816-4E056588C69D}"/>
    <cellStyle name="Input 15 2 2" xfId="14474" xr:uid="{16D22038-16AA-4DB8-83C5-47935F65F5AC}"/>
    <cellStyle name="Input 15 2 2 2" xfId="14475" xr:uid="{D453DC4C-97ED-4293-AD06-73DA108F08CC}"/>
    <cellStyle name="Input 15 2 2 3" xfId="14476" xr:uid="{FC759585-07A9-4BB1-94AC-80E1C93495BE}"/>
    <cellStyle name="Input 15 2 3" xfId="14477" xr:uid="{5293BEE6-9BF4-4E2C-BBF7-63AC9A5E27FA}"/>
    <cellStyle name="Input 15 2 3 2" xfId="14478" xr:uid="{CC7C2F7C-8DFB-4CC2-83FC-D4D686C4EA16}"/>
    <cellStyle name="Input 15 2 3 3" xfId="14479" xr:uid="{F59AC848-1B21-4AA8-81A2-7D5D983736E8}"/>
    <cellStyle name="Input 15 2 4" xfId="14480" xr:uid="{951C4AFD-1DE0-497A-BE96-F3FB3FC17F40}"/>
    <cellStyle name="Input 15 2 5" xfId="14481" xr:uid="{80D0EBBF-51CF-4553-B5D5-A2EA350D6DA7}"/>
    <cellStyle name="Input 15 2 6" xfId="14482" xr:uid="{2E0C2AF4-2B72-4230-B6DD-A4A60B849933}"/>
    <cellStyle name="Input 15 2 7" xfId="14483" xr:uid="{146837F3-24C8-4D16-B79B-83BE85C9694A}"/>
    <cellStyle name="Input 15 3" xfId="14484" xr:uid="{349CA179-85E2-4092-97E7-00523E00F869}"/>
    <cellStyle name="Input 15 3 2" xfId="14485" xr:uid="{35556FA4-8AF7-40E1-8C49-946448CA6A6D}"/>
    <cellStyle name="Input 15 3 3" xfId="14486" xr:uid="{FB2C8D39-0939-437E-9659-0D57E0D9AB86}"/>
    <cellStyle name="Input 15 4" xfId="14487" xr:uid="{CDBE8C31-8E1F-4A9E-BDF5-8D9A3DFB0DD4}"/>
    <cellStyle name="Input 15 4 2" xfId="14488" xr:uid="{AB328F65-A1C6-4A2A-9E35-7C2CF7FFBF87}"/>
    <cellStyle name="Input 15 4 3" xfId="14489" xr:uid="{8A3940FE-00F7-4AB8-8DC5-5C31891F9154}"/>
    <cellStyle name="Input 15 5" xfId="14490" xr:uid="{48BF0886-2791-4523-8262-FC9492BB5B9F}"/>
    <cellStyle name="Input 15 6" xfId="14491" xr:uid="{A1C7DB8C-F2F8-4B9F-BDC4-BFA71E4534E6}"/>
    <cellStyle name="Input 15 7" xfId="14492" xr:uid="{955B81D1-6111-4BF7-AE6A-249848329C57}"/>
    <cellStyle name="Input 15 8" xfId="14493" xr:uid="{E7697C88-BC9C-47D9-A7F8-31FD4A81E088}"/>
    <cellStyle name="Input 16" xfId="14494" xr:uid="{37A7BD96-1D46-40E9-A444-BF3F6A7F4B23}"/>
    <cellStyle name="Input 16 2" xfId="14495" xr:uid="{EA62EE24-4BEE-4611-B7CE-1E7E78252DCA}"/>
    <cellStyle name="Input 16 2 2" xfId="14496" xr:uid="{A92AC083-1E81-4415-A46D-91691C1C7BC7}"/>
    <cellStyle name="Input 16 2 2 2" xfId="14497" xr:uid="{A3990E8D-1777-4BDF-AD01-E51779DA3428}"/>
    <cellStyle name="Input 16 2 2 3" xfId="14498" xr:uid="{47951FEE-8CBB-44FD-9C47-219F1156C86B}"/>
    <cellStyle name="Input 16 2 3" xfId="14499" xr:uid="{87C44C06-EA66-4D43-80DA-AEB2364C0066}"/>
    <cellStyle name="Input 16 2 3 2" xfId="14500" xr:uid="{4F1D53D5-1F61-46B0-B885-10E75A12694E}"/>
    <cellStyle name="Input 16 2 3 3" xfId="14501" xr:uid="{542B9228-DA14-48EA-9B08-105B68455E7C}"/>
    <cellStyle name="Input 16 2 4" xfId="14502" xr:uid="{81B7A4C9-5E8E-4957-BB6B-30579A7152F9}"/>
    <cellStyle name="Input 16 2 5" xfId="14503" xr:uid="{6BDA0005-4CBD-40F8-91EB-BB91D2977109}"/>
    <cellStyle name="Input 16 2 6" xfId="14504" xr:uid="{84BFCCA0-BC66-4CF5-BBEB-E3BE1C62FDD4}"/>
    <cellStyle name="Input 16 2 7" xfId="14505" xr:uid="{8E0B8465-1D17-43DA-B0DE-68E0EDE5C915}"/>
    <cellStyle name="Input 16 3" xfId="14506" xr:uid="{74A3B46B-0F7A-4959-A9C3-9E6241C1F18A}"/>
    <cellStyle name="Input 16 3 2" xfId="14507" xr:uid="{38486E8C-3D3B-434A-9EEB-A85AFD24FE2B}"/>
    <cellStyle name="Input 16 3 3" xfId="14508" xr:uid="{A2934759-5CD1-4ECF-BE38-0BB6BD2C4736}"/>
    <cellStyle name="Input 16 4" xfId="14509" xr:uid="{1B0D95B8-4232-47F6-8E97-EFDE4A0BFA50}"/>
    <cellStyle name="Input 16 4 2" xfId="14510" xr:uid="{47C0F5E1-9DEA-4615-91F4-2E085D6B7890}"/>
    <cellStyle name="Input 16 4 3" xfId="14511" xr:uid="{94429ACC-622F-4586-83DD-A9717C24DA8F}"/>
    <cellStyle name="Input 16 5" xfId="14512" xr:uid="{8F19EDDC-AC06-422F-B061-9A4CBCD0F19A}"/>
    <cellStyle name="Input 16 6" xfId="14513" xr:uid="{AEB509E4-3495-425A-8F3E-A8BE53A4AC7F}"/>
    <cellStyle name="Input 16 7" xfId="14514" xr:uid="{52476A29-7BC6-465C-9E9E-28046540F22B}"/>
    <cellStyle name="Input 16 8" xfId="14515" xr:uid="{2FF652A6-A813-4C68-997D-F09A1FF87A10}"/>
    <cellStyle name="Input 17" xfId="14516" xr:uid="{4A831596-ACFB-426C-95EF-BB3E3262AB3A}"/>
    <cellStyle name="Input 17 2" xfId="14517" xr:uid="{E245B210-AEA9-4302-BE4E-D4AA6D76B43B}"/>
    <cellStyle name="Input 17 2 2" xfId="14518" xr:uid="{AA0AA451-8BB0-4CC3-859D-B1D016DBCCD2}"/>
    <cellStyle name="Input 17 2 2 2" xfId="14519" xr:uid="{875902C5-750C-4F73-A764-20DA360EE95E}"/>
    <cellStyle name="Input 17 2 2 3" xfId="14520" xr:uid="{5451BDA6-B18A-4C6A-92D1-576B32E2EACB}"/>
    <cellStyle name="Input 17 2 3" xfId="14521" xr:uid="{34118273-899F-41D5-9D8A-9B71BBAE2765}"/>
    <cellStyle name="Input 17 2 3 2" xfId="14522" xr:uid="{1C0190D2-2961-462C-9AC8-E4E61C53647B}"/>
    <cellStyle name="Input 17 2 3 3" xfId="14523" xr:uid="{2822C9A8-8122-4D1E-9C54-43D573301FA2}"/>
    <cellStyle name="Input 17 2 4" xfId="14524" xr:uid="{880109CE-A610-4E07-8D7D-3C9EBC9B2778}"/>
    <cellStyle name="Input 17 2 5" xfId="14525" xr:uid="{29F37C27-2E5D-491F-AC18-FAB0005D891E}"/>
    <cellStyle name="Input 17 2 6" xfId="14526" xr:uid="{29D18542-D281-487A-B368-DE5399EB8BEA}"/>
    <cellStyle name="Input 17 2 7" xfId="14527" xr:uid="{D3DE19DB-6BE7-413C-A83C-1EB91BE1585B}"/>
    <cellStyle name="Input 17 3" xfId="14528" xr:uid="{95570679-4C11-440C-85E6-BF7C58712B8F}"/>
    <cellStyle name="Input 17 3 2" xfId="14529" xr:uid="{7DECC4A1-A5A1-4DB8-889D-9EDECA5E6BE3}"/>
    <cellStyle name="Input 17 3 3" xfId="14530" xr:uid="{021B7E43-D1F8-4BBD-80CB-9913ADBC9AB7}"/>
    <cellStyle name="Input 17 4" xfId="14531" xr:uid="{0977119F-FE94-4081-A1F2-04ADFD1E44B2}"/>
    <cellStyle name="Input 17 4 2" xfId="14532" xr:uid="{6B903BD9-9261-42A8-963F-FC79A4231F38}"/>
    <cellStyle name="Input 17 4 3" xfId="14533" xr:uid="{759D63A4-AF45-471D-9AFB-B1128DB177A2}"/>
    <cellStyle name="Input 17 5" xfId="14534" xr:uid="{A2EB3481-28CB-4977-BB53-EA46F1823EE9}"/>
    <cellStyle name="Input 17 6" xfId="14535" xr:uid="{5C07378A-64A2-489B-BB0A-FF304CE5C463}"/>
    <cellStyle name="Input 17 7" xfId="14536" xr:uid="{9D35B362-DA6A-4B8D-BF3F-B45F312203C0}"/>
    <cellStyle name="Input 17 8" xfId="14537" xr:uid="{0987117E-3FF1-4F5B-B321-68DF2D86589B}"/>
    <cellStyle name="Input 18" xfId="14538" xr:uid="{C7FC4491-039D-4B24-9F5D-2D1106899961}"/>
    <cellStyle name="Input 18 2" xfId="14539" xr:uid="{70C9D611-CA4D-4F4B-83B2-D66E77BD45CE}"/>
    <cellStyle name="Input 18 2 2" xfId="14540" xr:uid="{4AC44825-41FE-4B18-860C-5A35C2BD7555}"/>
    <cellStyle name="Input 18 2 2 2" xfId="14541" xr:uid="{8A99E23B-7040-4B06-A1B8-2C8CA2B5D2A6}"/>
    <cellStyle name="Input 18 2 2 3" xfId="14542" xr:uid="{ECB24A64-4D06-476B-B673-48ED17A05471}"/>
    <cellStyle name="Input 18 2 3" xfId="14543" xr:uid="{E5ACB23F-6E6B-4CE8-8007-1325FACF5102}"/>
    <cellStyle name="Input 18 2 3 2" xfId="14544" xr:uid="{9FE8DCB5-0B76-457C-8A5F-D5CE60B7F8D0}"/>
    <cellStyle name="Input 18 2 3 3" xfId="14545" xr:uid="{391F7749-CD4E-4223-B45D-825C5867DD25}"/>
    <cellStyle name="Input 18 2 4" xfId="14546" xr:uid="{A1E4815C-7902-4884-8847-0AE1C9867740}"/>
    <cellStyle name="Input 18 2 5" xfId="14547" xr:uid="{4D43522B-AB09-44E4-9B83-B70D46749EF4}"/>
    <cellStyle name="Input 18 2 6" xfId="14548" xr:uid="{D756DAC9-043E-4ABE-9F87-0B45C4F2A1C2}"/>
    <cellStyle name="Input 18 2 7" xfId="14549" xr:uid="{781E8ADE-DA3D-45F9-AD64-C041860E5CA4}"/>
    <cellStyle name="Input 18 3" xfId="14550" xr:uid="{DDCD6C07-1AD6-4252-B487-4E992593AEE9}"/>
    <cellStyle name="Input 18 3 2" xfId="14551" xr:uid="{BA320AB2-09E3-4F06-975C-692183B4C5BB}"/>
    <cellStyle name="Input 18 3 3" xfId="14552" xr:uid="{2D68B5C5-EB44-4E1E-9442-608AB8D55E96}"/>
    <cellStyle name="Input 18 4" xfId="14553" xr:uid="{F6811922-3CF1-4CE8-9B41-DF0118CB59C9}"/>
    <cellStyle name="Input 18 4 2" xfId="14554" xr:uid="{F78694FE-C839-495B-84D3-10E39FEE2091}"/>
    <cellStyle name="Input 18 4 3" xfId="14555" xr:uid="{973924D9-B03C-480F-8C02-2AB72BE18B17}"/>
    <cellStyle name="Input 18 5" xfId="14556" xr:uid="{066F4853-8FC5-421C-B429-3576DDCF6712}"/>
    <cellStyle name="Input 18 6" xfId="14557" xr:uid="{3B65DD48-FBF1-48BB-9F61-56BAAAF8C03E}"/>
    <cellStyle name="Input 18 7" xfId="14558" xr:uid="{6862114A-F8A3-4154-9E84-9ED70A7237B2}"/>
    <cellStyle name="Input 18 8" xfId="14559" xr:uid="{B82F3B7E-86BD-482D-A8A9-89C4D6CCCBAB}"/>
    <cellStyle name="Input 19" xfId="14560" xr:uid="{BCA71867-0D76-4B0B-86FC-085E30343198}"/>
    <cellStyle name="Input 19 2" xfId="14561" xr:uid="{D4926FD7-11D9-4D0D-A024-E8EBE2953EB3}"/>
    <cellStyle name="Input 19 2 2" xfId="14562" xr:uid="{4811AA35-2FA5-4E92-9A53-072D32C5ACA5}"/>
    <cellStyle name="Input 19 2 2 2" xfId="14563" xr:uid="{E74F885F-B11A-459C-A95E-289AD91DD5D9}"/>
    <cellStyle name="Input 19 2 2 3" xfId="14564" xr:uid="{09498E74-4025-4F89-A1D3-3A79CBC58753}"/>
    <cellStyle name="Input 19 2 3" xfId="14565" xr:uid="{292B47EE-83C1-4BB3-8E26-18459F31E71B}"/>
    <cellStyle name="Input 19 2 3 2" xfId="14566" xr:uid="{47C433C3-D8B4-4BFF-8B2F-A87340F652DD}"/>
    <cellStyle name="Input 19 2 3 3" xfId="14567" xr:uid="{9D91F35C-0533-48C0-AD44-1F723D89BD96}"/>
    <cellStyle name="Input 19 2 4" xfId="14568" xr:uid="{A8BB7ADC-9D44-48DC-B60F-13223CF63ADC}"/>
    <cellStyle name="Input 19 2 5" xfId="14569" xr:uid="{CB256DAE-F532-4A4B-96EC-9EACBADDAD16}"/>
    <cellStyle name="Input 19 2 6" xfId="14570" xr:uid="{C55FA4D7-C0A7-4E32-92BE-0CFC329165F9}"/>
    <cellStyle name="Input 19 2 7" xfId="14571" xr:uid="{C252ED1E-B409-47EE-918A-BC39F164835B}"/>
    <cellStyle name="Input 19 3" xfId="14572" xr:uid="{7340A8AF-2510-47B7-AFF9-8093C9C3B8EF}"/>
    <cellStyle name="Input 19 3 2" xfId="14573" xr:uid="{22E12652-0B4D-4838-ABE5-0AE9DE257CCA}"/>
    <cellStyle name="Input 19 3 3" xfId="14574" xr:uid="{C51D6841-ACA3-4E4D-8AB1-CB4CAF00649B}"/>
    <cellStyle name="Input 19 4" xfId="14575" xr:uid="{AECDDBA6-54BA-4B79-BCF6-2C626018C9FE}"/>
    <cellStyle name="Input 19 4 2" xfId="14576" xr:uid="{9F173361-49E2-46E4-BC50-3C41D39E9925}"/>
    <cellStyle name="Input 19 4 3" xfId="14577" xr:uid="{4674E9F9-EA88-44D5-BB33-FC259F169BAC}"/>
    <cellStyle name="Input 19 5" xfId="14578" xr:uid="{2B6B1344-0080-4449-BB9C-99EF133D4F0E}"/>
    <cellStyle name="Input 19 6" xfId="14579" xr:uid="{E5369470-2507-4367-B779-51B29436FCF7}"/>
    <cellStyle name="Input 19 7" xfId="14580" xr:uid="{12CBDCD1-E3BA-40F9-B4A2-010EE948F911}"/>
    <cellStyle name="Input 19 8" xfId="14581" xr:uid="{D12CC2FE-F2AB-4B6A-8B76-B76EEC3825BF}"/>
    <cellStyle name="Input 2" xfId="14582" xr:uid="{5053EAA0-E856-432C-9EBF-E76D2323F5BB}"/>
    <cellStyle name="Input 2 10" xfId="14583" xr:uid="{39B74EA5-8207-498A-98A8-45429D92F642}"/>
    <cellStyle name="Input 2 11" xfId="14584" xr:uid="{42B36E22-E251-48D1-8E41-1F81C7B3E78C}"/>
    <cellStyle name="Input 2 12" xfId="14585" xr:uid="{AE3F7346-E6FE-4448-AAFF-DBE5AD572EAA}"/>
    <cellStyle name="Input 2 13" xfId="14586" xr:uid="{530F2965-EC50-4800-B9F0-68879A9CFD2C}"/>
    <cellStyle name="Input 2 2" xfId="14587" xr:uid="{4F008BAC-D825-484B-8D7A-5265B15F910C}"/>
    <cellStyle name="Input 2 2 2" xfId="14588" xr:uid="{C5F230B4-28EA-4450-8925-CA0F23C2E6C5}"/>
    <cellStyle name="Input 2 2 2 2" xfId="14589" xr:uid="{9BBC4E32-8C17-4B4F-8B69-3CB51B164E12}"/>
    <cellStyle name="Input 2 2 2 3" xfId="14590" xr:uid="{B9A849D3-7012-4D59-AD04-701B19F287E2}"/>
    <cellStyle name="Input 2 2 3" xfId="14591" xr:uid="{BF838EF0-6784-4758-B537-0317FCB6109C}"/>
    <cellStyle name="Input 2 2 3 2" xfId="14592" xr:uid="{F17719BE-BDA0-42D4-9F97-664E3DCF0763}"/>
    <cellStyle name="Input 2 2 3 3" xfId="14593" xr:uid="{256AAFE5-FC12-426D-B341-2E20F79B9ACE}"/>
    <cellStyle name="Input 2 2 4" xfId="14594" xr:uid="{F278EE0B-45DA-43F6-A4DB-CF6A59AF9F81}"/>
    <cellStyle name="Input 2 2 5" xfId="14595" xr:uid="{53016D97-F098-4744-9E9B-E3E17BC9E86F}"/>
    <cellStyle name="Input 2 2 6" xfId="14596" xr:uid="{4FF68260-6870-4835-BE32-2EEE8AC6D6DD}"/>
    <cellStyle name="Input 2 2 7" xfId="14597" xr:uid="{9EC06280-4124-4D19-8F6D-347DBF87DD5A}"/>
    <cellStyle name="Input 2 2 8" xfId="14598" xr:uid="{48C138DA-2C79-41B5-9F85-F25F94AF6496}"/>
    <cellStyle name="Input 2 3" xfId="14599" xr:uid="{74D0ADD5-E934-4098-8F8E-25904AFD257A}"/>
    <cellStyle name="Input 2 3 2" xfId="14600" xr:uid="{23906B25-0008-4DD1-824F-A7C7C4D985A8}"/>
    <cellStyle name="Input 2 3 3" xfId="14601" xr:uid="{68D183A3-B045-4CB6-919E-77A45A05D4D6}"/>
    <cellStyle name="Input 2 3 3 2" xfId="14602" xr:uid="{58363080-E217-49DD-B2E8-80536B53C27B}"/>
    <cellStyle name="Input 2 3 3 3" xfId="14603" xr:uid="{48BFF263-9686-46D9-A0E5-065A91110DC3}"/>
    <cellStyle name="Input 2 3 4" xfId="14604" xr:uid="{77640C13-53FA-41E1-A76A-DB4AE7CD035C}"/>
    <cellStyle name="Input 2 3 5" xfId="14605" xr:uid="{25A3DC22-0012-4CD4-84DF-4F4FE6D3788F}"/>
    <cellStyle name="Input 2 4" xfId="14606" xr:uid="{144DBC45-D034-4678-B5B0-0A18A3C78175}"/>
    <cellStyle name="Input 2 4 2" xfId="14607" xr:uid="{438E6556-89E5-4E53-BC57-285A1963AEF9}"/>
    <cellStyle name="Input 2 4 3" xfId="14608" xr:uid="{044DE17F-F501-43AD-A3F8-89CFBF8A16AD}"/>
    <cellStyle name="Input 2 4 4" xfId="14609" xr:uid="{D6F6E6F5-2502-4045-9625-7597705B4DA3}"/>
    <cellStyle name="Input 2 5" xfId="14610" xr:uid="{21D84ADA-4459-473E-AD4F-B4A197C5A443}"/>
    <cellStyle name="Input 2 6" xfId="14611" xr:uid="{E5B2C599-0885-42B5-8E7B-3B95792ED218}"/>
    <cellStyle name="Input 2 7" xfId="14612" xr:uid="{602BAA37-6FC2-456C-9841-A3AAEFC6DD8B}"/>
    <cellStyle name="Input 2 8" xfId="14613" xr:uid="{4D599720-7761-448B-A291-D6687259678A}"/>
    <cellStyle name="Input 2 9" xfId="14614" xr:uid="{D9053EB7-D0B5-481B-891F-59C6F0EE7763}"/>
    <cellStyle name="Input 2_PwrTax 51040" xfId="14615" xr:uid="{359140C6-16C9-42EA-8EBA-722C40D4D7B2}"/>
    <cellStyle name="Input 20" xfId="14616" xr:uid="{9422E67A-323F-4A36-8908-74019CB6992F}"/>
    <cellStyle name="Input 20 2" xfId="14617" xr:uid="{D8747F8C-18BB-450A-B433-88827D9F82AF}"/>
    <cellStyle name="Input 20 2 2" xfId="14618" xr:uid="{C8604E6B-E91F-415C-A09F-CE4F1600E9F4}"/>
    <cellStyle name="Input 20 2 3" xfId="14619" xr:uid="{CEE323B2-24C9-48F4-AD29-9E0546B7ADBB}"/>
    <cellStyle name="Input 20 3" xfId="14620" xr:uid="{A2B4EC62-BFF3-4F99-98A5-220A5B7ACC00}"/>
    <cellStyle name="Input 20 3 2" xfId="14621" xr:uid="{407436E9-2C45-4D6A-BB9E-B34DE5D0D470}"/>
    <cellStyle name="Input 20 3 3" xfId="14622" xr:uid="{A5DA4079-C5D1-48D5-9D7A-02159F3F7565}"/>
    <cellStyle name="Input 20 4" xfId="14623" xr:uid="{251AED11-B8E5-4E25-8145-A44218DFEE4D}"/>
    <cellStyle name="Input 20 5" xfId="14624" xr:uid="{454E2DF4-B7F9-44D9-ACCF-7D073BBE4711}"/>
    <cellStyle name="Input 20 6" xfId="14625" xr:uid="{E1F38C8E-4AF4-4F85-A2D0-E9597038AD06}"/>
    <cellStyle name="Input 20 7" xfId="14626" xr:uid="{47D4ABB5-B609-4A74-9F39-E6B098957BD3}"/>
    <cellStyle name="Input 21" xfId="14627" xr:uid="{DE07C8F6-2176-4C54-90D0-9428946C2C28}"/>
    <cellStyle name="Input 21 2" xfId="14628" xr:uid="{D856BE4C-11A8-44E0-BF18-407ABE3E1445}"/>
    <cellStyle name="Input 21 2 2" xfId="14629" xr:uid="{45DAB8FF-E94E-4FCE-9550-415C07B8593C}"/>
    <cellStyle name="Input 21 2 3" xfId="14630" xr:uid="{7B4C0DAC-1B48-4E04-A50D-58914DE1B8B5}"/>
    <cellStyle name="Input 21 3" xfId="14631" xr:uid="{6FC50342-E4A0-40FC-8533-2E3D3947EF4E}"/>
    <cellStyle name="Input 21 3 2" xfId="14632" xr:uid="{22744AEB-BEA6-443F-9F05-B3C01667F63F}"/>
    <cellStyle name="Input 21 3 3" xfId="14633" xr:uid="{5446B4AF-8183-4C32-90D0-09F35172F3C4}"/>
    <cellStyle name="Input 21 4" xfId="14634" xr:uid="{5DF727C5-F44A-4D17-8B5F-4C23D9302B25}"/>
    <cellStyle name="Input 21 5" xfId="14635" xr:uid="{DAC9C36B-5D43-488A-92E9-C8EA1DF615F4}"/>
    <cellStyle name="Input 21 6" xfId="14636" xr:uid="{DEA85E44-781D-48B4-8427-9F5AF3F516EC}"/>
    <cellStyle name="Input 21 7" xfId="14637" xr:uid="{013D9379-F232-4969-9059-D8E0551570B2}"/>
    <cellStyle name="Input 22" xfId="14638" xr:uid="{83CE6F43-5ED5-4DB8-8F42-5531CF401637}"/>
    <cellStyle name="Input 22 2" xfId="14639" xr:uid="{3E1F1F07-86EA-45B1-841A-BB17F6B091B4}"/>
    <cellStyle name="Input 22 2 2" xfId="14640" xr:uid="{BB37563D-895F-4CD6-9E33-FB2E0D577F67}"/>
    <cellStyle name="Input 22 2 3" xfId="14641" xr:uid="{5899BCFC-747E-4E46-B5BC-A28EC93EEE51}"/>
    <cellStyle name="Input 22 3" xfId="14642" xr:uid="{2CD4D0E4-BB29-4D8F-9299-2AAD2F25CBF7}"/>
    <cellStyle name="Input 22 3 2" xfId="14643" xr:uid="{81F1879F-E636-4B2B-8747-AE95CB1C3FCD}"/>
    <cellStyle name="Input 22 3 3" xfId="14644" xr:uid="{28ACB8EA-38CC-4309-8B9B-05E263F3A4E9}"/>
    <cellStyle name="Input 22 4" xfId="14645" xr:uid="{A4F435EF-6D45-4884-9D00-B768155CE056}"/>
    <cellStyle name="Input 22 5" xfId="14646" xr:uid="{13B7193B-A185-4A2C-AA87-A3D8707B95C4}"/>
    <cellStyle name="Input 22 6" xfId="14647" xr:uid="{46EB6A16-4EBA-443F-9A74-2695D9315DF4}"/>
    <cellStyle name="Input 22 7" xfId="14648" xr:uid="{A6EDF8BC-572C-4F5F-9ADE-2204396AF417}"/>
    <cellStyle name="Input 23" xfId="14649" xr:uid="{A5D11BB8-E055-4777-A8DD-B6868C1DE2D0}"/>
    <cellStyle name="Input 23 2" xfId="14650" xr:uid="{580AD5DA-010A-4742-A74A-30758089A04B}"/>
    <cellStyle name="Input 23 2 2" xfId="14651" xr:uid="{96E2CBDE-3512-414A-9A52-2729C29D535D}"/>
    <cellStyle name="Input 23 2 3" xfId="14652" xr:uid="{C343F723-B965-4546-9C6B-0C39189EA94B}"/>
    <cellStyle name="Input 23 3" xfId="14653" xr:uid="{C7AB7ADF-04E9-4740-A6E0-927E9437E847}"/>
    <cellStyle name="Input 23 3 2" xfId="14654" xr:uid="{C535CF78-3909-43C1-8882-2BBB0B02E108}"/>
    <cellStyle name="Input 23 3 3" xfId="14655" xr:uid="{21F02374-25C1-4235-B9C6-94DCE6787F1C}"/>
    <cellStyle name="Input 23 4" xfId="14656" xr:uid="{61BBD5F8-BF6C-4243-B084-E3A4C6F605EF}"/>
    <cellStyle name="Input 23 5" xfId="14657" xr:uid="{FC52AB87-9A1A-49B6-9FE3-817102410A25}"/>
    <cellStyle name="Input 23 6" xfId="14658" xr:uid="{7A8A27A6-CD71-4A89-90F7-A986EDBE12CD}"/>
    <cellStyle name="Input 23 7" xfId="14659" xr:uid="{FA879616-CA49-414A-AC96-5CD6CB4B4E91}"/>
    <cellStyle name="Input 24" xfId="14660" xr:uid="{88AF846E-B57C-498E-9D45-903F57689231}"/>
    <cellStyle name="Input 24 2" xfId="14661" xr:uid="{4FC19A43-9254-4142-AC38-B7CBDA9500F1}"/>
    <cellStyle name="Input 24 2 2" xfId="14662" xr:uid="{333B869C-B95E-411C-A27C-8CC86573862E}"/>
    <cellStyle name="Input 24 2 3" xfId="14663" xr:uid="{4F1E141B-A665-4B0A-B3F7-95C2255655B1}"/>
    <cellStyle name="Input 24 3" xfId="14664" xr:uid="{82D6E12D-2C57-4E35-9C5F-87D049D05B13}"/>
    <cellStyle name="Input 24 3 2" xfId="14665" xr:uid="{06F94887-E994-4A7A-A068-13D0C23B4CB4}"/>
    <cellStyle name="Input 24 3 3" xfId="14666" xr:uid="{3CD53A07-6870-432A-A9F4-20677E3A8959}"/>
    <cellStyle name="Input 24 4" xfId="14667" xr:uid="{68B04568-DA9F-4C7A-BF62-A70BE857BB67}"/>
    <cellStyle name="Input 24 5" xfId="14668" xr:uid="{86D52FBD-3F96-4179-B674-67B69741E813}"/>
    <cellStyle name="Input 24 6" xfId="14669" xr:uid="{37A3A7D7-D16A-46F7-8343-4573A75D1EE3}"/>
    <cellStyle name="Input 24 7" xfId="14670" xr:uid="{DBCC7453-BC06-4D06-8B48-5E4739881580}"/>
    <cellStyle name="Input 25" xfId="14671" xr:uid="{3ED47237-B223-4B7B-B7B2-37C3D5390E20}"/>
    <cellStyle name="Input 25 2" xfId="14672" xr:uid="{51421DAE-A7B2-4461-B0CB-07DFC3D0D737}"/>
    <cellStyle name="Input 25 2 2" xfId="14673" xr:uid="{960576EE-4E39-4CD6-8C88-E4B630AFF0A4}"/>
    <cellStyle name="Input 25 2 3" xfId="14674" xr:uid="{22B9A5E8-2F34-45D2-BACE-A899FB065D47}"/>
    <cellStyle name="Input 25 3" xfId="14675" xr:uid="{74EC5446-52D7-4BF3-8BAF-6A9FCB1F4D83}"/>
    <cellStyle name="Input 25 3 2" xfId="14676" xr:uid="{9B9CE4F7-3723-4C3F-ACA5-F8650F474436}"/>
    <cellStyle name="Input 25 3 3" xfId="14677" xr:uid="{20954947-C3A2-4981-9B00-33DB9406859C}"/>
    <cellStyle name="Input 25 4" xfId="14678" xr:uid="{924F4294-057F-462C-BE1E-72993442D157}"/>
    <cellStyle name="Input 25 5" xfId="14679" xr:uid="{7704584C-5D8B-4DBF-A7B4-4455F535A881}"/>
    <cellStyle name="Input 25 6" xfId="14680" xr:uid="{4DD89D65-8C97-46EF-A60B-D97BF43E62E8}"/>
    <cellStyle name="Input 25 7" xfId="14681" xr:uid="{813CA9E0-524A-4078-80F0-62668287135B}"/>
    <cellStyle name="Input 26" xfId="14682" xr:uid="{874503FA-18D3-455D-BE98-717AFA8CB6EA}"/>
    <cellStyle name="Input 26 2" xfId="14683" xr:uid="{769002D5-10F5-494D-8083-8CDF8A8F9E70}"/>
    <cellStyle name="Input 26 2 2" xfId="14684" xr:uid="{EA3CCE1C-DB50-4897-806E-7C539CEF184F}"/>
    <cellStyle name="Input 26 2 3" xfId="14685" xr:uid="{AF7E13EB-B7D4-443A-A64D-8871BCF40CAC}"/>
    <cellStyle name="Input 26 3" xfId="14686" xr:uid="{B077B00B-0774-4E09-A880-A971434204A0}"/>
    <cellStyle name="Input 26 3 2" xfId="14687" xr:uid="{FD741B9C-C8A5-4DDA-B390-12DA5E27926F}"/>
    <cellStyle name="Input 26 3 3" xfId="14688" xr:uid="{2F440D5B-4798-498F-8F10-A4B40CA7E5A5}"/>
    <cellStyle name="Input 26 4" xfId="14689" xr:uid="{CC5D16A9-285D-43E4-8672-24D7355D4D20}"/>
    <cellStyle name="Input 26 5" xfId="14690" xr:uid="{183ED3AD-D849-4800-A121-5BDAF73957C5}"/>
    <cellStyle name="Input 26 6" xfId="14691" xr:uid="{D908BA02-8E9D-4EB7-B014-B09976FB8392}"/>
    <cellStyle name="Input 26 7" xfId="14692" xr:uid="{218EE2DE-D351-4D42-A506-92A6F6682B88}"/>
    <cellStyle name="Input 27" xfId="14693" xr:uid="{F8DCA9BB-2017-4D5E-9F6A-0C42DD8C23A2}"/>
    <cellStyle name="Input 27 2" xfId="14694" xr:uid="{DEAA8530-1A14-443B-85E3-1767478B7842}"/>
    <cellStyle name="Input 27 2 2" xfId="14695" xr:uid="{DD86BC91-7B22-4766-AAE1-7E383C57B2AC}"/>
    <cellStyle name="Input 27 2 3" xfId="14696" xr:uid="{13E3D12B-B6F3-438F-8900-91272303DF2D}"/>
    <cellStyle name="Input 27 3" xfId="14697" xr:uid="{C1372B8A-D59E-4B39-B364-E634163374B1}"/>
    <cellStyle name="Input 27 3 2" xfId="14698" xr:uid="{411B365A-C33F-48CA-8712-993946D7F792}"/>
    <cellStyle name="Input 27 3 3" xfId="14699" xr:uid="{AF403530-836D-47BF-8F33-3EAA2B3908D3}"/>
    <cellStyle name="Input 27 4" xfId="14700" xr:uid="{91EF0B6D-F219-4470-88D5-DC085D2CB868}"/>
    <cellStyle name="Input 27 5" xfId="14701" xr:uid="{DFA842B3-B41D-4BF6-910E-742825333444}"/>
    <cellStyle name="Input 27 6" xfId="14702" xr:uid="{FDCA4E5F-CA4C-4D19-8D41-3E3FB2A517AF}"/>
    <cellStyle name="Input 27 7" xfId="14703" xr:uid="{BD94DC8E-5666-4F90-8BB8-D62224199D5C}"/>
    <cellStyle name="Input 28" xfId="14704" xr:uid="{EC5822C0-4E58-4BA7-931C-D84278734D67}"/>
    <cellStyle name="Input 28 2" xfId="14705" xr:uid="{92E7AB13-0CC2-4EC2-BE74-31C298B44410}"/>
    <cellStyle name="Input 28 2 2" xfId="14706" xr:uid="{FC3122F6-D1AA-46A5-82A6-05E750D23C02}"/>
    <cellStyle name="Input 28 2 3" xfId="14707" xr:uid="{1ED9382B-34F3-443D-AF21-F7A09526A2E6}"/>
    <cellStyle name="Input 28 3" xfId="14708" xr:uid="{1704FF68-A6EB-421F-8028-AC2AE896B3AB}"/>
    <cellStyle name="Input 28 3 2" xfId="14709" xr:uid="{7E715FE7-74B1-4B74-AD4A-F3F2182DCF1B}"/>
    <cellStyle name="Input 28 3 3" xfId="14710" xr:uid="{6554508F-7F2A-43C3-AA10-CBA12866E514}"/>
    <cellStyle name="Input 28 4" xfId="14711" xr:uid="{D2F4DAE4-E557-46E4-AA1F-93E970DFBEAB}"/>
    <cellStyle name="Input 28 5" xfId="14712" xr:uid="{560C161E-4098-4B48-9E37-B5ECC3D55FDA}"/>
    <cellStyle name="Input 28 6" xfId="14713" xr:uid="{DC45EAD9-2423-4442-83BB-9A93D3689FF9}"/>
    <cellStyle name="Input 28 7" xfId="14714" xr:uid="{482FAF56-7995-4E9F-8815-EE63F552F55A}"/>
    <cellStyle name="Input 29" xfId="14715" xr:uid="{5795D0F9-9F8B-4184-BD08-FDE7D6EBADAB}"/>
    <cellStyle name="Input 29 2" xfId="14716" xr:uid="{9467FADD-2C68-4A1F-B655-36BF83E686BA}"/>
    <cellStyle name="Input 29 2 2" xfId="14717" xr:uid="{D105FD58-B208-4D03-B221-80060971B357}"/>
    <cellStyle name="Input 29 2 3" xfId="14718" xr:uid="{65E4C6FB-02BA-4A06-A2EC-41F657380396}"/>
    <cellStyle name="Input 29 3" xfId="14719" xr:uid="{A1899437-23B8-48F5-9E2C-77B9D900C1FA}"/>
    <cellStyle name="Input 29 3 2" xfId="14720" xr:uid="{6D830061-0EE0-41C5-BD12-C77B93DC7007}"/>
    <cellStyle name="Input 29 3 3" xfId="14721" xr:uid="{8EC05F91-EEE2-4B00-99B9-BDB47007043D}"/>
    <cellStyle name="Input 29 4" xfId="14722" xr:uid="{F910FA85-3761-4B33-9365-35FD500910DF}"/>
    <cellStyle name="Input 29 5" xfId="14723" xr:uid="{871891DF-EF4F-4E61-99BF-BC31DD99C02A}"/>
    <cellStyle name="Input 29 6" xfId="14724" xr:uid="{61AAD395-5F43-46E0-B2F8-783C2E3DD385}"/>
    <cellStyle name="Input 29 7" xfId="14725" xr:uid="{0A38D122-89DA-444E-8C29-1ECDE25F0320}"/>
    <cellStyle name="Input 3" xfId="14726" xr:uid="{8C30E56A-139C-4AF2-AD10-BF8C725D3514}"/>
    <cellStyle name="Input 3 2" xfId="14727" xr:uid="{24CBD1CA-2E9B-4CB3-8425-81455BA3DDD9}"/>
    <cellStyle name="Input 3 2 2" xfId="14728" xr:uid="{8DE2C840-E23E-4761-B596-BEF9425F5506}"/>
    <cellStyle name="Input 3 2 2 2" xfId="14729" xr:uid="{DB86686C-6E8F-4AA9-8EE7-3A1F535B9A85}"/>
    <cellStyle name="Input 3 2 2 3" xfId="14730" xr:uid="{E83599A2-6323-4C3A-A31E-0125DCC84876}"/>
    <cellStyle name="Input 3 2 3" xfId="14731" xr:uid="{16E27512-DF51-4DA4-B22E-F92168BB698A}"/>
    <cellStyle name="Input 3 2 3 2" xfId="14732" xr:uid="{A2EDF0F7-B546-4202-90DA-72F89D23608C}"/>
    <cellStyle name="Input 3 2 3 3" xfId="14733" xr:uid="{60FA50E1-DB49-4088-8A71-9C44136DECBD}"/>
    <cellStyle name="Input 3 2 4" xfId="14734" xr:uid="{A6AF0FC8-3B48-4FEE-A4B2-6583C28BC25B}"/>
    <cellStyle name="Input 3 2 5" xfId="14735" xr:uid="{6EE22CB0-A6CF-498F-A840-94979CA02AF6}"/>
    <cellStyle name="Input 3 2 6" xfId="14736" xr:uid="{37AA5474-6245-46CA-BFA1-CDDF22FC5346}"/>
    <cellStyle name="Input 3 2 7" xfId="14737" xr:uid="{30BE2E6E-E650-480D-9397-576770BBF6BA}"/>
    <cellStyle name="Input 3 3" xfId="14738" xr:uid="{1DF687C8-DD1E-444D-976F-8F791858681C}"/>
    <cellStyle name="Input 3 3 2" xfId="14739" xr:uid="{175E2786-3FC0-4B55-9FB4-40730FB1A6C9}"/>
    <cellStyle name="Input 3 3 2 2" xfId="14740" xr:uid="{13C3A7E4-3AD2-453A-A8A9-A871DB466B9D}"/>
    <cellStyle name="Input 3 3 2 3" xfId="14741" xr:uid="{7C9F58E6-FBEC-4C9C-A7D4-BEC433470B48}"/>
    <cellStyle name="Input 3 3 3" xfId="14742" xr:uid="{55639C1B-2144-4F15-A87D-DF93099EDB31}"/>
    <cellStyle name="Input 3 3 4" xfId="14743" xr:uid="{B8A11DEF-BA12-450F-9ED9-9E45B8F6F420}"/>
    <cellStyle name="Input 3 3 5" xfId="14744" xr:uid="{F6208FCB-1323-4A87-9883-1C5055909948}"/>
    <cellStyle name="Input 3 3 6" xfId="14745" xr:uid="{6D5CCD5D-3788-4886-8155-2155229BD395}"/>
    <cellStyle name="Input 3 4" xfId="14746" xr:uid="{D66D760E-34F1-4E30-BB52-A4895A6A0783}"/>
    <cellStyle name="Input 3 4 2" xfId="14747" xr:uid="{03CF46B8-C314-49BE-85C0-E8E4CA2D1D43}"/>
    <cellStyle name="Input 3 4 3" xfId="14748" xr:uid="{D1C64A65-DB2E-4C65-908F-F0F5F493759B}"/>
    <cellStyle name="Input 3 5" xfId="14749" xr:uid="{1AFD4444-756A-4F2A-8701-CF301CDE3F75}"/>
    <cellStyle name="Input 3 6" xfId="14750" xr:uid="{7A305598-EBB8-4F90-86A4-485316F0CF63}"/>
    <cellStyle name="Input 3 7" xfId="14751" xr:uid="{A134A8D9-5C88-462D-93BB-5A07F27805ED}"/>
    <cellStyle name="Input 3 8" xfId="14752" xr:uid="{ED8C559E-667D-4CB4-9F14-EE93AF964DD0}"/>
    <cellStyle name="Input 30" xfId="14753" xr:uid="{6E7CE3F6-C748-404A-8075-2B4DA4791AA9}"/>
    <cellStyle name="Input 30 2" xfId="14754" xr:uid="{770C703C-3C2C-40EB-A9D7-6BEFA86AF74D}"/>
    <cellStyle name="Input 30 2 2" xfId="14755" xr:uid="{068AF705-F24F-49BA-9BB1-79702BDF2CEE}"/>
    <cellStyle name="Input 30 2 3" xfId="14756" xr:uid="{263A944C-2887-4F88-BE64-A575EA471A2D}"/>
    <cellStyle name="Input 30 3" xfId="14757" xr:uid="{8BEFB3C3-6263-4175-9FAE-27055AA80941}"/>
    <cellStyle name="Input 30 3 2" xfId="14758" xr:uid="{E12CCC19-2149-4618-A760-2EDAA21927A9}"/>
    <cellStyle name="Input 30 3 3" xfId="14759" xr:uid="{832D382A-1433-466B-9B36-DD8025EEA0B5}"/>
    <cellStyle name="Input 30 4" xfId="14760" xr:uid="{930359B5-DF8E-4D0E-BF59-DAB3833E29D5}"/>
    <cellStyle name="Input 30 5" xfId="14761" xr:uid="{4B2D56A7-7703-41F3-951B-E70C2D4B4895}"/>
    <cellStyle name="Input 30 6" xfId="14762" xr:uid="{C5CDD654-E216-44E4-A6B6-0C1BECE3F161}"/>
    <cellStyle name="Input 30 7" xfId="14763" xr:uid="{B6055E93-696F-4238-B2CE-28B4AA0F9690}"/>
    <cellStyle name="Input 31" xfId="14764" xr:uid="{1AA87F8A-B652-4172-85F9-8646F53F39A4}"/>
    <cellStyle name="Input 31 2" xfId="14765" xr:uid="{43443C04-B2B4-4EF2-9F96-B297828A2DA3}"/>
    <cellStyle name="Input 31 2 2" xfId="14766" xr:uid="{3524933E-AFF5-45DB-9AE5-33645C349190}"/>
    <cellStyle name="Input 31 2 3" xfId="14767" xr:uid="{0091288B-53DD-491F-96C2-44E485A87AF6}"/>
    <cellStyle name="Input 31 3" xfId="14768" xr:uid="{661AC0C7-8081-4600-B85F-FE8D2C496053}"/>
    <cellStyle name="Input 31 3 2" xfId="14769" xr:uid="{E470F8C8-AD27-4ADC-88AF-9D53AAF3C340}"/>
    <cellStyle name="Input 31 3 3" xfId="14770" xr:uid="{A6917CC5-6CD4-44D2-91AC-AE04273EB13E}"/>
    <cellStyle name="Input 31 4" xfId="14771" xr:uid="{94AEC5C2-6862-401B-BAB9-314742A40198}"/>
    <cellStyle name="Input 31 5" xfId="14772" xr:uid="{E83C17C9-91C6-4AEC-9724-2DBBCAF44DA7}"/>
    <cellStyle name="Input 31 6" xfId="14773" xr:uid="{4F6F4774-614B-426E-940F-6233F34EB572}"/>
    <cellStyle name="Input 31 7" xfId="14774" xr:uid="{CBEC93EA-3DB8-4118-8A52-6ACE1BA91965}"/>
    <cellStyle name="Input 32" xfId="14775" xr:uid="{8E15DCC3-93DE-4F1D-8BF8-0C5860188F82}"/>
    <cellStyle name="Input 32 2" xfId="14776" xr:uid="{A2F77D32-0ED7-4A92-B668-A03F4E10EE5E}"/>
    <cellStyle name="Input 32 2 2" xfId="14777" xr:uid="{D9DC8DED-932B-4A2B-BFB5-685F36DAAAC9}"/>
    <cellStyle name="Input 32 2 3" xfId="14778" xr:uid="{3CD6E984-92DD-4374-A422-5CFA6825145F}"/>
    <cellStyle name="Input 32 3" xfId="14779" xr:uid="{AB7AEA05-83DB-4386-8F54-843A80A01964}"/>
    <cellStyle name="Input 32 3 2" xfId="14780" xr:uid="{BF91B259-FC1B-4919-8975-B0995CE5C04A}"/>
    <cellStyle name="Input 32 3 3" xfId="14781" xr:uid="{EE7BCE4F-CF0F-4CE7-A206-858569D9241E}"/>
    <cellStyle name="Input 32 4" xfId="14782" xr:uid="{E0A99CA3-990B-454B-A78E-5A2678D6E6F2}"/>
    <cellStyle name="Input 32 5" xfId="14783" xr:uid="{919AABFB-E928-4865-AC29-C565EA1458DF}"/>
    <cellStyle name="Input 32 6" xfId="14784" xr:uid="{236F62D0-E08F-4671-987F-842E59393640}"/>
    <cellStyle name="Input 32 7" xfId="14785" xr:uid="{F97AFD7F-AE44-454C-987D-D34EA46AD4D5}"/>
    <cellStyle name="Input 33" xfId="14786" xr:uid="{E6A50A9D-35FA-4696-AED1-35A9DEFC1F3B}"/>
    <cellStyle name="Input 33 2" xfId="14787" xr:uid="{848692CD-5F0B-43CB-AF90-FACBEC6B4B72}"/>
    <cellStyle name="Input 33 2 2" xfId="14788" xr:uid="{58123AAB-FEA2-4CF1-ABD5-6640DE0C4D33}"/>
    <cellStyle name="Input 33 2 3" xfId="14789" xr:uid="{51E39B5F-75B0-4CDD-8BA7-41F771F9A289}"/>
    <cellStyle name="Input 33 3" xfId="14790" xr:uid="{6740FD50-45B6-40B4-BF8F-9C06926AB763}"/>
    <cellStyle name="Input 33 3 2" xfId="14791" xr:uid="{29C54D85-401B-4B74-AB84-65CA802C53B8}"/>
    <cellStyle name="Input 33 3 3" xfId="14792" xr:uid="{9CEAC466-1C73-464D-ABE9-B8EB06D0A0B1}"/>
    <cellStyle name="Input 33 4" xfId="14793" xr:uid="{0B5DE79E-B56E-4706-A797-29A3052D9CB2}"/>
    <cellStyle name="Input 33 5" xfId="14794" xr:uid="{26AC4B3F-D094-4E39-9467-B46B885242F4}"/>
    <cellStyle name="Input 33 6" xfId="14795" xr:uid="{6327A64A-409A-4324-80AC-52359246B139}"/>
    <cellStyle name="Input 33 7" xfId="14796" xr:uid="{40587487-4816-4E77-BB19-8860C08E5178}"/>
    <cellStyle name="Input 34" xfId="14797" xr:uid="{B246C237-2A8E-49AD-89AB-CF5C4938CC14}"/>
    <cellStyle name="Input 34 2" xfId="14798" xr:uid="{033E90DE-3E52-4C87-9D1D-61E4018FCC6E}"/>
    <cellStyle name="Input 34 2 2" xfId="14799" xr:uid="{2D1B2B79-CFA0-409F-B5B2-7586EFC33A04}"/>
    <cellStyle name="Input 34 2 3" xfId="14800" xr:uid="{5BD56DC2-E8AB-4AC5-8519-3A696D5D85C0}"/>
    <cellStyle name="Input 34 3" xfId="14801" xr:uid="{FED7336D-B624-4B0F-8BC7-64C3A8C69068}"/>
    <cellStyle name="Input 34 3 2" xfId="14802" xr:uid="{ACFFC01C-75AC-4D8A-AD31-4373605A7642}"/>
    <cellStyle name="Input 34 3 3" xfId="14803" xr:uid="{0B957D20-BB40-4664-ACA4-2D119EA5054F}"/>
    <cellStyle name="Input 34 4" xfId="14804" xr:uid="{1D18FD12-F9E8-48EC-B24F-32E62BB14528}"/>
    <cellStyle name="Input 34 5" xfId="14805" xr:uid="{6AABB051-18D9-4001-8660-E8DFF8E25132}"/>
    <cellStyle name="Input 34 6" xfId="14806" xr:uid="{F033983D-F38F-4DE0-A79A-7022617659F2}"/>
    <cellStyle name="Input 34 7" xfId="14807" xr:uid="{123476CC-8B00-474F-BC51-3FAB5ABA5FA3}"/>
    <cellStyle name="Input 35" xfId="14808" xr:uid="{927948C5-92FC-46FE-A3FD-9721930B4585}"/>
    <cellStyle name="Input 35 2" xfId="14809" xr:uid="{72A71D89-656D-41EB-9F6D-E9D0FA3F503A}"/>
    <cellStyle name="Input 35 2 2" xfId="14810" xr:uid="{83627347-30D9-497D-A6BF-156E97F09BA6}"/>
    <cellStyle name="Input 35 2 3" xfId="14811" xr:uid="{84F937FA-1270-41AF-82FE-D8D18324CE9E}"/>
    <cellStyle name="Input 35 3" xfId="14812" xr:uid="{71426C49-6259-4445-BD5E-F812DFA98596}"/>
    <cellStyle name="Input 35 3 2" xfId="14813" xr:uid="{6A38E5BF-3D61-4A39-8585-B879DADD6B73}"/>
    <cellStyle name="Input 35 3 3" xfId="14814" xr:uid="{0558612A-FB89-4AEC-9217-97FB3C775CBE}"/>
    <cellStyle name="Input 35 4" xfId="14815" xr:uid="{EAF25960-E581-40A5-826B-D53AD0042565}"/>
    <cellStyle name="Input 35 5" xfId="14816" xr:uid="{E8BADBC0-32A9-4732-9C05-6802A79A5FD4}"/>
    <cellStyle name="Input 35 6" xfId="14817" xr:uid="{45E1344D-AF75-44CA-825E-3D70616DF6FE}"/>
    <cellStyle name="Input 35 7" xfId="14818" xr:uid="{8C23269A-BA11-4792-BB48-5D3222464826}"/>
    <cellStyle name="Input 36" xfId="14819" xr:uid="{79BB8728-8182-43F5-BF50-F9DED4C2D50D}"/>
    <cellStyle name="Input 36 2" xfId="14820" xr:uid="{E7937E64-10B5-493E-B1D2-4AA4E6C5AC1C}"/>
    <cellStyle name="Input 36 2 2" xfId="14821" xr:uid="{43687DDD-7B6A-4C6A-9057-DB58E50EA1B1}"/>
    <cellStyle name="Input 36 2 3" xfId="14822" xr:uid="{73B89B7C-716D-4331-8759-F4E5BED7592F}"/>
    <cellStyle name="Input 36 3" xfId="14823" xr:uid="{317E0BD8-3E97-497E-AD68-8322A476C344}"/>
    <cellStyle name="Input 36 4" xfId="14824" xr:uid="{99410CF3-F8E5-4B79-9A15-3E18A559F978}"/>
    <cellStyle name="Input 36 5" xfId="14825" xr:uid="{102E2791-2D2F-47B7-BD11-BC7F82FC8DF4}"/>
    <cellStyle name="Input 36 6" xfId="14826" xr:uid="{01422D46-CBAA-402C-962F-EC33970CB41B}"/>
    <cellStyle name="Input 37" xfId="14827" xr:uid="{30C8E3D2-DE72-4AD5-9986-8FB04EA78136}"/>
    <cellStyle name="Input 38" xfId="41368" xr:uid="{86C044E7-28FE-4028-A722-BD089741B89A}"/>
    <cellStyle name="Input 39" xfId="41369" xr:uid="{DB1B9CA5-4E38-4B7A-B2AA-2138C9C4F660}"/>
    <cellStyle name="Input 4" xfId="14828" xr:uid="{0BCCADFA-E836-46B7-8BF3-CC683E59E0E1}"/>
    <cellStyle name="Input 4 2" xfId="14829" xr:uid="{6736DE28-09D5-41E1-A3A3-34FDCCAA8D58}"/>
    <cellStyle name="Input 4 2 2" xfId="14830" xr:uid="{B12A4794-0A67-4544-AB9D-A0CB958046E3}"/>
    <cellStyle name="Input 4 2 2 2" xfId="14831" xr:uid="{12767762-32AA-41F2-9A8B-A18B1E94C648}"/>
    <cellStyle name="Input 4 2 2 3" xfId="14832" xr:uid="{687A976E-B093-4E25-AD46-CF7849E2217C}"/>
    <cellStyle name="Input 4 2 3" xfId="14833" xr:uid="{AF8716FB-E2DF-4B10-BA89-957A257C5DA9}"/>
    <cellStyle name="Input 4 2 3 2" xfId="14834" xr:uid="{6FC16DB2-BED8-4BFF-B6B2-20E1D57B3A86}"/>
    <cellStyle name="Input 4 2 3 3" xfId="14835" xr:uid="{DEE6D24C-6FF6-406A-9766-0C8F9993E87F}"/>
    <cellStyle name="Input 4 2 4" xfId="14836" xr:uid="{4215F822-C5D7-4498-8999-91E27B038D9E}"/>
    <cellStyle name="Input 4 2 5" xfId="14837" xr:uid="{933A9261-2479-459A-9C01-96BA6E7E560F}"/>
    <cellStyle name="Input 4 2 6" xfId="14838" xr:uid="{7FE8087D-FC60-4318-BB1F-FE558113D8C0}"/>
    <cellStyle name="Input 4 2 7" xfId="14839" xr:uid="{22960253-F89B-460C-9BB8-B6D07586DBAC}"/>
    <cellStyle name="Input 4 3" xfId="14840" xr:uid="{109FEC2C-0A20-4E34-8FCA-9315A654ADD6}"/>
    <cellStyle name="Input 4 3 2" xfId="14841" xr:uid="{12D8723D-4E07-4C10-BE94-8C540A2E6D0E}"/>
    <cellStyle name="Input 4 3 2 2" xfId="14842" xr:uid="{C39D1964-C25B-42CE-85DC-2530C0736F74}"/>
    <cellStyle name="Input 4 3 2 3" xfId="14843" xr:uid="{6F779900-D7E4-40A8-BAE8-763AF876F41D}"/>
    <cellStyle name="Input 4 3 3" xfId="14844" xr:uid="{30DCF397-04D9-4A19-99C4-A1F35E39BBE6}"/>
    <cellStyle name="Input 4 3 4" xfId="14845" xr:uid="{0CC75FA6-B6C9-4D6A-AD81-23EA2C4B5451}"/>
    <cellStyle name="Input 4 4" xfId="14846" xr:uid="{22520FC0-CFA3-42BC-BD06-121C91A1966F}"/>
    <cellStyle name="Input 4 4 2" xfId="14847" xr:uid="{015DBB3B-3F43-4466-AFBE-9E3675DC1E8C}"/>
    <cellStyle name="Input 4 4 3" xfId="14848" xr:uid="{77681D27-1397-42DA-94AB-31DBA8B1D23C}"/>
    <cellStyle name="Input 4 5" xfId="14849" xr:uid="{23E38C27-458A-4659-8362-618A0E4C7ACD}"/>
    <cellStyle name="Input 4 6" xfId="14850" xr:uid="{3225EA7D-DBE0-4E03-8BF9-045066911BA0}"/>
    <cellStyle name="Input 4 7" xfId="14851" xr:uid="{39DA503C-53BA-404A-BB43-93DEAF83A477}"/>
    <cellStyle name="Input 4 8" xfId="14852" xr:uid="{8AFEE601-6F83-43BE-B048-FEC7C2BA3798}"/>
    <cellStyle name="Input 40" xfId="41370" xr:uid="{50900EC4-EB3A-4F43-9BF7-92BF9349BAA2}"/>
    <cellStyle name="Input 41" xfId="41371" xr:uid="{FB0EE4CE-97B6-431D-B026-51A80441B4FF}"/>
    <cellStyle name="Input 42" xfId="41372" xr:uid="{447E53AD-71B0-4E2F-B2B3-2BAF17F648F9}"/>
    <cellStyle name="Input 43" xfId="41373" xr:uid="{20DE5606-99A2-4733-8842-66285D2B0F23}"/>
    <cellStyle name="Input 44" xfId="41374" xr:uid="{48B664A8-1F1F-466F-81C1-7D24681A4AD0}"/>
    <cellStyle name="Input 45" xfId="41375" xr:uid="{4E6284DF-0983-4970-A3A0-E5E5B98CCBBF}"/>
    <cellStyle name="Input 46" xfId="41376" xr:uid="{22D2761F-BB70-4E2E-9829-5D8C50742025}"/>
    <cellStyle name="Input 47" xfId="41377" xr:uid="{C58BE016-2E72-4E81-BDC5-57A6367595DF}"/>
    <cellStyle name="Input 48" xfId="41378" xr:uid="{A7365442-E2CC-4F9A-8405-38FCB0716BF7}"/>
    <cellStyle name="Input 49" xfId="41379" xr:uid="{D1AE4344-6D20-457A-947B-7B40AFCBB27E}"/>
    <cellStyle name="Input 5" xfId="14853" xr:uid="{C9E318AE-1F7C-4866-97CC-ABDB373E20BF}"/>
    <cellStyle name="Input 5 2" xfId="14854" xr:uid="{116393D8-D7A6-49D4-836C-B311B9DAEA1C}"/>
    <cellStyle name="Input 5 2 2" xfId="14855" xr:uid="{AC5B7493-1259-4E3B-A679-601634E0AC75}"/>
    <cellStyle name="Input 5 2 2 2" xfId="14856" xr:uid="{13908C09-E17D-4E0C-BCE4-1869B6E9E14B}"/>
    <cellStyle name="Input 5 2 2 3" xfId="14857" xr:uid="{05626C48-EE82-49F4-A385-BEB04AEDE835}"/>
    <cellStyle name="Input 5 2 3" xfId="14858" xr:uid="{92A50371-F2D7-4DE6-91F6-79E3827E3986}"/>
    <cellStyle name="Input 5 2 3 2" xfId="14859" xr:uid="{CC55D01D-4DD1-4BA9-AABF-742119CC62F2}"/>
    <cellStyle name="Input 5 2 3 3" xfId="14860" xr:uid="{63F546CE-7BD9-4529-A5BE-5E77885F071D}"/>
    <cellStyle name="Input 5 2 4" xfId="14861" xr:uid="{ADE021DF-3ACD-4E66-996F-7D6EF926AA3D}"/>
    <cellStyle name="Input 5 2 5" xfId="14862" xr:uid="{6199351D-7D37-436B-8066-0402A56D9160}"/>
    <cellStyle name="Input 5 2 6" xfId="14863" xr:uid="{B8405BD0-70B5-4D5F-9829-7724B60A34D4}"/>
    <cellStyle name="Input 5 2 7" xfId="14864" xr:uid="{4AEBED2A-2C78-42A1-A3E0-B002F014EF4F}"/>
    <cellStyle name="Input 5 3" xfId="14865" xr:uid="{FFCFE39B-3A33-4745-8640-BD449D20A303}"/>
    <cellStyle name="Input 5 3 2" xfId="14866" xr:uid="{020E7937-6086-4AD6-A35E-1E3F72A3A132}"/>
    <cellStyle name="Input 5 3 2 2" xfId="14867" xr:uid="{93DC22BE-DBB0-4782-8B8B-D7CCE9885AA4}"/>
    <cellStyle name="Input 5 3 2 3" xfId="14868" xr:uid="{085AA5D1-6143-49FB-B503-FD10FEDB3BBE}"/>
    <cellStyle name="Input 5 3 3" xfId="14869" xr:uid="{9AB1A09F-0608-4AD4-8DC2-1E08B38DB22C}"/>
    <cellStyle name="Input 5 3 4" xfId="14870" xr:uid="{CE3B211D-377F-4F66-A865-9F2993B6B9E3}"/>
    <cellStyle name="Input 5 4" xfId="14871" xr:uid="{7C09A1D3-147A-4071-8471-C3C0D8B43EB2}"/>
    <cellStyle name="Input 5 4 2" xfId="14872" xr:uid="{2F765673-F29E-4543-9643-C66B0C946751}"/>
    <cellStyle name="Input 5 4 3" xfId="14873" xr:uid="{DAB47A29-7A95-4487-99BE-D726DE4EAC30}"/>
    <cellStyle name="Input 5 5" xfId="14874" xr:uid="{47289D10-4A5D-4908-80DE-291ABA7A4540}"/>
    <cellStyle name="Input 5 6" xfId="14875" xr:uid="{BA5D1D44-DC04-4378-844D-23F47755DC36}"/>
    <cellStyle name="Input 5 7" xfId="14876" xr:uid="{77425DB4-EDD1-45E3-B4C5-527510CD3272}"/>
    <cellStyle name="Input 5 8" xfId="14877" xr:uid="{D872B3E5-5123-4C17-91C4-C8610238449D}"/>
    <cellStyle name="Input 50" xfId="41380" xr:uid="{8C550A7B-D84A-4213-A52E-EB6983BE886D}"/>
    <cellStyle name="Input 51" xfId="41381" xr:uid="{6F5686F0-5DC4-46C3-BFA5-902F588EEBB4}"/>
    <cellStyle name="Input 52" xfId="41382" xr:uid="{0D42613E-7EA6-4100-9E70-EBDE31757204}"/>
    <cellStyle name="Input 53" xfId="41383" xr:uid="{53FE556F-5A74-49CB-92BB-A7B5F94DEA94}"/>
    <cellStyle name="Input 54" xfId="41384" xr:uid="{446185A7-7011-4873-BFE7-C17A6B31866F}"/>
    <cellStyle name="Input 55" xfId="41385" xr:uid="{8F062D79-F520-4A2F-AFC5-F63B5D471580}"/>
    <cellStyle name="Input 56" xfId="41386" xr:uid="{EC6C757F-B04C-4A78-919C-36060FDCEC95}"/>
    <cellStyle name="Input 57" xfId="41387" xr:uid="{BDDA7547-6676-4039-980A-7F979DC84742}"/>
    <cellStyle name="Input 58" xfId="41388" xr:uid="{6C7AF190-2A68-4FD5-93FD-FF8F4D93F62A}"/>
    <cellStyle name="Input 59" xfId="41389" xr:uid="{2396A3CB-A605-4FD7-B4ED-5195E8D4B81A}"/>
    <cellStyle name="Input 6" xfId="14878" xr:uid="{9CEB0592-EBDD-450C-86EE-3B034382CBD2}"/>
    <cellStyle name="Input 6 2" xfId="14879" xr:uid="{7EBA8F77-CE19-4A4D-B7CB-4C1CF0CC32EF}"/>
    <cellStyle name="Input 6 2 2" xfId="14880" xr:uid="{3F53D587-4B71-4CB4-B084-EFA2EB2CAA7C}"/>
    <cellStyle name="Input 6 2 2 2" xfId="14881" xr:uid="{1DCF0F0C-0905-484E-8D22-17E60FD51942}"/>
    <cellStyle name="Input 6 2 2 3" xfId="14882" xr:uid="{42FA8A85-B280-4435-BF3B-8A528DE23686}"/>
    <cellStyle name="Input 6 2 3" xfId="14883" xr:uid="{797362F3-1FB6-4EB4-A2A9-01F354F2F57C}"/>
    <cellStyle name="Input 6 2 3 2" xfId="14884" xr:uid="{2DB6BECC-4571-463D-922D-8C39A78997E1}"/>
    <cellStyle name="Input 6 2 3 3" xfId="14885" xr:uid="{084553D8-DF0A-4FDB-86BD-5FECEA9D43E1}"/>
    <cellStyle name="Input 6 2 4" xfId="14886" xr:uid="{8D695917-E647-4ABF-872E-748333627575}"/>
    <cellStyle name="Input 6 2 5" xfId="14887" xr:uid="{26961CDC-87F1-43C4-BA5B-2977356EA30B}"/>
    <cellStyle name="Input 6 2 6" xfId="14888" xr:uid="{BF41E67A-90B1-487A-8B79-4C4A3DD7C369}"/>
    <cellStyle name="Input 6 2 7" xfId="14889" xr:uid="{F24ED171-12F0-4092-A9DD-3BB6791DC543}"/>
    <cellStyle name="Input 6 3" xfId="14890" xr:uid="{ADBDF4A4-A3D0-4C0F-A3AB-D429A0EA5621}"/>
    <cellStyle name="Input 6 3 2" xfId="14891" xr:uid="{7F145D17-FF77-42FB-936D-14FB6788839C}"/>
    <cellStyle name="Input 6 3 2 2" xfId="14892" xr:uid="{0E41A201-B371-41FA-9A25-76411AC88EB1}"/>
    <cellStyle name="Input 6 3 2 3" xfId="14893" xr:uid="{9A9B3B15-877E-4D25-B948-FF1D80B6EE6B}"/>
    <cellStyle name="Input 6 3 3" xfId="14894" xr:uid="{91FB0E97-4C73-406A-A79A-62D730E69F08}"/>
    <cellStyle name="Input 6 3 4" xfId="14895" xr:uid="{64545CF6-1D0C-41DC-B63B-492F45DA4D10}"/>
    <cellStyle name="Input 6 4" xfId="14896" xr:uid="{28D4E913-F044-4D98-ADCA-C297020EC710}"/>
    <cellStyle name="Input 6 4 2" xfId="14897" xr:uid="{29E0DBC0-12AC-43CF-B7D0-0CC066199AE2}"/>
    <cellStyle name="Input 6 4 3" xfId="14898" xr:uid="{ACC890FB-ACE1-4B2C-9165-6C43E8D65B32}"/>
    <cellStyle name="Input 6 5" xfId="14899" xr:uid="{50D4A1B9-844E-4EF0-A1F7-21046E164BD5}"/>
    <cellStyle name="Input 6 6" xfId="14900" xr:uid="{DAE5CC13-4DB8-4665-8EA1-56316B97B384}"/>
    <cellStyle name="Input 6 7" xfId="14901" xr:uid="{4500CC75-0465-4FAE-A1B1-738734CFC607}"/>
    <cellStyle name="Input 6 8" xfId="14902" xr:uid="{BFE9344F-4370-45E8-867E-1FE31E975DC1}"/>
    <cellStyle name="Input 60" xfId="41390" xr:uid="{66DD2049-2EB1-41B0-AF18-1425E9413A03}"/>
    <cellStyle name="Input 61" xfId="41391" xr:uid="{028F7EFD-A936-49D2-A586-9B582FC59624}"/>
    <cellStyle name="Input 62" xfId="41392" xr:uid="{D77E11F1-AC54-465D-A7F6-9A44A8ABAB0B}"/>
    <cellStyle name="Input 63" xfId="41393" xr:uid="{BD3AF1F1-CB62-4E39-95EE-53746D7E25A1}"/>
    <cellStyle name="Input 64" xfId="41394" xr:uid="{309EDF1F-B5B6-4E3A-9608-C71BA29B3567}"/>
    <cellStyle name="Input 65" xfId="41395" xr:uid="{DD94522C-1B4A-49EB-A5CB-AE512178730C}"/>
    <cellStyle name="Input 66" xfId="41396" xr:uid="{B7CA4055-2354-42C2-8505-C9E9F1F8054B}"/>
    <cellStyle name="Input 67" xfId="41397" xr:uid="{96CEDF04-D601-456A-AF5C-764E085D872B}"/>
    <cellStyle name="Input 68" xfId="41398" xr:uid="{5E5D1836-718E-4A5F-AED7-286F11DA9DBA}"/>
    <cellStyle name="Input 69" xfId="41399" xr:uid="{839D33BA-F86D-4C8B-8AE5-FAE00BC383CC}"/>
    <cellStyle name="Input 7" xfId="14903" xr:uid="{EB9A4BFC-33F8-4182-BA17-3562B1B329EC}"/>
    <cellStyle name="Input 7 2" xfId="14904" xr:uid="{2D51BD0C-CA8E-410B-8F72-61AA0DB5CC29}"/>
    <cellStyle name="Input 7 2 2" xfId="14905" xr:uid="{86E43647-E3B9-4813-B0B6-1C5B97180B95}"/>
    <cellStyle name="Input 7 2 2 2" xfId="14906" xr:uid="{C3D94E05-A5E8-4DFD-B557-84285B833C8D}"/>
    <cellStyle name="Input 7 2 2 3" xfId="14907" xr:uid="{E439890D-C3CE-4600-8423-DFC10E6BEAAD}"/>
    <cellStyle name="Input 7 2 3" xfId="14908" xr:uid="{16BAB0E5-AE50-4A6F-9406-532ED9DB2A7E}"/>
    <cellStyle name="Input 7 2 3 2" xfId="14909" xr:uid="{AAF967D6-957A-4297-82FB-A4A63D0E3103}"/>
    <cellStyle name="Input 7 2 3 3" xfId="14910" xr:uid="{090A0BB0-BF50-46E0-A9E7-78E828FF9FE2}"/>
    <cellStyle name="Input 7 2 4" xfId="14911" xr:uid="{B0164AF6-02C4-4713-9646-6E59C77A07AB}"/>
    <cellStyle name="Input 7 2 5" xfId="14912" xr:uid="{56F425B4-AF6D-4316-8AE6-C64B2EF4C2D7}"/>
    <cellStyle name="Input 7 2 6" xfId="14913" xr:uid="{8C23ED3D-3EF4-44D9-9AD5-F31CC6678A8A}"/>
    <cellStyle name="Input 7 2 7" xfId="14914" xr:uid="{3364BD6A-AE3C-41B9-9A39-61EB2C648C9E}"/>
    <cellStyle name="Input 7 3" xfId="14915" xr:uid="{7FFBA77C-7BA0-429E-AA3D-4A5276D603E7}"/>
    <cellStyle name="Input 7 3 2" xfId="14916" xr:uid="{137DBA1D-E0C9-4882-8F3E-4E00AC8E340C}"/>
    <cellStyle name="Input 7 3 2 2" xfId="14917" xr:uid="{3829F21F-F941-40BE-85DA-F100D3C59891}"/>
    <cellStyle name="Input 7 3 2 3" xfId="14918" xr:uid="{A75A55E8-1E7C-4220-92C9-AF6C824CDF55}"/>
    <cellStyle name="Input 7 3 3" xfId="14919" xr:uid="{F999447B-D064-4CC8-82EB-120C7D5ADF35}"/>
    <cellStyle name="Input 7 3 4" xfId="14920" xr:uid="{89DFC971-145F-4A7E-BD71-9969BA151D45}"/>
    <cellStyle name="Input 7 4" xfId="14921" xr:uid="{0D01CC14-2416-4972-A897-3BF6BA8D59F6}"/>
    <cellStyle name="Input 7 4 2" xfId="14922" xr:uid="{B3469FBE-8DAE-4D93-835D-EBA54C187418}"/>
    <cellStyle name="Input 7 4 3" xfId="14923" xr:uid="{2D2ACBCD-1472-4027-AF21-78EC3F55ABB6}"/>
    <cellStyle name="Input 7 5" xfId="14924" xr:uid="{90BD0732-4196-48D8-A173-A87165474DB3}"/>
    <cellStyle name="Input 7 6" xfId="14925" xr:uid="{B8493CE1-B47F-4A2A-8747-08E61FB8BC96}"/>
    <cellStyle name="Input 7 7" xfId="14926" xr:uid="{55D1531B-BFB2-4BEA-B7DD-4C5FD5E56E07}"/>
    <cellStyle name="Input 7 8" xfId="14927" xr:uid="{70D75AF2-051E-40BC-8766-B2A11EF753DF}"/>
    <cellStyle name="Input 70" xfId="41400" xr:uid="{C9495EF6-E7B9-4F34-92B7-9866A168BAB1}"/>
    <cellStyle name="Input 71" xfId="41401" xr:uid="{2C6EBD58-E95F-4768-B555-1F3E6F3022CF}"/>
    <cellStyle name="Input 72" xfId="41402" xr:uid="{EDFB59C1-BAEC-437D-8554-1AFDC9825F3F}"/>
    <cellStyle name="Input 73" xfId="41403" xr:uid="{A69B68B0-514E-4A73-A398-8DA120B1E48C}"/>
    <cellStyle name="Input 74" xfId="41404" xr:uid="{E0D29ABF-92F3-4CB7-8B78-6DBC17B66D52}"/>
    <cellStyle name="Input 75" xfId="41405" xr:uid="{3E9223C5-6BC4-4C6A-98D7-548920FE13A5}"/>
    <cellStyle name="Input 76" xfId="41406" xr:uid="{8C7152F4-F39A-40CA-BB9B-D1BB12106EB7}"/>
    <cellStyle name="Input 77" xfId="41407" xr:uid="{FA777378-CFC8-4B14-BC40-E533712EC015}"/>
    <cellStyle name="Input 78" xfId="41408" xr:uid="{F8A536D3-6D5F-4EFF-BC1B-94FD5A7BDE23}"/>
    <cellStyle name="Input 79" xfId="41409" xr:uid="{128F0AED-40C0-4206-8673-EA8FC39EC20A}"/>
    <cellStyle name="Input 8" xfId="14928" xr:uid="{8C3A0A18-FA65-4107-A9B5-E8616441FBB6}"/>
    <cellStyle name="Input 8 2" xfId="14929" xr:uid="{4F7298FD-4417-481D-A4BC-D89E7A693B8E}"/>
    <cellStyle name="Input 8 2 2" xfId="14930" xr:uid="{B7846E3A-8D78-4282-97E0-CAD5A729746F}"/>
    <cellStyle name="Input 8 2 2 2" xfId="14931" xr:uid="{04C38E16-873D-4AF6-AC71-F028B81003C6}"/>
    <cellStyle name="Input 8 2 2 3" xfId="14932" xr:uid="{9AFAE5E1-CA6C-4453-97A4-7F1FDAEE0282}"/>
    <cellStyle name="Input 8 2 3" xfId="14933" xr:uid="{5699F5C5-3A41-4060-826B-71CEC41F63F5}"/>
    <cellStyle name="Input 8 2 3 2" xfId="14934" xr:uid="{40B2DC13-3096-4D8A-BC07-9A146C9CD17E}"/>
    <cellStyle name="Input 8 2 3 3" xfId="14935" xr:uid="{3547E268-E9F5-4DFA-A02D-3FD748F67B82}"/>
    <cellStyle name="Input 8 2 4" xfId="14936" xr:uid="{4E33EF0A-22A5-47EC-A482-1C13D9166486}"/>
    <cellStyle name="Input 8 2 5" xfId="14937" xr:uid="{FE0952EA-1371-440E-8818-32234CEEFCCB}"/>
    <cellStyle name="Input 8 2 6" xfId="14938" xr:uid="{3D176F96-EE14-495B-80B7-6C452C0DC709}"/>
    <cellStyle name="Input 8 2 7" xfId="14939" xr:uid="{5F342E25-3235-472B-9900-459414DB492B}"/>
    <cellStyle name="Input 8 3" xfId="14940" xr:uid="{AFF14B21-7C60-44E6-92C8-8E0277932C7B}"/>
    <cellStyle name="Input 8 3 2" xfId="14941" xr:uid="{C4C8800D-2BA6-41EF-B654-0A281FC32CC2}"/>
    <cellStyle name="Input 8 3 2 2" xfId="14942" xr:uid="{224E8729-CCCB-44B7-B22C-AC7DB3439EF9}"/>
    <cellStyle name="Input 8 3 2 3" xfId="14943" xr:uid="{E2603C16-10C5-4B05-A3C5-EC0155FBE948}"/>
    <cellStyle name="Input 8 3 3" xfId="14944" xr:uid="{7D78479D-30AF-4986-A84F-3E1E9ABB4E97}"/>
    <cellStyle name="Input 8 3 4" xfId="14945" xr:uid="{6546834C-7DDA-4F20-950A-D2E61DDE9F36}"/>
    <cellStyle name="Input 8 4" xfId="14946" xr:uid="{E50D4211-5E4C-490F-9E1F-6D6A01F8131F}"/>
    <cellStyle name="Input 8 4 2" xfId="14947" xr:uid="{0EE6BC44-F3CA-42ED-A5BE-8969AD184937}"/>
    <cellStyle name="Input 8 4 3" xfId="14948" xr:uid="{09001F40-9591-4D93-93CD-9E4AD72D8135}"/>
    <cellStyle name="Input 8 5" xfId="14949" xr:uid="{535FA687-BCAC-4082-81EF-548A35900282}"/>
    <cellStyle name="Input 8 6" xfId="14950" xr:uid="{7926E0DE-FF5B-4BA9-977B-CE7EF22C63E3}"/>
    <cellStyle name="Input 8 7" xfId="14951" xr:uid="{7784F8C6-3D37-4AFC-BC36-731E7AF3BC3F}"/>
    <cellStyle name="Input 8 8" xfId="14952" xr:uid="{9A8BB50B-29AF-4E0B-939F-C768A13740FD}"/>
    <cellStyle name="Input 80" xfId="41410" xr:uid="{62C1EB8C-C63F-478C-A9E0-88CBA9073A88}"/>
    <cellStyle name="Input 81" xfId="41411" xr:uid="{E310CD99-4555-46E6-B9B0-C811648EB460}"/>
    <cellStyle name="Input 82" xfId="41412" xr:uid="{18696762-0F1C-4633-B4AF-F54494839929}"/>
    <cellStyle name="Input 83" xfId="41413" xr:uid="{E8480419-B964-4814-9BBF-7A4853A0E527}"/>
    <cellStyle name="Input 84" xfId="41414" xr:uid="{5DB826AA-3F01-430B-B5AD-A0BDFCB89F11}"/>
    <cellStyle name="Input 85" xfId="41415" xr:uid="{B81523D2-FAD5-47B4-A32E-4325A823ACA8}"/>
    <cellStyle name="Input 86" xfId="41416" xr:uid="{21B49108-92FD-495F-BDE5-8208085FCBA2}"/>
    <cellStyle name="Input 87" xfId="41417" xr:uid="{964D1230-4D1E-4E33-804C-D502633C2CC2}"/>
    <cellStyle name="Input 88" xfId="41418" xr:uid="{0A2E610B-D404-485F-A20E-F23526F528E8}"/>
    <cellStyle name="Input 89" xfId="41419" xr:uid="{D2965F74-7EAE-49BC-A977-BEB8874B4FB6}"/>
    <cellStyle name="Input 9" xfId="14953" xr:uid="{1F1CCF07-9817-4D9E-A357-E871AF426667}"/>
    <cellStyle name="Input 9 2" xfId="14954" xr:uid="{9A46F55C-3A41-4C5D-8E1B-C9C79086AADD}"/>
    <cellStyle name="Input 9 2 2" xfId="14955" xr:uid="{CA6F3481-38E1-4A89-B85F-3DF02AAD536C}"/>
    <cellStyle name="Input 9 2 2 2" xfId="14956" xr:uid="{09B55259-9092-4BDB-9234-0ED1FFBACA94}"/>
    <cellStyle name="Input 9 2 2 3" xfId="14957" xr:uid="{907C211A-98CA-463D-9354-0E76CBD008CB}"/>
    <cellStyle name="Input 9 2 3" xfId="14958" xr:uid="{979FE6AA-4087-4EF6-9BC4-D8635B42C97D}"/>
    <cellStyle name="Input 9 2 3 2" xfId="14959" xr:uid="{D464F367-C8F5-4CC8-9BFE-7A2F42386A47}"/>
    <cellStyle name="Input 9 2 3 3" xfId="14960" xr:uid="{222186E4-1943-4BA5-B005-628C002A6624}"/>
    <cellStyle name="Input 9 2 4" xfId="14961" xr:uid="{83FA7AB4-FD8C-4D23-8845-8980576D1472}"/>
    <cellStyle name="Input 9 2 5" xfId="14962" xr:uid="{F895C4B3-6C70-46CC-A6BA-437E4D56406B}"/>
    <cellStyle name="Input 9 2 6" xfId="14963" xr:uid="{8C004D15-9534-4CDA-A364-BD2DBE820B30}"/>
    <cellStyle name="Input 9 2 7" xfId="14964" xr:uid="{53D9E88B-F52B-48C2-B596-56EBB670C98B}"/>
    <cellStyle name="Input 9 3" xfId="14965" xr:uid="{1E72FF4B-9FB1-4DE4-856C-2A5ED72BDAE7}"/>
    <cellStyle name="Input 9 3 2" xfId="14966" xr:uid="{31BCC443-391D-491F-9C7E-87052AD8AED3}"/>
    <cellStyle name="Input 9 3 2 2" xfId="14967" xr:uid="{BF10BAA0-CE52-4741-A589-464BEA4A0226}"/>
    <cellStyle name="Input 9 3 2 3" xfId="14968" xr:uid="{1DB80416-1A78-4BFC-AC3A-5642A11D0747}"/>
    <cellStyle name="Input 9 3 3" xfId="14969" xr:uid="{C5ACB201-D0AF-436E-B6C4-331AEAB03F94}"/>
    <cellStyle name="Input 9 3 4" xfId="14970" xr:uid="{BA4B1300-573C-4693-B8BB-F5E9FA6D0CD7}"/>
    <cellStyle name="Input 9 4" xfId="14971" xr:uid="{35E89785-268C-4551-992B-D3743BC42186}"/>
    <cellStyle name="Input 9 4 2" xfId="14972" xr:uid="{E1DA275A-E4DB-4966-955C-358278535E79}"/>
    <cellStyle name="Input 9 4 3" xfId="14973" xr:uid="{C5332227-3BF1-49F4-B05C-32B60290607B}"/>
    <cellStyle name="Input 9 5" xfId="14974" xr:uid="{9AAAC48C-92A6-4458-B3EA-827FA801C334}"/>
    <cellStyle name="Input 9 6" xfId="14975" xr:uid="{7FA4D27F-FD78-4019-99BA-B0D882C99877}"/>
    <cellStyle name="Input 9 7" xfId="14976" xr:uid="{96DE576C-E39A-4E14-9FA4-F5E39A07F62C}"/>
    <cellStyle name="Input 9 8" xfId="14977" xr:uid="{2EAD7AB1-04CC-457D-9EFB-2B86D99C59AF}"/>
    <cellStyle name="Input 90" xfId="41420" xr:uid="{2B880C99-AE32-47CB-97AE-4DA814B69017}"/>
    <cellStyle name="Input 91" xfId="41421" xr:uid="{87B1FF16-3332-49FE-93F2-202EA988A261}"/>
    <cellStyle name="Input 92" xfId="41422" xr:uid="{07E587DF-7ACC-405F-8EA0-EA66A6F3A046}"/>
    <cellStyle name="Input 93" xfId="41423" xr:uid="{6D82DB1C-C0D2-49ED-A9C9-B506E50751AD}"/>
    <cellStyle name="Input 94" xfId="41424" xr:uid="{CC8DF691-7B54-4176-85AA-1AD1EFDBA015}"/>
    <cellStyle name="Input 95" xfId="41425" xr:uid="{656A8C67-72F4-40BF-B707-C8879C3E18C3}"/>
    <cellStyle name="Input 96" xfId="41426" xr:uid="{D6A17EE3-9C72-4F70-B30D-4A2DFBD0AE47}"/>
    <cellStyle name="Input 97" xfId="41427" xr:uid="{6DDAD7F3-5636-498A-8C2B-287B79654D6D}"/>
    <cellStyle name="Input 98" xfId="41428" xr:uid="{9FFC21FD-AB6D-4A5B-B48A-B25A603E08C7}"/>
    <cellStyle name="Input 99" xfId="41429" xr:uid="{97E33810-39C6-44C4-B994-6A262A0D2480}"/>
    <cellStyle name="JE152" xfId="41430" xr:uid="{DB301D31-4540-4781-8851-611CC0C8D0C6}"/>
    <cellStyle name="Linked Cell 10" xfId="14978" xr:uid="{6EFA1CD2-FAEC-4372-8D83-45841FBE884A}"/>
    <cellStyle name="Linked Cell 10 2" xfId="14979" xr:uid="{39234157-B449-483F-AF8B-3296D06A3A8F}"/>
    <cellStyle name="Linked Cell 10 3" xfId="14980" xr:uid="{F157AA41-4249-41FE-8E88-C30AAD0E9E7E}"/>
    <cellStyle name="Linked Cell 11" xfId="14981" xr:uid="{FE413710-FDD6-4A05-ADD1-9A30E6FDDF69}"/>
    <cellStyle name="Linked Cell 11 2" xfId="14982" xr:uid="{56EB3791-5F3A-414E-9913-2B798D425CAE}"/>
    <cellStyle name="Linked Cell 11 3" xfId="14983" xr:uid="{4AF0AD3F-6B8A-45C6-BD4D-477D0BCEE157}"/>
    <cellStyle name="Linked Cell 12" xfId="14984" xr:uid="{44828FA6-A807-4489-8F7C-0428D1CC2CBA}"/>
    <cellStyle name="Linked Cell 12 2" xfId="14985" xr:uid="{EC949350-A954-4348-901B-1F3707A3E822}"/>
    <cellStyle name="Linked Cell 13" xfId="14986" xr:uid="{5045F01F-9B64-4A47-8887-4BBB342F1941}"/>
    <cellStyle name="Linked Cell 13 2" xfId="14987" xr:uid="{855080D6-EA15-4E9E-977E-D1EC9542338B}"/>
    <cellStyle name="Linked Cell 14" xfId="14988" xr:uid="{61037F5A-0634-4C99-AB2C-7BF49AD566BE}"/>
    <cellStyle name="Linked Cell 14 2" xfId="14989" xr:uid="{FF0EF332-E0FA-488A-8F86-4AE56CC4F89D}"/>
    <cellStyle name="Linked Cell 15" xfId="14990" xr:uid="{B8C29502-FB02-40CB-A281-D6FDAA5F62F8}"/>
    <cellStyle name="Linked Cell 15 2" xfId="14991" xr:uid="{33A2D8C7-4595-4BF1-9ED2-D0AB7228B330}"/>
    <cellStyle name="Linked Cell 16" xfId="14992" xr:uid="{BAAB0B9A-2F84-458A-B026-8B53D03C288C}"/>
    <cellStyle name="Linked Cell 16 2" xfId="14993" xr:uid="{7DE45142-ECFF-4C5E-B2DB-F340CC8ACC18}"/>
    <cellStyle name="Linked Cell 17" xfId="14994" xr:uid="{5E27286E-F53F-43E0-B9F2-2160C74FC900}"/>
    <cellStyle name="Linked Cell 17 2" xfId="14995" xr:uid="{F2026432-25AC-4890-AD00-DFD79A73A8CE}"/>
    <cellStyle name="Linked Cell 18" xfId="14996" xr:uid="{F515A0CC-F62E-4777-8DC0-C461BA0C6F0E}"/>
    <cellStyle name="Linked Cell 18 2" xfId="14997" xr:uid="{F936649F-8A3E-4671-92E5-CAC4ECCFF050}"/>
    <cellStyle name="Linked Cell 19" xfId="14998" xr:uid="{2D9CA84C-76B5-4F09-A1D5-7C85A548EC03}"/>
    <cellStyle name="Linked Cell 19 2" xfId="14999" xr:uid="{FA5D4963-6F18-40C4-9FB2-A750E3FDDC6F}"/>
    <cellStyle name="Linked Cell 2" xfId="15000" xr:uid="{80774982-87FD-4718-9D29-994A71FB0536}"/>
    <cellStyle name="Linked Cell 2 2" xfId="15001" xr:uid="{5AD561DF-4B15-41FD-9734-B77678057842}"/>
    <cellStyle name="Linked Cell 2 3" xfId="15002" xr:uid="{FF5C47B5-2CB7-4595-9917-01A75CA26F53}"/>
    <cellStyle name="Linked Cell 2 3 2" xfId="15003" xr:uid="{54C12B4F-7569-441A-B4A7-B0E7137C2F0E}"/>
    <cellStyle name="Linked Cell 2 3 3" xfId="15004" xr:uid="{246CE673-9691-4846-B19D-6725A7FF4E94}"/>
    <cellStyle name="Linked Cell 2 4" xfId="41431" xr:uid="{15E3ED65-A08C-4601-9577-6D589C7EE70F}"/>
    <cellStyle name="Linked Cell 2_PwrTax 51040" xfId="15005" xr:uid="{55D73C8F-28CB-4371-B0CD-863225053431}"/>
    <cellStyle name="Linked Cell 20" xfId="15006" xr:uid="{1B5A0A29-5C32-447B-B53E-C4F61F380A91}"/>
    <cellStyle name="Linked Cell 21" xfId="15007" xr:uid="{ECBF730D-6237-45A2-8930-4E1F32064AD7}"/>
    <cellStyle name="Linked Cell 22" xfId="15008" xr:uid="{7A7C051C-7FA8-4A3D-BC1D-C8B45578C94F}"/>
    <cellStyle name="Linked Cell 23" xfId="15009" xr:uid="{EA11ABCD-25E9-477E-952A-4B65685B0AB0}"/>
    <cellStyle name="Linked Cell 24" xfId="15010" xr:uid="{33E539DD-545C-40E8-8D3B-C419BBCF7EBD}"/>
    <cellStyle name="Linked Cell 25" xfId="15011" xr:uid="{28410308-8E4C-4AF3-BC88-ED179344CA4E}"/>
    <cellStyle name="Linked Cell 26" xfId="15012" xr:uid="{E2825CC4-D25B-43E2-AAB4-0D902ACFE0EA}"/>
    <cellStyle name="Linked Cell 27" xfId="15013" xr:uid="{F395851E-8354-4110-9423-10BC8C7CD2E2}"/>
    <cellStyle name="Linked Cell 28" xfId="15014" xr:uid="{0EC0F276-C687-4B74-B6C6-66BD7410E18F}"/>
    <cellStyle name="Linked Cell 29" xfId="15015" xr:uid="{7F3FB58F-B46E-4014-9AEB-2DAAD084A767}"/>
    <cellStyle name="Linked Cell 3" xfId="15016" xr:uid="{6370BBEF-9930-43E6-85AE-3A0487481D71}"/>
    <cellStyle name="Linked Cell 3 2" xfId="15017" xr:uid="{B6AC8650-5788-436D-A84D-737BD47ABAFC}"/>
    <cellStyle name="Linked Cell 3 3" xfId="15018" xr:uid="{E1133CAF-1739-4437-86BB-055F3CBCF7ED}"/>
    <cellStyle name="Linked Cell 3 3 2" xfId="15019" xr:uid="{B94607AC-1D61-4A72-8EAC-F4B03478BE80}"/>
    <cellStyle name="Linked Cell 3 3 3" xfId="15020" xr:uid="{553A4CC6-EE95-41F4-BD2A-C020515AC0D5}"/>
    <cellStyle name="Linked Cell 3 4" xfId="41432" xr:uid="{1D572ECF-8A16-404B-AA72-A138FE102BFB}"/>
    <cellStyle name="Linked Cell 30" xfId="15021" xr:uid="{BA8BC44B-810E-40FA-9CAA-DFB2514C4673}"/>
    <cellStyle name="Linked Cell 31" xfId="15022" xr:uid="{BFA38698-BD6C-4874-BF42-02C7906A1DD7}"/>
    <cellStyle name="Linked Cell 32" xfId="15023" xr:uid="{C124D669-D507-474B-8ACD-6B00BB9436A8}"/>
    <cellStyle name="Linked Cell 33" xfId="15024" xr:uid="{95F8A3CA-1955-4EAC-B52A-26B163A910D5}"/>
    <cellStyle name="Linked Cell 34" xfId="15025" xr:uid="{60DB1499-0ABE-4FFC-843B-0E0084287FE6}"/>
    <cellStyle name="Linked Cell 35" xfId="15026" xr:uid="{D1B62BF7-9958-41E1-969D-2588921815C0}"/>
    <cellStyle name="Linked Cell 36" xfId="15027" xr:uid="{DF90AB2F-42DF-4742-AD72-F149BBBB5120}"/>
    <cellStyle name="Linked Cell 37" xfId="41433" xr:uid="{5E4B8A75-9517-46E2-82A6-BAE1ED435B40}"/>
    <cellStyle name="Linked Cell 38" xfId="198" xr:uid="{4D8E6ECB-33D7-4B36-9A97-3A9F1C5AEB8F}"/>
    <cellStyle name="Linked Cell 4" xfId="15028" xr:uid="{DBF003AA-446F-4CE9-91B8-4B0AE242850A}"/>
    <cellStyle name="Linked Cell 4 2" xfId="15029" xr:uid="{B1870AD2-CAC2-4A58-A349-F32079C222C2}"/>
    <cellStyle name="Linked Cell 4 3" xfId="15030" xr:uid="{6C29E5A9-27C1-4E80-B333-C71C8A8B006C}"/>
    <cellStyle name="Linked Cell 5" xfId="15031" xr:uid="{19F74491-7782-48FF-BBE5-8B9207559EB2}"/>
    <cellStyle name="Linked Cell 5 2" xfId="15032" xr:uid="{64999F1B-FC7C-4FE7-AA47-BF701A14111A}"/>
    <cellStyle name="Linked Cell 5 3" xfId="15033" xr:uid="{07AFB76D-7017-4C8F-B310-728090541837}"/>
    <cellStyle name="Linked Cell 6" xfId="15034" xr:uid="{60F64FDB-195D-4C68-A019-31102089BF74}"/>
    <cellStyle name="Linked Cell 6 2" xfId="15035" xr:uid="{6EC58E71-636F-4E93-9D61-41D1A2C4FD10}"/>
    <cellStyle name="Linked Cell 6 3" xfId="15036" xr:uid="{18B02FC3-5D30-4C9B-99D4-B5188B9D136E}"/>
    <cellStyle name="Linked Cell 7" xfId="15037" xr:uid="{CE563B31-CA38-404F-A5DE-B5A6DA1AF080}"/>
    <cellStyle name="Linked Cell 7 2" xfId="15038" xr:uid="{5EDB8FCC-AE0D-4CD2-B02E-3E93B0FD0E48}"/>
    <cellStyle name="Linked Cell 7 3" xfId="15039" xr:uid="{4B6B50DB-40F7-44E2-AD7A-5221FA3D4EB5}"/>
    <cellStyle name="Linked Cell 8" xfId="15040" xr:uid="{D8DAA3DF-D89C-4A3F-B80A-97BD1F7BC41F}"/>
    <cellStyle name="Linked Cell 8 2" xfId="15041" xr:uid="{3AD29D03-E385-4FDD-8B46-BC7EC8D54F0E}"/>
    <cellStyle name="Linked Cell 8 3" xfId="15042" xr:uid="{93118BC0-D9E6-4FCA-8237-36253767DCC9}"/>
    <cellStyle name="Linked Cell 9" xfId="15043" xr:uid="{B65E71F8-78E0-4D9E-8D7B-6EB689A42B75}"/>
    <cellStyle name="Linked Cell 9 2" xfId="15044" xr:uid="{03015BED-D944-47E5-9E9C-38FB942B2E51}"/>
    <cellStyle name="Linked Cell 9 3" xfId="15045" xr:uid="{37579736-7E96-4A82-9917-85396E7DCA4E}"/>
    <cellStyle name="Milliers [0]_AR1194" xfId="41434" xr:uid="{FDFD6E4C-9EE0-457C-80A3-7D8107415A91}"/>
    <cellStyle name="Milliers_AR1194" xfId="41435" xr:uid="{5CDACF1D-EAC9-468B-81DC-AB06D28BC528}"/>
    <cellStyle name="Monétaire [0]_AR1194" xfId="41436" xr:uid="{C9A5DB05-C66F-4252-81E1-CF4CE8187ADC}"/>
    <cellStyle name="Monétaire_AR1194" xfId="41437" xr:uid="{922E90B7-1B2B-4BCF-8D88-79C838F9C503}"/>
    <cellStyle name="Neutral 10" xfId="15046" xr:uid="{5992930F-C987-476B-9DA3-ECC15D611E6D}"/>
    <cellStyle name="Neutral 10 2" xfId="15047" xr:uid="{2CC8E5FA-10FC-4794-9CDF-F6C0C93FD7CA}"/>
    <cellStyle name="Neutral 10 3" xfId="15048" xr:uid="{A0204723-6395-4196-8154-2ECB896C56BE}"/>
    <cellStyle name="Neutral 11" xfId="15049" xr:uid="{5A33E08C-6F73-436F-8864-6F436B1707D8}"/>
    <cellStyle name="Neutral 11 2" xfId="15050" xr:uid="{C23FC51B-3306-497F-9ACD-AC7A599BA10D}"/>
    <cellStyle name="Neutral 11 3" xfId="15051" xr:uid="{7F750B51-5AB2-48AC-A34E-8CCD3482F045}"/>
    <cellStyle name="Neutral 12" xfId="15052" xr:uid="{0FA593FC-D7C2-4EA6-8C49-5F2D7B28BAC1}"/>
    <cellStyle name="Neutral 12 2" xfId="15053" xr:uid="{65BA186C-8D8F-43B8-A64E-15521007890C}"/>
    <cellStyle name="Neutral 13" xfId="15054" xr:uid="{C169D96E-4DF6-400E-B20F-C5CD47A89FDC}"/>
    <cellStyle name="Neutral 13 2" xfId="15055" xr:uid="{F5B16AD3-BA40-42B0-8CF0-7C2DD0B17298}"/>
    <cellStyle name="Neutral 14" xfId="15056" xr:uid="{6EBCBB29-8A42-483A-AD67-62823BC06A9A}"/>
    <cellStyle name="Neutral 14 2" xfId="15057" xr:uid="{1E61E0E4-2154-4C4E-AFC2-70723A345A36}"/>
    <cellStyle name="Neutral 15" xfId="15058" xr:uid="{555168CF-3C33-42D7-9C8D-63A10C4968C1}"/>
    <cellStyle name="Neutral 15 2" xfId="15059" xr:uid="{BEB5741C-9E93-4B17-A32B-DE1E05D337CB}"/>
    <cellStyle name="Neutral 16" xfId="15060" xr:uid="{C5ED1199-05EC-4367-A6E8-7CB80A6A5686}"/>
    <cellStyle name="Neutral 16 2" xfId="15061" xr:uid="{9C5309E6-827A-4EF7-B994-11516255509C}"/>
    <cellStyle name="Neutral 17" xfId="15062" xr:uid="{3D74C88C-62A7-4773-9A10-66D3D14508ED}"/>
    <cellStyle name="Neutral 17 2" xfId="15063" xr:uid="{F09445BC-D72E-4AC4-97BD-7C3C25BCD56D}"/>
    <cellStyle name="Neutral 18" xfId="15064" xr:uid="{4CC9A308-6D05-42A8-9F54-685DAB2E4CD0}"/>
    <cellStyle name="Neutral 18 2" xfId="15065" xr:uid="{E31975BC-27A6-43C9-908A-68DD9FA16B30}"/>
    <cellStyle name="Neutral 19" xfId="15066" xr:uid="{44F1E16D-30FE-47BF-A73A-521D50A02EA5}"/>
    <cellStyle name="Neutral 19 2" xfId="15067" xr:uid="{8E4AB7B1-9B78-4FE3-8B85-8F5A89FE0330}"/>
    <cellStyle name="Neutral 2" xfId="15068" xr:uid="{202AD987-6DF2-4A64-B482-E7D1C78B607F}"/>
    <cellStyle name="Neutral 2 2" xfId="15069" xr:uid="{2B7D6D32-966F-4702-B107-68445A571B3D}"/>
    <cellStyle name="Neutral 2 3" xfId="15070" xr:uid="{20562FBD-0F03-453F-AD92-1384186DBB42}"/>
    <cellStyle name="Neutral 2 3 2" xfId="15071" xr:uid="{88028563-2C73-40D6-ABBE-8C66E3166C94}"/>
    <cellStyle name="Neutral 2 3 3" xfId="15072" xr:uid="{0187E07D-77C9-41BC-9428-3BA903A75E50}"/>
    <cellStyle name="Neutral 2 4" xfId="41438" xr:uid="{33599100-D06B-4F6D-B6E5-B8EB846C8592}"/>
    <cellStyle name="Neutral 2_PwrTax 51040" xfId="15073" xr:uid="{ABEDC851-4BD4-4A45-BBEC-95BDF7F17D7F}"/>
    <cellStyle name="Neutral 20" xfId="15074" xr:uid="{12688F55-3D12-47EA-BCC9-81AA49FA6B45}"/>
    <cellStyle name="Neutral 21" xfId="15075" xr:uid="{6CA8E0DE-1539-4022-A063-2640F7B735A0}"/>
    <cellStyle name="Neutral 22" xfId="15076" xr:uid="{742F836C-7F1F-4409-BA17-D36042C94C9E}"/>
    <cellStyle name="Neutral 23" xfId="15077" xr:uid="{2898A12E-7B67-4712-B9A0-0C6843E61BF9}"/>
    <cellStyle name="Neutral 24" xfId="15078" xr:uid="{D833DBDF-F1B8-4ACD-8C74-DBA2D2657345}"/>
    <cellStyle name="Neutral 25" xfId="15079" xr:uid="{22C0C44D-F420-409C-AB0B-07A110B61F33}"/>
    <cellStyle name="Neutral 26" xfId="15080" xr:uid="{A4857E7A-0527-46C6-9D63-02C1355A76FD}"/>
    <cellStyle name="Neutral 27" xfId="15081" xr:uid="{C5B5FC0F-7475-4628-9023-238F9920FDB4}"/>
    <cellStyle name="Neutral 28" xfId="15082" xr:uid="{F6ADD2BE-FB46-4DB0-AE04-051B511472CF}"/>
    <cellStyle name="Neutral 29" xfId="15083" xr:uid="{6A31C543-D464-4AD5-BB43-1D87A9E0467A}"/>
    <cellStyle name="Neutral 3" xfId="15084" xr:uid="{078A55C9-FB12-45F3-BB3F-2EF85333A579}"/>
    <cellStyle name="Neutral 3 2" xfId="15085" xr:uid="{C0548FFD-1548-4EE3-AC72-D5CC639F74DA}"/>
    <cellStyle name="Neutral 3 3" xfId="15086" xr:uid="{0B4A7216-C7F7-47D1-ADDD-AEC083479A0E}"/>
    <cellStyle name="Neutral 3 3 2" xfId="15087" xr:uid="{8E2242AF-57AE-4798-A41D-22F5C96E235A}"/>
    <cellStyle name="Neutral 3 3 3" xfId="15088" xr:uid="{DB2A5C62-4467-49A5-BFD6-778A64CD484D}"/>
    <cellStyle name="Neutral 3 4" xfId="41439" xr:uid="{45F4FEAD-740E-4D6B-BEA3-2286EDD77596}"/>
    <cellStyle name="Neutral 30" xfId="15089" xr:uid="{4B546D7A-2230-4839-A49E-4097A6C78D7A}"/>
    <cellStyle name="Neutral 31" xfId="15090" xr:uid="{37FC5254-7FB4-47FA-AD5F-7270878C8FCA}"/>
    <cellStyle name="Neutral 32" xfId="15091" xr:uid="{88AA688F-E536-4FD8-9120-9B5BAD9C9161}"/>
    <cellStyle name="Neutral 33" xfId="15092" xr:uid="{F56B9CEF-7117-420C-AE92-8083F0520259}"/>
    <cellStyle name="Neutral 34" xfId="15093" xr:uid="{5CF7A602-E46A-458D-ABE7-126E7D1F27CB}"/>
    <cellStyle name="Neutral 35" xfId="15094" xr:uid="{A19A76E7-2064-4247-8803-713D96724D02}"/>
    <cellStyle name="Neutral 36" xfId="15095" xr:uid="{BECFFA5E-5FBB-4F42-A8BB-D77634264530}"/>
    <cellStyle name="Neutral 37" xfId="41440" xr:uid="{AD1F24B7-B4B5-44FD-BA38-04886A94D835}"/>
    <cellStyle name="Neutral 38" xfId="199" xr:uid="{C993F9F4-9C93-43CB-8114-9EE3BA3D63B1}"/>
    <cellStyle name="Neutral 4" xfId="15096" xr:uid="{2A255A3E-B18B-405C-BA16-3B22CE5654C9}"/>
    <cellStyle name="Neutral 4 2" xfId="15097" xr:uid="{BEBDC121-4B30-479D-8DEC-09275EE16186}"/>
    <cellStyle name="Neutral 4 3" xfId="15098" xr:uid="{C15ACBE7-47CE-4442-AEEC-1CCE08576C16}"/>
    <cellStyle name="Neutral 5" xfId="15099" xr:uid="{736EC4F7-D08D-43A6-8070-BB64041CDCFC}"/>
    <cellStyle name="Neutral 5 2" xfId="15100" xr:uid="{7CFA3390-7C1E-4354-B6B0-E8810A8EAE6F}"/>
    <cellStyle name="Neutral 5 3" xfId="15101" xr:uid="{5C1C9F57-1060-42B8-8F0B-C4EDC52A83C4}"/>
    <cellStyle name="Neutral 6" xfId="15102" xr:uid="{1EB001E2-A3E9-4750-9F50-0F3043DCDB82}"/>
    <cellStyle name="Neutral 6 2" xfId="15103" xr:uid="{15DB3FB5-3AB8-4CE3-B033-0E7ECDF7C507}"/>
    <cellStyle name="Neutral 6 3" xfId="15104" xr:uid="{40FFDCA7-83E7-44B1-8D1B-B76381650E4E}"/>
    <cellStyle name="Neutral 7" xfId="15105" xr:uid="{9BFC5384-15C1-42B0-810E-B877269C5910}"/>
    <cellStyle name="Neutral 7 2" xfId="15106" xr:uid="{E1CE0D75-5B74-4D9F-8271-E73AF2BB803A}"/>
    <cellStyle name="Neutral 7 3" xfId="15107" xr:uid="{8E271AC7-508F-440F-9193-9FE0E9686798}"/>
    <cellStyle name="Neutral 8" xfId="15108" xr:uid="{E28F25EE-EC91-4892-997F-A4AD02422FF6}"/>
    <cellStyle name="Neutral 8 2" xfId="15109" xr:uid="{A6C9A23C-8525-46A2-A8C1-4023A864EEC8}"/>
    <cellStyle name="Neutral 8 3" xfId="15110" xr:uid="{355570B8-711C-4BB0-A855-56FFD49ABD60}"/>
    <cellStyle name="Neutral 9" xfId="15111" xr:uid="{2B1787A3-7B1C-4171-92E8-5DCEE6897334}"/>
    <cellStyle name="Neutral 9 2" xfId="15112" xr:uid="{F6DD717F-498E-4061-84E5-169B835030B3}"/>
    <cellStyle name="Neutral 9 3" xfId="15113" xr:uid="{74E7208F-8A30-4864-A60D-91FC447F1DCB}"/>
    <cellStyle name="no dec" xfId="15114" xr:uid="{65FBC516-5842-4E02-BF00-F372DA744695}"/>
    <cellStyle name="none" xfId="41441" xr:uid="{1250D5C1-4A6A-4F24-8BFB-ABAB91C3F525}"/>
    <cellStyle name="Normal" xfId="0" builtinId="0"/>
    <cellStyle name="Normal - Style1" xfId="41442" xr:uid="{6224F9FB-F7D4-40BE-BCB6-7C585B90A65C}"/>
    <cellStyle name="Normal - Style1 2" xfId="41443" xr:uid="{EDA54752-4677-4764-9331-A995B10D6697}"/>
    <cellStyle name="Normal - Style1 2 2" xfId="41444" xr:uid="{A9589A23-934B-4FE5-A7EB-65D93392357A}"/>
    <cellStyle name="Normal - Style1 2 3" xfId="41445" xr:uid="{5B55C28C-8B33-43A0-9CFD-2E9F276E8BFD}"/>
    <cellStyle name="Normal - Style1 3" xfId="41446" xr:uid="{A2EFE4A0-25D2-4516-9F1B-BC6F4FFD5D07}"/>
    <cellStyle name="Normal - Style1 4" xfId="41447" xr:uid="{FD6FF4D5-FA0C-4731-8054-5C9C9732D6BC}"/>
    <cellStyle name="Normal - Style1 5" xfId="62" xr:uid="{B4A35AC0-40A5-4B53-92FB-8EF9644159A7}"/>
    <cellStyle name="Normal 10" xfId="237" xr:uid="{2CFE2F84-74DC-47DF-BAB3-A9261BB2C8F8}"/>
    <cellStyle name="Normal 10 10" xfId="41448" xr:uid="{BB137F32-A6CE-48A6-9EAE-6576A12CFE89}"/>
    <cellStyle name="Normal 10 2" xfId="14" xr:uid="{00000000-0005-0000-0000-00000C000000}"/>
    <cellStyle name="Normal 10 2 2" xfId="17" xr:uid="{00000000-0005-0000-0000-00000D000000}"/>
    <cellStyle name="Normal 10 2 2 2" xfId="15115" xr:uid="{755C221E-1234-4DD2-AA67-9CD8F07C4B73}"/>
    <cellStyle name="Normal 10 2 2 2 2" xfId="15116" xr:uid="{A3C37654-E7C8-4BCE-9C54-76C98B01FF3E}"/>
    <cellStyle name="Normal 10 2 2 2 2 2" xfId="15117" xr:uid="{BA10A7CF-5BC1-4304-8FEC-C51AC32748B8}"/>
    <cellStyle name="Normal 10 2 2 2 2 2 2" xfId="148" xr:uid="{64FC8B2C-8BA9-4388-94BF-7ED4AB14C17C}"/>
    <cellStyle name="Normal 10 2 2 2 2 3" xfId="41449" xr:uid="{646D6380-9607-47E3-96B6-44C15B9AB87F}"/>
    <cellStyle name="Normal 10 2 2 2 3" xfId="15118" xr:uid="{B34613A7-C50C-461B-9D9E-B53B3CABACE2}"/>
    <cellStyle name="Normal 10 2 2 2 3 2" xfId="41450" xr:uid="{BD98ECCF-A367-4D00-B383-EA4F6D7984C0}"/>
    <cellStyle name="Normal 10 2 2 2 4" xfId="41451" xr:uid="{69177FB3-172A-4596-B470-49F4EFEBCFB2}"/>
    <cellStyle name="Normal 10 2 2 3" xfId="15119" xr:uid="{A50ADB9E-2D93-4F86-8AD7-070746AA5A71}"/>
    <cellStyle name="Normal 10 2 2 4" xfId="43612" xr:uid="{8E104238-43BC-44FF-976D-B8D0AEB5F491}"/>
    <cellStyle name="Normal 10 2 3" xfId="15120" xr:uid="{93DA2E33-42B4-4CA8-907F-51DBBB7296BA}"/>
    <cellStyle name="Normal 10 2 3 2" xfId="41452" xr:uid="{7F6A92A7-8B63-44F6-A6FC-4E6B7BC6D417}"/>
    <cellStyle name="Normal 10 3" xfId="35" xr:uid="{7EE115DD-BC38-4A41-A835-2AD5997A445A}"/>
    <cellStyle name="Normal 10 3 2" xfId="15121" xr:uid="{EAC77FB4-63BD-453A-8424-9A0303DF4D7F}"/>
    <cellStyle name="Normal 10 3 2 2" xfId="15122" xr:uid="{559CE32B-0AAC-4B62-924D-192E3CA99B7D}"/>
    <cellStyle name="Normal 10 3 2 2 2" xfId="15123" xr:uid="{06008BBA-130C-441C-9011-A73C80E29FC8}"/>
    <cellStyle name="Normal 10 3 2 3" xfId="15124" xr:uid="{EBC9A76A-8B9C-4877-969A-269AB19D49CE}"/>
    <cellStyle name="Normal 10 3 2 4" xfId="15125" xr:uid="{3A7B84F5-68CB-45EB-B32B-03D0F1A1105E}"/>
    <cellStyle name="Normal 10 3 3" xfId="15126" xr:uid="{D8121EAB-84E6-4AB2-8180-881836CFDC0E}"/>
    <cellStyle name="Normal 10 3 3 2" xfId="15127" xr:uid="{7CD75543-36AF-40C8-B27A-EDCF7EA7ED65}"/>
    <cellStyle name="Normal 10 3 3 3" xfId="15128" xr:uid="{21B61A9D-2721-464A-B880-165FB01856CD}"/>
    <cellStyle name="Normal 10 3 4" xfId="15129" xr:uid="{43104654-D7F4-4458-AF3C-2E7B1EBA5FF5}"/>
    <cellStyle name="Normal 10 3 4 2" xfId="15130" xr:uid="{077691AA-BD39-4786-AFF7-301698C2C995}"/>
    <cellStyle name="Normal 10 3 5" xfId="15131" xr:uid="{D58B1AB0-876F-459C-9D66-43AADCB75894}"/>
    <cellStyle name="Normal 10 3 6" xfId="15132" xr:uid="{F7C3F4CA-742C-49A7-94BF-DC783A2C7F02}"/>
    <cellStyle name="Normal 10 3 7" xfId="58" xr:uid="{8946D956-3B3F-4C11-AFA5-77B0D2298F3B}"/>
    <cellStyle name="Normal 10 3 8" xfId="43621" xr:uid="{09C8A4EB-300B-4E47-B7E0-F26077750881}"/>
    <cellStyle name="Normal 10 3 9" xfId="238" xr:uid="{4CC9D79B-B541-4162-8361-528A4EFA3F89}"/>
    <cellStyle name="Normal 10 4" xfId="15133" xr:uid="{7C98A257-C048-44D7-8B47-9263EC61CB88}"/>
    <cellStyle name="Normal 10 4 2" xfId="15134" xr:uid="{424022B3-2B10-4509-AAD5-61E76A7E8BBB}"/>
    <cellStyle name="Normal 10 4 2 2" xfId="15135" xr:uid="{6D32EF63-F483-4250-B2CC-AFA0B744202C}"/>
    <cellStyle name="Normal 10 4 3" xfId="15136" xr:uid="{4E27A41E-2F1D-47D9-9564-019EF050BCA5}"/>
    <cellStyle name="Normal 10 4 4" xfId="15137" xr:uid="{7D098BA3-8FA6-4B19-938E-1A41A113421F}"/>
    <cellStyle name="Normal 10 4 5" xfId="15138" xr:uid="{726A19B5-FD28-4AAB-81A2-E5721FC54121}"/>
    <cellStyle name="Normal 10 4 6" xfId="41453" xr:uid="{43E38B44-B499-4557-9C4F-DEF09CC417DD}"/>
    <cellStyle name="Normal 10 5" xfId="15139" xr:uid="{5A50D870-E944-4DD0-A9C7-BFAE7942CBE6}"/>
    <cellStyle name="Normal 10 5 2" xfId="15140" xr:uid="{4CD11B75-6B71-4CCC-91E5-F3CE4A8CE0F0}"/>
    <cellStyle name="Normal 10 6" xfId="41454" xr:uid="{9FAE79CB-038A-4453-8242-685E12AAA7BA}"/>
    <cellStyle name="Normal 10 7" xfId="41455" xr:uid="{1DDE002A-C0B4-4980-B75E-7549A5251C11}"/>
    <cellStyle name="Normal 10 8" xfId="239" xr:uid="{FC283B38-F5D8-409D-ABEE-9D886AD71990}"/>
    <cellStyle name="Normal 10 8 2" xfId="15141" xr:uid="{355ED62D-A86B-49F1-B78C-5CD4A0FF3D73}"/>
    <cellStyle name="Normal 10 8 2 2" xfId="15142" xr:uid="{467E4914-E98C-45C9-9650-72CEE0CFF391}"/>
    <cellStyle name="Normal 10 8 2 2 2" xfId="15143" xr:uid="{AAF37708-78C1-4067-BCDC-76F5B9438ADE}"/>
    <cellStyle name="Normal 10 8 2 3" xfId="15144" xr:uid="{2698592A-1A2A-43F2-AD15-090BF64FDD23}"/>
    <cellStyle name="Normal 10 8 3" xfId="15145" xr:uid="{69F7A85F-8085-47BC-A77B-8FC4AE1A8816}"/>
    <cellStyle name="Normal 10 8 3 2" xfId="15146" xr:uid="{4618451C-75BB-4705-A660-BCB712298146}"/>
    <cellStyle name="Normal 10 8 4" xfId="15147" xr:uid="{E7026025-F865-4B53-96CF-6BED02CD02C9}"/>
    <cellStyle name="Normal 10 8 5" xfId="15148" xr:uid="{6617F23E-4F4D-4004-B197-AA23AE85CA3E}"/>
    <cellStyle name="Normal 10 9" xfId="41456" xr:uid="{C9FBA6EB-15C3-4E8B-9F99-40950CC17C36}"/>
    <cellStyle name="Normal 10_PwrTax 51040" xfId="15149" xr:uid="{BB16D30A-9D3A-40E9-8E8E-C19D84A0929C}"/>
    <cellStyle name="Normal 100" xfId="15150" xr:uid="{A0097C3F-5C3C-4AC5-8299-CCD4571C0BF6}"/>
    <cellStyle name="Normal 100 2" xfId="15151" xr:uid="{13300310-1184-467F-A3CC-168CC766F416}"/>
    <cellStyle name="Normal 101" xfId="15152" xr:uid="{8D6692A3-AFC3-40DF-98E6-127BB7BFBE5D}"/>
    <cellStyle name="Normal 101 2" xfId="15153" xr:uid="{84C5C5F1-CB6B-4A6F-8BED-036A3D86DAE3}"/>
    <cellStyle name="Normal 102" xfId="15154" xr:uid="{3D292C30-C092-4235-A50C-27E85EE4E51A}"/>
    <cellStyle name="Normal 103" xfId="15155" xr:uid="{D30200AF-4764-4E23-B090-ADDEC7B42822}"/>
    <cellStyle name="Normal 103 2" xfId="15156" xr:uid="{8377C472-1E62-4F82-BE73-E3C9FC7DB3FE}"/>
    <cellStyle name="Normal 104" xfId="15157" xr:uid="{87E7DA6F-CF9E-489D-88F1-E57F9ADC6C4C}"/>
    <cellStyle name="Normal 105" xfId="15158" xr:uid="{825EBB09-87C0-4E1E-A91A-5E06236D10ED}"/>
    <cellStyle name="Normal 106" xfId="15159" xr:uid="{85817AA7-BD4F-4572-AA63-46975EC67952}"/>
    <cellStyle name="Normal 107" xfId="15160" xr:uid="{FE908465-7E5D-4206-A01C-6640399D7F51}"/>
    <cellStyle name="Normal 108" xfId="15161" xr:uid="{4111B20E-11FA-41E9-AD79-6A7F625FCAF0}"/>
    <cellStyle name="Normal 109" xfId="15162" xr:uid="{1C3EDA6F-42AF-4D46-BE71-859BA16D2315}"/>
    <cellStyle name="Normal 11" xfId="154" xr:uid="{7BDDC2A8-6AA1-458E-A8E5-41AE8AB44F53}"/>
    <cellStyle name="Normal 11 2" xfId="15163" xr:uid="{970BBB06-343D-40EC-99F5-5FABB624D896}"/>
    <cellStyle name="Normal 11 2 2" xfId="15164" xr:uid="{0D6D065B-19D0-43F9-AFE0-583E6EB97C0E}"/>
    <cellStyle name="Normal 11 2 2 2" xfId="41457" xr:uid="{963E8E19-A6E0-497D-B64E-70107A4A96AC}"/>
    <cellStyle name="Normal 11 2 3" xfId="15165" xr:uid="{F67D1B27-7A04-44BE-88E7-309C0FEC3551}"/>
    <cellStyle name="Normal 11 2 3 2" xfId="41458" xr:uid="{3507334F-C4B8-4A62-855B-AC195714D2CF}"/>
    <cellStyle name="Normal 11 2 4" xfId="41459" xr:uid="{8E8BC7AA-62BE-4BBB-9E1D-261F2858315B}"/>
    <cellStyle name="Normal 11 3" xfId="15166" xr:uid="{9F7C5737-A956-49ED-81BE-46C44EA6605C}"/>
    <cellStyle name="Normal 11 3 2" xfId="15167" xr:uid="{259CF52C-4849-4B59-B248-D25E7B872155}"/>
    <cellStyle name="Normal 11 3 2 2" xfId="41460" xr:uid="{6CD4C76E-735E-449D-A159-63FA73CBA6C2}"/>
    <cellStyle name="Normal 11 3 3" xfId="41461" xr:uid="{47507E49-E6C7-49E2-9C33-33C9626F7FE5}"/>
    <cellStyle name="Normal 11 4" xfId="15168" xr:uid="{3645C9FC-52E6-48B6-B3E8-82CD98307516}"/>
    <cellStyle name="Normal 11 4 2" xfId="15169" xr:uid="{87CEC8A8-20C4-4DC6-876F-784881D4C5A3}"/>
    <cellStyle name="Normal 11 4 2 2" xfId="41462" xr:uid="{4E312663-1246-4FB6-8DAC-4F146330EDF2}"/>
    <cellStyle name="Normal 11 4 3" xfId="41463" xr:uid="{3D6C5BF3-E0D8-430D-823E-7F8EFE1075C4}"/>
    <cellStyle name="Normal 11 5" xfId="15170" xr:uid="{4D649718-A44B-4488-A308-91B65B837D3B}"/>
    <cellStyle name="Normal 11 5 2" xfId="41464" xr:uid="{A9A39108-CB5C-4015-A9DE-13BBAEE08E49}"/>
    <cellStyle name="Normal 11 6" xfId="41465" xr:uid="{2F87A75A-E1E0-4A60-8AC2-6615B3966A32}"/>
    <cellStyle name="Normal 11 7" xfId="41466" xr:uid="{3D8C1CDE-5D70-4732-B6BF-A70676841C6B}"/>
    <cellStyle name="Normal 110" xfId="15171" xr:uid="{6452CD43-C33A-4D97-B5C7-BC83C9FA722E}"/>
    <cellStyle name="Normal 111" xfId="15172" xr:uid="{5F299188-EBD6-47D2-90A5-634D5B5827C8}"/>
    <cellStyle name="Normal 112" xfId="15173" xr:uid="{3F2D6669-B698-40C8-8226-5AEC79BB5CDA}"/>
    <cellStyle name="Normal 113" xfId="15174" xr:uid="{9FB52DCF-24BA-46C6-A879-E7830D7D9CAB}"/>
    <cellStyle name="Normal 114" xfId="15175" xr:uid="{B97C1906-BE33-40C7-8A32-A32A092DC21E}"/>
    <cellStyle name="Normal 115" xfId="15176" xr:uid="{19E10560-9C9A-4B81-BF90-447738AA079A}"/>
    <cellStyle name="Normal 116" xfId="15177" xr:uid="{2780BE6F-A374-45AC-BB98-651D80AF08B3}"/>
    <cellStyle name="Normal 116 2" xfId="41467" xr:uid="{E4E62C63-F078-4247-A1B8-652BE1920A54}"/>
    <cellStyle name="Normal 117" xfId="15178" xr:uid="{DAEE5F98-6426-44E2-BC2D-7722E833FB2D}"/>
    <cellStyle name="Normal 118" xfId="15179" xr:uid="{3760E548-E396-4B93-B567-20BD5AE10CBD}"/>
    <cellStyle name="Normal 118 2" xfId="41468" xr:uid="{82B2EC74-8677-47BA-9AD3-32BD95C413ED}"/>
    <cellStyle name="Normal 119" xfId="15180" xr:uid="{776D2EF4-D230-47C7-8C5D-FE3EEBE29077}"/>
    <cellStyle name="Normal 12" xfId="240" xr:uid="{9E30FE09-78AF-4756-BB27-33F2AAAEDFFC}"/>
    <cellStyle name="Normal 12 2" xfId="34" xr:uid="{B1EA86CD-76E8-421C-8A01-BA953F82EBAC}"/>
    <cellStyle name="Normal 12 2 2" xfId="15182" xr:uid="{34AF1BD9-5F69-4DA8-A52C-8366773C97A8}"/>
    <cellStyle name="Normal 12 2 2 2" xfId="44" xr:uid="{A13903E3-6D80-4FD0-AB69-10F6BB18A7DC}"/>
    <cellStyle name="Normal 12 2 2 2 2" xfId="43630" xr:uid="{91BC2BCD-F684-4D25-8C7B-1A35102EE0D2}"/>
    <cellStyle name="Normal 12 2 2 2 3" xfId="15183" xr:uid="{F8CECAB7-C040-48B5-AFA0-2AB9C0420BE0}"/>
    <cellStyle name="Normal 12 2 2 3" xfId="41469" xr:uid="{CC6F9707-030F-43A3-80B6-BFB7E0A1CDF0}"/>
    <cellStyle name="Normal 12 2 3" xfId="42" xr:uid="{3F66D6ED-5287-4072-AC52-B4E08CD80373}"/>
    <cellStyle name="Normal 12 2 3 2" xfId="41470" xr:uid="{025F1CDC-80EA-4266-8196-F237266F2506}"/>
    <cellStyle name="Normal 12 2 3 3" xfId="43628" xr:uid="{967D853F-FE6B-4F07-9311-A20A179B6F55}"/>
    <cellStyle name="Normal 12 2 3 4" xfId="15184" xr:uid="{48A71135-0F70-4F82-A5F3-357CFFE95338}"/>
    <cellStyle name="Normal 12 2 4" xfId="41471" xr:uid="{E6373559-7DA6-42E3-8D3C-459E224BC36E}"/>
    <cellStyle name="Normal 12 2 5" xfId="43620" xr:uid="{399F1C98-2CB1-488A-AA5D-A52A9C4027D6}"/>
    <cellStyle name="Normal 12 2 6" xfId="15181" xr:uid="{0EA58929-EFCC-4396-BA91-F151D8E01AA5}"/>
    <cellStyle name="Normal 12 3" xfId="15185" xr:uid="{7CC3082C-6804-4CF6-99C3-F391C76B1ACB}"/>
    <cellStyle name="Normal 12 3 2" xfId="15186" xr:uid="{F264BDEE-6805-4A2F-A923-81F848A64D27}"/>
    <cellStyle name="Normal 12 3 2 2" xfId="41472" xr:uid="{F3D4DC89-B102-40ED-AF28-74245472BBF3}"/>
    <cellStyle name="Normal 12 3 3" xfId="15187" xr:uid="{FD957261-5B09-4C98-80EE-1FE972BA41DA}"/>
    <cellStyle name="Normal 12 3 4" xfId="41473" xr:uid="{55D3778B-AFAF-4503-BC44-9AEAFB446344}"/>
    <cellStyle name="Normal 12 4" xfId="15188" xr:uid="{9B15AB78-AAEA-4C5F-9D52-4FA696C8E728}"/>
    <cellStyle name="Normal 12 4 2" xfId="15189" xr:uid="{EDA1A55D-BAA5-4D42-A969-0A0DA2E87D93}"/>
    <cellStyle name="Normal 12 4 2 2" xfId="41474" xr:uid="{1D5A3654-1AE8-41B7-88FF-B76EE49C334D}"/>
    <cellStyle name="Normal 12 4 3" xfId="41475" xr:uid="{14271DB2-506F-40CC-9EE6-FEF7FA79BEDB}"/>
    <cellStyle name="Normal 12 5" xfId="15190" xr:uid="{5D7F6D7B-D252-4B9A-ABD7-BFEE3BA32E70}"/>
    <cellStyle name="Normal 12 5 2" xfId="41476" xr:uid="{CB05BF60-4352-4F71-8EF3-1E15D1A802D3}"/>
    <cellStyle name="Normal 12 6" xfId="41477" xr:uid="{97D93442-5CA6-4AAF-9C21-C0D0ED4B0E75}"/>
    <cellStyle name="Normal 120" xfId="15191" xr:uid="{EAF27CBC-F11A-490E-B1FD-F11E5CDA36CF}"/>
    <cellStyle name="Normal 121" xfId="15192" xr:uid="{838CF67F-7C57-457A-9988-E6D463DA64AC}"/>
    <cellStyle name="Normal 122" xfId="15193" xr:uid="{9001E7C9-591E-4F24-94C8-CCE65675EC62}"/>
    <cellStyle name="Normal 122 2" xfId="41478" xr:uid="{5B4A0A2A-7717-4C1A-BEA9-F3D50394578C}"/>
    <cellStyle name="Normal 123" xfId="15194" xr:uid="{F9D80643-19E8-4EF2-92C0-7D205A48E13C}"/>
    <cellStyle name="Normal 124" xfId="15195" xr:uid="{564DB9C7-2C2D-434D-BC06-B25B41B73D6B}"/>
    <cellStyle name="Normal 125" xfId="15196" xr:uid="{C78B70EE-DA68-4D0C-A52E-76EBF5228F39}"/>
    <cellStyle name="Normal 126" xfId="15197" xr:uid="{325AC74A-13CB-4861-B908-0401E673D7CB}"/>
    <cellStyle name="Normal 127" xfId="15198" xr:uid="{C70974E7-BC39-4A02-BB96-E72BFA73E23C}"/>
    <cellStyle name="Normal 127 2" xfId="41479" xr:uid="{227CB1C9-79FD-47DC-A539-2E6D700D0B5B}"/>
    <cellStyle name="Normal 127 3" xfId="41480" xr:uid="{1F5567EC-E510-442C-B6E0-E42407DF57EF}"/>
    <cellStyle name="Normal 128" xfId="15199" xr:uid="{9AA8B0AC-54C0-4413-83A2-1133A80A1354}"/>
    <cellStyle name="Normal 128 2" xfId="41481" xr:uid="{557AE824-9D1E-4894-96CE-4469133E39AB}"/>
    <cellStyle name="Normal 129" xfId="15200" xr:uid="{F9B7B12D-877A-4F24-A04F-0715442B57CA}"/>
    <cellStyle name="Normal 13" xfId="15201" xr:uid="{13D9FAB6-5442-49F4-9254-ED2DF9347707}"/>
    <cellStyle name="Normal 13 10" xfId="15202" xr:uid="{8A6C5AEF-1893-43D5-9839-D500D3A98A39}"/>
    <cellStyle name="Normal 13 10 10" xfId="41482" xr:uid="{A2EAC56B-7F4D-46B0-BD8B-9DE55EBBE5D2}"/>
    <cellStyle name="Normal 13 10 2" xfId="15203" xr:uid="{70DBB1AC-DC75-49B6-9D7F-B6F0FF9C0696}"/>
    <cellStyle name="Normal 13 10 2 2" xfId="15204" xr:uid="{8EACDDB7-0175-48C4-9FB0-2BDC12C57EF8}"/>
    <cellStyle name="Normal 13 10 3" xfId="15205" xr:uid="{F00E1660-ACF2-495F-895D-D774991E507F}"/>
    <cellStyle name="Normal 13 10 3 2" xfId="15206" xr:uid="{1D409D95-F2C1-428C-87F0-12BF6B111026}"/>
    <cellStyle name="Normal 13 10 4" xfId="15207" xr:uid="{EADC1FE8-22E6-4129-9F31-5B46B3A8D0AE}"/>
    <cellStyle name="Normal 13 10 4 2" xfId="15208" xr:uid="{926881A4-0364-49A8-A473-B74F7CEDBBF5}"/>
    <cellStyle name="Normal 13 10 5" xfId="15209" xr:uid="{300AB4DB-AF47-47FF-A25A-03E8E910381B}"/>
    <cellStyle name="Normal 13 11" xfId="15210" xr:uid="{C3E3E968-2775-449D-9356-3215406DCABC}"/>
    <cellStyle name="Normal 13 11 2" xfId="15211" xr:uid="{90AF5210-F89E-48E0-887B-0D1BA1F4B69E}"/>
    <cellStyle name="Normal 13 11 2 2" xfId="15212" xr:uid="{00AB10BA-8186-4495-A224-B3AF6ECD90F0}"/>
    <cellStyle name="Normal 13 11 3" xfId="15213" xr:uid="{55A0A09E-9BE3-43F0-9128-55BC32829D7F}"/>
    <cellStyle name="Normal 13 11 3 2" xfId="15214" xr:uid="{18BE7B04-8728-4A45-A67C-75048681C316}"/>
    <cellStyle name="Normal 13 11 4" xfId="15215" xr:uid="{C21FB15B-FA96-48E7-93F8-2B14D811E7A0}"/>
    <cellStyle name="Normal 13 11 4 2" xfId="15216" xr:uid="{9A8A981A-24D3-4687-B4D3-CC6949DFFFBB}"/>
    <cellStyle name="Normal 13 11 5" xfId="15217" xr:uid="{DA41E269-1DCE-47E6-B793-71ACFAE078A5}"/>
    <cellStyle name="Normal 13 12" xfId="15218" xr:uid="{52E231EB-2977-4497-A51C-7B188CBB535F}"/>
    <cellStyle name="Normal 13 12 2" xfId="15219" xr:uid="{1C8DFF00-75E1-4675-AC05-E355E1F80372}"/>
    <cellStyle name="Normal 13 13" xfId="15220" xr:uid="{F00E1AD2-607E-4584-ADA7-B816F88A8870}"/>
    <cellStyle name="Normal 13 13 2" xfId="15221" xr:uid="{98161B7E-0C34-4A0B-8184-D5E5E9413E06}"/>
    <cellStyle name="Normal 13 14" xfId="15222" xr:uid="{44499B47-CA63-47AE-8F33-AA5D16DA7AF0}"/>
    <cellStyle name="Normal 13 14 2" xfId="15223" xr:uid="{1DE86560-B19A-4F5B-9B62-1FABFA3CDDE6}"/>
    <cellStyle name="Normal 13 15" xfId="15224" xr:uid="{07CB2740-3C8E-48B2-950F-189581E9B927}"/>
    <cellStyle name="Normal 13 15 2" xfId="15225" xr:uid="{3C6B4D19-9D93-4784-A7CD-217401AAD70B}"/>
    <cellStyle name="Normal 13 16" xfId="15226" xr:uid="{31296FD6-67C3-4AD7-AA6C-2BD93B295151}"/>
    <cellStyle name="Normal 13 16 2" xfId="15227" xr:uid="{055D8569-94FD-4BA2-8FB5-F6C042A55579}"/>
    <cellStyle name="Normal 13 17" xfId="15228" xr:uid="{8D0EE6B2-2C31-4C3F-88FB-9F334ED1F61A}"/>
    <cellStyle name="Normal 13 17 2" xfId="15229" xr:uid="{F1F3B4D2-22A8-40A0-B786-AB0612F7806D}"/>
    <cellStyle name="Normal 13 18" xfId="15230" xr:uid="{4A7FF369-9F0D-4B07-89B1-9494C116F2F6}"/>
    <cellStyle name="Normal 13 18 2" xfId="15231" xr:uid="{87972769-C05D-4B49-B987-3109D58C9CBE}"/>
    <cellStyle name="Normal 13 19" xfId="15232" xr:uid="{EECD707A-367C-418E-BDEB-DF9F403E4CDE}"/>
    <cellStyle name="Normal 13 19 2" xfId="15233" xr:uid="{7F9EBFD6-E76E-4905-A3CB-91D6EF60990A}"/>
    <cellStyle name="Normal 13 2" xfId="38" xr:uid="{6EBB980F-74AF-4023-9F9F-9BF1F5EC05C9}"/>
    <cellStyle name="Normal 13 2 10" xfId="15234" xr:uid="{E0DE5C40-73EA-4C34-A29F-5E27E6C3B18C}"/>
    <cellStyle name="Normal 13 2 10 2" xfId="15235" xr:uid="{861C1D5F-778A-453A-96F9-18AF4BBE2AF0}"/>
    <cellStyle name="Normal 13 2 11" xfId="15236" xr:uid="{3ABD1EF7-3B0A-4CC8-A526-EE1951740C1C}"/>
    <cellStyle name="Normal 13 2 11 2" xfId="15237" xr:uid="{1A413FC4-A86C-4C14-9934-7B2D9D91A9CE}"/>
    <cellStyle name="Normal 13 2 12" xfId="15238" xr:uid="{036AE268-3743-4557-942C-1D0B2309A94A}"/>
    <cellStyle name="Normal 13 2 12 2" xfId="15239" xr:uid="{93C3E5EF-0689-4727-8C15-90B6D92F65E0}"/>
    <cellStyle name="Normal 13 2 13" xfId="15240" xr:uid="{3F243F22-DF67-4B20-8F47-6A7931CA693F}"/>
    <cellStyle name="Normal 13 2 13 2" xfId="15241" xr:uid="{C4270393-97D4-4807-9A40-C0646BA3B96F}"/>
    <cellStyle name="Normal 13 2 14" xfId="15242" xr:uid="{BE529B56-C14B-45C9-9246-5ADC8522D3F4}"/>
    <cellStyle name="Normal 13 2 14 2" xfId="15243" xr:uid="{0C055A09-7689-44B6-8C5C-28491B48D7F8}"/>
    <cellStyle name="Normal 13 2 15" xfId="15244" xr:uid="{4861054C-D9A5-41B3-A431-C4C7554C9236}"/>
    <cellStyle name="Normal 13 2 16" xfId="15245" xr:uid="{49B2C873-D1B3-4DE7-950F-9C884271C055}"/>
    <cellStyle name="Normal 13 2 17" xfId="15246" xr:uid="{58DD2EAF-2AAF-4038-ABE7-0EA12B6D8F38}"/>
    <cellStyle name="Normal 13 2 18" xfId="15247" xr:uid="{B796D208-9675-4B5D-B630-EFD8D810A4E7}"/>
    <cellStyle name="Normal 13 2 19" xfId="41483" xr:uid="{CC7F072D-EC15-4D5E-8125-88DB9C89762F}"/>
    <cellStyle name="Normal 13 2 2" xfId="15248" xr:uid="{887D9099-C3EB-4FCF-8443-F626FFB742B5}"/>
    <cellStyle name="Normal 13 2 2 10" xfId="15249" xr:uid="{FAF450B4-F931-40E6-9B91-4D5F1B29316F}"/>
    <cellStyle name="Normal 13 2 2 10 2" xfId="15250" xr:uid="{72D2C7D9-04F3-46A8-840F-470388B72942}"/>
    <cellStyle name="Normal 13 2 2 11" xfId="15251" xr:uid="{6438AE9F-65AD-4461-8FD1-F12BF61ED776}"/>
    <cellStyle name="Normal 13 2 2 12" xfId="15252" xr:uid="{CFC95F08-8162-46DC-96EF-9CB9270233F3}"/>
    <cellStyle name="Normal 13 2 2 13" xfId="41484" xr:uid="{DCDCC602-D779-4E88-B158-C3B2C51D3600}"/>
    <cellStyle name="Normal 13 2 2 2" xfId="15253" xr:uid="{E0D987F6-DCC7-4B2A-A3F2-D9A261FDDC6E}"/>
    <cellStyle name="Normal 13 2 2 2 10" xfId="15254" xr:uid="{B078A16D-ECA2-4139-96A9-9BFD04FEE1F0}"/>
    <cellStyle name="Normal 13 2 2 2 2" xfId="15255" xr:uid="{FF51EDB4-9889-437C-8B62-6E25FB81E9F7}"/>
    <cellStyle name="Normal 13 2 2 2 2 2" xfId="15256" xr:uid="{E23190AB-6D97-402D-A2A7-EFC795E94E9F}"/>
    <cellStyle name="Normal 13 2 2 2 2 2 2" xfId="15257" xr:uid="{F7A610E7-1026-463E-A992-DF6ECEC9FBCA}"/>
    <cellStyle name="Normal 13 2 2 2 2 2 2 2" xfId="15258" xr:uid="{44A00644-D15B-4DE5-B37C-03EB806C8D23}"/>
    <cellStyle name="Normal 13 2 2 2 2 2 3" xfId="15259" xr:uid="{5C699139-E0BB-44D3-B6DC-AA069E090404}"/>
    <cellStyle name="Normal 13 2 2 2 2 2 3 2" xfId="15260" xr:uid="{D37C0AD5-1584-446D-9F51-305640A437D2}"/>
    <cellStyle name="Normal 13 2 2 2 2 2 4" xfId="15261" xr:uid="{20ADBA2C-15B7-4363-AD25-A9666E94F0A2}"/>
    <cellStyle name="Normal 13 2 2 2 2 2 4 2" xfId="15262" xr:uid="{DA95FD9D-3B63-4E99-B0E8-ABFA7D013CB6}"/>
    <cellStyle name="Normal 13 2 2 2 2 2 5" xfId="15263" xr:uid="{A57DBD3F-849E-4F50-936C-54BD15710A00}"/>
    <cellStyle name="Normal 13 2 2 2 2 3" xfId="15264" xr:uid="{AF238E7E-8B32-41B3-B15A-59B165D74CF6}"/>
    <cellStyle name="Normal 13 2 2 2 2 3 2" xfId="15265" xr:uid="{E51CA15D-02D5-449D-9C63-2A9D7339C047}"/>
    <cellStyle name="Normal 13 2 2 2 2 3 2 2" xfId="15266" xr:uid="{1C266C8B-5BA8-4004-9DCE-7D096F4F4030}"/>
    <cellStyle name="Normal 13 2 2 2 2 3 3" xfId="15267" xr:uid="{AD73463D-4E0D-4C97-8CCF-96A917D679EE}"/>
    <cellStyle name="Normal 13 2 2 2 2 3 3 2" xfId="15268" xr:uid="{0CD6DDB7-EF67-4B66-A930-CE947AC7D91F}"/>
    <cellStyle name="Normal 13 2 2 2 2 3 4" xfId="15269" xr:uid="{82A49115-0738-4E2D-BE68-28035B98AC66}"/>
    <cellStyle name="Normal 13 2 2 2 2 3 4 2" xfId="15270" xr:uid="{547BF9A5-6247-48B8-8D68-B34135888D42}"/>
    <cellStyle name="Normal 13 2 2 2 2 3 5" xfId="15271" xr:uid="{01E20594-1FB2-4168-BCBA-8D96B83A0648}"/>
    <cellStyle name="Normal 13 2 2 2 2 4" xfId="15272" xr:uid="{1DBC4E53-2D29-47D1-B8B3-172EF171E524}"/>
    <cellStyle name="Normal 13 2 2 2 2 4 2" xfId="15273" xr:uid="{CDE9D6EF-F339-45C4-87B1-168B156645AB}"/>
    <cellStyle name="Normal 13 2 2 2 2 5" xfId="15274" xr:uid="{58934E9E-54FE-4BC1-9589-379E8BBCCAF8}"/>
    <cellStyle name="Normal 13 2 2 2 2 5 2" xfId="15275" xr:uid="{F1DA10C0-7DFB-4C2D-8FBC-6B26B0C52912}"/>
    <cellStyle name="Normal 13 2 2 2 2 6" xfId="15276" xr:uid="{41ACEB6A-2FFC-4867-8FCB-AE63BDA7FB26}"/>
    <cellStyle name="Normal 13 2 2 2 2 6 2" xfId="15277" xr:uid="{CC757E3C-65F6-44BF-9F6D-5898AFFDFF71}"/>
    <cellStyle name="Normal 13 2 2 2 2 7" xfId="15278" xr:uid="{9C068D7F-E49C-4DE4-90BD-5E897B0C6011}"/>
    <cellStyle name="Normal 13 2 2 2 2 7 2" xfId="15279" xr:uid="{5657F894-2988-4CF3-8167-D902EAE86365}"/>
    <cellStyle name="Normal 13 2 2 2 2 8" xfId="15280" xr:uid="{05BB88C4-4A9E-4C40-A7AB-8B5E91BB11F4}"/>
    <cellStyle name="Normal 13 2 2 2 2 8 2" xfId="15281" xr:uid="{2F18CF26-8E93-4531-B83E-F24E5CFE9B6C}"/>
    <cellStyle name="Normal 13 2 2 2 2 9" xfId="15282" xr:uid="{B4A2066F-DE2E-40AF-ACE3-BF2125DC523F}"/>
    <cellStyle name="Normal 13 2 2 2 3" xfId="15283" xr:uid="{96CF8608-31F2-484D-B595-0E22EDF3FB24}"/>
    <cellStyle name="Normal 13 2 2 2 3 2" xfId="15284" xr:uid="{DD5E022B-F059-41B9-8B9C-03D3EC65FE59}"/>
    <cellStyle name="Normal 13 2 2 2 3 2 2" xfId="15285" xr:uid="{26F5C391-664C-4639-9506-94B45F2DB47E}"/>
    <cellStyle name="Normal 13 2 2 2 3 3" xfId="15286" xr:uid="{BF9858DF-29AA-4494-9F3E-6C42E811DCE8}"/>
    <cellStyle name="Normal 13 2 2 2 3 3 2" xfId="15287" xr:uid="{6F296FC2-8F76-4BE6-9AC2-9A248EA5AD79}"/>
    <cellStyle name="Normal 13 2 2 2 3 4" xfId="15288" xr:uid="{7BB695CD-9965-49F6-A7C0-882CE655C381}"/>
    <cellStyle name="Normal 13 2 2 2 3 4 2" xfId="15289" xr:uid="{6829B976-910E-4775-8404-0E6FB19AB67A}"/>
    <cellStyle name="Normal 13 2 2 2 3 5" xfId="15290" xr:uid="{83ECA0F6-02A2-42BC-AE00-0F2AF006E44A}"/>
    <cellStyle name="Normal 13 2 2 2 4" xfId="15291" xr:uid="{37BA7D86-75EC-4F76-800C-FDA60205951B}"/>
    <cellStyle name="Normal 13 2 2 2 4 2" xfId="15292" xr:uid="{4748DE68-E8E4-42DA-AB81-2800C5215228}"/>
    <cellStyle name="Normal 13 2 2 2 4 2 2" xfId="15293" xr:uid="{3E94DFE7-3747-4159-A304-3458ED549D18}"/>
    <cellStyle name="Normal 13 2 2 2 4 3" xfId="15294" xr:uid="{9086C060-FE24-4EF5-8068-EC0A022AE4E4}"/>
    <cellStyle name="Normal 13 2 2 2 4 3 2" xfId="15295" xr:uid="{3C2DBBBE-8109-432B-8AAB-F82B0B4D831A}"/>
    <cellStyle name="Normal 13 2 2 2 4 4" xfId="15296" xr:uid="{384AEBE6-E396-4883-969C-EC69BD6DF0D3}"/>
    <cellStyle name="Normal 13 2 2 2 4 4 2" xfId="15297" xr:uid="{2400DF8D-9A0D-492A-895B-79543FCCE33D}"/>
    <cellStyle name="Normal 13 2 2 2 4 5" xfId="15298" xr:uid="{183664F2-C3B4-43C6-BF2A-FBF1BA20E4C7}"/>
    <cellStyle name="Normal 13 2 2 2 5" xfId="15299" xr:uid="{41FB95B0-0A0C-4738-8B36-658F3AD49F8E}"/>
    <cellStyle name="Normal 13 2 2 2 5 2" xfId="15300" xr:uid="{0E457EBA-08B0-4E6C-A143-2D2627F24056}"/>
    <cellStyle name="Normal 13 2 2 2 6" xfId="15301" xr:uid="{8F17D109-A559-49B6-9B8F-21256EB70AAA}"/>
    <cellStyle name="Normal 13 2 2 2 6 2" xfId="15302" xr:uid="{CC7F140B-C7BF-4F90-B3D7-9B93996C9CE1}"/>
    <cellStyle name="Normal 13 2 2 2 7" xfId="15303" xr:uid="{B700F37E-E2AB-4598-A036-9FBC49BD579D}"/>
    <cellStyle name="Normal 13 2 2 2 7 2" xfId="15304" xr:uid="{88F84F6B-6A2A-4BCE-9ACA-B93350B2FEC4}"/>
    <cellStyle name="Normal 13 2 2 2 8" xfId="15305" xr:uid="{5246BB08-1208-46EA-8C37-FAF86EB46792}"/>
    <cellStyle name="Normal 13 2 2 2 8 2" xfId="15306" xr:uid="{903286D3-30BF-4587-B6BF-7C9FD5FDF0EA}"/>
    <cellStyle name="Normal 13 2 2 2 9" xfId="15307" xr:uid="{3C97C4C5-761B-4B10-8A20-8279273EB5FE}"/>
    <cellStyle name="Normal 13 2 2 2 9 2" xfId="15308" xr:uid="{6E51D155-BCAF-4A3A-9A56-F5AC8D5B3C39}"/>
    <cellStyle name="Normal 13 2 2 3" xfId="15309" xr:uid="{E8FAD58C-A6C0-4C01-81E8-3F33BFBD7FD2}"/>
    <cellStyle name="Normal 13 2 2 3 2" xfId="15310" xr:uid="{84CBD117-98DE-4781-8B90-51AFC8CBDAA2}"/>
    <cellStyle name="Normal 13 2 2 3 2 2" xfId="15311" xr:uid="{BF4F2619-218F-43C8-ABFF-FCD5D6AF171F}"/>
    <cellStyle name="Normal 13 2 2 3 2 2 2" xfId="15312" xr:uid="{66B67AF0-12BD-44BF-8057-3F8DB014A4AB}"/>
    <cellStyle name="Normal 13 2 2 3 2 3" xfId="15313" xr:uid="{490759BA-26CA-4D9D-A719-A3D243AE6AAB}"/>
    <cellStyle name="Normal 13 2 2 3 2 3 2" xfId="15314" xr:uid="{7226ED60-FE28-4D12-B293-7D65BFA835E2}"/>
    <cellStyle name="Normal 13 2 2 3 2 4" xfId="15315" xr:uid="{93202393-3B20-412E-9811-840325252E7C}"/>
    <cellStyle name="Normal 13 2 2 3 2 4 2" xfId="15316" xr:uid="{13D57793-21AC-4887-A579-76CF5B93CE1A}"/>
    <cellStyle name="Normal 13 2 2 3 2 5" xfId="15317" xr:uid="{6DFD99A4-6B8F-4379-8E34-1B1A01FF7299}"/>
    <cellStyle name="Normal 13 2 2 3 3" xfId="15318" xr:uid="{403D7412-3FB3-456B-B126-7E287E61EC3B}"/>
    <cellStyle name="Normal 13 2 2 3 3 2" xfId="15319" xr:uid="{6CD6DD00-749C-40CE-9B4A-7C979EA18B53}"/>
    <cellStyle name="Normal 13 2 2 3 3 2 2" xfId="15320" xr:uid="{5EAD34D6-55FF-45E5-BCB2-35DB64C843FC}"/>
    <cellStyle name="Normal 13 2 2 3 3 3" xfId="15321" xr:uid="{92AD80CA-8784-4F38-B7C4-B30368595A37}"/>
    <cellStyle name="Normal 13 2 2 3 3 3 2" xfId="15322" xr:uid="{24DBFB50-D4E5-4A11-B256-741CDAB1D9BE}"/>
    <cellStyle name="Normal 13 2 2 3 3 4" xfId="15323" xr:uid="{D35696D3-8C54-45BA-BCB5-92EFA189C21F}"/>
    <cellStyle name="Normal 13 2 2 3 3 4 2" xfId="15324" xr:uid="{C7BEFFED-DC0C-4152-83E6-504982AD0605}"/>
    <cellStyle name="Normal 13 2 2 3 3 5" xfId="15325" xr:uid="{DDD1C075-8CB2-45AC-990A-5C930F8135B8}"/>
    <cellStyle name="Normal 13 2 2 3 4" xfId="15326" xr:uid="{C230F17B-5D47-42F7-93FD-AE6EE43CE5E4}"/>
    <cellStyle name="Normal 13 2 2 3 4 2" xfId="15327" xr:uid="{869A417E-05E8-4097-A4AC-21A7399F462A}"/>
    <cellStyle name="Normal 13 2 2 3 5" xfId="15328" xr:uid="{CD2582AA-F8A5-47B8-BF8A-D4FDD1476EB2}"/>
    <cellStyle name="Normal 13 2 2 3 5 2" xfId="15329" xr:uid="{C52CF3D4-4401-4633-8212-346397223331}"/>
    <cellStyle name="Normal 13 2 2 3 6" xfId="15330" xr:uid="{C98281A1-9CEA-4F08-9DBC-75DD7EE6F884}"/>
    <cellStyle name="Normal 13 2 2 3 6 2" xfId="15331" xr:uid="{0D868764-1498-41F6-8633-BAFEC847635A}"/>
    <cellStyle name="Normal 13 2 2 3 7" xfId="15332" xr:uid="{C33C9B65-CA1E-4C2F-930B-FEA1CEE5B802}"/>
    <cellStyle name="Normal 13 2 2 3 7 2" xfId="15333" xr:uid="{871C8FF6-EAE0-4250-9BA3-C00E64D21089}"/>
    <cellStyle name="Normal 13 2 2 3 8" xfId="15334" xr:uid="{B7239C21-6BF5-41E6-909A-F2F805A05D3F}"/>
    <cellStyle name="Normal 13 2 2 3 8 2" xfId="15335" xr:uid="{0201F24F-5CD2-45F2-81E3-CFE265F0787C}"/>
    <cellStyle name="Normal 13 2 2 3 9" xfId="15336" xr:uid="{602A444D-8A19-4F2A-BD7D-60DB159390E5}"/>
    <cellStyle name="Normal 13 2 2 4" xfId="15337" xr:uid="{FA10E47A-5E24-465B-8C08-DC19A62EC8FC}"/>
    <cellStyle name="Normal 13 2 2 4 2" xfId="15338" xr:uid="{9892EB24-266A-463A-A027-7756A81C1B1A}"/>
    <cellStyle name="Normal 13 2 2 4 2 2" xfId="15339" xr:uid="{9A30535D-DA60-4FA2-9FBC-026565B4C7ED}"/>
    <cellStyle name="Normal 13 2 2 4 3" xfId="15340" xr:uid="{7E2369C8-8C23-46AD-8734-FAA69C64E1D4}"/>
    <cellStyle name="Normal 13 2 2 4 3 2" xfId="15341" xr:uid="{7FA15874-DA91-4138-A7F7-5FBE037F05EB}"/>
    <cellStyle name="Normal 13 2 2 4 4" xfId="15342" xr:uid="{974A7216-AFEF-48B3-9C56-1B3650C0F379}"/>
    <cellStyle name="Normal 13 2 2 4 4 2" xfId="15343" xr:uid="{855206D3-8779-4593-83A1-D0D3555915EB}"/>
    <cellStyle name="Normal 13 2 2 4 5" xfId="15344" xr:uid="{C6DD5991-A6D9-4DEE-B648-6D2919558BE3}"/>
    <cellStyle name="Normal 13 2 2 5" xfId="15345" xr:uid="{A920B14C-3320-4FFF-88B0-F42D52BC0F37}"/>
    <cellStyle name="Normal 13 2 2 5 2" xfId="15346" xr:uid="{74CD3883-5B96-4B25-B49E-DCED94493FAD}"/>
    <cellStyle name="Normal 13 2 2 5 2 2" xfId="15347" xr:uid="{8539BDCA-2471-4C0D-9FE6-988EDE37C5AE}"/>
    <cellStyle name="Normal 13 2 2 5 3" xfId="15348" xr:uid="{F769410A-4EF5-4CA0-A332-2EFE24C3941D}"/>
    <cellStyle name="Normal 13 2 2 5 3 2" xfId="15349" xr:uid="{21AD1734-186F-43B4-A203-AE81445A6B75}"/>
    <cellStyle name="Normal 13 2 2 5 4" xfId="15350" xr:uid="{C62428C5-BA9B-443E-8E0F-A4B6BFFFAB48}"/>
    <cellStyle name="Normal 13 2 2 5 4 2" xfId="15351" xr:uid="{4FD59F07-9E17-423F-934D-824F17B88481}"/>
    <cellStyle name="Normal 13 2 2 5 5" xfId="15352" xr:uid="{3171759D-A902-48BF-A733-0D33E755C4A9}"/>
    <cellStyle name="Normal 13 2 2 6" xfId="15353" xr:uid="{7F847E87-6F4A-47CE-833D-E45C50B24857}"/>
    <cellStyle name="Normal 13 2 2 6 2" xfId="15354" xr:uid="{6FB38DB1-9A8E-414D-9484-EEAB07B692D7}"/>
    <cellStyle name="Normal 13 2 2 7" xfId="15355" xr:uid="{C529D114-05D1-4B7A-9786-94E59EC34D01}"/>
    <cellStyle name="Normal 13 2 2 7 2" xfId="15356" xr:uid="{F17A9979-1517-45F9-BBC4-E063CACC0F41}"/>
    <cellStyle name="Normal 13 2 2 8" xfId="15357" xr:uid="{5493B209-F201-4297-89FC-CAB6999A9456}"/>
    <cellStyle name="Normal 13 2 2 8 2" xfId="15358" xr:uid="{C5AEDC9E-EC54-43A9-B81D-8B0CEB46EB95}"/>
    <cellStyle name="Normal 13 2 2 9" xfId="15359" xr:uid="{23628804-F513-4C6D-914E-150D10A16780}"/>
    <cellStyle name="Normal 13 2 2 9 2" xfId="15360" xr:uid="{CCFC68BC-9DFD-49CE-A7C5-5764FC9BA8E0}"/>
    <cellStyle name="Normal 13 2 20" xfId="43624" xr:uid="{CACF9055-9EF6-48D6-94AC-7E365CFCAB28}"/>
    <cellStyle name="Normal 13 2 3" xfId="15361" xr:uid="{7E8EA2AF-60EC-4ABD-AF16-3A98761F56FB}"/>
    <cellStyle name="Normal 13 2 3 10" xfId="15362" xr:uid="{07F25F35-DB6C-4ECE-AE52-32A1BBF7CFBC}"/>
    <cellStyle name="Normal 13 2 3 10 2" xfId="15363" xr:uid="{C88C7E90-CBD6-42DF-928D-4EDB30B41D55}"/>
    <cellStyle name="Normal 13 2 3 11" xfId="15364" xr:uid="{0582AD4E-A113-47A2-8B34-CC8C9CAB9B54}"/>
    <cellStyle name="Normal 13 2 3 12" xfId="15365" xr:uid="{2DA9F782-F6BB-4E0A-A9EC-EA4BBA6FD9BB}"/>
    <cellStyle name="Normal 13 2 3 13" xfId="41485" xr:uid="{4B714711-2FC6-4B5C-BFFB-D7DA62FB26D7}"/>
    <cellStyle name="Normal 13 2 3 2" xfId="15366" xr:uid="{03ACA568-FF26-4184-9579-DAC7A1C0D806}"/>
    <cellStyle name="Normal 13 2 3 2 10" xfId="15367" xr:uid="{BDF52608-312D-4783-AB4F-8BCB2E2F88C1}"/>
    <cellStyle name="Normal 13 2 3 2 2" xfId="15368" xr:uid="{A3798E37-FB03-4F06-A534-36FF9649B0E2}"/>
    <cellStyle name="Normal 13 2 3 2 2 2" xfId="15369" xr:uid="{52CAA3D6-B48D-4C3C-8BC7-A8E426F0A1FF}"/>
    <cellStyle name="Normal 13 2 3 2 2 2 2" xfId="15370" xr:uid="{175565E4-747F-4857-B2EC-554EA23C6283}"/>
    <cellStyle name="Normal 13 2 3 2 2 2 2 2" xfId="15371" xr:uid="{DAC90EF6-F32C-4978-813B-B06BA21CF45E}"/>
    <cellStyle name="Normal 13 2 3 2 2 2 3" xfId="15372" xr:uid="{5256347D-DB0D-49B6-B4CE-70E84E9D07AF}"/>
    <cellStyle name="Normal 13 2 3 2 2 2 3 2" xfId="15373" xr:uid="{4ACA7188-6300-4D96-82D6-FBB8AEEC9F54}"/>
    <cellStyle name="Normal 13 2 3 2 2 2 4" xfId="15374" xr:uid="{C5B82B6C-BB2B-468F-AECD-77113ADCA456}"/>
    <cellStyle name="Normal 13 2 3 2 2 2 4 2" xfId="15375" xr:uid="{E7487E08-9DA0-4189-A0C0-5E79973E0C91}"/>
    <cellStyle name="Normal 13 2 3 2 2 2 5" xfId="15376" xr:uid="{4D156AB6-7EB7-466E-88AE-A1B22C554994}"/>
    <cellStyle name="Normal 13 2 3 2 2 3" xfId="15377" xr:uid="{F1E1A094-E1C3-4833-A5AE-9AD695F1D374}"/>
    <cellStyle name="Normal 13 2 3 2 2 3 2" xfId="15378" xr:uid="{CA44BF67-88F4-4E7E-B459-E3CDC7848A05}"/>
    <cellStyle name="Normal 13 2 3 2 2 3 2 2" xfId="15379" xr:uid="{F10F1F32-CE44-4446-AF96-3522CEEA3F95}"/>
    <cellStyle name="Normal 13 2 3 2 2 3 3" xfId="15380" xr:uid="{6453282C-E4A5-4D91-93B7-6CE7D49A7027}"/>
    <cellStyle name="Normal 13 2 3 2 2 3 3 2" xfId="15381" xr:uid="{E7F4F803-5533-4CE0-8220-6FD42B7D2040}"/>
    <cellStyle name="Normal 13 2 3 2 2 3 4" xfId="15382" xr:uid="{23AB2F3B-C8C9-400B-B806-26048A1FE47A}"/>
    <cellStyle name="Normal 13 2 3 2 2 3 4 2" xfId="15383" xr:uid="{281857BF-1EBE-4CE8-9D8D-17D0ADC66855}"/>
    <cellStyle name="Normal 13 2 3 2 2 3 5" xfId="15384" xr:uid="{B2BFBA20-671C-48D1-90D5-8F1EFF545B79}"/>
    <cellStyle name="Normal 13 2 3 2 2 4" xfId="15385" xr:uid="{018C019D-49E4-49E8-9AFE-A8A6B13BD5D2}"/>
    <cellStyle name="Normal 13 2 3 2 2 4 2" xfId="15386" xr:uid="{0F3F0DE9-DD1E-400C-ABE5-E852E8BFA4FD}"/>
    <cellStyle name="Normal 13 2 3 2 2 5" xfId="15387" xr:uid="{B86A5D11-AABF-40DF-9E73-A6E394129305}"/>
    <cellStyle name="Normal 13 2 3 2 2 5 2" xfId="15388" xr:uid="{16F146F3-F614-49DB-A902-0F72B42B1159}"/>
    <cellStyle name="Normal 13 2 3 2 2 6" xfId="15389" xr:uid="{1D709AFB-3982-4B5D-B997-9B3D21C639FE}"/>
    <cellStyle name="Normal 13 2 3 2 2 6 2" xfId="15390" xr:uid="{DB8AAB21-6B43-4898-816C-BE559C3A5B52}"/>
    <cellStyle name="Normal 13 2 3 2 2 7" xfId="15391" xr:uid="{2F3DAC26-7DD4-43D2-9D3B-0149FD325021}"/>
    <cellStyle name="Normal 13 2 3 2 2 7 2" xfId="15392" xr:uid="{E5D42706-63BD-4934-B685-F8F96ED85B78}"/>
    <cellStyle name="Normal 13 2 3 2 2 8" xfId="15393" xr:uid="{1EE2089C-B147-4232-9A9B-2FF45B717376}"/>
    <cellStyle name="Normal 13 2 3 2 2 8 2" xfId="15394" xr:uid="{4E08252E-BA64-4DA8-AD08-0FD52CEB3524}"/>
    <cellStyle name="Normal 13 2 3 2 2 9" xfId="15395" xr:uid="{B72B2503-7C7C-49E3-83C3-D73B5173F4F6}"/>
    <cellStyle name="Normal 13 2 3 2 3" xfId="15396" xr:uid="{C59F8BEC-AE4E-4F1E-B624-E4CBFB03AF62}"/>
    <cellStyle name="Normal 13 2 3 2 3 2" xfId="15397" xr:uid="{B00D0761-06B7-4DBD-A8DB-47CADAE1C768}"/>
    <cellStyle name="Normal 13 2 3 2 3 2 2" xfId="15398" xr:uid="{21F7B182-283C-4590-9B25-5172D032BEB0}"/>
    <cellStyle name="Normal 13 2 3 2 3 3" xfId="15399" xr:uid="{E0DD0260-4E69-49D7-BA3D-B124F541E423}"/>
    <cellStyle name="Normal 13 2 3 2 3 3 2" xfId="15400" xr:uid="{18E20ECA-E551-4444-9CCF-B4A607A9E330}"/>
    <cellStyle name="Normal 13 2 3 2 3 4" xfId="15401" xr:uid="{860B5996-B43A-453F-A58B-434F0A7A1962}"/>
    <cellStyle name="Normal 13 2 3 2 3 4 2" xfId="15402" xr:uid="{03E62FD8-ED2E-4981-9E22-A36983908F75}"/>
    <cellStyle name="Normal 13 2 3 2 3 5" xfId="15403" xr:uid="{8F348501-FE43-422F-A85C-E9BAB6BD3CA8}"/>
    <cellStyle name="Normal 13 2 3 2 4" xfId="15404" xr:uid="{F27025BD-767E-4718-8914-D3469C110E18}"/>
    <cellStyle name="Normal 13 2 3 2 4 2" xfId="15405" xr:uid="{61CE41F0-0CDA-4143-BD1C-EC7E105C87D9}"/>
    <cellStyle name="Normal 13 2 3 2 4 2 2" xfId="15406" xr:uid="{70D7CBA2-4E96-482A-914F-97AA0CECF573}"/>
    <cellStyle name="Normal 13 2 3 2 4 3" xfId="15407" xr:uid="{39D10EB3-7B3A-4D1D-803B-5BA17B044F8F}"/>
    <cellStyle name="Normal 13 2 3 2 4 3 2" xfId="15408" xr:uid="{723B0321-01B7-40F8-BD37-CA332A8A1D5F}"/>
    <cellStyle name="Normal 13 2 3 2 4 4" xfId="15409" xr:uid="{705D890C-0314-4951-9136-374F092A493D}"/>
    <cellStyle name="Normal 13 2 3 2 4 4 2" xfId="15410" xr:uid="{D6A74D5E-F75A-4303-9CD1-EE3F8A3BC6F6}"/>
    <cellStyle name="Normal 13 2 3 2 4 5" xfId="15411" xr:uid="{A96E1E57-8326-47C4-9A4D-D846BFDB4871}"/>
    <cellStyle name="Normal 13 2 3 2 5" xfId="15412" xr:uid="{3C1633FE-A1D1-4886-8857-66D582CFDB9B}"/>
    <cellStyle name="Normal 13 2 3 2 5 2" xfId="15413" xr:uid="{F2DABDBE-1755-457E-8142-A8A9A074BFD9}"/>
    <cellStyle name="Normal 13 2 3 2 6" xfId="15414" xr:uid="{92FB93AC-492D-42DA-AA2C-A91378D4F560}"/>
    <cellStyle name="Normal 13 2 3 2 6 2" xfId="15415" xr:uid="{E8B902E6-CA6A-42C5-988F-E50ECE156D29}"/>
    <cellStyle name="Normal 13 2 3 2 7" xfId="15416" xr:uid="{884F6E62-07B3-4D58-B58A-FEB6E0C74DB7}"/>
    <cellStyle name="Normal 13 2 3 2 7 2" xfId="15417" xr:uid="{3D7B1AB5-83DE-4D40-BE21-828A563A55FA}"/>
    <cellStyle name="Normal 13 2 3 2 8" xfId="15418" xr:uid="{38535B4D-A6CD-4AB3-84C5-61381B70053C}"/>
    <cellStyle name="Normal 13 2 3 2 8 2" xfId="15419" xr:uid="{C1D79DC4-CAA9-4A59-A363-2725CC50146C}"/>
    <cellStyle name="Normal 13 2 3 2 9" xfId="15420" xr:uid="{5BFCCE77-04CF-4AC6-8211-46BC4A3DA26C}"/>
    <cellStyle name="Normal 13 2 3 2 9 2" xfId="15421" xr:uid="{666F4D6C-32B3-4640-9107-62CF75D7B6A7}"/>
    <cellStyle name="Normal 13 2 3 3" xfId="15422" xr:uid="{32CED6D8-F6E9-423F-A3BF-6F0929B70189}"/>
    <cellStyle name="Normal 13 2 3 3 2" xfId="15423" xr:uid="{22518B71-09E6-47CE-BD5D-55B78F1FC96D}"/>
    <cellStyle name="Normal 13 2 3 3 2 2" xfId="15424" xr:uid="{8E1CB307-1192-4F89-A961-50C64AE49A45}"/>
    <cellStyle name="Normal 13 2 3 3 2 2 2" xfId="15425" xr:uid="{47CFC232-A052-4A43-85A2-910F75BB621C}"/>
    <cellStyle name="Normal 13 2 3 3 2 3" xfId="15426" xr:uid="{014D94A1-086C-4E90-874A-CBCAD4597A02}"/>
    <cellStyle name="Normal 13 2 3 3 2 3 2" xfId="15427" xr:uid="{1D14AD0B-AC6E-4F4B-9607-A1EAF8381085}"/>
    <cellStyle name="Normal 13 2 3 3 2 4" xfId="15428" xr:uid="{85A0BC1F-8B4C-41B0-A950-70962C4E9525}"/>
    <cellStyle name="Normal 13 2 3 3 2 4 2" xfId="15429" xr:uid="{EB7CD838-020D-4F21-B233-B31041C887B5}"/>
    <cellStyle name="Normal 13 2 3 3 2 5" xfId="15430" xr:uid="{3AE3ECE8-645C-4BEF-A134-9992EA769346}"/>
    <cellStyle name="Normal 13 2 3 3 3" xfId="15431" xr:uid="{52C45CF2-73B8-4C84-94CE-17C3BE389B7C}"/>
    <cellStyle name="Normal 13 2 3 3 3 2" xfId="15432" xr:uid="{C354B42D-2B89-4E41-9589-58F330C02D10}"/>
    <cellStyle name="Normal 13 2 3 3 3 2 2" xfId="15433" xr:uid="{C835A994-7935-4707-9104-5DD59E30934A}"/>
    <cellStyle name="Normal 13 2 3 3 3 3" xfId="15434" xr:uid="{58B775D9-70B2-4370-8537-325BA592BF6A}"/>
    <cellStyle name="Normal 13 2 3 3 3 3 2" xfId="15435" xr:uid="{3B93807D-6F9C-4D40-AFFD-B48A0FB9CDDA}"/>
    <cellStyle name="Normal 13 2 3 3 3 4" xfId="15436" xr:uid="{C06A6F9C-961D-473C-92B2-EF17D1993143}"/>
    <cellStyle name="Normal 13 2 3 3 3 4 2" xfId="15437" xr:uid="{9E0A44AB-B61E-4AEB-801E-1C614752D1CA}"/>
    <cellStyle name="Normal 13 2 3 3 3 5" xfId="15438" xr:uid="{F1F2E88F-C61C-4B62-A9C6-D45F6EF6F4BB}"/>
    <cellStyle name="Normal 13 2 3 3 4" xfId="15439" xr:uid="{D7E8FC09-B22B-4EED-9CD9-81FC3EB259BB}"/>
    <cellStyle name="Normal 13 2 3 3 4 2" xfId="15440" xr:uid="{1E968E10-61B6-4D83-A0EB-7C8C6AD875B8}"/>
    <cellStyle name="Normal 13 2 3 3 5" xfId="15441" xr:uid="{50C0E286-8301-4AA2-83B1-F14BFA6BCCFC}"/>
    <cellStyle name="Normal 13 2 3 3 5 2" xfId="15442" xr:uid="{86818775-525D-4814-801E-5492242A1894}"/>
    <cellStyle name="Normal 13 2 3 3 6" xfId="15443" xr:uid="{DA5FEF50-65A9-4904-8A33-730D573A21F7}"/>
    <cellStyle name="Normal 13 2 3 3 6 2" xfId="15444" xr:uid="{FA963DB2-0066-41CE-A916-7F5D9FC04A81}"/>
    <cellStyle name="Normal 13 2 3 3 7" xfId="15445" xr:uid="{19616877-9E48-4099-BF7C-A0BD6E356F07}"/>
    <cellStyle name="Normal 13 2 3 3 7 2" xfId="15446" xr:uid="{984FF7D2-76A4-4BDD-BF28-AD37D0F79D01}"/>
    <cellStyle name="Normal 13 2 3 3 8" xfId="15447" xr:uid="{69A7D5E9-0D00-4C69-A694-BF56F4D97A24}"/>
    <cellStyle name="Normal 13 2 3 3 8 2" xfId="15448" xr:uid="{F44A362D-A81C-44B4-85EE-D636061945D2}"/>
    <cellStyle name="Normal 13 2 3 3 9" xfId="15449" xr:uid="{CA702CBA-1CA6-4426-9D40-FFF35B3E643A}"/>
    <cellStyle name="Normal 13 2 3 4" xfId="15450" xr:uid="{21B601C6-52DA-46D6-99D5-6896DF8ADF1B}"/>
    <cellStyle name="Normal 13 2 3 4 2" xfId="15451" xr:uid="{49E20B46-A32C-447A-8267-27A790B06C70}"/>
    <cellStyle name="Normal 13 2 3 4 2 2" xfId="15452" xr:uid="{245D156B-4D89-4F98-A106-2A0591668730}"/>
    <cellStyle name="Normal 13 2 3 4 3" xfId="15453" xr:uid="{0EE390FF-5A9A-4188-AB88-11290DDEE6A4}"/>
    <cellStyle name="Normal 13 2 3 4 3 2" xfId="15454" xr:uid="{0094E104-A0B5-4E79-903F-4D4D51B55581}"/>
    <cellStyle name="Normal 13 2 3 4 4" xfId="15455" xr:uid="{91409E04-56FA-4A5D-B90E-7148F0DF9489}"/>
    <cellStyle name="Normal 13 2 3 4 4 2" xfId="15456" xr:uid="{7FA4B063-91DD-49E3-9F2D-ADC76E8876A9}"/>
    <cellStyle name="Normal 13 2 3 4 5" xfId="15457" xr:uid="{BDAF37DD-4F2A-489F-8CD7-7A753C043DBC}"/>
    <cellStyle name="Normal 13 2 3 5" xfId="15458" xr:uid="{FF4C6331-11E4-49ED-AE37-FC55550EB811}"/>
    <cellStyle name="Normal 13 2 3 5 2" xfId="15459" xr:uid="{A76D2386-73D4-4805-AC56-8D8D83FC872B}"/>
    <cellStyle name="Normal 13 2 3 5 2 2" xfId="15460" xr:uid="{26144772-6864-47FE-9D6A-006995B724CC}"/>
    <cellStyle name="Normal 13 2 3 5 3" xfId="15461" xr:uid="{311E6E1B-8266-46B3-9968-EED3116272D7}"/>
    <cellStyle name="Normal 13 2 3 5 3 2" xfId="15462" xr:uid="{EA406FB0-E179-4ACE-8EB5-2E9AE661CDB6}"/>
    <cellStyle name="Normal 13 2 3 5 4" xfId="15463" xr:uid="{11F2A3A0-8411-4465-8CAA-A42B003FF49F}"/>
    <cellStyle name="Normal 13 2 3 5 4 2" xfId="15464" xr:uid="{0CEE7B21-1D57-4B92-B687-DD3FC6ACF4AD}"/>
    <cellStyle name="Normal 13 2 3 5 5" xfId="15465" xr:uid="{4DE3BC08-240E-4123-AD55-F6F414907DE0}"/>
    <cellStyle name="Normal 13 2 3 6" xfId="15466" xr:uid="{9EA9BFEA-35E7-4B6A-B7B2-E0EC06941FF9}"/>
    <cellStyle name="Normal 13 2 3 6 2" xfId="15467" xr:uid="{25346614-0594-4A64-B7AB-2A1829367594}"/>
    <cellStyle name="Normal 13 2 3 7" xfId="15468" xr:uid="{41254F38-BBE9-46EF-B451-B4C511E0CA84}"/>
    <cellStyle name="Normal 13 2 3 7 2" xfId="15469" xr:uid="{6CF3289A-64D7-4606-B586-C78F62749644}"/>
    <cellStyle name="Normal 13 2 3 8" xfId="15470" xr:uid="{C78C3E88-447D-4397-9F70-ABC77A8059BE}"/>
    <cellStyle name="Normal 13 2 3 8 2" xfId="15471" xr:uid="{EE89BA40-2078-4E6D-A6B1-830F72993567}"/>
    <cellStyle name="Normal 13 2 3 9" xfId="15472" xr:uid="{C398DF71-E2AD-47EE-9780-1A6B5CEA4D06}"/>
    <cellStyle name="Normal 13 2 3 9 2" xfId="15473" xr:uid="{9AA625C2-F10B-4FAD-A518-FC5AA5761C8C}"/>
    <cellStyle name="Normal 13 2 4" xfId="15474" xr:uid="{13B1419A-12ED-4F35-AF4D-2BA3ADB81206}"/>
    <cellStyle name="Normal 13 2 4 10" xfId="15475" xr:uid="{05ED7794-6A0E-48D0-BFC5-A684653CD831}"/>
    <cellStyle name="Normal 13 2 4 10 2" xfId="15476" xr:uid="{E680A42F-7582-4234-9381-D76FB82563DA}"/>
    <cellStyle name="Normal 13 2 4 11" xfId="15477" xr:uid="{615B61DC-9F8E-4469-BAB8-5BA258CCB3AC}"/>
    <cellStyle name="Normal 13 2 4 12" xfId="15478" xr:uid="{0970F29B-CBEF-4AA0-8EEE-94C200FFA848}"/>
    <cellStyle name="Normal 13 2 4 2" xfId="15479" xr:uid="{A991CCE1-A47D-4D72-A498-1A53298BAF77}"/>
    <cellStyle name="Normal 13 2 4 2 10" xfId="15480" xr:uid="{D2604AAF-1E13-4154-A7A8-0246721F1337}"/>
    <cellStyle name="Normal 13 2 4 2 2" xfId="15481" xr:uid="{6B68712D-722B-4CF2-8A1A-FE1F8E50B473}"/>
    <cellStyle name="Normal 13 2 4 2 2 2" xfId="15482" xr:uid="{C751D1EF-9B1E-4A44-84ED-15BF2D63A42E}"/>
    <cellStyle name="Normal 13 2 4 2 2 2 2" xfId="15483" xr:uid="{26E3E40C-ECE9-4F1F-B442-DD2253A66F77}"/>
    <cellStyle name="Normal 13 2 4 2 2 2 2 2" xfId="15484" xr:uid="{F9C7DB0B-78C8-4C67-882C-AB7021022F5F}"/>
    <cellStyle name="Normal 13 2 4 2 2 2 3" xfId="15485" xr:uid="{49C46D69-E81A-419D-A62E-827DA0DDBE89}"/>
    <cellStyle name="Normal 13 2 4 2 2 2 3 2" xfId="15486" xr:uid="{6E617512-E032-4FA4-BBA8-0DB643062245}"/>
    <cellStyle name="Normal 13 2 4 2 2 2 4" xfId="15487" xr:uid="{898B7C0E-B3B0-47F0-97FA-EA267FC6A9E0}"/>
    <cellStyle name="Normal 13 2 4 2 2 2 4 2" xfId="15488" xr:uid="{82D73512-E8DC-4B27-9D46-B90DA92860F0}"/>
    <cellStyle name="Normal 13 2 4 2 2 2 5" xfId="15489" xr:uid="{A0BFA2C0-1571-4BED-8D75-C494AB00EB78}"/>
    <cellStyle name="Normal 13 2 4 2 2 3" xfId="15490" xr:uid="{49441A6C-579E-4F27-B899-37DA46757746}"/>
    <cellStyle name="Normal 13 2 4 2 2 3 2" xfId="15491" xr:uid="{B0D3BD1C-C216-47BA-990F-3C0972034186}"/>
    <cellStyle name="Normal 13 2 4 2 2 3 2 2" xfId="15492" xr:uid="{7FEF9F46-4FE2-4AE2-9133-A2F86F5B83EC}"/>
    <cellStyle name="Normal 13 2 4 2 2 3 3" xfId="15493" xr:uid="{69DC3B38-4C65-49B4-B2A9-279436E69814}"/>
    <cellStyle name="Normal 13 2 4 2 2 3 3 2" xfId="15494" xr:uid="{CE339DE7-EF25-4C81-8615-97425F59385B}"/>
    <cellStyle name="Normal 13 2 4 2 2 3 4" xfId="15495" xr:uid="{8C55F0D6-96F1-4B91-A739-23FBC2F623B9}"/>
    <cellStyle name="Normal 13 2 4 2 2 3 4 2" xfId="15496" xr:uid="{4CE1AB01-C021-4510-9E17-F219F6E7D340}"/>
    <cellStyle name="Normal 13 2 4 2 2 3 5" xfId="15497" xr:uid="{BB5F9877-E762-4F80-B9E4-9291F6231ED9}"/>
    <cellStyle name="Normal 13 2 4 2 2 4" xfId="15498" xr:uid="{0D91883B-F4C3-4B9F-BBEC-D9C0A08662EA}"/>
    <cellStyle name="Normal 13 2 4 2 2 4 2" xfId="15499" xr:uid="{F1C94954-DAA7-4199-B698-C67E64D2946F}"/>
    <cellStyle name="Normal 13 2 4 2 2 5" xfId="15500" xr:uid="{FB0E8984-6805-49AF-BF1F-D4A370EEACDD}"/>
    <cellStyle name="Normal 13 2 4 2 2 5 2" xfId="15501" xr:uid="{4E17F23E-BC6F-4386-9270-8745703C69E8}"/>
    <cellStyle name="Normal 13 2 4 2 2 6" xfId="15502" xr:uid="{CF58FD4A-B614-403B-9AD7-E0116F718A00}"/>
    <cellStyle name="Normal 13 2 4 2 2 6 2" xfId="15503" xr:uid="{D23C7818-67F7-419E-9F43-A542F5264643}"/>
    <cellStyle name="Normal 13 2 4 2 2 7" xfId="15504" xr:uid="{E4BA2EC6-5500-482F-87D0-1444ED8379A6}"/>
    <cellStyle name="Normal 13 2 4 2 2 7 2" xfId="15505" xr:uid="{9555FA21-78D9-4273-A03C-ADC517C8CC6E}"/>
    <cellStyle name="Normal 13 2 4 2 2 8" xfId="15506" xr:uid="{6FFEBA72-17C3-4A60-B97D-DE99BEF8B808}"/>
    <cellStyle name="Normal 13 2 4 2 2 8 2" xfId="15507" xr:uid="{71B9DAFA-944E-47AC-A138-7402F6B3BC73}"/>
    <cellStyle name="Normal 13 2 4 2 2 9" xfId="15508" xr:uid="{3F556597-5FA1-4B32-A1DE-F9D9D2AD3C0D}"/>
    <cellStyle name="Normal 13 2 4 2 3" xfId="15509" xr:uid="{677AA033-FC3E-4EA9-9EAF-6086DB25ACDB}"/>
    <cellStyle name="Normal 13 2 4 2 3 2" xfId="15510" xr:uid="{AD69CF64-75D1-4F06-B75D-1823C375AFB3}"/>
    <cellStyle name="Normal 13 2 4 2 3 2 2" xfId="15511" xr:uid="{CE092A1B-F62A-4EAE-961A-1F67ED25601B}"/>
    <cellStyle name="Normal 13 2 4 2 3 3" xfId="15512" xr:uid="{18CDC40D-A411-4D24-98D9-E87482A32913}"/>
    <cellStyle name="Normal 13 2 4 2 3 3 2" xfId="15513" xr:uid="{20C01B05-0EEB-4E0C-A658-EBC5C019DED4}"/>
    <cellStyle name="Normal 13 2 4 2 3 4" xfId="15514" xr:uid="{5C3B171C-04E0-4450-B39C-95C83CA4E5F5}"/>
    <cellStyle name="Normal 13 2 4 2 3 4 2" xfId="15515" xr:uid="{B759FC6C-39DE-4FB6-A6B3-62D8E6A80573}"/>
    <cellStyle name="Normal 13 2 4 2 3 5" xfId="15516" xr:uid="{097A5CA1-4158-4C95-9A16-D447FCE92CFA}"/>
    <cellStyle name="Normal 13 2 4 2 4" xfId="15517" xr:uid="{90D16F18-5DF2-449D-BB02-FF5AF8712719}"/>
    <cellStyle name="Normal 13 2 4 2 4 2" xfId="15518" xr:uid="{2DF689AC-E20E-40DE-BB89-EEE5F285DF24}"/>
    <cellStyle name="Normal 13 2 4 2 4 2 2" xfId="15519" xr:uid="{DF026896-877B-4E1B-BFB3-4A0A3E8AA3BF}"/>
    <cellStyle name="Normal 13 2 4 2 4 3" xfId="15520" xr:uid="{ED053F7E-62B8-45DB-9CBA-DE4199245D26}"/>
    <cellStyle name="Normal 13 2 4 2 4 3 2" xfId="15521" xr:uid="{0B492F4B-F328-4690-91D8-D02C7A21ADE5}"/>
    <cellStyle name="Normal 13 2 4 2 4 4" xfId="15522" xr:uid="{EBCE589F-52D2-4B45-B8C7-8355D8FD0CDE}"/>
    <cellStyle name="Normal 13 2 4 2 4 4 2" xfId="15523" xr:uid="{F72ECBB3-ED88-44AF-BA53-E7310113FFA7}"/>
    <cellStyle name="Normal 13 2 4 2 4 5" xfId="15524" xr:uid="{54852588-ACE0-4CCF-B105-A2D67A471999}"/>
    <cellStyle name="Normal 13 2 4 2 5" xfId="15525" xr:uid="{96AA54AE-EF55-4769-AE33-413981A9E92F}"/>
    <cellStyle name="Normal 13 2 4 2 5 2" xfId="15526" xr:uid="{4A53EF4B-DFFE-45BF-BEDC-7C39CF0956CE}"/>
    <cellStyle name="Normal 13 2 4 2 6" xfId="15527" xr:uid="{1A05BA89-B0CA-4160-A9A5-CB7B8E089AD4}"/>
    <cellStyle name="Normal 13 2 4 2 6 2" xfId="15528" xr:uid="{D503B3A2-56BE-440B-AE74-1E89DEF36E89}"/>
    <cellStyle name="Normal 13 2 4 2 7" xfId="15529" xr:uid="{4AFF9FDD-0DA0-4529-82F9-CC2AA562AB8A}"/>
    <cellStyle name="Normal 13 2 4 2 7 2" xfId="15530" xr:uid="{3ED028EF-B2FF-46F7-B7A0-748B5898292B}"/>
    <cellStyle name="Normal 13 2 4 2 8" xfId="15531" xr:uid="{080A1116-C100-43E9-9782-5634DB24C660}"/>
    <cellStyle name="Normal 13 2 4 2 8 2" xfId="15532" xr:uid="{4767A473-BC73-40DF-8D0E-BA8068E6B0A8}"/>
    <cellStyle name="Normal 13 2 4 2 9" xfId="15533" xr:uid="{7C10B676-DB3D-4280-A22F-6847AA8DD4F9}"/>
    <cellStyle name="Normal 13 2 4 2 9 2" xfId="15534" xr:uid="{29E13A87-5DD7-4164-B1D2-BD792D8EFB64}"/>
    <cellStyle name="Normal 13 2 4 3" xfId="15535" xr:uid="{11ABE41F-C031-400F-A70C-C8E3724F3A22}"/>
    <cellStyle name="Normal 13 2 4 3 2" xfId="15536" xr:uid="{437405E3-E1C2-41C4-AFE5-EA882B6F7836}"/>
    <cellStyle name="Normal 13 2 4 3 2 2" xfId="15537" xr:uid="{5AF48F0F-4FDC-42C6-BE07-26E01C344262}"/>
    <cellStyle name="Normal 13 2 4 3 2 2 2" xfId="15538" xr:uid="{F58BF777-CBF6-41D8-85A4-F865AFE61494}"/>
    <cellStyle name="Normal 13 2 4 3 2 3" xfId="15539" xr:uid="{2F249279-499E-4423-931F-760AD4E832A5}"/>
    <cellStyle name="Normal 13 2 4 3 2 3 2" xfId="15540" xr:uid="{B20443CC-449E-4537-8305-62416157A066}"/>
    <cellStyle name="Normal 13 2 4 3 2 4" xfId="15541" xr:uid="{15E3265B-6A61-4D26-8507-02626C68C876}"/>
    <cellStyle name="Normal 13 2 4 3 2 4 2" xfId="15542" xr:uid="{0A93DCD1-BA4C-4248-8EE3-7FD1640CB7F5}"/>
    <cellStyle name="Normal 13 2 4 3 2 5" xfId="15543" xr:uid="{88B8479A-7D94-4112-8D54-8CBC2F62AE8F}"/>
    <cellStyle name="Normal 13 2 4 3 3" xfId="15544" xr:uid="{3BA6F8A2-C8AA-4473-95E2-DD0EB056E1A0}"/>
    <cellStyle name="Normal 13 2 4 3 3 2" xfId="15545" xr:uid="{594899DA-C31B-4049-A7EE-E314503B1458}"/>
    <cellStyle name="Normal 13 2 4 3 3 2 2" xfId="15546" xr:uid="{895794AE-EBCC-4CBC-8701-27C39DEFD667}"/>
    <cellStyle name="Normal 13 2 4 3 3 3" xfId="15547" xr:uid="{DD1CCDCC-7549-4F86-9A03-1D24896B77F0}"/>
    <cellStyle name="Normal 13 2 4 3 3 3 2" xfId="15548" xr:uid="{E1E06B6D-9348-4E4E-81F8-66177D25FA08}"/>
    <cellStyle name="Normal 13 2 4 3 3 4" xfId="15549" xr:uid="{D141C142-B6C0-4B37-9FE6-3274CC852825}"/>
    <cellStyle name="Normal 13 2 4 3 3 4 2" xfId="15550" xr:uid="{1DC56BCA-07A4-4D43-A51F-C12DD61F2C54}"/>
    <cellStyle name="Normal 13 2 4 3 3 5" xfId="15551" xr:uid="{DD8F272A-483E-4731-9270-6B3B17275F8C}"/>
    <cellStyle name="Normal 13 2 4 3 4" xfId="15552" xr:uid="{95BCBF68-8921-43D7-82B7-31C07630F0C6}"/>
    <cellStyle name="Normal 13 2 4 3 4 2" xfId="15553" xr:uid="{5DD5ECC8-0A8A-4C30-9578-F5C4CB182C65}"/>
    <cellStyle name="Normal 13 2 4 3 5" xfId="15554" xr:uid="{A88C2BA2-4FC6-446F-8DDD-FF724FC89B3A}"/>
    <cellStyle name="Normal 13 2 4 3 5 2" xfId="15555" xr:uid="{22E4BD2E-A6BD-41DD-A389-EA0C1FFCF77C}"/>
    <cellStyle name="Normal 13 2 4 3 6" xfId="15556" xr:uid="{84E0B1DA-BAF6-4E4B-9563-D9941F401B91}"/>
    <cellStyle name="Normal 13 2 4 3 6 2" xfId="15557" xr:uid="{D5A88577-F844-4326-9F60-6469F0DDA417}"/>
    <cellStyle name="Normal 13 2 4 3 7" xfId="15558" xr:uid="{C72DA649-57FA-4429-9577-F9D658C2A80B}"/>
    <cellStyle name="Normal 13 2 4 3 7 2" xfId="15559" xr:uid="{F4C5E405-DCB3-4DCC-AEBD-98BDFC428D79}"/>
    <cellStyle name="Normal 13 2 4 3 8" xfId="15560" xr:uid="{50F1FFDA-249E-416D-B954-B30B15942F1A}"/>
    <cellStyle name="Normal 13 2 4 3 8 2" xfId="15561" xr:uid="{4C641A2D-A05C-490A-BAE0-8A391120FD07}"/>
    <cellStyle name="Normal 13 2 4 3 9" xfId="15562" xr:uid="{A468AE75-21AE-4B80-A04E-801197E58EF4}"/>
    <cellStyle name="Normal 13 2 4 4" xfId="15563" xr:uid="{29A13BA7-0EE0-4613-AB33-DD00180831DD}"/>
    <cellStyle name="Normal 13 2 4 4 2" xfId="15564" xr:uid="{BADA55DF-D5E8-4CBD-8982-A73B3C13904E}"/>
    <cellStyle name="Normal 13 2 4 4 2 2" xfId="15565" xr:uid="{26CCDB2C-DB35-45F2-8886-D415D52BF0EC}"/>
    <cellStyle name="Normal 13 2 4 4 3" xfId="15566" xr:uid="{1642904B-5D14-404D-81AD-3F0BF1A1997A}"/>
    <cellStyle name="Normal 13 2 4 4 3 2" xfId="15567" xr:uid="{92F8A7A1-70C1-44FC-AC6E-CD4EFEEE42AC}"/>
    <cellStyle name="Normal 13 2 4 4 4" xfId="15568" xr:uid="{BA85B3C7-B27D-409E-B633-F8BE95BDEED5}"/>
    <cellStyle name="Normal 13 2 4 4 4 2" xfId="15569" xr:uid="{2C91E32D-49AB-459E-9EFE-6246EF659173}"/>
    <cellStyle name="Normal 13 2 4 4 5" xfId="15570" xr:uid="{AC36DD45-FD6B-4EE7-82A6-1B634A2541AC}"/>
    <cellStyle name="Normal 13 2 4 5" xfId="15571" xr:uid="{B5F6852F-B696-4169-AA6B-9CBFD6F311F0}"/>
    <cellStyle name="Normal 13 2 4 5 2" xfId="15572" xr:uid="{508ED8AB-9FE1-4FEC-9D60-27110C139636}"/>
    <cellStyle name="Normal 13 2 4 5 2 2" xfId="15573" xr:uid="{DD5063E3-9AF0-4517-B55B-85951E22EBBE}"/>
    <cellStyle name="Normal 13 2 4 5 3" xfId="15574" xr:uid="{0183C8DF-B55E-4B6E-BDA2-B18043CA7CE9}"/>
    <cellStyle name="Normal 13 2 4 5 3 2" xfId="15575" xr:uid="{DD888D8B-F201-423C-A7CD-D1B1D5BDB341}"/>
    <cellStyle name="Normal 13 2 4 5 4" xfId="15576" xr:uid="{07ED1541-78EF-43FB-9874-8DEFA6E2615D}"/>
    <cellStyle name="Normal 13 2 4 5 4 2" xfId="15577" xr:uid="{E6C54567-B85A-490B-BA8C-C0F447FA5AB6}"/>
    <cellStyle name="Normal 13 2 4 5 5" xfId="15578" xr:uid="{413F403C-0803-4DA9-BFF3-D00A3270D555}"/>
    <cellStyle name="Normal 13 2 4 6" xfId="15579" xr:uid="{B31ED9BD-1B76-4D60-848E-1B4D292D82F5}"/>
    <cellStyle name="Normal 13 2 4 6 2" xfId="15580" xr:uid="{76E8DA2C-CC14-48BA-9FBA-404EEFC41242}"/>
    <cellStyle name="Normal 13 2 4 7" xfId="15581" xr:uid="{F18DAEDB-0DB8-438F-8AA5-378EFE05938C}"/>
    <cellStyle name="Normal 13 2 4 7 2" xfId="15582" xr:uid="{47D0C130-53D2-438E-9BBD-D00627DA821F}"/>
    <cellStyle name="Normal 13 2 4 8" xfId="15583" xr:uid="{858A6EC0-292B-484C-BE26-069629CB563C}"/>
    <cellStyle name="Normal 13 2 4 8 2" xfId="15584" xr:uid="{C3EFFB12-1C5F-4971-BA6E-9AEB929FF97A}"/>
    <cellStyle name="Normal 13 2 4 9" xfId="15585" xr:uid="{9588E0E6-250F-4F20-A8FD-A629BAAE89A2}"/>
    <cellStyle name="Normal 13 2 4 9 2" xfId="15586" xr:uid="{409A0C3C-AB4B-4A6C-9889-90F1A45882E1}"/>
    <cellStyle name="Normal 13 2 5" xfId="15587" xr:uid="{06EFB83C-FCA8-4D16-88B1-0A7A98A4860D}"/>
    <cellStyle name="Normal 13 2 5 10" xfId="15588" xr:uid="{515DCFA5-8261-48DE-B3F6-8FDF4CF2B38B}"/>
    <cellStyle name="Normal 13 2 5 10 2" xfId="15589" xr:uid="{C3EACE22-D09B-4640-8B1C-229FEFF96DF7}"/>
    <cellStyle name="Normal 13 2 5 11" xfId="15590" xr:uid="{4606DC47-E0B7-4FFB-B3D9-34DD12A1C74B}"/>
    <cellStyle name="Normal 13 2 5 12" xfId="15591" xr:uid="{92ABE394-05C5-4B7A-99EF-27A47B3A45B6}"/>
    <cellStyle name="Normal 13 2 5 2" xfId="15592" xr:uid="{DC3D765D-967E-4D79-BC66-D629AB60CFAD}"/>
    <cellStyle name="Normal 13 2 5 2 10" xfId="15593" xr:uid="{0BADC245-E79F-460F-8425-9FFE867DF2D5}"/>
    <cellStyle name="Normal 13 2 5 2 11" xfId="15594" xr:uid="{62123983-18BE-47FF-8E75-293FEE7DF3FE}"/>
    <cellStyle name="Normal 13 2 5 2 2" xfId="15595" xr:uid="{7F2F1142-CFDE-406D-96D4-5441485CCED1}"/>
    <cellStyle name="Normal 13 2 5 2 2 2" xfId="15596" xr:uid="{4CE7AD61-95C9-4D0B-9256-7ADA38A0F6C3}"/>
    <cellStyle name="Normal 13 2 5 2 2 2 2" xfId="15597" xr:uid="{DA6ED22B-248B-4C76-9DF1-BF92207C1D16}"/>
    <cellStyle name="Normal 13 2 5 2 2 2 2 2" xfId="15598" xr:uid="{2209733D-F961-4F1D-AC43-23BD868255D0}"/>
    <cellStyle name="Normal 13 2 5 2 2 2 3" xfId="15599" xr:uid="{EDE98AE1-8133-423A-A5D4-F435EE1F8341}"/>
    <cellStyle name="Normal 13 2 5 2 2 2 3 2" xfId="15600" xr:uid="{AA3DEFC4-4B79-455F-8575-16A9BB69D1CC}"/>
    <cellStyle name="Normal 13 2 5 2 2 2 4" xfId="15601" xr:uid="{4E10363F-FF35-45B5-ABAF-D817993361AC}"/>
    <cellStyle name="Normal 13 2 5 2 2 2 4 2" xfId="15602" xr:uid="{A5E5512E-0C8A-4608-960C-ABB7DA7B5988}"/>
    <cellStyle name="Normal 13 2 5 2 2 2 5" xfId="15603" xr:uid="{E5BE33DC-CB17-4C61-BD04-2DE858DB33F1}"/>
    <cellStyle name="Normal 13 2 5 2 2 3" xfId="15604" xr:uid="{4A146D3A-3249-4465-B0D8-4D56FA16D78F}"/>
    <cellStyle name="Normal 13 2 5 2 2 3 2" xfId="15605" xr:uid="{295447E9-35E3-478F-BE9F-AA2338CB3E0A}"/>
    <cellStyle name="Normal 13 2 5 2 2 3 2 2" xfId="15606" xr:uid="{45520DB8-4C53-4BA8-94F7-8EE6E0C9F21E}"/>
    <cellStyle name="Normal 13 2 5 2 2 3 3" xfId="15607" xr:uid="{42347811-4C0A-46F7-BAF5-40F4D7FEDA54}"/>
    <cellStyle name="Normal 13 2 5 2 2 3 3 2" xfId="15608" xr:uid="{4B9A8830-66C4-4F23-ACDA-387E84E2892B}"/>
    <cellStyle name="Normal 13 2 5 2 2 3 4" xfId="15609" xr:uid="{1798F336-986B-4D57-B3D5-4D4D0457081D}"/>
    <cellStyle name="Normal 13 2 5 2 2 3 4 2" xfId="15610" xr:uid="{12589A07-55B2-4C9E-9D6B-699482716B91}"/>
    <cellStyle name="Normal 13 2 5 2 2 3 5" xfId="15611" xr:uid="{FF203D4C-C9B9-4E4E-A6DC-F0B9DA050CCE}"/>
    <cellStyle name="Normal 13 2 5 2 2 4" xfId="15612" xr:uid="{88D60ADD-EB6A-469A-B9EC-10B090C4AE56}"/>
    <cellStyle name="Normal 13 2 5 2 2 4 2" xfId="15613" xr:uid="{925BD918-4CE1-4F5D-81DA-E588EAF419B7}"/>
    <cellStyle name="Normal 13 2 5 2 2 5" xfId="15614" xr:uid="{A2ED8B36-C02F-47EC-BEC7-A12179C2F04C}"/>
    <cellStyle name="Normal 13 2 5 2 2 5 2" xfId="15615" xr:uid="{746AF719-84AB-4AB4-8B65-BD7A00423007}"/>
    <cellStyle name="Normal 13 2 5 2 2 6" xfId="15616" xr:uid="{65CFAB7E-2319-4489-AD03-DF539883EC6A}"/>
    <cellStyle name="Normal 13 2 5 2 2 6 2" xfId="15617" xr:uid="{1CB2FF3F-FCC4-4A28-A416-27EC2FA19F92}"/>
    <cellStyle name="Normal 13 2 5 2 2 7" xfId="15618" xr:uid="{0C0D3E2A-D1CF-402C-BA2B-021E0A2CA3A0}"/>
    <cellStyle name="Normal 13 2 5 2 2 7 2" xfId="15619" xr:uid="{D0C5134B-EFEA-4455-964A-72474D5EE0DD}"/>
    <cellStyle name="Normal 13 2 5 2 2 8" xfId="15620" xr:uid="{7C443076-3E53-40B5-90B4-48E791AF7CD3}"/>
    <cellStyle name="Normal 13 2 5 2 2 8 2" xfId="15621" xr:uid="{37F44A73-C433-4939-AE9B-23F61EC8A7EC}"/>
    <cellStyle name="Normal 13 2 5 2 2 9" xfId="15622" xr:uid="{95177A45-AD9C-45CF-9B13-970C00133DCB}"/>
    <cellStyle name="Normal 13 2 5 2 3" xfId="15623" xr:uid="{B995B45E-23B3-4BD5-AE16-4276E5010DDD}"/>
    <cellStyle name="Normal 13 2 5 2 3 2" xfId="15624" xr:uid="{1E69299B-18EE-47D1-A79F-A358091AA6E9}"/>
    <cellStyle name="Normal 13 2 5 2 3 2 2" xfId="15625" xr:uid="{5A2C803A-3245-4E8A-8F95-9ED2491634B6}"/>
    <cellStyle name="Normal 13 2 5 2 3 3" xfId="15626" xr:uid="{7ACCA939-C1A4-4162-AF0C-42BA771CCB37}"/>
    <cellStyle name="Normal 13 2 5 2 3 3 2" xfId="15627" xr:uid="{4DDD731B-3804-4C29-8771-70083FD96F6A}"/>
    <cellStyle name="Normal 13 2 5 2 3 4" xfId="15628" xr:uid="{91F5AFA8-9946-4E9E-BE1C-D22CFADB3CF6}"/>
    <cellStyle name="Normal 13 2 5 2 3 4 2" xfId="15629" xr:uid="{CAD8C4F9-6121-4CEA-B034-20B93EDDCE80}"/>
    <cellStyle name="Normal 13 2 5 2 3 5" xfId="15630" xr:uid="{076D05D6-4D26-4656-A1E2-01911675D29E}"/>
    <cellStyle name="Normal 13 2 5 2 4" xfId="15631" xr:uid="{D0315674-C032-438A-9D75-76570E2701B6}"/>
    <cellStyle name="Normal 13 2 5 2 4 2" xfId="15632" xr:uid="{8EB089BC-34F9-4D89-A429-98A5C35562D7}"/>
    <cellStyle name="Normal 13 2 5 2 4 2 2" xfId="15633" xr:uid="{04BFABF1-132B-4913-9648-623D67177DA8}"/>
    <cellStyle name="Normal 13 2 5 2 4 3" xfId="15634" xr:uid="{4E3DCEEA-9A2C-4781-A982-C29F76D4D047}"/>
    <cellStyle name="Normal 13 2 5 2 4 3 2" xfId="15635" xr:uid="{8A69030B-55B4-4928-8A7C-763E3EA1FCF1}"/>
    <cellStyle name="Normal 13 2 5 2 4 4" xfId="15636" xr:uid="{24FF4E6D-A808-477B-99FD-DF81F168B58A}"/>
    <cellStyle name="Normal 13 2 5 2 4 4 2" xfId="15637" xr:uid="{EEA9578D-F6A4-437C-ACCD-D7056ABF094A}"/>
    <cellStyle name="Normal 13 2 5 2 4 5" xfId="15638" xr:uid="{6B67B52B-5456-49B9-A548-79D0C9BD31C6}"/>
    <cellStyle name="Normal 13 2 5 2 5" xfId="15639" xr:uid="{D469BE0B-7626-4EC4-9D76-ECD0C707E2B8}"/>
    <cellStyle name="Normal 13 2 5 2 5 2" xfId="15640" xr:uid="{A881BE18-48E7-4940-8819-E0622AD09E80}"/>
    <cellStyle name="Normal 13 2 5 2 6" xfId="15641" xr:uid="{BA2DF837-FAC1-48AC-B39D-1AC512024886}"/>
    <cellStyle name="Normal 13 2 5 2 6 2" xfId="15642" xr:uid="{7D9DF2B6-CA07-4F8E-A9DF-CC5CA43584C5}"/>
    <cellStyle name="Normal 13 2 5 2 7" xfId="15643" xr:uid="{77107DCB-486E-4EF9-96DD-728229C4963F}"/>
    <cellStyle name="Normal 13 2 5 2 7 2" xfId="15644" xr:uid="{6BDC009C-2824-400E-B5FF-5E6CBF5689FA}"/>
    <cellStyle name="Normal 13 2 5 2 8" xfId="15645" xr:uid="{A439C38A-50EC-40F9-B686-7C51C5894A18}"/>
    <cellStyle name="Normal 13 2 5 2 8 2" xfId="15646" xr:uid="{8205CE2D-93A9-4DF1-AAEF-D9F7ED478858}"/>
    <cellStyle name="Normal 13 2 5 2 9" xfId="15647" xr:uid="{ECA2ECCF-6E1D-4F23-8C2B-9091BC836D2A}"/>
    <cellStyle name="Normal 13 2 5 2 9 2" xfId="15648" xr:uid="{5C3806A2-499B-4D87-BB3B-83204F49348F}"/>
    <cellStyle name="Normal 13 2 5 3" xfId="15649" xr:uid="{3D1AA33C-F65C-46C8-A078-94AA243DF7EB}"/>
    <cellStyle name="Normal 13 2 5 3 10" xfId="15650" xr:uid="{18465905-18E3-4DB4-B956-59CD8E903255}"/>
    <cellStyle name="Normal 13 2 5 3 2" xfId="15651" xr:uid="{372E0D4B-3D84-4CD0-ABDD-3F86F7E909E8}"/>
    <cellStyle name="Normal 13 2 5 3 2 2" xfId="15652" xr:uid="{C15DB3E1-5757-4486-8D89-289716C0101C}"/>
    <cellStyle name="Normal 13 2 5 3 2 2 2" xfId="15653" xr:uid="{3BAB1FF9-277F-48B2-89DF-BF21A210D059}"/>
    <cellStyle name="Normal 13 2 5 3 2 3" xfId="15654" xr:uid="{7AB523AE-EDEC-49F3-9A9E-40C859ADFA06}"/>
    <cellStyle name="Normal 13 2 5 3 2 3 2" xfId="15655" xr:uid="{77C7B30F-5257-4212-859E-D41411A3C050}"/>
    <cellStyle name="Normal 13 2 5 3 2 4" xfId="15656" xr:uid="{CE21C162-7FB7-41F6-864E-96411CC97232}"/>
    <cellStyle name="Normal 13 2 5 3 2 4 2" xfId="15657" xr:uid="{DB3D177A-F035-416B-B7A1-726F54A00D23}"/>
    <cellStyle name="Normal 13 2 5 3 2 5" xfId="15658" xr:uid="{796AE23F-B55C-4E1C-8423-9BF814DABA79}"/>
    <cellStyle name="Normal 13 2 5 3 3" xfId="15659" xr:uid="{A5CB49F8-7C7D-4545-B2CD-355F25D83122}"/>
    <cellStyle name="Normal 13 2 5 3 3 2" xfId="15660" xr:uid="{2E66D2DC-BBA8-4ADC-B4DF-909F0151F581}"/>
    <cellStyle name="Normal 13 2 5 3 3 2 2" xfId="15661" xr:uid="{5436C468-5E00-4A2E-996F-412A4D68DC41}"/>
    <cellStyle name="Normal 13 2 5 3 3 3" xfId="15662" xr:uid="{B938D280-E16D-48BA-A4B3-0C30627802E6}"/>
    <cellStyle name="Normal 13 2 5 3 3 3 2" xfId="15663" xr:uid="{B38241A1-4942-42BC-BF04-D6B376AE9B36}"/>
    <cellStyle name="Normal 13 2 5 3 3 4" xfId="15664" xr:uid="{6A9A6E55-AD08-4CE3-BF54-64726893DDA3}"/>
    <cellStyle name="Normal 13 2 5 3 3 4 2" xfId="15665" xr:uid="{FD2C8CBE-DF5D-492E-AD39-BE52B90CBB56}"/>
    <cellStyle name="Normal 13 2 5 3 3 5" xfId="15666" xr:uid="{1DAAC786-CFBD-4416-802D-2B2E68F61545}"/>
    <cellStyle name="Normal 13 2 5 3 4" xfId="15667" xr:uid="{055EC524-A387-4926-A95E-EB4EA87D3C13}"/>
    <cellStyle name="Normal 13 2 5 3 4 2" xfId="15668" xr:uid="{365FB66C-72E0-474D-87CE-133C3BBB74E3}"/>
    <cellStyle name="Normal 13 2 5 3 5" xfId="15669" xr:uid="{D977116A-0393-4C1E-8935-85DED17F837C}"/>
    <cellStyle name="Normal 13 2 5 3 5 2" xfId="15670" xr:uid="{FF90EC8E-14DE-4499-8958-1923E51EB727}"/>
    <cellStyle name="Normal 13 2 5 3 6" xfId="15671" xr:uid="{E0D3D608-F127-4075-B9A8-A50B87302044}"/>
    <cellStyle name="Normal 13 2 5 3 6 2" xfId="15672" xr:uid="{AA0C0165-1B8B-4777-A983-390512A6CF06}"/>
    <cellStyle name="Normal 13 2 5 3 7" xfId="15673" xr:uid="{DCD39BE9-A620-4FD8-8A09-F32A0D4947D1}"/>
    <cellStyle name="Normal 13 2 5 3 7 2" xfId="15674" xr:uid="{6B470BA8-F35D-4030-84F7-F3094A9F27FF}"/>
    <cellStyle name="Normal 13 2 5 3 8" xfId="15675" xr:uid="{8EC1CE0A-A778-402E-AAE9-5BBEAB74A942}"/>
    <cellStyle name="Normal 13 2 5 3 8 2" xfId="15676" xr:uid="{99B8B01E-C75F-49B6-896C-A2347FCBFF50}"/>
    <cellStyle name="Normal 13 2 5 3 9" xfId="15677" xr:uid="{E98205BF-B98B-4B07-812D-D69D76D03E7C}"/>
    <cellStyle name="Normal 13 2 5 4" xfId="15678" xr:uid="{4C6807AA-8179-4966-9F54-CA5E53499564}"/>
    <cellStyle name="Normal 13 2 5 4 2" xfId="15679" xr:uid="{6170F8E9-2FAE-48E0-ABA3-AAFC50564E4A}"/>
    <cellStyle name="Normal 13 2 5 4 2 2" xfId="15680" xr:uid="{449B28AD-C6FE-4762-B298-BD80D69892C2}"/>
    <cellStyle name="Normal 13 2 5 4 3" xfId="15681" xr:uid="{F0ABA93C-0C78-43F0-80D5-161547DCB06A}"/>
    <cellStyle name="Normal 13 2 5 4 3 2" xfId="15682" xr:uid="{5DEC4546-CCF3-4B82-823F-5DCBF8F91729}"/>
    <cellStyle name="Normal 13 2 5 4 4" xfId="15683" xr:uid="{4C335CE5-4F2C-48ED-A098-32822D2479B7}"/>
    <cellStyle name="Normal 13 2 5 4 4 2" xfId="15684" xr:uid="{C2A33C60-63A0-40AA-BE96-FE150C235550}"/>
    <cellStyle name="Normal 13 2 5 4 5" xfId="15685" xr:uid="{91F63602-66D7-4F92-B9F6-D87B1F9B2F38}"/>
    <cellStyle name="Normal 13 2 5 5" xfId="15686" xr:uid="{B41A048A-28BB-477A-8FEC-C9E66574B5BA}"/>
    <cellStyle name="Normal 13 2 5 5 2" xfId="15687" xr:uid="{073F172F-BA27-4078-84FF-D8DE72B832F9}"/>
    <cellStyle name="Normal 13 2 5 5 2 2" xfId="15688" xr:uid="{D9E86CB2-A506-40DD-A222-245449219424}"/>
    <cellStyle name="Normal 13 2 5 5 3" xfId="15689" xr:uid="{7978D2EE-3722-4C22-B046-B678D0349E9B}"/>
    <cellStyle name="Normal 13 2 5 5 3 2" xfId="15690" xr:uid="{A81A9C2E-88BF-491A-A987-863BBBBCDE68}"/>
    <cellStyle name="Normal 13 2 5 5 4" xfId="15691" xr:uid="{3A33701C-04FF-472C-9E26-5FEA8FCEC279}"/>
    <cellStyle name="Normal 13 2 5 5 4 2" xfId="15692" xr:uid="{56A40638-C747-443D-B6D4-57E0A0B13C11}"/>
    <cellStyle name="Normal 13 2 5 5 5" xfId="15693" xr:uid="{09BBD8D8-73FA-4BE0-87EB-EDF3D3C7F176}"/>
    <cellStyle name="Normal 13 2 5 6" xfId="15694" xr:uid="{AB68E7A5-ABFC-44F3-9C40-D89227165DCA}"/>
    <cellStyle name="Normal 13 2 5 6 2" xfId="15695" xr:uid="{54CA839E-682E-4A94-883F-B5D7A156C432}"/>
    <cellStyle name="Normal 13 2 5 7" xfId="15696" xr:uid="{9F0CB6BD-785F-4659-94DD-C4458214B9E3}"/>
    <cellStyle name="Normal 13 2 5 7 2" xfId="15697" xr:uid="{CBA4D123-FBB6-41C6-A423-69B78B24210E}"/>
    <cellStyle name="Normal 13 2 5 8" xfId="15698" xr:uid="{402503BD-35E7-4697-A7DB-BD615C35417A}"/>
    <cellStyle name="Normal 13 2 5 8 2" xfId="15699" xr:uid="{4958AA41-C0CC-43D5-82EE-BA869B854E1D}"/>
    <cellStyle name="Normal 13 2 5 9" xfId="15700" xr:uid="{2511513B-7354-4623-AD10-3F84AA70EEE8}"/>
    <cellStyle name="Normal 13 2 5 9 2" xfId="15701" xr:uid="{00FFF88D-7111-429D-B894-0D7184822D09}"/>
    <cellStyle name="Normal 13 2 6" xfId="15702" xr:uid="{C4FFABE4-2A6A-49AA-8CF7-2FFBEE951E8D}"/>
    <cellStyle name="Normal 13 2 6 10" xfId="15703" xr:uid="{CED01CD0-2276-4F55-8F75-B0B3A4F32BCC}"/>
    <cellStyle name="Normal 13 2 6 2" xfId="15704" xr:uid="{C5DE4D35-F183-42C9-ADCF-9212EC4BA6C4}"/>
    <cellStyle name="Normal 13 2 6 2 2" xfId="15705" xr:uid="{3B49486C-AFBB-4289-9F91-ECFBF5AF272E}"/>
    <cellStyle name="Normal 13 2 6 2 2 2" xfId="15706" xr:uid="{D46C4B35-E02A-4CB9-8E00-DAD5B06C9782}"/>
    <cellStyle name="Normal 13 2 6 2 2 2 2" xfId="15707" xr:uid="{FDB49F77-769E-4A6B-9381-65FFF2857107}"/>
    <cellStyle name="Normal 13 2 6 2 2 3" xfId="15708" xr:uid="{EF188FFB-E0C2-4C67-B77D-843CE6B33E67}"/>
    <cellStyle name="Normal 13 2 6 2 2 3 2" xfId="15709" xr:uid="{937ED5A8-5CB1-4A6B-A52F-5795014F747F}"/>
    <cellStyle name="Normal 13 2 6 2 2 4" xfId="15710" xr:uid="{8BBC057A-1993-4644-827F-6C835C0E5C1B}"/>
    <cellStyle name="Normal 13 2 6 2 2 4 2" xfId="15711" xr:uid="{B7298671-7A2A-4695-8614-3FA3F1B62529}"/>
    <cellStyle name="Normal 13 2 6 2 2 5" xfId="15712" xr:uid="{47F99979-3A5D-4F7E-8A36-7C05C90A10FA}"/>
    <cellStyle name="Normal 13 2 6 2 3" xfId="15713" xr:uid="{C6ED58C1-64AD-4895-A330-3B2532A2308F}"/>
    <cellStyle name="Normal 13 2 6 2 3 2" xfId="15714" xr:uid="{D5AED406-8A5C-4FF9-952F-A0CA9802E06D}"/>
    <cellStyle name="Normal 13 2 6 2 3 2 2" xfId="15715" xr:uid="{82F81371-904E-4756-894B-31671C80DFD6}"/>
    <cellStyle name="Normal 13 2 6 2 3 3" xfId="15716" xr:uid="{D32F440A-543C-4942-A226-B66F7A74B861}"/>
    <cellStyle name="Normal 13 2 6 2 3 3 2" xfId="15717" xr:uid="{B26EB2A8-D061-460F-8D87-A74C3085BD1E}"/>
    <cellStyle name="Normal 13 2 6 2 3 4" xfId="15718" xr:uid="{B6594F69-5051-4177-99CF-16733725A522}"/>
    <cellStyle name="Normal 13 2 6 2 3 4 2" xfId="15719" xr:uid="{3A7A9B29-72A0-4FE0-BE6C-1DD274C50901}"/>
    <cellStyle name="Normal 13 2 6 2 3 5" xfId="15720" xr:uid="{058648CA-1EA0-4968-BF6F-1B31837E12A0}"/>
    <cellStyle name="Normal 13 2 6 2 4" xfId="15721" xr:uid="{F3FA36A8-2DC8-4C38-8840-B8748AE4CDA0}"/>
    <cellStyle name="Normal 13 2 6 2 4 2" xfId="15722" xr:uid="{FAA0FC37-9662-47C2-B92A-02D06F60B59D}"/>
    <cellStyle name="Normal 13 2 6 2 5" xfId="15723" xr:uid="{C988C23D-CC9D-4758-B3AA-1E5E02C88771}"/>
    <cellStyle name="Normal 13 2 6 2 5 2" xfId="15724" xr:uid="{E7597C3B-1931-491A-9843-E89B663070A0}"/>
    <cellStyle name="Normal 13 2 6 2 6" xfId="15725" xr:uid="{A9B1949A-3A68-471F-B80F-EE76A3B33E21}"/>
    <cellStyle name="Normal 13 2 6 2 6 2" xfId="15726" xr:uid="{73D02D9F-730F-407F-A04D-69778C01AF62}"/>
    <cellStyle name="Normal 13 2 6 2 7" xfId="15727" xr:uid="{72CD98EC-77EB-4716-94F4-78F456427766}"/>
    <cellStyle name="Normal 13 2 6 2 7 2" xfId="15728" xr:uid="{02F9372C-B6CB-4ED8-9938-39E6287B8F6B}"/>
    <cellStyle name="Normal 13 2 6 2 8" xfId="15729" xr:uid="{AD20554D-7737-4A39-A975-E297EBF025B7}"/>
    <cellStyle name="Normal 13 2 6 2 8 2" xfId="15730" xr:uid="{F03358AC-2E36-40AE-A17D-845E2A229EFC}"/>
    <cellStyle name="Normal 13 2 6 2 9" xfId="15731" xr:uid="{209F0E44-E00C-498A-AC9B-BAE20CAB7D0C}"/>
    <cellStyle name="Normal 13 2 6 3" xfId="15732" xr:uid="{953E4626-997D-40DD-886A-CBD5BC182F95}"/>
    <cellStyle name="Normal 13 2 6 3 2" xfId="15733" xr:uid="{B0A6C6AB-3D5B-484E-ADEE-657D53CBBA78}"/>
    <cellStyle name="Normal 13 2 6 3 2 2" xfId="15734" xr:uid="{DEE34317-C5D0-4A9B-95F6-82596DC040AA}"/>
    <cellStyle name="Normal 13 2 6 3 3" xfId="15735" xr:uid="{1BB21303-BFDA-4512-AC88-966A00D63EC4}"/>
    <cellStyle name="Normal 13 2 6 3 3 2" xfId="15736" xr:uid="{568D1C00-50E1-44C6-9936-7A8B66E6D6E0}"/>
    <cellStyle name="Normal 13 2 6 3 4" xfId="15737" xr:uid="{2C3BE392-F713-4C07-889D-383916105C13}"/>
    <cellStyle name="Normal 13 2 6 3 4 2" xfId="15738" xr:uid="{4F1DBFD1-82DC-4594-8983-C9AAA6590786}"/>
    <cellStyle name="Normal 13 2 6 3 5" xfId="15739" xr:uid="{F3DAE65A-C425-4C09-A287-A69F292E3E32}"/>
    <cellStyle name="Normal 13 2 6 4" xfId="15740" xr:uid="{CCFEB579-C69C-4F5D-8C80-909D1196AE76}"/>
    <cellStyle name="Normal 13 2 6 4 2" xfId="15741" xr:uid="{F3DAA07F-C93D-4BFC-B41B-2AAEC752C627}"/>
    <cellStyle name="Normal 13 2 6 4 2 2" xfId="15742" xr:uid="{FA8E2FDE-6523-4EF4-8DD7-11F9A5125B29}"/>
    <cellStyle name="Normal 13 2 6 4 3" xfId="15743" xr:uid="{5367D09D-6914-46EF-BEF8-567590FDA58A}"/>
    <cellStyle name="Normal 13 2 6 4 3 2" xfId="15744" xr:uid="{B935ECA1-B7D0-4D21-B286-B6EC1EFCF84B}"/>
    <cellStyle name="Normal 13 2 6 4 4" xfId="15745" xr:uid="{542C6FD8-CDE0-4EB1-B8F3-FF4F0402B867}"/>
    <cellStyle name="Normal 13 2 6 4 4 2" xfId="15746" xr:uid="{F3D36F55-397F-4B2C-B12D-FCEACCAD1070}"/>
    <cellStyle name="Normal 13 2 6 4 5" xfId="15747" xr:uid="{C08B6AE7-8EA7-472D-8399-0E357B28F294}"/>
    <cellStyle name="Normal 13 2 6 5" xfId="15748" xr:uid="{76699540-37E5-4E32-9A1C-38F3C85D96C4}"/>
    <cellStyle name="Normal 13 2 6 5 2" xfId="15749" xr:uid="{9914E9FB-C5DA-4B31-B039-708E6B41F596}"/>
    <cellStyle name="Normal 13 2 6 6" xfId="15750" xr:uid="{CB11507C-4B92-45B5-B156-5DF08079DF2C}"/>
    <cellStyle name="Normal 13 2 6 6 2" xfId="15751" xr:uid="{E24840F4-36FD-420F-B8C8-896CC7697E2C}"/>
    <cellStyle name="Normal 13 2 6 7" xfId="15752" xr:uid="{C360448D-2F76-46D8-8C7E-8DA5011A1B39}"/>
    <cellStyle name="Normal 13 2 6 7 2" xfId="15753" xr:uid="{821CE6ED-957E-4905-A687-FD5A95FE6C81}"/>
    <cellStyle name="Normal 13 2 6 8" xfId="15754" xr:uid="{5EEDF686-D44F-4157-BF78-675B64800AD9}"/>
    <cellStyle name="Normal 13 2 6 8 2" xfId="15755" xr:uid="{A3378766-B246-4DBF-BE30-AF87AF2AB628}"/>
    <cellStyle name="Normal 13 2 6 9" xfId="15756" xr:uid="{5BCC1941-8FF7-409F-9089-CFCD7CFE4541}"/>
    <cellStyle name="Normal 13 2 6 9 2" xfId="15757" xr:uid="{2FC4F1E5-B88C-4FBF-922D-21EE3EE1B166}"/>
    <cellStyle name="Normal 13 2 7" xfId="15758" xr:uid="{52CEA8F2-0669-46C1-8DD9-C176194648C9}"/>
    <cellStyle name="Normal 13 2 7 2" xfId="15759" xr:uid="{83F63AA6-10CF-4489-9010-BBDF02C4C43F}"/>
    <cellStyle name="Normal 13 2 7 2 2" xfId="15760" xr:uid="{026B692B-7295-4C3B-841F-1C49B3420E08}"/>
    <cellStyle name="Normal 13 2 7 2 2 2" xfId="15761" xr:uid="{3077265B-71D2-40B9-AACA-7B7ED4500AF1}"/>
    <cellStyle name="Normal 13 2 7 2 3" xfId="15762" xr:uid="{1F47573C-31C1-46B4-A815-2ABF821BA29A}"/>
    <cellStyle name="Normal 13 2 7 2 3 2" xfId="15763" xr:uid="{D4539A71-E4C9-4D22-93DC-C2C13C147927}"/>
    <cellStyle name="Normal 13 2 7 2 4" xfId="15764" xr:uid="{32F8A5C2-54F8-466F-8F23-C75A9CAF031D}"/>
    <cellStyle name="Normal 13 2 7 2 4 2" xfId="15765" xr:uid="{C65DE889-7FDD-48A0-988A-88E4CEB20947}"/>
    <cellStyle name="Normal 13 2 7 2 5" xfId="15766" xr:uid="{ED766DD4-2117-4D96-8388-755B366803AA}"/>
    <cellStyle name="Normal 13 2 7 3" xfId="15767" xr:uid="{E43DF0C2-EB44-45F6-9798-D19876B9A347}"/>
    <cellStyle name="Normal 13 2 7 3 2" xfId="15768" xr:uid="{FA63AA94-EE45-4457-A1BC-087FDE615EE1}"/>
    <cellStyle name="Normal 13 2 7 3 2 2" xfId="15769" xr:uid="{50304383-F9DF-404A-A47E-D783B2BADEF4}"/>
    <cellStyle name="Normal 13 2 7 3 3" xfId="15770" xr:uid="{6C8C262A-A3E9-4C1D-85A9-0C97AB3DE585}"/>
    <cellStyle name="Normal 13 2 7 3 3 2" xfId="15771" xr:uid="{47C9750E-DE9B-4796-A389-8EE8D2E588B2}"/>
    <cellStyle name="Normal 13 2 7 3 4" xfId="15772" xr:uid="{7EB9D414-F218-44E0-8455-77AC4FCB48E8}"/>
    <cellStyle name="Normal 13 2 7 3 4 2" xfId="15773" xr:uid="{500883C4-C3D4-4E63-BD0D-73FCFDB5DDCA}"/>
    <cellStyle name="Normal 13 2 7 3 5" xfId="15774" xr:uid="{9D999114-D94B-4FB9-8A20-F18631F75610}"/>
    <cellStyle name="Normal 13 2 7 4" xfId="15775" xr:uid="{20B105A7-B36B-4B9C-8B00-7581D2042AB2}"/>
    <cellStyle name="Normal 13 2 7 4 2" xfId="15776" xr:uid="{7403168F-73CE-4B6A-A5F0-10F202091E04}"/>
    <cellStyle name="Normal 13 2 7 5" xfId="15777" xr:uid="{01E3FFDD-1400-4970-B199-C3A74A4A9D0D}"/>
    <cellStyle name="Normal 13 2 7 5 2" xfId="15778" xr:uid="{08E0B19C-83EB-41AF-B6F0-BC1BDD0EF483}"/>
    <cellStyle name="Normal 13 2 7 6" xfId="15779" xr:uid="{4A41AD4B-7BCF-4647-8435-C1E1E825E565}"/>
    <cellStyle name="Normal 13 2 7 6 2" xfId="15780" xr:uid="{655BE6BD-AEF0-4256-A334-93C03BEC2AEC}"/>
    <cellStyle name="Normal 13 2 7 7" xfId="15781" xr:uid="{C8F9C906-021F-48E9-A56C-9103BBDAA8B5}"/>
    <cellStyle name="Normal 13 2 7 7 2" xfId="15782" xr:uid="{FA88F2F5-FC4B-49B9-A51D-2ED24FC7901D}"/>
    <cellStyle name="Normal 13 2 7 8" xfId="15783" xr:uid="{F786F01C-DD8F-4C5D-96D6-91E2DBE21819}"/>
    <cellStyle name="Normal 13 2 7 8 2" xfId="15784" xr:uid="{034397FF-42E0-475A-B25C-1DA43906DBBE}"/>
    <cellStyle name="Normal 13 2 7 9" xfId="15785" xr:uid="{A8B2294C-98F6-484E-A783-6ABD138B1ED3}"/>
    <cellStyle name="Normal 13 2 8" xfId="15786" xr:uid="{97154702-23D6-4493-AFA2-BBAA6B2B354E}"/>
    <cellStyle name="Normal 13 2 8 2" xfId="15787" xr:uid="{958BE18F-0E3C-4D9A-9271-4F1839E2EF7C}"/>
    <cellStyle name="Normal 13 2 8 2 2" xfId="15788" xr:uid="{04DBAD35-DCFA-4D67-8D78-AB7D458C5179}"/>
    <cellStyle name="Normal 13 2 8 3" xfId="15789" xr:uid="{EA1719CD-32E2-4F97-9697-9ABD8AAC7DC8}"/>
    <cellStyle name="Normal 13 2 8 3 2" xfId="15790" xr:uid="{30CB6A08-E462-408C-B12B-31461F5B76E8}"/>
    <cellStyle name="Normal 13 2 8 4" xfId="15791" xr:uid="{970BE09B-96E7-43C8-8CF4-84ED1E504213}"/>
    <cellStyle name="Normal 13 2 8 4 2" xfId="15792" xr:uid="{0B9FB603-732D-4244-B564-97966072E3E3}"/>
    <cellStyle name="Normal 13 2 8 5" xfId="15793" xr:uid="{073AB171-E128-455A-AE55-359092362E43}"/>
    <cellStyle name="Normal 13 2 9" xfId="15794" xr:uid="{8E25F755-44C5-4943-877C-68DA38AF234B}"/>
    <cellStyle name="Normal 13 2 9 2" xfId="15795" xr:uid="{ED8993AB-C9D7-4C61-AF92-E6343112F832}"/>
    <cellStyle name="Normal 13 2 9 2 2" xfId="15796" xr:uid="{68F27345-ABB3-4CB0-B408-24ADBF95A9C2}"/>
    <cellStyle name="Normal 13 2 9 3" xfId="15797" xr:uid="{19306F2D-AD03-4F66-8E01-84C721380654}"/>
    <cellStyle name="Normal 13 2 9 3 2" xfId="15798" xr:uid="{7A261D23-E4DB-4206-9D37-07F20C361416}"/>
    <cellStyle name="Normal 13 2 9 4" xfId="15799" xr:uid="{1FA514AE-5815-42DC-818F-66F6A9893758}"/>
    <cellStyle name="Normal 13 2 9 4 2" xfId="15800" xr:uid="{63A27664-EDBE-4A46-B876-3D1AA150D735}"/>
    <cellStyle name="Normal 13 2 9 5" xfId="15801" xr:uid="{CA5C007C-9869-4851-B7AB-BDF47603506F}"/>
    <cellStyle name="Normal 13 20" xfId="15802" xr:uid="{BA35A4D2-ACE1-4666-B3C0-231CB7F301E5}"/>
    <cellStyle name="Normal 13 20 2" xfId="15803" xr:uid="{2A1B493D-8226-457E-8755-7E95D2281EEB}"/>
    <cellStyle name="Normal 13 21" xfId="15804" xr:uid="{5E7E00DA-40FE-4E97-9F23-AC4D96B70EFD}"/>
    <cellStyle name="Normal 13 22" xfId="15805" xr:uid="{B107212F-BAC8-4F37-8A9B-FC2970A5D9F0}"/>
    <cellStyle name="Normal 13 22 2" xfId="15806" xr:uid="{009E2394-6A36-4AC9-94C3-933F71ED9A12}"/>
    <cellStyle name="Normal 13 23" xfId="15807" xr:uid="{156DAD71-AD0B-43D2-AE25-53CF0E3FE35E}"/>
    <cellStyle name="Normal 13 24" xfId="15808" xr:uid="{32546E2D-8B6A-424B-960C-881EF9765CAA}"/>
    <cellStyle name="Normal 13 25" xfId="15809" xr:uid="{A663E0D9-B0FE-4144-BA6B-E163D6D9233A}"/>
    <cellStyle name="Normal 13 26" xfId="41486" xr:uid="{8646C04D-F4A3-4AB8-8387-44C2C14F7F17}"/>
    <cellStyle name="Normal 13 3" xfId="15810" xr:uid="{C4E38DF7-3987-4AD0-BCAC-59346506F775}"/>
    <cellStyle name="Normal 13 3 10" xfId="15811" xr:uid="{94B13F9E-DEB5-4669-8562-3617FA89DE9A}"/>
    <cellStyle name="Normal 13 3 10 2" xfId="15812" xr:uid="{77F9B681-E63D-44F0-A848-3B46BEC06048}"/>
    <cellStyle name="Normal 13 3 11" xfId="15813" xr:uid="{1D2EF959-1DB0-42E1-BFBE-0205D8B948FB}"/>
    <cellStyle name="Normal 13 3 11 2" xfId="15814" xr:uid="{416A0A94-E760-4019-840E-4D022751DBCA}"/>
    <cellStyle name="Normal 13 3 12" xfId="15815" xr:uid="{EA550A3D-C983-441B-B055-F192D4ACFE87}"/>
    <cellStyle name="Normal 13 3 12 2" xfId="15816" xr:uid="{23A91014-7465-4263-A998-62913C807015}"/>
    <cellStyle name="Normal 13 3 13" xfId="15817" xr:uid="{CF38D2C7-5BCB-4646-97BD-DEA140FD703C}"/>
    <cellStyle name="Normal 13 3 13 2" xfId="15818" xr:uid="{8A893E62-F35C-4B2D-A97E-2EA57B6E0DF3}"/>
    <cellStyle name="Normal 13 3 14" xfId="15819" xr:uid="{A46DD232-7A24-4D91-9855-6A369733F1C4}"/>
    <cellStyle name="Normal 13 3 14 2" xfId="15820" xr:uid="{2547954A-371E-4F03-9C76-A512770C7D0B}"/>
    <cellStyle name="Normal 13 3 15" xfId="15821" xr:uid="{5DAE6213-CA92-4383-8507-81E9444DB576}"/>
    <cellStyle name="Normal 13 3 16" xfId="15822" xr:uid="{FF7787AC-8749-485E-805E-DA8187C57A0A}"/>
    <cellStyle name="Normal 13 3 17" xfId="15823" xr:uid="{479E560C-36A1-4D78-A71D-013C4ECECF59}"/>
    <cellStyle name="Normal 13 3 18" xfId="15824" xr:uid="{4C708BED-8B8C-4FC8-B124-5FA1B866D390}"/>
    <cellStyle name="Normal 13 3 19" xfId="41487" xr:uid="{FA39C2CC-93A9-4D14-99C3-29CADA267453}"/>
    <cellStyle name="Normal 13 3 2" xfId="15825" xr:uid="{26376957-D3F6-460A-A178-90416CC51331}"/>
    <cellStyle name="Normal 13 3 2 10" xfId="15826" xr:uid="{07C25021-40D0-4D8C-A725-EEDECE6D52D4}"/>
    <cellStyle name="Normal 13 3 2 10 2" xfId="15827" xr:uid="{AAEC80D7-DDDB-43DD-AB92-9A4B6FDE4CA7}"/>
    <cellStyle name="Normal 13 3 2 11" xfId="15828" xr:uid="{E13BB9CA-F37E-479C-A266-92FD08723E75}"/>
    <cellStyle name="Normal 13 3 2 12" xfId="15829" xr:uid="{1D6B9D94-483B-44BE-801E-FF50A8BBDA6C}"/>
    <cellStyle name="Normal 13 3 2 2" xfId="15830" xr:uid="{20A09B3F-8F41-4BA1-B5EA-BDB21897F53F}"/>
    <cellStyle name="Normal 13 3 2 2 10" xfId="15831" xr:uid="{DB73AE77-D201-4845-9711-AAE0D9DE9358}"/>
    <cellStyle name="Normal 13 3 2 2 2" xfId="15832" xr:uid="{316BBB86-CE93-46E5-8821-2A8E3A2DC33B}"/>
    <cellStyle name="Normal 13 3 2 2 2 2" xfId="15833" xr:uid="{34932A29-04F6-4E01-ACD6-B0FA6D0E61B3}"/>
    <cellStyle name="Normal 13 3 2 2 2 2 2" xfId="15834" xr:uid="{D0466E86-23CE-4274-AE99-E41A9E3C6B89}"/>
    <cellStyle name="Normal 13 3 2 2 2 2 2 2" xfId="15835" xr:uid="{ACAABFD2-7D56-489C-B333-D23CD17A4A0A}"/>
    <cellStyle name="Normal 13 3 2 2 2 2 3" xfId="15836" xr:uid="{712106D0-27FD-4A56-AB18-C15E1305252A}"/>
    <cellStyle name="Normal 13 3 2 2 2 2 3 2" xfId="15837" xr:uid="{9967D866-1BDD-465A-9978-AF68BA30D518}"/>
    <cellStyle name="Normal 13 3 2 2 2 2 4" xfId="15838" xr:uid="{3B63AD9D-2EEA-45E9-AC3C-44D65A93E064}"/>
    <cellStyle name="Normal 13 3 2 2 2 2 4 2" xfId="15839" xr:uid="{BBF5A126-95D9-484F-92AC-CBAE26D95527}"/>
    <cellStyle name="Normal 13 3 2 2 2 2 5" xfId="15840" xr:uid="{3736E536-BE03-4BF7-A9A3-AC67419007D5}"/>
    <cellStyle name="Normal 13 3 2 2 2 3" xfId="15841" xr:uid="{B63926E9-61B7-4B9D-8A8A-CE5439C69D02}"/>
    <cellStyle name="Normal 13 3 2 2 2 3 2" xfId="15842" xr:uid="{F0729049-7C7A-4DD4-925B-84DECF5B8002}"/>
    <cellStyle name="Normal 13 3 2 2 2 3 2 2" xfId="15843" xr:uid="{252032CE-B694-4F8D-A3CF-A8919B3516F0}"/>
    <cellStyle name="Normal 13 3 2 2 2 3 3" xfId="15844" xr:uid="{B4CF5E0C-45FA-4196-A97C-6AE9713C1A69}"/>
    <cellStyle name="Normal 13 3 2 2 2 3 3 2" xfId="15845" xr:uid="{3A89A1F9-AD12-40C1-AEC2-001F67C34C7B}"/>
    <cellStyle name="Normal 13 3 2 2 2 3 4" xfId="15846" xr:uid="{7E0E51BC-6775-482A-B495-53442BFDE8DC}"/>
    <cellStyle name="Normal 13 3 2 2 2 3 4 2" xfId="15847" xr:uid="{41671865-4D1F-4D47-8A94-A27E267BC979}"/>
    <cellStyle name="Normal 13 3 2 2 2 3 5" xfId="15848" xr:uid="{59F129F9-D071-4410-B13B-B73D86A046F0}"/>
    <cellStyle name="Normal 13 3 2 2 2 4" xfId="15849" xr:uid="{5A83F13F-FE96-4109-8BBD-08F6BA8A1BAA}"/>
    <cellStyle name="Normal 13 3 2 2 2 4 2" xfId="15850" xr:uid="{00DD47AA-E007-4F00-9938-65C9E89FDB53}"/>
    <cellStyle name="Normal 13 3 2 2 2 5" xfId="15851" xr:uid="{A5D546A6-C61D-4440-A773-6C68EA4139F7}"/>
    <cellStyle name="Normal 13 3 2 2 2 5 2" xfId="15852" xr:uid="{6FF0B66D-ED31-4DB1-9592-88722AB2A042}"/>
    <cellStyle name="Normal 13 3 2 2 2 6" xfId="15853" xr:uid="{6F5A5A44-3864-4918-B5C4-3C10188F28B6}"/>
    <cellStyle name="Normal 13 3 2 2 2 6 2" xfId="15854" xr:uid="{19298803-B21D-4E17-8D29-F422755FCB40}"/>
    <cellStyle name="Normal 13 3 2 2 2 7" xfId="15855" xr:uid="{CFF0D6D1-1A83-4AF7-B9DF-17E8C2884B4D}"/>
    <cellStyle name="Normal 13 3 2 2 2 7 2" xfId="15856" xr:uid="{1A509AB8-0B4D-45A5-8F1D-3C38C731FCBE}"/>
    <cellStyle name="Normal 13 3 2 2 2 8" xfId="15857" xr:uid="{F6E16BD1-6024-4096-A2C0-677AA0B826BE}"/>
    <cellStyle name="Normal 13 3 2 2 2 8 2" xfId="15858" xr:uid="{45E53C5A-C8E8-4A2A-A41F-7225E4A0077F}"/>
    <cellStyle name="Normal 13 3 2 2 2 9" xfId="15859" xr:uid="{4ABD17C8-A4A3-4F3E-9AB6-17AB48C97EB6}"/>
    <cellStyle name="Normal 13 3 2 2 3" xfId="15860" xr:uid="{AE5FFDAF-0ADE-4CF0-AC6A-EE57AD28E8E5}"/>
    <cellStyle name="Normal 13 3 2 2 3 2" xfId="15861" xr:uid="{5881FA20-5B32-407C-9D90-2107811DF88B}"/>
    <cellStyle name="Normal 13 3 2 2 3 2 2" xfId="15862" xr:uid="{119F9854-A406-4AE6-80B5-98EBF0DFEF43}"/>
    <cellStyle name="Normal 13 3 2 2 3 3" xfId="15863" xr:uid="{C0483837-A449-4525-A1C6-32083E9A9C84}"/>
    <cellStyle name="Normal 13 3 2 2 3 3 2" xfId="15864" xr:uid="{105D3035-07DA-4646-9C68-348211586352}"/>
    <cellStyle name="Normal 13 3 2 2 3 4" xfId="15865" xr:uid="{7FF44B9B-CA58-47C4-915B-0D81025ECD21}"/>
    <cellStyle name="Normal 13 3 2 2 3 4 2" xfId="15866" xr:uid="{C9344866-27B8-4E44-86E8-73876CFE2038}"/>
    <cellStyle name="Normal 13 3 2 2 3 5" xfId="15867" xr:uid="{19D6500F-19FE-4AA5-8EBA-2C8997240EC3}"/>
    <cellStyle name="Normal 13 3 2 2 4" xfId="15868" xr:uid="{4A4567AF-7CBD-4FDE-8851-9C6B7685ABDB}"/>
    <cellStyle name="Normal 13 3 2 2 4 2" xfId="15869" xr:uid="{C9AD164A-1757-44D7-9416-E29C38935615}"/>
    <cellStyle name="Normal 13 3 2 2 4 2 2" xfId="15870" xr:uid="{F41CE4DC-D973-4E2D-B954-719BD22E26DE}"/>
    <cellStyle name="Normal 13 3 2 2 4 3" xfId="15871" xr:uid="{87294D9F-F4BE-4AE7-8E56-A3340AA66B43}"/>
    <cellStyle name="Normal 13 3 2 2 4 3 2" xfId="15872" xr:uid="{EEC8DE77-5B97-4D93-9A02-25F4A5A9991B}"/>
    <cellStyle name="Normal 13 3 2 2 4 4" xfId="15873" xr:uid="{23047774-DE9C-4A6D-934B-1A677FE12BB3}"/>
    <cellStyle name="Normal 13 3 2 2 4 4 2" xfId="15874" xr:uid="{685A7C07-BE96-4097-B165-95A4806249BE}"/>
    <cellStyle name="Normal 13 3 2 2 4 5" xfId="15875" xr:uid="{55E5562E-7D6C-45B6-8AAC-6936CB1CF0B1}"/>
    <cellStyle name="Normal 13 3 2 2 5" xfId="15876" xr:uid="{7F78DD11-B393-4926-B894-C6C368449819}"/>
    <cellStyle name="Normal 13 3 2 2 5 2" xfId="15877" xr:uid="{FDEA8DD7-D4B2-491F-8FDD-78B8FBE5B589}"/>
    <cellStyle name="Normal 13 3 2 2 6" xfId="15878" xr:uid="{FC54E37A-C038-4B4B-A4A2-EA2B2DEAD3A1}"/>
    <cellStyle name="Normal 13 3 2 2 6 2" xfId="15879" xr:uid="{4047582F-222C-4E72-BAA2-019EFA234724}"/>
    <cellStyle name="Normal 13 3 2 2 7" xfId="15880" xr:uid="{8CDC62C7-0C29-4F5E-A4EF-A548ECC75CA3}"/>
    <cellStyle name="Normal 13 3 2 2 7 2" xfId="15881" xr:uid="{80784E5F-BA68-41CE-BD3C-60CABA35C4A0}"/>
    <cellStyle name="Normal 13 3 2 2 8" xfId="15882" xr:uid="{6313D02D-3770-4D70-8F81-ABEA819CA7E7}"/>
    <cellStyle name="Normal 13 3 2 2 8 2" xfId="15883" xr:uid="{93BCFE83-FDD2-49FB-B63C-82F17BD707A8}"/>
    <cellStyle name="Normal 13 3 2 2 9" xfId="15884" xr:uid="{B4B831DC-0D2B-47AE-BA81-F25375FB2C82}"/>
    <cellStyle name="Normal 13 3 2 2 9 2" xfId="15885" xr:uid="{9ABC2737-8F28-4A80-9D1D-669D296DA31D}"/>
    <cellStyle name="Normal 13 3 2 3" xfId="15886" xr:uid="{29A293F6-96F8-4999-BB3E-375CD1B7257D}"/>
    <cellStyle name="Normal 13 3 2 3 2" xfId="15887" xr:uid="{203570B6-7712-4374-8D58-20C6F151C6E2}"/>
    <cellStyle name="Normal 13 3 2 3 2 2" xfId="15888" xr:uid="{CFDDF5E3-6D89-461F-8EF5-C4AC5739B64F}"/>
    <cellStyle name="Normal 13 3 2 3 2 2 2" xfId="15889" xr:uid="{CF982514-BA05-4323-B675-F4CEC76D7F14}"/>
    <cellStyle name="Normal 13 3 2 3 2 3" xfId="15890" xr:uid="{14003117-328F-4AE6-8DAD-987517E99DED}"/>
    <cellStyle name="Normal 13 3 2 3 2 3 2" xfId="15891" xr:uid="{A0159192-8161-4641-A490-05DC5F7CC158}"/>
    <cellStyle name="Normal 13 3 2 3 2 4" xfId="15892" xr:uid="{90CF1C5E-DD09-4B90-94FC-F9DC599D6903}"/>
    <cellStyle name="Normal 13 3 2 3 2 4 2" xfId="15893" xr:uid="{101E8C4F-1E0A-4E15-8FB8-1A77FCC975CD}"/>
    <cellStyle name="Normal 13 3 2 3 2 5" xfId="15894" xr:uid="{E2FAC4FB-373F-49DF-B5B2-F2F59D749DB6}"/>
    <cellStyle name="Normal 13 3 2 3 3" xfId="15895" xr:uid="{D369023C-49B2-447F-B864-D5C769D46785}"/>
    <cellStyle name="Normal 13 3 2 3 3 2" xfId="15896" xr:uid="{46F20D8C-751D-40AC-B9E7-43B4FEBC6A9D}"/>
    <cellStyle name="Normal 13 3 2 3 3 2 2" xfId="15897" xr:uid="{2BE0E50D-5084-4D3E-BBB4-A76DB2689762}"/>
    <cellStyle name="Normal 13 3 2 3 3 3" xfId="15898" xr:uid="{711F6406-4C1F-4F4D-8368-3E5A0BFEBC1C}"/>
    <cellStyle name="Normal 13 3 2 3 3 3 2" xfId="15899" xr:uid="{17D64004-A4BC-48BB-9D45-685418103C19}"/>
    <cellStyle name="Normal 13 3 2 3 3 4" xfId="15900" xr:uid="{C721BA09-2A2B-41A7-895A-395FD8EC4509}"/>
    <cellStyle name="Normal 13 3 2 3 3 4 2" xfId="15901" xr:uid="{B760B55D-574E-4E51-9392-B5837AAA99EE}"/>
    <cellStyle name="Normal 13 3 2 3 3 5" xfId="15902" xr:uid="{B326F410-877D-4BF2-BF1B-39A040256F3C}"/>
    <cellStyle name="Normal 13 3 2 3 4" xfId="15903" xr:uid="{FE456920-0BBF-4EEF-A434-583E8C9D211E}"/>
    <cellStyle name="Normal 13 3 2 3 4 2" xfId="15904" xr:uid="{618CDE77-72B2-4F64-94FE-1C7C4FEB1D1C}"/>
    <cellStyle name="Normal 13 3 2 3 5" xfId="15905" xr:uid="{FE2C7669-2FC3-4021-90AD-781EFE10EEFB}"/>
    <cellStyle name="Normal 13 3 2 3 5 2" xfId="15906" xr:uid="{AE14DB0A-1257-4B17-81A1-208CDB7EF0AC}"/>
    <cellStyle name="Normal 13 3 2 3 6" xfId="15907" xr:uid="{A1A9A3CF-E298-4B26-A66E-8A5BA57342FA}"/>
    <cellStyle name="Normal 13 3 2 3 6 2" xfId="15908" xr:uid="{4F3CCB5B-0428-4365-B5B6-79C0E555719B}"/>
    <cellStyle name="Normal 13 3 2 3 7" xfId="15909" xr:uid="{C4FAFA37-2072-4A9E-AA12-0EA6329D7154}"/>
    <cellStyle name="Normal 13 3 2 3 7 2" xfId="15910" xr:uid="{9A91390E-3F99-4192-BC04-1E18D856A3DF}"/>
    <cellStyle name="Normal 13 3 2 3 8" xfId="15911" xr:uid="{F766DEB7-FD71-4187-A861-8D9F55CFFCC4}"/>
    <cellStyle name="Normal 13 3 2 3 8 2" xfId="15912" xr:uid="{D904B799-9F07-46C5-8D00-17767AAA7294}"/>
    <cellStyle name="Normal 13 3 2 3 9" xfId="15913" xr:uid="{A8A0E3D2-2248-4476-9BF7-11195F09976D}"/>
    <cellStyle name="Normal 13 3 2 4" xfId="15914" xr:uid="{D1765E5A-FD94-42CA-B222-D8178F35DE4D}"/>
    <cellStyle name="Normal 13 3 2 4 2" xfId="15915" xr:uid="{163F380B-3F26-47CE-BDDB-44B0224E0C7B}"/>
    <cellStyle name="Normal 13 3 2 4 2 2" xfId="15916" xr:uid="{58C02013-54E1-44A9-A35C-5BA961D8AA9F}"/>
    <cellStyle name="Normal 13 3 2 4 3" xfId="15917" xr:uid="{306BECF5-184F-4B11-BE4A-5E7557A0BAD7}"/>
    <cellStyle name="Normal 13 3 2 4 3 2" xfId="15918" xr:uid="{5B498B45-9964-415E-8906-CF09A0619F4B}"/>
    <cellStyle name="Normal 13 3 2 4 4" xfId="15919" xr:uid="{48F1203D-6239-4EFB-9D30-82F8CA9D8C5B}"/>
    <cellStyle name="Normal 13 3 2 4 4 2" xfId="15920" xr:uid="{6BCC4FE4-81EF-4772-AF54-BD723D0AE4BB}"/>
    <cellStyle name="Normal 13 3 2 4 5" xfId="15921" xr:uid="{833D8F87-C40B-4D73-964D-F7F34A144F30}"/>
    <cellStyle name="Normal 13 3 2 5" xfId="15922" xr:uid="{248F031B-D846-4767-9407-64378A117141}"/>
    <cellStyle name="Normal 13 3 2 5 2" xfId="15923" xr:uid="{C6970D72-FD28-4384-873F-3F5CD4A043F6}"/>
    <cellStyle name="Normal 13 3 2 5 2 2" xfId="15924" xr:uid="{56D2CF42-565F-4C31-8078-6F75472B6EEB}"/>
    <cellStyle name="Normal 13 3 2 5 3" xfId="15925" xr:uid="{8B3024F4-C8C7-47D1-BABE-D9507B5FDFC1}"/>
    <cellStyle name="Normal 13 3 2 5 3 2" xfId="15926" xr:uid="{13953C03-3555-4B27-9AC2-0BF80812932C}"/>
    <cellStyle name="Normal 13 3 2 5 4" xfId="15927" xr:uid="{A87BBE65-FC45-43E1-B173-5C681BEEE713}"/>
    <cellStyle name="Normal 13 3 2 5 4 2" xfId="15928" xr:uid="{E8D914A9-C7AD-418E-81A3-286B85E5BB18}"/>
    <cellStyle name="Normal 13 3 2 5 5" xfId="15929" xr:uid="{9E3A5527-B92D-4FA0-A3D0-DACA4F0E2FA0}"/>
    <cellStyle name="Normal 13 3 2 6" xfId="15930" xr:uid="{C4039BD3-31AC-43C6-A801-AA28FE4B2F42}"/>
    <cellStyle name="Normal 13 3 2 6 2" xfId="15931" xr:uid="{3F543B11-8767-4C41-91D4-9690DD717C01}"/>
    <cellStyle name="Normal 13 3 2 7" xfId="15932" xr:uid="{0D8A2ED3-B55D-45E4-850B-AF7340EB7CD5}"/>
    <cellStyle name="Normal 13 3 2 7 2" xfId="15933" xr:uid="{C85CD1FD-1383-466A-AC20-2F44C183D60F}"/>
    <cellStyle name="Normal 13 3 2 8" xfId="15934" xr:uid="{5D763EA3-E681-4E2A-B22F-DE90990F5AD1}"/>
    <cellStyle name="Normal 13 3 2 8 2" xfId="15935" xr:uid="{670E7386-75BF-45DD-9C78-398E1922D48C}"/>
    <cellStyle name="Normal 13 3 2 9" xfId="15936" xr:uid="{411BA9D8-51BD-4313-B453-B8A99E2C9CF1}"/>
    <cellStyle name="Normal 13 3 2 9 2" xfId="15937" xr:uid="{9C2F89E4-8CB0-41C0-9B33-8844D07F3FF8}"/>
    <cellStyle name="Normal 13 3 3" xfId="15938" xr:uid="{9DBC798C-7068-4D70-B2EC-1628D00DA0DF}"/>
    <cellStyle name="Normal 13 3 3 10" xfId="15939" xr:uid="{EA5401EE-BA6C-48A3-8A4E-B6122FA94D3F}"/>
    <cellStyle name="Normal 13 3 3 10 2" xfId="15940" xr:uid="{6326E77E-5B94-48F6-B0F6-0649BF231C7F}"/>
    <cellStyle name="Normal 13 3 3 11" xfId="15941" xr:uid="{F04F3E4C-10BB-47E7-8805-89EBF86E9CA0}"/>
    <cellStyle name="Normal 13 3 3 2" xfId="15942" xr:uid="{3856DB02-9985-449F-9D1F-99E0124EB852}"/>
    <cellStyle name="Normal 13 3 3 2 10" xfId="15943" xr:uid="{BC7DD41A-0E31-434F-B97B-D791AE48F757}"/>
    <cellStyle name="Normal 13 3 3 2 2" xfId="15944" xr:uid="{DCDB37CA-A01F-44C1-BF89-EB51A26E8A88}"/>
    <cellStyle name="Normal 13 3 3 2 2 2" xfId="15945" xr:uid="{6A6C1B61-5650-491A-8A21-EFEDAD4F7D08}"/>
    <cellStyle name="Normal 13 3 3 2 2 2 2" xfId="15946" xr:uid="{2D221A60-834D-4327-8C64-7B54E1A3D83C}"/>
    <cellStyle name="Normal 13 3 3 2 2 2 2 2" xfId="15947" xr:uid="{E793BCCD-AF3E-4772-B6F0-6064B4DCDB4D}"/>
    <cellStyle name="Normal 13 3 3 2 2 2 3" xfId="15948" xr:uid="{AAC3D70F-1726-4865-929A-72CFD0CF9419}"/>
    <cellStyle name="Normal 13 3 3 2 2 2 3 2" xfId="15949" xr:uid="{EF2A8A56-A739-4871-B501-2862A533E25B}"/>
    <cellStyle name="Normal 13 3 3 2 2 2 4" xfId="15950" xr:uid="{5A6F67E1-FAEC-4FAC-B9A8-4A7A4D665BF0}"/>
    <cellStyle name="Normal 13 3 3 2 2 2 4 2" xfId="15951" xr:uid="{5A165A78-8E18-4184-8227-0B0E57DB92B0}"/>
    <cellStyle name="Normal 13 3 3 2 2 2 5" xfId="15952" xr:uid="{147766C5-3B6F-418A-9386-452366DED617}"/>
    <cellStyle name="Normal 13 3 3 2 2 3" xfId="15953" xr:uid="{42EB7D12-8AD3-44FF-B6B2-64BB016FC67B}"/>
    <cellStyle name="Normal 13 3 3 2 2 3 2" xfId="15954" xr:uid="{9BA0A6E3-F3C9-4978-A334-CB7CEA491A92}"/>
    <cellStyle name="Normal 13 3 3 2 2 3 2 2" xfId="15955" xr:uid="{80A49C31-A113-4456-BC9C-4CB4FB665946}"/>
    <cellStyle name="Normal 13 3 3 2 2 3 3" xfId="15956" xr:uid="{F7CF7B42-4A13-42B6-BF08-412A1F2BE6B6}"/>
    <cellStyle name="Normal 13 3 3 2 2 3 3 2" xfId="15957" xr:uid="{BD887FDE-A44A-4EFD-BCB8-44586F6FEE81}"/>
    <cellStyle name="Normal 13 3 3 2 2 3 4" xfId="15958" xr:uid="{39D9CFF6-2D9D-408E-8CCC-D791AAAB9BFB}"/>
    <cellStyle name="Normal 13 3 3 2 2 3 4 2" xfId="15959" xr:uid="{92B2D347-54C7-42C9-8D0A-3FF9661BFE49}"/>
    <cellStyle name="Normal 13 3 3 2 2 3 5" xfId="15960" xr:uid="{8B24178B-642A-4884-8CFA-937E4B3FC05C}"/>
    <cellStyle name="Normal 13 3 3 2 2 4" xfId="15961" xr:uid="{2E1BDA29-965B-45C9-ABC6-56FE3A71D75F}"/>
    <cellStyle name="Normal 13 3 3 2 2 4 2" xfId="15962" xr:uid="{85339200-1B15-478F-A4C6-627D5B9B5172}"/>
    <cellStyle name="Normal 13 3 3 2 2 5" xfId="15963" xr:uid="{C9C7E177-684F-419A-B6B8-E1E6D5EEC90F}"/>
    <cellStyle name="Normal 13 3 3 2 2 5 2" xfId="15964" xr:uid="{020A4E6A-459E-4EEA-8608-E252C3ECF07B}"/>
    <cellStyle name="Normal 13 3 3 2 2 6" xfId="15965" xr:uid="{E7C93747-FB7C-4AC7-91A2-E091825D453A}"/>
    <cellStyle name="Normal 13 3 3 2 2 6 2" xfId="15966" xr:uid="{E0CDEC6C-DDE0-4A81-99AB-FE507D14D152}"/>
    <cellStyle name="Normal 13 3 3 2 2 7" xfId="15967" xr:uid="{5D8655B0-FF23-4266-8A47-D25284CDF722}"/>
    <cellStyle name="Normal 13 3 3 2 2 7 2" xfId="15968" xr:uid="{EF2D08EC-82BF-452A-B0D0-54CFDDFDE272}"/>
    <cellStyle name="Normal 13 3 3 2 2 8" xfId="15969" xr:uid="{2F5B6867-8F9F-4FCD-AC0E-31719F66C899}"/>
    <cellStyle name="Normal 13 3 3 2 2 8 2" xfId="15970" xr:uid="{8CF86D4F-BB10-4C3F-BE17-26EED0190D6A}"/>
    <cellStyle name="Normal 13 3 3 2 2 9" xfId="15971" xr:uid="{0E21D1BD-4AC5-4F4B-82C6-3D041BAF9E05}"/>
    <cellStyle name="Normal 13 3 3 2 3" xfId="15972" xr:uid="{4F3DADD7-1255-42E0-9919-A40CEF6F56DF}"/>
    <cellStyle name="Normal 13 3 3 2 3 2" xfId="15973" xr:uid="{B4959164-81F1-4BC3-8973-9FE03E787C58}"/>
    <cellStyle name="Normal 13 3 3 2 3 2 2" xfId="15974" xr:uid="{0E7FC538-42AB-46F3-85D0-12B5E66F2AAD}"/>
    <cellStyle name="Normal 13 3 3 2 3 3" xfId="15975" xr:uid="{9DC6CBFB-064D-43E7-9283-D8AC859797A0}"/>
    <cellStyle name="Normal 13 3 3 2 3 3 2" xfId="15976" xr:uid="{E80F2949-E165-4579-9E0E-5BD0933934CE}"/>
    <cellStyle name="Normal 13 3 3 2 3 4" xfId="15977" xr:uid="{8BAD0149-8574-41AB-B07B-127D8706F5D4}"/>
    <cellStyle name="Normal 13 3 3 2 3 4 2" xfId="15978" xr:uid="{C9AB6654-0C79-4F33-9664-44F167FEB5D1}"/>
    <cellStyle name="Normal 13 3 3 2 3 5" xfId="15979" xr:uid="{4B88DD0D-F6C3-488A-9A40-6ACC56BEE3CF}"/>
    <cellStyle name="Normal 13 3 3 2 4" xfId="15980" xr:uid="{C6998272-51B8-4D15-8864-DD073400FB51}"/>
    <cellStyle name="Normal 13 3 3 2 4 2" xfId="15981" xr:uid="{99D606A7-2E36-43D5-8A65-A54EBEEC0467}"/>
    <cellStyle name="Normal 13 3 3 2 4 2 2" xfId="15982" xr:uid="{3E1C0F03-EDDE-4F72-A6C5-0DD30F9E4287}"/>
    <cellStyle name="Normal 13 3 3 2 4 3" xfId="15983" xr:uid="{1C5BC727-1354-46B8-9216-FA61162E18F9}"/>
    <cellStyle name="Normal 13 3 3 2 4 3 2" xfId="15984" xr:uid="{45E1592D-61D1-45D0-A7F6-9E43CD1A8A9F}"/>
    <cellStyle name="Normal 13 3 3 2 4 4" xfId="15985" xr:uid="{00E39B09-69D2-48FF-99DA-8EFBB700158E}"/>
    <cellStyle name="Normal 13 3 3 2 4 4 2" xfId="15986" xr:uid="{55D6E314-3D66-4389-9963-DBC6D28BA4F5}"/>
    <cellStyle name="Normal 13 3 3 2 4 5" xfId="15987" xr:uid="{B97CD9C2-C458-440A-BDFD-9F8E463F650E}"/>
    <cellStyle name="Normal 13 3 3 2 5" xfId="15988" xr:uid="{AD7CAA89-B591-4C6F-BE43-7D1207DF1932}"/>
    <cellStyle name="Normal 13 3 3 2 5 2" xfId="15989" xr:uid="{A63E48F7-3492-45ED-9054-EBE3AD7AF2B3}"/>
    <cellStyle name="Normal 13 3 3 2 6" xfId="15990" xr:uid="{352D281E-E175-4FAE-9030-D5B9B2D1F642}"/>
    <cellStyle name="Normal 13 3 3 2 6 2" xfId="15991" xr:uid="{DAFAC075-AC2F-430B-B46C-7E61A1163F64}"/>
    <cellStyle name="Normal 13 3 3 2 7" xfId="15992" xr:uid="{744A2789-601D-4DAC-8417-43C8C3079776}"/>
    <cellStyle name="Normal 13 3 3 2 7 2" xfId="15993" xr:uid="{2DA05408-7AD2-4B63-A284-798BCF304D6D}"/>
    <cellStyle name="Normal 13 3 3 2 8" xfId="15994" xr:uid="{4700E19F-F1F1-4ED8-89A3-11373A96499B}"/>
    <cellStyle name="Normal 13 3 3 2 8 2" xfId="15995" xr:uid="{7C09063F-684D-4C86-8A3D-6B5916E477C0}"/>
    <cellStyle name="Normal 13 3 3 2 9" xfId="15996" xr:uid="{70949368-C0DE-4097-B9CC-BE99A7B1C8CA}"/>
    <cellStyle name="Normal 13 3 3 2 9 2" xfId="15997" xr:uid="{6B1CB61A-C0A8-44C1-A94A-B7E68C1A8E02}"/>
    <cellStyle name="Normal 13 3 3 3" xfId="15998" xr:uid="{DB336C46-DD5A-4F39-95DB-FA4AB80FEC02}"/>
    <cellStyle name="Normal 13 3 3 3 2" xfId="15999" xr:uid="{38B0E803-06A4-4325-9A0D-B99FAC08AEAE}"/>
    <cellStyle name="Normal 13 3 3 3 2 2" xfId="16000" xr:uid="{5166759F-E39B-4D69-8CF4-FE342CFAE498}"/>
    <cellStyle name="Normal 13 3 3 3 2 2 2" xfId="16001" xr:uid="{E7E2A18A-9CFE-47CE-A734-CA63631ED2DD}"/>
    <cellStyle name="Normal 13 3 3 3 2 3" xfId="16002" xr:uid="{BB946859-8901-4541-A3FE-1225C2D9FEF7}"/>
    <cellStyle name="Normal 13 3 3 3 2 3 2" xfId="16003" xr:uid="{6F5510FD-72BE-4496-BAF7-6DFB17BB0DAE}"/>
    <cellStyle name="Normal 13 3 3 3 2 4" xfId="16004" xr:uid="{1CD1D919-B55B-4CC9-8D1C-3BB93EDB4B84}"/>
    <cellStyle name="Normal 13 3 3 3 2 4 2" xfId="16005" xr:uid="{56793928-D6B7-4B5B-9DB6-4CBB545A3861}"/>
    <cellStyle name="Normal 13 3 3 3 2 5" xfId="16006" xr:uid="{6833FCF7-8FDD-4402-8FA7-4440228C00F4}"/>
    <cellStyle name="Normal 13 3 3 3 3" xfId="16007" xr:uid="{441965E5-FFDB-4AA1-8751-1D1F14B76ADC}"/>
    <cellStyle name="Normal 13 3 3 3 3 2" xfId="16008" xr:uid="{AE476D49-82E6-4D26-9A30-48BC92ED4F9F}"/>
    <cellStyle name="Normal 13 3 3 3 3 2 2" xfId="16009" xr:uid="{C799E211-95D7-40FC-A566-2319AEB87D18}"/>
    <cellStyle name="Normal 13 3 3 3 3 3" xfId="16010" xr:uid="{7278ECF7-B270-4176-9B51-EACAA4A5969A}"/>
    <cellStyle name="Normal 13 3 3 3 3 3 2" xfId="16011" xr:uid="{BB7A79F1-2300-4319-AA65-8DCDDA835076}"/>
    <cellStyle name="Normal 13 3 3 3 3 4" xfId="16012" xr:uid="{224FEC4C-15D6-46A5-AF1A-A9571E1EC8EA}"/>
    <cellStyle name="Normal 13 3 3 3 3 4 2" xfId="16013" xr:uid="{75DBE29E-8B92-4835-AF1F-52C0D620B10F}"/>
    <cellStyle name="Normal 13 3 3 3 3 5" xfId="16014" xr:uid="{002A9DA6-5245-480C-8C6E-422CB8EC46DF}"/>
    <cellStyle name="Normal 13 3 3 3 4" xfId="16015" xr:uid="{CCAF179A-0A2D-4BAF-A8EC-9DCA48D14D7A}"/>
    <cellStyle name="Normal 13 3 3 3 4 2" xfId="16016" xr:uid="{99007505-59FE-4209-8C0E-A21E73C07321}"/>
    <cellStyle name="Normal 13 3 3 3 5" xfId="16017" xr:uid="{8E48E38A-6D49-47DF-A287-CAC86948E453}"/>
    <cellStyle name="Normal 13 3 3 3 5 2" xfId="16018" xr:uid="{13C9E7ED-A2FE-4D74-9F66-89142E6B8753}"/>
    <cellStyle name="Normal 13 3 3 3 6" xfId="16019" xr:uid="{BDDFC563-CA7F-4C80-9D0A-6DB6841ED2ED}"/>
    <cellStyle name="Normal 13 3 3 3 6 2" xfId="16020" xr:uid="{EBC71B37-18B5-4046-BB77-32B924F8B053}"/>
    <cellStyle name="Normal 13 3 3 3 7" xfId="16021" xr:uid="{06ACCE5A-086B-4DCD-8A9D-542341289D10}"/>
    <cellStyle name="Normal 13 3 3 3 7 2" xfId="16022" xr:uid="{D2B2DA3D-0421-4693-8A1F-DD2CF6FC6F05}"/>
    <cellStyle name="Normal 13 3 3 3 8" xfId="16023" xr:uid="{A9092839-EFDA-4BC9-A639-7CAF5E302377}"/>
    <cellStyle name="Normal 13 3 3 3 8 2" xfId="16024" xr:uid="{C86F1BCD-FE96-4FA5-9CD5-D7055AEBADD0}"/>
    <cellStyle name="Normal 13 3 3 3 9" xfId="16025" xr:uid="{B17E4CBE-D181-4BB3-B2DA-9F9276584335}"/>
    <cellStyle name="Normal 13 3 3 4" xfId="16026" xr:uid="{32A93F6E-8226-4B94-9DD1-17F29A9E8B3E}"/>
    <cellStyle name="Normal 13 3 3 4 2" xfId="16027" xr:uid="{66208774-F8CE-4BEE-95EF-DAEB31347B31}"/>
    <cellStyle name="Normal 13 3 3 4 2 2" xfId="16028" xr:uid="{06CC63E7-34AA-421C-BC58-E800C10A1A3C}"/>
    <cellStyle name="Normal 13 3 3 4 3" xfId="16029" xr:uid="{6C30DA69-5BA7-4E6F-9344-DF5B211B77B2}"/>
    <cellStyle name="Normal 13 3 3 4 3 2" xfId="16030" xr:uid="{F51CB096-DE64-41E8-8A3C-E0EBD8C1A8A2}"/>
    <cellStyle name="Normal 13 3 3 4 4" xfId="16031" xr:uid="{D909DA7C-D21C-4FA9-A583-801195938990}"/>
    <cellStyle name="Normal 13 3 3 4 4 2" xfId="16032" xr:uid="{D9C8D1BC-5E53-4401-BA25-A85041633831}"/>
    <cellStyle name="Normal 13 3 3 4 5" xfId="16033" xr:uid="{263A8B0C-D87F-4F69-B5D3-D67B845D9885}"/>
    <cellStyle name="Normal 13 3 3 5" xfId="16034" xr:uid="{EA31A6F0-12CD-454F-8302-7247B7C9C0C5}"/>
    <cellStyle name="Normal 13 3 3 5 2" xfId="16035" xr:uid="{F9DBBAED-97C9-43C7-9728-0871CC5C9B2D}"/>
    <cellStyle name="Normal 13 3 3 5 2 2" xfId="16036" xr:uid="{1BD16E97-2546-4A7A-BF9F-63AE1ACEEC5C}"/>
    <cellStyle name="Normal 13 3 3 5 3" xfId="16037" xr:uid="{B9C752B4-0CEF-4C1D-B799-DEA42FC68A06}"/>
    <cellStyle name="Normal 13 3 3 5 3 2" xfId="16038" xr:uid="{89602A05-D972-41E1-82F6-E47912C45648}"/>
    <cellStyle name="Normal 13 3 3 5 4" xfId="16039" xr:uid="{EFF8C98A-557B-4EAA-9017-F47023ACDEE6}"/>
    <cellStyle name="Normal 13 3 3 5 4 2" xfId="16040" xr:uid="{CEBCDC81-A22A-4F26-A823-738C412671C1}"/>
    <cellStyle name="Normal 13 3 3 5 5" xfId="16041" xr:uid="{CD1504BC-00A2-44EA-8821-3AD17A9B0548}"/>
    <cellStyle name="Normal 13 3 3 6" xfId="16042" xr:uid="{A08EBE5D-F4DE-49E1-8C5F-E89022FDC50D}"/>
    <cellStyle name="Normal 13 3 3 6 2" xfId="16043" xr:uid="{81B3E7F2-A69B-4566-93C5-3C1B577347C6}"/>
    <cellStyle name="Normal 13 3 3 7" xfId="16044" xr:uid="{CB901751-4104-4C75-BA8C-0A7EFB5F23D3}"/>
    <cellStyle name="Normal 13 3 3 7 2" xfId="16045" xr:uid="{7DAF4A36-230D-48E5-9EBD-C179A84FC137}"/>
    <cellStyle name="Normal 13 3 3 8" xfId="16046" xr:uid="{3E04FE50-B6B6-48E2-A418-649F25707421}"/>
    <cellStyle name="Normal 13 3 3 8 2" xfId="16047" xr:uid="{B2478F31-F0A5-4178-997C-2FAD07A228E8}"/>
    <cellStyle name="Normal 13 3 3 9" xfId="16048" xr:uid="{08C82A09-8D9C-4289-9D01-C373FB63BC7C}"/>
    <cellStyle name="Normal 13 3 3 9 2" xfId="16049" xr:uid="{940D2148-6F42-421A-AF6B-E6002713C388}"/>
    <cellStyle name="Normal 13 3 4" xfId="16050" xr:uid="{4675FCCE-5BAF-4CD8-9ADB-8D09CB33D62F}"/>
    <cellStyle name="Normal 13 3 4 10" xfId="16051" xr:uid="{A5366427-F692-4D2A-8B30-E9DE2C4B11B0}"/>
    <cellStyle name="Normal 13 3 4 10 2" xfId="16052" xr:uid="{B3BDC3E3-6D7C-4499-A178-6FFF93560257}"/>
    <cellStyle name="Normal 13 3 4 11" xfId="16053" xr:uid="{83E6ADC9-5774-4840-BD75-E245A419408E}"/>
    <cellStyle name="Normal 13 3 4 2" xfId="16054" xr:uid="{3CA65E98-B745-4C16-87DF-8ECD89D01E31}"/>
    <cellStyle name="Normal 13 3 4 2 10" xfId="16055" xr:uid="{D1083330-AB85-48A3-828B-53B062307976}"/>
    <cellStyle name="Normal 13 3 4 2 2" xfId="16056" xr:uid="{499F616B-9EF8-4A10-A327-A0EAB1DCE7F1}"/>
    <cellStyle name="Normal 13 3 4 2 2 2" xfId="16057" xr:uid="{78DC7599-A157-4DCD-BCF1-1A92304D02CD}"/>
    <cellStyle name="Normal 13 3 4 2 2 2 2" xfId="16058" xr:uid="{2AA6246B-3EA0-4534-923C-9B066928DCE6}"/>
    <cellStyle name="Normal 13 3 4 2 2 2 2 2" xfId="16059" xr:uid="{846A65D5-A15F-43C5-BF9B-DEFC17D539EA}"/>
    <cellStyle name="Normal 13 3 4 2 2 2 3" xfId="16060" xr:uid="{A4BB8E7E-E54F-4C52-A5EC-A5F913FF68BA}"/>
    <cellStyle name="Normal 13 3 4 2 2 2 3 2" xfId="16061" xr:uid="{4CE27114-AAA2-4A4B-B99D-48B220B0D72C}"/>
    <cellStyle name="Normal 13 3 4 2 2 2 4" xfId="16062" xr:uid="{E7A25E13-D54F-43B9-9F77-2B9207FD8835}"/>
    <cellStyle name="Normal 13 3 4 2 2 2 4 2" xfId="16063" xr:uid="{21E59066-EB0F-458E-A54E-050D40209C49}"/>
    <cellStyle name="Normal 13 3 4 2 2 2 5" xfId="16064" xr:uid="{B6DCAB6E-4CE7-4F96-A096-080408F33B44}"/>
    <cellStyle name="Normal 13 3 4 2 2 3" xfId="16065" xr:uid="{F57AB48E-E9E2-4E5F-AFBB-00FA21E3DF81}"/>
    <cellStyle name="Normal 13 3 4 2 2 3 2" xfId="16066" xr:uid="{E214E71E-CA32-46B0-B183-110D37BC3D53}"/>
    <cellStyle name="Normal 13 3 4 2 2 3 2 2" xfId="16067" xr:uid="{227ADBD5-0466-4EE4-B327-55D35495E172}"/>
    <cellStyle name="Normal 13 3 4 2 2 3 3" xfId="16068" xr:uid="{024BF565-9CAE-46BD-8C59-28B7A761B528}"/>
    <cellStyle name="Normal 13 3 4 2 2 3 3 2" xfId="16069" xr:uid="{374FFD61-8C45-443D-9435-0A045291EFCE}"/>
    <cellStyle name="Normal 13 3 4 2 2 3 4" xfId="16070" xr:uid="{EC03AC63-49DE-4CD2-81B8-897DE4EFF035}"/>
    <cellStyle name="Normal 13 3 4 2 2 3 4 2" xfId="16071" xr:uid="{38A240EF-4522-4080-A504-7DCD97F436B3}"/>
    <cellStyle name="Normal 13 3 4 2 2 3 5" xfId="16072" xr:uid="{26A8EC54-E332-4C00-B539-E6371573E5E8}"/>
    <cellStyle name="Normal 13 3 4 2 2 4" xfId="16073" xr:uid="{40916974-3F44-412A-B9A3-2655A659C1CA}"/>
    <cellStyle name="Normal 13 3 4 2 2 4 2" xfId="16074" xr:uid="{07929377-1BCA-47CE-B644-3B3A3229E8D1}"/>
    <cellStyle name="Normal 13 3 4 2 2 5" xfId="16075" xr:uid="{7F69A087-606D-4F78-906B-5AB20081651E}"/>
    <cellStyle name="Normal 13 3 4 2 2 5 2" xfId="16076" xr:uid="{636C268A-958A-4450-BE98-3F9805CFB4BB}"/>
    <cellStyle name="Normal 13 3 4 2 2 6" xfId="16077" xr:uid="{9B48A535-DFF8-4800-A88E-E9DA0AC94DB8}"/>
    <cellStyle name="Normal 13 3 4 2 2 6 2" xfId="16078" xr:uid="{F486BB4D-C4B7-42F7-91AB-834AF4E4220E}"/>
    <cellStyle name="Normal 13 3 4 2 2 7" xfId="16079" xr:uid="{61EF5DFE-CCD3-44EC-8E15-5397909B80C2}"/>
    <cellStyle name="Normal 13 3 4 2 2 7 2" xfId="16080" xr:uid="{BF61BC40-C462-4C53-A5FA-CAC7247D3AF7}"/>
    <cellStyle name="Normal 13 3 4 2 2 8" xfId="16081" xr:uid="{56A5456B-3B71-46A1-AF96-7EDE2F98BE2F}"/>
    <cellStyle name="Normal 13 3 4 2 2 8 2" xfId="16082" xr:uid="{386182C8-6AAC-4081-B728-B954FD27894C}"/>
    <cellStyle name="Normal 13 3 4 2 2 9" xfId="16083" xr:uid="{1E768B28-F0F8-4D20-BBB1-383B76C85C3E}"/>
    <cellStyle name="Normal 13 3 4 2 3" xfId="16084" xr:uid="{E8DCD543-C8F6-4E0D-AFF5-F9D525D035CA}"/>
    <cellStyle name="Normal 13 3 4 2 3 2" xfId="16085" xr:uid="{9EC9B70D-0292-4BAD-89B0-BD1D74DE8BFA}"/>
    <cellStyle name="Normal 13 3 4 2 3 2 2" xfId="16086" xr:uid="{A8C564B3-5080-4823-A812-A2E33D066D5F}"/>
    <cellStyle name="Normal 13 3 4 2 3 3" xfId="16087" xr:uid="{D3E78748-219A-4875-A3AF-86BA2872B32E}"/>
    <cellStyle name="Normal 13 3 4 2 3 3 2" xfId="16088" xr:uid="{2B9F5BF5-3136-4CD9-87AF-1CC4921E8F29}"/>
    <cellStyle name="Normal 13 3 4 2 3 4" xfId="16089" xr:uid="{A26A820A-64DB-4CE7-998D-208AD6DD18D5}"/>
    <cellStyle name="Normal 13 3 4 2 3 4 2" xfId="16090" xr:uid="{EE9E5F99-5335-4271-8CA0-858D598955BB}"/>
    <cellStyle name="Normal 13 3 4 2 3 5" xfId="16091" xr:uid="{A8832089-E8FA-4C71-A43B-A555066D3989}"/>
    <cellStyle name="Normal 13 3 4 2 4" xfId="16092" xr:uid="{EDBE8302-1FEA-4442-869A-53CD68F3D9EA}"/>
    <cellStyle name="Normal 13 3 4 2 4 2" xfId="16093" xr:uid="{0875276B-C2D5-4E17-875B-6CF0EA3711CD}"/>
    <cellStyle name="Normal 13 3 4 2 4 2 2" xfId="16094" xr:uid="{AB0EFCCA-A454-4602-BD4B-64E4A65BF9A9}"/>
    <cellStyle name="Normal 13 3 4 2 4 3" xfId="16095" xr:uid="{5678B6F2-90F9-4C48-A753-6346F3285FBD}"/>
    <cellStyle name="Normal 13 3 4 2 4 3 2" xfId="16096" xr:uid="{C1D676B3-F39B-4EFA-BD2A-CE0911320C0A}"/>
    <cellStyle name="Normal 13 3 4 2 4 4" xfId="16097" xr:uid="{E4A5B505-F1B0-4B04-B4F7-89421EA10615}"/>
    <cellStyle name="Normal 13 3 4 2 4 4 2" xfId="16098" xr:uid="{339C42A3-C730-4512-82D0-60B093737E84}"/>
    <cellStyle name="Normal 13 3 4 2 4 5" xfId="16099" xr:uid="{2A6AA6BA-1586-470E-B9E7-20AB578AEE40}"/>
    <cellStyle name="Normal 13 3 4 2 5" xfId="16100" xr:uid="{23D35548-897D-4680-9825-BB9B8DE68EBD}"/>
    <cellStyle name="Normal 13 3 4 2 5 2" xfId="16101" xr:uid="{44D532FD-BA1C-4E70-8ABF-BA37678B867F}"/>
    <cellStyle name="Normal 13 3 4 2 6" xfId="16102" xr:uid="{093F85C2-4D00-463C-8678-E5B369963FC3}"/>
    <cellStyle name="Normal 13 3 4 2 6 2" xfId="16103" xr:uid="{459F63E1-A19D-46C5-911A-E379AB846FD3}"/>
    <cellStyle name="Normal 13 3 4 2 7" xfId="16104" xr:uid="{DBE1BC66-8A84-4989-ADE4-62BB62866250}"/>
    <cellStyle name="Normal 13 3 4 2 7 2" xfId="16105" xr:uid="{75820F7B-2FB6-4138-8143-6D640B88023B}"/>
    <cellStyle name="Normal 13 3 4 2 8" xfId="16106" xr:uid="{D3321897-2167-45B3-B609-240BB4DB8D94}"/>
    <cellStyle name="Normal 13 3 4 2 8 2" xfId="16107" xr:uid="{80880214-FF71-42C7-9A45-83896248868F}"/>
    <cellStyle name="Normal 13 3 4 2 9" xfId="16108" xr:uid="{2CBF3F03-B5FC-4407-A3DA-0F66DF2D3EF2}"/>
    <cellStyle name="Normal 13 3 4 2 9 2" xfId="16109" xr:uid="{FC8CCBF3-751E-4DBF-8B1F-17F537E6F76F}"/>
    <cellStyle name="Normal 13 3 4 3" xfId="16110" xr:uid="{54ED42AB-0DAD-422C-B81D-713A841A3965}"/>
    <cellStyle name="Normal 13 3 4 3 2" xfId="16111" xr:uid="{A5DCAF06-0BDA-4EC4-A253-FC55E44E401F}"/>
    <cellStyle name="Normal 13 3 4 3 2 2" xfId="16112" xr:uid="{A82EF4E1-1D99-4B74-8ADD-271BA9EFB03B}"/>
    <cellStyle name="Normal 13 3 4 3 2 2 2" xfId="16113" xr:uid="{0721E6AE-56DD-455B-9959-173A7DF5EF02}"/>
    <cellStyle name="Normal 13 3 4 3 2 3" xfId="16114" xr:uid="{32FE2962-6AF4-4877-AA7F-455CB3FD4204}"/>
    <cellStyle name="Normal 13 3 4 3 2 3 2" xfId="16115" xr:uid="{CE7CE598-18E6-4938-8A1C-B19E774D5BC6}"/>
    <cellStyle name="Normal 13 3 4 3 2 4" xfId="16116" xr:uid="{A4E3E276-A66F-4B63-935D-54AC5D32C1CA}"/>
    <cellStyle name="Normal 13 3 4 3 2 4 2" xfId="16117" xr:uid="{C646041E-BA43-48DA-ADE0-4414401C547C}"/>
    <cellStyle name="Normal 13 3 4 3 2 5" xfId="16118" xr:uid="{A1739872-BAD8-478D-AA87-BB53299844FE}"/>
    <cellStyle name="Normal 13 3 4 3 3" xfId="16119" xr:uid="{D5D99442-5002-4982-97F8-EE8527856A9F}"/>
    <cellStyle name="Normal 13 3 4 3 3 2" xfId="16120" xr:uid="{A4CDF173-9E52-4016-AEE3-ED520A019011}"/>
    <cellStyle name="Normal 13 3 4 3 3 2 2" xfId="16121" xr:uid="{30E0F736-173D-4190-AF80-78F4C2D0B900}"/>
    <cellStyle name="Normal 13 3 4 3 3 3" xfId="16122" xr:uid="{7E95400C-984C-4D93-A4DD-3C8CC1F87CAA}"/>
    <cellStyle name="Normal 13 3 4 3 3 3 2" xfId="16123" xr:uid="{3EAA84BC-9DA1-476A-B98B-739A9FA8C80A}"/>
    <cellStyle name="Normal 13 3 4 3 3 4" xfId="16124" xr:uid="{357E3D05-7803-493C-8543-6BD218718E9D}"/>
    <cellStyle name="Normal 13 3 4 3 3 4 2" xfId="16125" xr:uid="{B40B6CA0-63EE-4E72-BBE4-A0DF360A56B3}"/>
    <cellStyle name="Normal 13 3 4 3 3 5" xfId="16126" xr:uid="{54AD6308-4948-491F-9451-D7F428F58A45}"/>
    <cellStyle name="Normal 13 3 4 3 4" xfId="16127" xr:uid="{7D7C98FF-E426-46E1-B317-49E906722EEF}"/>
    <cellStyle name="Normal 13 3 4 3 4 2" xfId="16128" xr:uid="{B5D5963F-4A26-49BB-A370-4AFD3253A5DE}"/>
    <cellStyle name="Normal 13 3 4 3 5" xfId="16129" xr:uid="{F888CEAE-BCDE-4C9D-B8F7-8BD0A00360E2}"/>
    <cellStyle name="Normal 13 3 4 3 5 2" xfId="16130" xr:uid="{80AE686B-EFEE-4AEA-B0D7-0D86E91182C4}"/>
    <cellStyle name="Normal 13 3 4 3 6" xfId="16131" xr:uid="{6A9A0C44-FD32-4598-B40A-1D157F3C3746}"/>
    <cellStyle name="Normal 13 3 4 3 6 2" xfId="16132" xr:uid="{4F0E9B97-542B-4CA6-83DC-EB92BDAED0FF}"/>
    <cellStyle name="Normal 13 3 4 3 7" xfId="16133" xr:uid="{A3F1216C-9564-4844-B9CF-FE7398C830F0}"/>
    <cellStyle name="Normal 13 3 4 3 7 2" xfId="16134" xr:uid="{7FCA96C2-394A-43E6-95AD-16AB6D5BFE33}"/>
    <cellStyle name="Normal 13 3 4 3 8" xfId="16135" xr:uid="{ABE44983-2DE3-485C-98E4-81933602049D}"/>
    <cellStyle name="Normal 13 3 4 3 8 2" xfId="16136" xr:uid="{4664EC98-8743-4EC4-993B-FADD99AC6D56}"/>
    <cellStyle name="Normal 13 3 4 3 9" xfId="16137" xr:uid="{B6FC05F1-D8E7-4FFD-A954-B08B80B4D1B1}"/>
    <cellStyle name="Normal 13 3 4 4" xfId="16138" xr:uid="{E3392031-B037-4E73-AA96-E19E59926671}"/>
    <cellStyle name="Normal 13 3 4 4 2" xfId="16139" xr:uid="{6CCC1221-6B17-4362-9A02-E4C1FA62C0EF}"/>
    <cellStyle name="Normal 13 3 4 4 2 2" xfId="16140" xr:uid="{01C57576-08C1-49BF-8CAD-97ACE001B944}"/>
    <cellStyle name="Normal 13 3 4 4 3" xfId="16141" xr:uid="{DF7AEBEB-4535-4AC3-88BA-583D0E9D3273}"/>
    <cellStyle name="Normal 13 3 4 4 3 2" xfId="16142" xr:uid="{1A8AFEE7-CCC7-4252-96AC-F01D98931DC6}"/>
    <cellStyle name="Normal 13 3 4 4 4" xfId="16143" xr:uid="{52797313-6E67-49A1-A725-00FE99D9BDC8}"/>
    <cellStyle name="Normal 13 3 4 4 4 2" xfId="16144" xr:uid="{F5FF732E-571E-420E-A798-709B6E0556B2}"/>
    <cellStyle name="Normal 13 3 4 4 5" xfId="16145" xr:uid="{FDA8AAF8-14C3-455E-AE55-78F2E5F049C6}"/>
    <cellStyle name="Normal 13 3 4 5" xfId="16146" xr:uid="{9F2C677F-C708-4350-BE53-EEF687020E76}"/>
    <cellStyle name="Normal 13 3 4 5 2" xfId="16147" xr:uid="{93A466E9-BC8B-4493-917F-D5982824247C}"/>
    <cellStyle name="Normal 13 3 4 5 2 2" xfId="16148" xr:uid="{C558F9D1-BD71-4B3B-96DC-8B51656209B5}"/>
    <cellStyle name="Normal 13 3 4 5 3" xfId="16149" xr:uid="{A2C32323-912E-42E7-8E20-E5C01F73D0FA}"/>
    <cellStyle name="Normal 13 3 4 5 3 2" xfId="16150" xr:uid="{09C6E7A4-0417-4304-9E80-7C1D1DD49E2B}"/>
    <cellStyle name="Normal 13 3 4 5 4" xfId="16151" xr:uid="{427B0B45-D9D6-4A7B-B7BD-D629F515E20B}"/>
    <cellStyle name="Normal 13 3 4 5 4 2" xfId="16152" xr:uid="{DAA9E1D8-C309-4648-87C6-DF4959DEC788}"/>
    <cellStyle name="Normal 13 3 4 5 5" xfId="16153" xr:uid="{083C6FB8-F06E-4D0C-9441-48B675E33991}"/>
    <cellStyle name="Normal 13 3 4 6" xfId="16154" xr:uid="{46437A34-64FC-4BF2-A6BE-5DBB9C4C16DF}"/>
    <cellStyle name="Normal 13 3 4 6 2" xfId="16155" xr:uid="{AF154643-81F8-47B1-B413-5237F664780E}"/>
    <cellStyle name="Normal 13 3 4 7" xfId="16156" xr:uid="{8B27E6CF-42A7-45D2-BE55-9B8367B0AF54}"/>
    <cellStyle name="Normal 13 3 4 7 2" xfId="16157" xr:uid="{22E79F1B-7CB9-4A2B-83D6-9FB486431C99}"/>
    <cellStyle name="Normal 13 3 4 8" xfId="16158" xr:uid="{F937D316-C47E-48BA-9423-4ED257F691D0}"/>
    <cellStyle name="Normal 13 3 4 8 2" xfId="16159" xr:uid="{C1525875-DD7F-4C33-8E62-5EE6B0A7AFA7}"/>
    <cellStyle name="Normal 13 3 4 9" xfId="16160" xr:uid="{688F4957-BC29-46C3-9F7D-B0E6878A7B26}"/>
    <cellStyle name="Normal 13 3 4 9 2" xfId="16161" xr:uid="{B5263DC9-E211-43A1-B5ED-78A05A915AE7}"/>
    <cellStyle name="Normal 13 3 5" xfId="16162" xr:uid="{F7E3E340-BB41-4AA6-B8C3-9F0A4F71F704}"/>
    <cellStyle name="Normal 13 3 5 10" xfId="16163" xr:uid="{489DE8A3-0AED-4723-9EDA-0739CCE12457}"/>
    <cellStyle name="Normal 13 3 5 10 2" xfId="16164" xr:uid="{5AE0D44F-56D0-486F-99F6-2918C9825071}"/>
    <cellStyle name="Normal 13 3 5 11" xfId="16165" xr:uid="{1761B480-B655-4C2B-85AF-4398E2D4AA6F}"/>
    <cellStyle name="Normal 13 3 5 2" xfId="16166" xr:uid="{507F144E-D606-453F-844C-1CE44F53AD82}"/>
    <cellStyle name="Normal 13 3 5 2 10" xfId="16167" xr:uid="{C0F1A2FF-8F4B-45C8-88CB-5CC5AE739E90}"/>
    <cellStyle name="Normal 13 3 5 2 2" xfId="16168" xr:uid="{B233251F-A45D-497A-B571-49C99F280A54}"/>
    <cellStyle name="Normal 13 3 5 2 2 2" xfId="16169" xr:uid="{F2122E93-D699-429B-8F27-E2BDA89C56CE}"/>
    <cellStyle name="Normal 13 3 5 2 2 2 2" xfId="16170" xr:uid="{80B73CAC-2048-441B-AFF0-B3860860EC78}"/>
    <cellStyle name="Normal 13 3 5 2 2 2 2 2" xfId="16171" xr:uid="{D2A0A2CD-F71E-4122-A801-14DE62288324}"/>
    <cellStyle name="Normal 13 3 5 2 2 2 3" xfId="16172" xr:uid="{A662032F-8652-4980-A02C-48D9AFCEBE5D}"/>
    <cellStyle name="Normal 13 3 5 2 2 2 3 2" xfId="16173" xr:uid="{222CA026-AABB-4B68-8D04-B7466D5ECBD1}"/>
    <cellStyle name="Normal 13 3 5 2 2 2 4" xfId="16174" xr:uid="{42302012-A6E7-40E8-9364-964B8EAD80D4}"/>
    <cellStyle name="Normal 13 3 5 2 2 2 4 2" xfId="16175" xr:uid="{5320CC3A-E28E-4228-87A6-7868047050D9}"/>
    <cellStyle name="Normal 13 3 5 2 2 2 5" xfId="16176" xr:uid="{C88C68C5-4FC4-493A-9A6A-ED98B11A3B1A}"/>
    <cellStyle name="Normal 13 3 5 2 2 3" xfId="16177" xr:uid="{EFDA3E27-8043-4358-A34A-F79D6A89EDC0}"/>
    <cellStyle name="Normal 13 3 5 2 2 3 2" xfId="16178" xr:uid="{597A05D0-8A4C-4C47-AF47-3159C5FE1808}"/>
    <cellStyle name="Normal 13 3 5 2 2 3 2 2" xfId="16179" xr:uid="{294BC705-8706-414A-9194-D5A87CFA6D4C}"/>
    <cellStyle name="Normal 13 3 5 2 2 3 3" xfId="16180" xr:uid="{B702B3E1-1B12-4F10-9E15-95B9CF215442}"/>
    <cellStyle name="Normal 13 3 5 2 2 3 3 2" xfId="16181" xr:uid="{16DF2FCF-9892-4523-838E-159494D49422}"/>
    <cellStyle name="Normal 13 3 5 2 2 3 4" xfId="16182" xr:uid="{BB80BD11-92E0-4298-A336-D8E45C334C62}"/>
    <cellStyle name="Normal 13 3 5 2 2 3 4 2" xfId="16183" xr:uid="{20CC797A-5146-4E96-AED0-BBD301EEB03A}"/>
    <cellStyle name="Normal 13 3 5 2 2 3 5" xfId="16184" xr:uid="{85829737-9F2C-4723-8FBF-607F777697E5}"/>
    <cellStyle name="Normal 13 3 5 2 2 4" xfId="16185" xr:uid="{F91880C0-4DA4-4277-AFEB-EE0BF6E17AC8}"/>
    <cellStyle name="Normal 13 3 5 2 2 4 2" xfId="16186" xr:uid="{993AD089-927D-47B4-903A-D063840935B5}"/>
    <cellStyle name="Normal 13 3 5 2 2 5" xfId="16187" xr:uid="{EFD13932-F8A0-4680-823C-147A5943D5FE}"/>
    <cellStyle name="Normal 13 3 5 2 2 5 2" xfId="16188" xr:uid="{C9F51764-DA6F-4340-BBED-AE0E3C926961}"/>
    <cellStyle name="Normal 13 3 5 2 2 6" xfId="16189" xr:uid="{9DAB9583-AABB-4ADE-AC1E-DA88DBB4491B}"/>
    <cellStyle name="Normal 13 3 5 2 2 6 2" xfId="16190" xr:uid="{F940840E-0C4B-4364-B23A-DACFB29318C2}"/>
    <cellStyle name="Normal 13 3 5 2 2 7" xfId="16191" xr:uid="{D54AF2BF-F653-4A60-B839-B587244DD7B0}"/>
    <cellStyle name="Normal 13 3 5 2 2 7 2" xfId="16192" xr:uid="{5CABA7BB-FE49-4BBD-B2E3-838919554310}"/>
    <cellStyle name="Normal 13 3 5 2 2 8" xfId="16193" xr:uid="{A85710A1-E858-4815-9164-22795A1B467E}"/>
    <cellStyle name="Normal 13 3 5 2 2 8 2" xfId="16194" xr:uid="{E35E13A3-03A8-49F2-8F34-B8EBB951458D}"/>
    <cellStyle name="Normal 13 3 5 2 2 9" xfId="16195" xr:uid="{93F8E61C-9C7A-43BA-824E-BE73E0E9552B}"/>
    <cellStyle name="Normal 13 3 5 2 3" xfId="16196" xr:uid="{D743DEBC-D0E2-490D-AC79-C75D0EF92330}"/>
    <cellStyle name="Normal 13 3 5 2 3 2" xfId="16197" xr:uid="{66DCB750-7162-4798-B122-21395D3067CA}"/>
    <cellStyle name="Normal 13 3 5 2 3 2 2" xfId="16198" xr:uid="{AF48AADB-49B2-4882-973A-0599F9C6153C}"/>
    <cellStyle name="Normal 13 3 5 2 3 3" xfId="16199" xr:uid="{365F0055-A8F0-49D2-8C70-B6B27370DB29}"/>
    <cellStyle name="Normal 13 3 5 2 3 3 2" xfId="16200" xr:uid="{11169CD9-D420-4DC6-90EF-075A4E1B7A9E}"/>
    <cellStyle name="Normal 13 3 5 2 3 4" xfId="16201" xr:uid="{0D0804B4-A526-4107-BD25-524DE52E2C83}"/>
    <cellStyle name="Normal 13 3 5 2 3 4 2" xfId="16202" xr:uid="{67649FDF-D304-442A-A213-16BC9FE21C2A}"/>
    <cellStyle name="Normal 13 3 5 2 3 5" xfId="16203" xr:uid="{D7A23151-60C3-479E-8C15-07BC71543FD0}"/>
    <cellStyle name="Normal 13 3 5 2 4" xfId="16204" xr:uid="{5565B48C-8297-41AE-9C91-488100629503}"/>
    <cellStyle name="Normal 13 3 5 2 4 2" xfId="16205" xr:uid="{7A337F5A-DAF7-47C2-841F-74F735EADE46}"/>
    <cellStyle name="Normal 13 3 5 2 4 2 2" xfId="16206" xr:uid="{4D7BBA09-C440-4C2A-A28A-7911A189C651}"/>
    <cellStyle name="Normal 13 3 5 2 4 3" xfId="16207" xr:uid="{7315E370-003B-4A51-9EFC-8D0A7DC16203}"/>
    <cellStyle name="Normal 13 3 5 2 4 3 2" xfId="16208" xr:uid="{1685616F-A673-4C6E-BCF0-532933398041}"/>
    <cellStyle name="Normal 13 3 5 2 4 4" xfId="16209" xr:uid="{9DCC187C-66BD-4D63-9AA5-CEA0F29E1F78}"/>
    <cellStyle name="Normal 13 3 5 2 4 4 2" xfId="16210" xr:uid="{29618AC7-E6E2-4092-AD54-5AF62D6F4E2E}"/>
    <cellStyle name="Normal 13 3 5 2 4 5" xfId="16211" xr:uid="{7742AB6B-046A-4083-AD73-279C7758BE5A}"/>
    <cellStyle name="Normal 13 3 5 2 5" xfId="16212" xr:uid="{8ADDA138-0FBB-41D4-B435-DEE04EDF3903}"/>
    <cellStyle name="Normal 13 3 5 2 5 2" xfId="16213" xr:uid="{A61CABA9-62B8-4920-B176-448A91D32EFD}"/>
    <cellStyle name="Normal 13 3 5 2 6" xfId="16214" xr:uid="{134D8992-12BF-472E-A3F4-E379CCCFE91B}"/>
    <cellStyle name="Normal 13 3 5 2 6 2" xfId="16215" xr:uid="{87E53717-C20D-4782-ACD3-4BA45A0DA299}"/>
    <cellStyle name="Normal 13 3 5 2 7" xfId="16216" xr:uid="{BEE7C199-BDDE-48EB-92B5-E662791CBAF8}"/>
    <cellStyle name="Normal 13 3 5 2 7 2" xfId="16217" xr:uid="{B329069F-113C-410F-A78D-4124D1133075}"/>
    <cellStyle name="Normal 13 3 5 2 8" xfId="16218" xr:uid="{A5B4E63C-0DA6-44D3-B8B9-BE1C3C11950B}"/>
    <cellStyle name="Normal 13 3 5 2 8 2" xfId="16219" xr:uid="{D60FAEE6-8DB7-42EB-8346-13D9AE684992}"/>
    <cellStyle name="Normal 13 3 5 2 9" xfId="16220" xr:uid="{87D6B979-457A-4513-9EB7-7E44AD479D7D}"/>
    <cellStyle name="Normal 13 3 5 2 9 2" xfId="16221" xr:uid="{1AD8020F-D228-4966-B911-CC1244D6D969}"/>
    <cellStyle name="Normal 13 3 5 3" xfId="16222" xr:uid="{33BB1016-549D-448B-B160-39BFB5304327}"/>
    <cellStyle name="Normal 13 3 5 3 2" xfId="16223" xr:uid="{6EFEC7D2-7EA7-4BFE-8511-EBB8A67D654A}"/>
    <cellStyle name="Normal 13 3 5 3 2 2" xfId="16224" xr:uid="{E972E6AC-F4AF-4A4E-95B1-D5D706A03FFC}"/>
    <cellStyle name="Normal 13 3 5 3 2 2 2" xfId="16225" xr:uid="{DD3CDA4B-004B-404D-B3BD-11E059F66423}"/>
    <cellStyle name="Normal 13 3 5 3 2 3" xfId="16226" xr:uid="{0840D4C2-BAD6-41D3-B3EF-E91C49952914}"/>
    <cellStyle name="Normal 13 3 5 3 2 3 2" xfId="16227" xr:uid="{973F7E7B-9B28-4800-9AB3-2D3CC0784C39}"/>
    <cellStyle name="Normal 13 3 5 3 2 4" xfId="16228" xr:uid="{A24B5CFC-1A7B-4093-AA96-5E998D3759FD}"/>
    <cellStyle name="Normal 13 3 5 3 2 4 2" xfId="16229" xr:uid="{E8602672-5FE6-4642-8247-666E57062D38}"/>
    <cellStyle name="Normal 13 3 5 3 2 5" xfId="16230" xr:uid="{F77B527D-866B-41F5-A1C6-416A9A518F63}"/>
    <cellStyle name="Normal 13 3 5 3 3" xfId="16231" xr:uid="{858518C1-6383-4E96-98A1-0F7D0610C0E6}"/>
    <cellStyle name="Normal 13 3 5 3 3 2" xfId="16232" xr:uid="{406C8C72-2EB9-484E-B0BF-C519D216E9C4}"/>
    <cellStyle name="Normal 13 3 5 3 3 2 2" xfId="16233" xr:uid="{10592159-D197-4184-BBA3-33170ED1CC01}"/>
    <cellStyle name="Normal 13 3 5 3 3 3" xfId="16234" xr:uid="{F13DC040-6007-4467-A329-4CAD0158E55C}"/>
    <cellStyle name="Normal 13 3 5 3 3 3 2" xfId="16235" xr:uid="{91FEF4BF-EA19-4C08-99B7-240EAAA55A47}"/>
    <cellStyle name="Normal 13 3 5 3 3 4" xfId="16236" xr:uid="{ADBFC93B-86DD-476D-86E6-A751D752DB6E}"/>
    <cellStyle name="Normal 13 3 5 3 3 4 2" xfId="16237" xr:uid="{4C193BEE-77CA-4969-96BC-D20955603B73}"/>
    <cellStyle name="Normal 13 3 5 3 3 5" xfId="16238" xr:uid="{740F1D99-A3A7-4ED4-85D3-BD6F2517456C}"/>
    <cellStyle name="Normal 13 3 5 3 4" xfId="16239" xr:uid="{3346B173-E036-4A99-8680-D4771D0FD711}"/>
    <cellStyle name="Normal 13 3 5 3 4 2" xfId="16240" xr:uid="{3329DE76-9813-4FB0-BC72-4BEFCD3D443C}"/>
    <cellStyle name="Normal 13 3 5 3 5" xfId="16241" xr:uid="{501BCBC0-BC44-4255-9C9F-4F9A3505194B}"/>
    <cellStyle name="Normal 13 3 5 3 5 2" xfId="16242" xr:uid="{E06A8AE2-A269-47D9-85E6-D3159C780EE7}"/>
    <cellStyle name="Normal 13 3 5 3 6" xfId="16243" xr:uid="{6D9D4355-2016-43AE-8E3A-095144EE1CA0}"/>
    <cellStyle name="Normal 13 3 5 3 6 2" xfId="16244" xr:uid="{59F88DF9-70A9-4379-9D61-363F1C4BDA2D}"/>
    <cellStyle name="Normal 13 3 5 3 7" xfId="16245" xr:uid="{51D4CA5C-A57E-4F48-B6BA-FAE3C6859C52}"/>
    <cellStyle name="Normal 13 3 5 3 7 2" xfId="16246" xr:uid="{E96F41DB-95A2-48A8-BF8C-409ABABAFAA9}"/>
    <cellStyle name="Normal 13 3 5 3 8" xfId="16247" xr:uid="{9EFF6E17-6D72-4000-8D6C-B29B9093ECF6}"/>
    <cellStyle name="Normal 13 3 5 3 8 2" xfId="16248" xr:uid="{5330FE17-7AAA-4DC5-889F-5F45691AC801}"/>
    <cellStyle name="Normal 13 3 5 3 9" xfId="16249" xr:uid="{72AE9208-6EC8-47A2-9AF8-0C1E0EC7D286}"/>
    <cellStyle name="Normal 13 3 5 4" xfId="16250" xr:uid="{8DCAA4D8-ACB5-4CD6-A5C7-1F20617BE7C5}"/>
    <cellStyle name="Normal 13 3 5 4 2" xfId="16251" xr:uid="{0AAB7055-E6DE-48D0-AD4F-00139CAC5C29}"/>
    <cellStyle name="Normal 13 3 5 4 2 2" xfId="16252" xr:uid="{C07453F5-B90A-4F24-B3C3-6115EEB8CAFB}"/>
    <cellStyle name="Normal 13 3 5 4 3" xfId="16253" xr:uid="{8437E060-0658-4E1B-BE04-EBA2D808633E}"/>
    <cellStyle name="Normal 13 3 5 4 3 2" xfId="16254" xr:uid="{315F14DA-2E85-4780-9950-F105BBA1706C}"/>
    <cellStyle name="Normal 13 3 5 4 4" xfId="16255" xr:uid="{DB3C4F15-93A9-4B62-8F5E-264FE2F5EAE3}"/>
    <cellStyle name="Normal 13 3 5 4 4 2" xfId="16256" xr:uid="{F1B0ED81-909B-4DC9-BD05-2012CC4D0321}"/>
    <cellStyle name="Normal 13 3 5 4 5" xfId="16257" xr:uid="{14D6A987-92B2-49D1-94AD-28DB307D9F9F}"/>
    <cellStyle name="Normal 13 3 5 5" xfId="16258" xr:uid="{162E03F2-CFB6-41DA-A157-0367001BC24B}"/>
    <cellStyle name="Normal 13 3 5 5 2" xfId="16259" xr:uid="{0F56DDC3-3500-4760-A240-9849272A4B37}"/>
    <cellStyle name="Normal 13 3 5 5 2 2" xfId="16260" xr:uid="{E4010E2E-6139-46CE-BCCA-57DF7C3CE28E}"/>
    <cellStyle name="Normal 13 3 5 5 3" xfId="16261" xr:uid="{36887D68-05D6-41BC-9FA2-2C73EAAD9C62}"/>
    <cellStyle name="Normal 13 3 5 5 3 2" xfId="16262" xr:uid="{56EB4C1D-E3A4-481E-9396-3F8B6B600744}"/>
    <cellStyle name="Normal 13 3 5 5 4" xfId="16263" xr:uid="{74B01346-2AD8-4EF0-93B4-6D22712C31D6}"/>
    <cellStyle name="Normal 13 3 5 5 4 2" xfId="16264" xr:uid="{3B6FD754-25C2-4B89-AFE4-BC327B9378D5}"/>
    <cellStyle name="Normal 13 3 5 5 5" xfId="16265" xr:uid="{92737ABE-C283-404B-9EAF-1540EDFFF31E}"/>
    <cellStyle name="Normal 13 3 5 6" xfId="16266" xr:uid="{9DE8B884-66E2-4AA7-BAE2-C59A44624698}"/>
    <cellStyle name="Normal 13 3 5 6 2" xfId="16267" xr:uid="{D0DB2B6D-34E5-4010-B865-2D68FCF5965C}"/>
    <cellStyle name="Normal 13 3 5 7" xfId="16268" xr:uid="{8EBF7F58-C828-4BAB-B127-D35DE25858F9}"/>
    <cellStyle name="Normal 13 3 5 7 2" xfId="16269" xr:uid="{B7D2841D-B707-444B-AF2F-B10A35B32F97}"/>
    <cellStyle name="Normal 13 3 5 8" xfId="16270" xr:uid="{2116B883-8E8A-4FD6-A72A-326BC0055886}"/>
    <cellStyle name="Normal 13 3 5 8 2" xfId="16271" xr:uid="{DDFB9433-5EE1-4310-B960-F9738C765063}"/>
    <cellStyle name="Normal 13 3 5 9" xfId="16272" xr:uid="{A995493D-E07D-4AAB-B1B0-B5BB2DFE0F1F}"/>
    <cellStyle name="Normal 13 3 5 9 2" xfId="16273" xr:uid="{9836BDD1-200B-4AF7-9D73-B3ABE7E53DE7}"/>
    <cellStyle name="Normal 13 3 6" xfId="16274" xr:uid="{8D4CF9BD-08AB-41F2-ABA4-5F34AA7A5506}"/>
    <cellStyle name="Normal 13 3 6 10" xfId="16275" xr:uid="{23BBB8FB-ACFF-40CD-8A18-3659C44E3370}"/>
    <cellStyle name="Normal 13 3 6 2" xfId="16276" xr:uid="{5525F5D2-1CBC-4B8F-919F-1197957DF852}"/>
    <cellStyle name="Normal 13 3 6 2 2" xfId="16277" xr:uid="{6346DF97-1840-4613-AF2E-6F841ACB86BB}"/>
    <cellStyle name="Normal 13 3 6 2 2 2" xfId="16278" xr:uid="{8381A4F8-D003-4D6C-A578-9E843D9A6CBA}"/>
    <cellStyle name="Normal 13 3 6 2 2 2 2" xfId="16279" xr:uid="{C55ECD8A-D109-48D4-9841-B4D03752F44F}"/>
    <cellStyle name="Normal 13 3 6 2 2 3" xfId="16280" xr:uid="{1157173E-C83B-48D4-9162-17AA3548BB84}"/>
    <cellStyle name="Normal 13 3 6 2 2 3 2" xfId="16281" xr:uid="{819F084C-1B3C-4899-86E5-223BAEAD7BDB}"/>
    <cellStyle name="Normal 13 3 6 2 2 4" xfId="16282" xr:uid="{37713D81-FE82-4D4B-880E-9B4EA1B53E9A}"/>
    <cellStyle name="Normal 13 3 6 2 2 4 2" xfId="16283" xr:uid="{7CD416A6-AFB8-4DFE-B793-20330C99DC49}"/>
    <cellStyle name="Normal 13 3 6 2 2 5" xfId="16284" xr:uid="{9FB81044-8A4F-4737-BBC2-E6702988BB55}"/>
    <cellStyle name="Normal 13 3 6 2 3" xfId="16285" xr:uid="{7D6C0D3F-4215-4FA4-9D58-2D5EDC1B8D22}"/>
    <cellStyle name="Normal 13 3 6 2 3 2" xfId="16286" xr:uid="{53207AAD-AC8E-4D43-8412-3C56A4352D3B}"/>
    <cellStyle name="Normal 13 3 6 2 3 2 2" xfId="16287" xr:uid="{FED64648-20AC-4ADE-9483-50587832240D}"/>
    <cellStyle name="Normal 13 3 6 2 3 3" xfId="16288" xr:uid="{0F36C9D1-3875-4D47-A863-D7C8BA9BD9F4}"/>
    <cellStyle name="Normal 13 3 6 2 3 3 2" xfId="16289" xr:uid="{0E3DD9D5-444F-4DBC-A868-EDA6F77B7A1D}"/>
    <cellStyle name="Normal 13 3 6 2 3 4" xfId="16290" xr:uid="{23815473-BFB3-498D-9493-E98939FC20C0}"/>
    <cellStyle name="Normal 13 3 6 2 3 4 2" xfId="16291" xr:uid="{C126C6AE-7E3E-44F0-9767-87332AE0A9D3}"/>
    <cellStyle name="Normal 13 3 6 2 3 5" xfId="16292" xr:uid="{A4DD03D5-B446-415C-A925-17ACBC4FDABD}"/>
    <cellStyle name="Normal 13 3 6 2 4" xfId="16293" xr:uid="{B3C22BD3-E11D-42AD-9063-1BC0003EE82F}"/>
    <cellStyle name="Normal 13 3 6 2 4 2" xfId="16294" xr:uid="{F80B8EEC-4EFA-49D8-9EE1-0851FD035C78}"/>
    <cellStyle name="Normal 13 3 6 2 5" xfId="16295" xr:uid="{FCAB277E-01C4-4BFD-A425-80E247828676}"/>
    <cellStyle name="Normal 13 3 6 2 5 2" xfId="16296" xr:uid="{3B09D05C-69C7-4A4F-B1FD-169D2C3CC160}"/>
    <cellStyle name="Normal 13 3 6 2 6" xfId="16297" xr:uid="{7E3DA4EB-E120-4737-BF42-8AA7A55070C5}"/>
    <cellStyle name="Normal 13 3 6 2 6 2" xfId="16298" xr:uid="{4D779117-DF08-4BB1-9A83-4A1E0763E4AD}"/>
    <cellStyle name="Normal 13 3 6 2 7" xfId="16299" xr:uid="{29BA41D1-89A8-4874-AA89-83E0D1D4FBE9}"/>
    <cellStyle name="Normal 13 3 6 2 7 2" xfId="16300" xr:uid="{78A07BE0-D9CA-4038-9F45-7775A40FCDF7}"/>
    <cellStyle name="Normal 13 3 6 2 8" xfId="16301" xr:uid="{FDE34BA3-03C4-45E8-B7B3-473A93FF37D4}"/>
    <cellStyle name="Normal 13 3 6 2 8 2" xfId="16302" xr:uid="{F8BC987E-6240-4882-BB6B-D9619BECEE56}"/>
    <cellStyle name="Normal 13 3 6 2 9" xfId="16303" xr:uid="{BB0BFFD5-7619-4509-99A0-7E729B666212}"/>
    <cellStyle name="Normal 13 3 6 3" xfId="16304" xr:uid="{CAA52130-5637-4D56-9699-85896E86C86E}"/>
    <cellStyle name="Normal 13 3 6 3 2" xfId="16305" xr:uid="{F3CB2E53-EB81-4B65-BEE1-F2242DC457AB}"/>
    <cellStyle name="Normal 13 3 6 3 2 2" xfId="16306" xr:uid="{DFD3D79F-38B7-4AFB-ADBA-2F665048E904}"/>
    <cellStyle name="Normal 13 3 6 3 3" xfId="16307" xr:uid="{F69E03A6-B898-4796-8687-9E296F32DEC3}"/>
    <cellStyle name="Normal 13 3 6 3 3 2" xfId="16308" xr:uid="{43B27521-9338-4962-B54B-E5F748D2EBAA}"/>
    <cellStyle name="Normal 13 3 6 3 4" xfId="16309" xr:uid="{BAE83211-EDE4-46E2-924E-9F2699B3E6F2}"/>
    <cellStyle name="Normal 13 3 6 3 4 2" xfId="16310" xr:uid="{235793DC-42EE-4030-AB55-9A0028FBCF9F}"/>
    <cellStyle name="Normal 13 3 6 3 5" xfId="16311" xr:uid="{023D2D44-6EA9-417C-9266-99FF87D11647}"/>
    <cellStyle name="Normal 13 3 6 4" xfId="16312" xr:uid="{D695AE26-F1AD-4148-B9BC-9C336683D02E}"/>
    <cellStyle name="Normal 13 3 6 4 2" xfId="16313" xr:uid="{85CF6842-044E-4793-AF18-4A3554BC1FD0}"/>
    <cellStyle name="Normal 13 3 6 4 2 2" xfId="16314" xr:uid="{D54E84AC-F586-4B6A-B1E5-4908BAE29F94}"/>
    <cellStyle name="Normal 13 3 6 4 3" xfId="16315" xr:uid="{8C2C495C-B4D6-43C0-B07D-2E2C28743122}"/>
    <cellStyle name="Normal 13 3 6 4 3 2" xfId="16316" xr:uid="{0B87002F-AAD0-4D3A-9CDF-D65FA0BFE62C}"/>
    <cellStyle name="Normal 13 3 6 4 4" xfId="16317" xr:uid="{6E8644AB-0B64-42E5-B473-15BD3B7F6433}"/>
    <cellStyle name="Normal 13 3 6 4 4 2" xfId="16318" xr:uid="{4B12388F-9C34-452A-A5BF-DE9FF1C2F11B}"/>
    <cellStyle name="Normal 13 3 6 4 5" xfId="16319" xr:uid="{E443BD1D-65BA-4E1C-B21C-E01C7C8E53F6}"/>
    <cellStyle name="Normal 13 3 6 5" xfId="16320" xr:uid="{111C7A67-12B3-4BA0-879F-B01CFE9C1C88}"/>
    <cellStyle name="Normal 13 3 6 5 2" xfId="16321" xr:uid="{E751D782-5E12-4E41-910D-7E4BDAEFAB9A}"/>
    <cellStyle name="Normal 13 3 6 6" xfId="16322" xr:uid="{DC90E1D9-8775-4B97-893B-F4BCA148DC72}"/>
    <cellStyle name="Normal 13 3 6 6 2" xfId="16323" xr:uid="{C0EF56A2-F42F-45C3-B3C7-F12BB958FBED}"/>
    <cellStyle name="Normal 13 3 6 7" xfId="16324" xr:uid="{DDE5271D-E601-4B14-A8C9-182DE0770AB5}"/>
    <cellStyle name="Normal 13 3 6 7 2" xfId="16325" xr:uid="{D9822E20-9721-4F3A-BDE1-B5FA0950D51C}"/>
    <cellStyle name="Normal 13 3 6 8" xfId="16326" xr:uid="{B4331B71-7613-4209-A81D-F875800E58D4}"/>
    <cellStyle name="Normal 13 3 6 8 2" xfId="16327" xr:uid="{8137B452-676C-4481-BD7D-472874CCDFC9}"/>
    <cellStyle name="Normal 13 3 6 9" xfId="16328" xr:uid="{EC85E8C3-1FD1-4724-B695-EE2D4DD7A55F}"/>
    <cellStyle name="Normal 13 3 6 9 2" xfId="16329" xr:uid="{AC97973F-5E68-4B2B-B051-968B67CC9630}"/>
    <cellStyle name="Normal 13 3 7" xfId="16330" xr:uid="{22E153A6-C49B-44DA-9692-1C3137D8E614}"/>
    <cellStyle name="Normal 13 3 7 2" xfId="16331" xr:uid="{56EC3377-C853-41A2-A887-BEE2E6EE2D73}"/>
    <cellStyle name="Normal 13 3 7 2 2" xfId="16332" xr:uid="{BA3E95C6-490C-40D0-BAEA-14BAE6580C95}"/>
    <cellStyle name="Normal 13 3 7 2 2 2" xfId="16333" xr:uid="{BCE014FE-64A9-42F9-B593-07454D63846A}"/>
    <cellStyle name="Normal 13 3 7 2 3" xfId="16334" xr:uid="{DBF77C83-5AC5-4E49-AAEB-A4D631B4D574}"/>
    <cellStyle name="Normal 13 3 7 2 3 2" xfId="16335" xr:uid="{5AF37578-D9FA-498B-8997-B05278F810DA}"/>
    <cellStyle name="Normal 13 3 7 2 4" xfId="16336" xr:uid="{85DD0086-E36E-400C-9AE2-22BBB3191331}"/>
    <cellStyle name="Normal 13 3 7 2 4 2" xfId="16337" xr:uid="{45F8C435-7E88-4D45-876A-B119E770D0ED}"/>
    <cellStyle name="Normal 13 3 7 2 5" xfId="16338" xr:uid="{7E49CE81-71CC-45CD-B65E-50FEF63A3AE1}"/>
    <cellStyle name="Normal 13 3 7 3" xfId="16339" xr:uid="{64A12301-A677-4AD4-864E-C8C0B009CCDF}"/>
    <cellStyle name="Normal 13 3 7 3 2" xfId="16340" xr:uid="{9B67ED13-8070-4FCF-AF51-212A40526D09}"/>
    <cellStyle name="Normal 13 3 7 3 2 2" xfId="16341" xr:uid="{61E4CFF2-A913-4E2C-B53A-027C1A4361D0}"/>
    <cellStyle name="Normal 13 3 7 3 3" xfId="16342" xr:uid="{EF1C907D-E112-41E8-B41E-0954FBA6218D}"/>
    <cellStyle name="Normal 13 3 7 3 3 2" xfId="16343" xr:uid="{BDF321E5-72FD-42EB-89A9-A24FB2F9D5C6}"/>
    <cellStyle name="Normal 13 3 7 3 4" xfId="16344" xr:uid="{0EF1CCDB-7FC6-45D7-BE8A-0328135E239B}"/>
    <cellStyle name="Normal 13 3 7 3 4 2" xfId="16345" xr:uid="{E25F8DCA-988C-46C7-BAD9-4732FC3D0E12}"/>
    <cellStyle name="Normal 13 3 7 3 5" xfId="16346" xr:uid="{2CEE4618-FF95-447A-A532-6DCB3A72E860}"/>
    <cellStyle name="Normal 13 3 7 4" xfId="16347" xr:uid="{25AA995D-E1C0-4CC8-A2E3-FFEC7571F89E}"/>
    <cellStyle name="Normal 13 3 7 4 2" xfId="16348" xr:uid="{A625941F-8505-4ADA-8101-AC27C8F4150A}"/>
    <cellStyle name="Normal 13 3 7 5" xfId="16349" xr:uid="{3D9FF1FB-3CD9-4806-B2AD-6A6891A241CD}"/>
    <cellStyle name="Normal 13 3 7 5 2" xfId="16350" xr:uid="{15620AB2-D3AD-4E44-8EFC-AB2135635972}"/>
    <cellStyle name="Normal 13 3 7 6" xfId="16351" xr:uid="{8285A5D0-EE5B-4F49-B062-49B9DEE66D21}"/>
    <cellStyle name="Normal 13 3 7 6 2" xfId="16352" xr:uid="{292CE9BA-FFF9-4089-95C0-D3672A9CC876}"/>
    <cellStyle name="Normal 13 3 7 7" xfId="16353" xr:uid="{D34F8DFA-D68B-46F5-BCF2-F5B523A77859}"/>
    <cellStyle name="Normal 13 3 7 7 2" xfId="16354" xr:uid="{4165FAAB-950D-48BC-96CB-78959161BFD6}"/>
    <cellStyle name="Normal 13 3 7 8" xfId="16355" xr:uid="{600FE8B3-698E-4B7D-8504-D3B308017A5C}"/>
    <cellStyle name="Normal 13 3 7 8 2" xfId="16356" xr:uid="{2C4E2BE8-1AE8-4355-AFAB-C11196C67972}"/>
    <cellStyle name="Normal 13 3 7 9" xfId="16357" xr:uid="{779940B7-2C2E-423F-B9C4-AED4C7576328}"/>
    <cellStyle name="Normal 13 3 8" xfId="16358" xr:uid="{FB43E63B-87B6-4007-B479-632BD2CDD3B4}"/>
    <cellStyle name="Normal 13 3 8 2" xfId="16359" xr:uid="{664C61C5-9567-49B0-AB74-FFAEFD35EDBE}"/>
    <cellStyle name="Normal 13 3 8 2 2" xfId="16360" xr:uid="{702FA449-3E68-412B-9A72-19433A97DA01}"/>
    <cellStyle name="Normal 13 3 8 3" xfId="16361" xr:uid="{BE0CBDA9-D098-4423-9535-6305290A2775}"/>
    <cellStyle name="Normal 13 3 8 3 2" xfId="16362" xr:uid="{3FCE606B-B2FF-4A3C-AAA6-1E220018AF4F}"/>
    <cellStyle name="Normal 13 3 8 4" xfId="16363" xr:uid="{F714B31E-63DC-4AEE-8700-B4397DEA187A}"/>
    <cellStyle name="Normal 13 3 8 4 2" xfId="16364" xr:uid="{60BAD66E-6E42-4EE7-92DC-C61D0A8625CC}"/>
    <cellStyle name="Normal 13 3 8 5" xfId="16365" xr:uid="{37C6018F-01E1-4A07-A424-AE25A8AFA206}"/>
    <cellStyle name="Normal 13 3 9" xfId="16366" xr:uid="{97992648-61E4-469D-94F3-767540806657}"/>
    <cellStyle name="Normal 13 3 9 2" xfId="16367" xr:uid="{7EC1F1EC-355B-4CB1-ACEB-C82450E0B5E4}"/>
    <cellStyle name="Normal 13 3 9 2 2" xfId="16368" xr:uid="{968FEE32-84D7-4557-A70B-68AA9394D52A}"/>
    <cellStyle name="Normal 13 3 9 3" xfId="16369" xr:uid="{315DC90A-EAF0-48C0-86A4-F82DD214B224}"/>
    <cellStyle name="Normal 13 3 9 3 2" xfId="16370" xr:uid="{EF1965FA-31E1-4298-BD79-6F5200BF4A78}"/>
    <cellStyle name="Normal 13 3 9 4" xfId="16371" xr:uid="{140F5708-B3E7-4958-8F30-36CF064128D8}"/>
    <cellStyle name="Normal 13 3 9 4 2" xfId="16372" xr:uid="{030F6147-16BD-4028-86A8-91461DC20C05}"/>
    <cellStyle name="Normal 13 3 9 5" xfId="16373" xr:uid="{259C20B7-C274-4190-A568-D1D437A5AE59}"/>
    <cellStyle name="Normal 13 4" xfId="16374" xr:uid="{CC917F6E-4FAD-4B54-8E48-698FDB001AF1}"/>
    <cellStyle name="Normal 13 4 10" xfId="16375" xr:uid="{DE747C34-BAC1-4734-A70C-88FEBE3408F8}"/>
    <cellStyle name="Normal 13 4 10 2" xfId="16376" xr:uid="{276328D6-9B7F-440C-BDBD-2EECB1CC8BC7}"/>
    <cellStyle name="Normal 13 4 11" xfId="16377" xr:uid="{54DC0032-58FD-449F-850F-9CDB76A9F6E1}"/>
    <cellStyle name="Normal 13 4 12" xfId="16378" xr:uid="{45B01351-4205-4207-A6B6-7851F9BE7F0F}"/>
    <cellStyle name="Normal 13 4 13" xfId="41488" xr:uid="{DD8983AE-6CC7-4911-BEF1-3FED3B095393}"/>
    <cellStyle name="Normal 13 4 2" xfId="16379" xr:uid="{0ACF584D-267A-4C84-B097-0BC7584F0283}"/>
    <cellStyle name="Normal 13 4 2 10" xfId="16380" xr:uid="{5B34FE5C-E47B-4039-B2B6-05BD792C4A45}"/>
    <cellStyle name="Normal 13 4 2 2" xfId="16381" xr:uid="{8F055351-66FA-49F2-8897-7D835ECB80A7}"/>
    <cellStyle name="Normal 13 4 2 2 2" xfId="16382" xr:uid="{8B9D30D9-8E36-4C4F-9C24-014FE0C9BD87}"/>
    <cellStyle name="Normal 13 4 2 2 2 2" xfId="16383" xr:uid="{0A9F3908-D959-4C1C-BE77-B76576484F46}"/>
    <cellStyle name="Normal 13 4 2 2 2 2 2" xfId="16384" xr:uid="{753C6D9A-0A52-43D0-8D73-5D93B2FB74C1}"/>
    <cellStyle name="Normal 13 4 2 2 2 3" xfId="16385" xr:uid="{2F6D1007-240D-492F-8657-3D8A7304B1ED}"/>
    <cellStyle name="Normal 13 4 2 2 2 3 2" xfId="16386" xr:uid="{24CD5466-7A85-472B-B412-1D4263D60856}"/>
    <cellStyle name="Normal 13 4 2 2 2 4" xfId="16387" xr:uid="{1DF32619-BA0F-4CFD-9DCF-F874A8CA7ABD}"/>
    <cellStyle name="Normal 13 4 2 2 2 4 2" xfId="16388" xr:uid="{23E27967-E5BE-42E1-B9DA-0F0B2ED484F0}"/>
    <cellStyle name="Normal 13 4 2 2 2 5" xfId="16389" xr:uid="{EA6226BE-2B25-4471-BCD1-99A23199D742}"/>
    <cellStyle name="Normal 13 4 2 2 3" xfId="16390" xr:uid="{124046AF-BB88-4F02-BDE1-6CBA68C14E04}"/>
    <cellStyle name="Normal 13 4 2 2 3 2" xfId="16391" xr:uid="{D70A7F03-FAEF-4873-AF18-6119154BCE5D}"/>
    <cellStyle name="Normal 13 4 2 2 3 2 2" xfId="16392" xr:uid="{DE24A74F-88D3-4512-818A-A9ED25536FD1}"/>
    <cellStyle name="Normal 13 4 2 2 3 3" xfId="16393" xr:uid="{B18E03E0-0DCC-4B3D-8675-C5F6FB5D51FC}"/>
    <cellStyle name="Normal 13 4 2 2 3 3 2" xfId="16394" xr:uid="{985D566E-9EE8-4702-A65F-E4B636C77402}"/>
    <cellStyle name="Normal 13 4 2 2 3 4" xfId="16395" xr:uid="{0728AABA-EC79-436F-9697-1B8AAE012B03}"/>
    <cellStyle name="Normal 13 4 2 2 3 4 2" xfId="16396" xr:uid="{610E6D13-910C-4E50-BF70-3236A36B95AD}"/>
    <cellStyle name="Normal 13 4 2 2 3 5" xfId="16397" xr:uid="{24BAB9AC-0E4A-42EE-8276-695D5E6B8DD1}"/>
    <cellStyle name="Normal 13 4 2 2 4" xfId="16398" xr:uid="{4286BFD5-DAB5-4EED-A01F-E699D62F5150}"/>
    <cellStyle name="Normal 13 4 2 2 4 2" xfId="16399" xr:uid="{9775B7B3-6A40-4748-B019-C8C403B94165}"/>
    <cellStyle name="Normal 13 4 2 2 5" xfId="16400" xr:uid="{22412DE6-BD7A-45BA-A673-9A6BF3975DD8}"/>
    <cellStyle name="Normal 13 4 2 2 5 2" xfId="16401" xr:uid="{29B1D0EF-5EE9-4E11-8F67-CBD767ED861B}"/>
    <cellStyle name="Normal 13 4 2 2 6" xfId="16402" xr:uid="{618FA32F-714D-4BFE-B974-8F415639A80B}"/>
    <cellStyle name="Normal 13 4 2 2 6 2" xfId="16403" xr:uid="{7B2BB9F0-54D0-4667-A8BE-97E7404394A1}"/>
    <cellStyle name="Normal 13 4 2 2 7" xfId="16404" xr:uid="{E70CE491-16D2-44E7-94D5-0427C1A10C86}"/>
    <cellStyle name="Normal 13 4 2 2 7 2" xfId="16405" xr:uid="{DA131C3A-DD8E-4303-B6C9-980BCA83A501}"/>
    <cellStyle name="Normal 13 4 2 2 8" xfId="16406" xr:uid="{9337789F-767A-43E9-8A02-A4A4D82299A2}"/>
    <cellStyle name="Normal 13 4 2 2 8 2" xfId="16407" xr:uid="{B722EF6C-9AD5-4EEC-98A5-54F23FEB6773}"/>
    <cellStyle name="Normal 13 4 2 2 9" xfId="16408" xr:uid="{596FD958-4303-4472-9E34-EA6EA2CE6ECA}"/>
    <cellStyle name="Normal 13 4 2 3" xfId="16409" xr:uid="{179F0047-34EB-481B-86A2-2E5A4DD4243E}"/>
    <cellStyle name="Normal 13 4 2 3 2" xfId="16410" xr:uid="{8B577A62-3E1E-42E3-A25B-4C6928FC58BC}"/>
    <cellStyle name="Normal 13 4 2 3 2 2" xfId="16411" xr:uid="{91525BDC-D58E-4A09-91AF-50AF124905CB}"/>
    <cellStyle name="Normal 13 4 2 3 3" xfId="16412" xr:uid="{30CE57B9-5119-4416-8FCF-42EC8ACD33FC}"/>
    <cellStyle name="Normal 13 4 2 3 3 2" xfId="16413" xr:uid="{25F04110-B5F8-4AF1-B682-C35AADA726F4}"/>
    <cellStyle name="Normal 13 4 2 3 4" xfId="16414" xr:uid="{5AC83A4B-5308-4CB6-851E-60BC74F2E2C6}"/>
    <cellStyle name="Normal 13 4 2 3 4 2" xfId="16415" xr:uid="{E8B065A3-91CB-48D9-BD6D-4B23B189458B}"/>
    <cellStyle name="Normal 13 4 2 3 5" xfId="16416" xr:uid="{41F8356E-11FC-4286-B2A7-F290CC7C89A6}"/>
    <cellStyle name="Normal 13 4 2 4" xfId="16417" xr:uid="{2B9BDAE0-FE78-461C-9E0B-891483E2055E}"/>
    <cellStyle name="Normal 13 4 2 4 2" xfId="16418" xr:uid="{B190E164-059D-4A01-9C39-1B46C07965EC}"/>
    <cellStyle name="Normal 13 4 2 4 2 2" xfId="16419" xr:uid="{69B1CD51-F3A9-43F9-B1D3-2D4786BA91D1}"/>
    <cellStyle name="Normal 13 4 2 4 3" xfId="16420" xr:uid="{53CA4902-41DA-4E89-BD4E-97998B54473C}"/>
    <cellStyle name="Normal 13 4 2 4 3 2" xfId="16421" xr:uid="{EDD8AD2E-4293-471E-867D-F9327E30ADB7}"/>
    <cellStyle name="Normal 13 4 2 4 4" xfId="16422" xr:uid="{2632E916-BC91-4182-BAAB-96142BCBC50E}"/>
    <cellStyle name="Normal 13 4 2 4 4 2" xfId="16423" xr:uid="{4DF5EE38-11BC-490F-9F7D-39D256002B4D}"/>
    <cellStyle name="Normal 13 4 2 4 5" xfId="16424" xr:uid="{905482DB-2404-4A6C-9CF9-DC335338B18C}"/>
    <cellStyle name="Normal 13 4 2 5" xfId="16425" xr:uid="{1A65054D-58EB-460D-AA06-F70C144C02C7}"/>
    <cellStyle name="Normal 13 4 2 5 2" xfId="16426" xr:uid="{A09FBAF0-B698-48A0-A695-4B3D72CFD73B}"/>
    <cellStyle name="Normal 13 4 2 6" xfId="16427" xr:uid="{EB099BF7-9BA7-4E58-9012-353BE45C46BB}"/>
    <cellStyle name="Normal 13 4 2 6 2" xfId="16428" xr:uid="{31562337-6380-40E5-BB6B-622F921576E0}"/>
    <cellStyle name="Normal 13 4 2 7" xfId="16429" xr:uid="{B91F99A5-5D79-4FD8-889F-95797E12FDE9}"/>
    <cellStyle name="Normal 13 4 2 7 2" xfId="16430" xr:uid="{BE5EACAD-8583-4F8C-AA61-1E76B9F49329}"/>
    <cellStyle name="Normal 13 4 2 8" xfId="16431" xr:uid="{63C6EFFE-A01F-4C14-ABD3-E7316D72B974}"/>
    <cellStyle name="Normal 13 4 2 8 2" xfId="16432" xr:uid="{1A632787-D798-498C-8D58-2E3C88EC3447}"/>
    <cellStyle name="Normal 13 4 2 9" xfId="16433" xr:uid="{7C456492-3DE7-4932-83E5-C282AAEF65D3}"/>
    <cellStyle name="Normal 13 4 2 9 2" xfId="16434" xr:uid="{2B228441-91A7-4F12-A15A-D323EE7F045C}"/>
    <cellStyle name="Normal 13 4 3" xfId="16435" xr:uid="{A92889CC-A0D4-4D10-BA9D-9E5825889698}"/>
    <cellStyle name="Normal 13 4 3 2" xfId="16436" xr:uid="{458A8DFD-2988-4DF4-AE76-B7FAC136FE69}"/>
    <cellStyle name="Normal 13 4 3 2 2" xfId="16437" xr:uid="{12599C96-1A60-4152-B401-DEF0FF56EB1F}"/>
    <cellStyle name="Normal 13 4 3 2 2 2" xfId="16438" xr:uid="{D6683D8E-0626-46E4-B5A6-2EDCD328D47A}"/>
    <cellStyle name="Normal 13 4 3 2 3" xfId="16439" xr:uid="{4B502F08-92B9-4A23-979E-1802C268EA70}"/>
    <cellStyle name="Normal 13 4 3 2 3 2" xfId="16440" xr:uid="{7B439F67-6D6C-4F8B-8828-79C588727648}"/>
    <cellStyle name="Normal 13 4 3 2 4" xfId="16441" xr:uid="{3B3BDDA2-7CC4-48A9-9FC1-C6A75C2D6C33}"/>
    <cellStyle name="Normal 13 4 3 2 4 2" xfId="16442" xr:uid="{BEDD0CD2-A9E6-49A1-90DE-0F19295B978C}"/>
    <cellStyle name="Normal 13 4 3 2 5" xfId="16443" xr:uid="{4B3E1C42-662B-4415-A717-6BE2FB0873A9}"/>
    <cellStyle name="Normal 13 4 3 3" xfId="16444" xr:uid="{01455B5B-CEA7-48B3-9B3C-7CCBE8ED8FB7}"/>
    <cellStyle name="Normal 13 4 3 3 2" xfId="16445" xr:uid="{74EC84D1-4CB3-4058-BC9F-B38D3CE6C7E2}"/>
    <cellStyle name="Normal 13 4 3 3 2 2" xfId="16446" xr:uid="{B9FC7331-9760-4B8C-919C-5372499654F9}"/>
    <cellStyle name="Normal 13 4 3 3 3" xfId="16447" xr:uid="{6A5D55EA-60B9-46A9-A295-866BBE11600D}"/>
    <cellStyle name="Normal 13 4 3 3 3 2" xfId="16448" xr:uid="{2E3C6A23-B3F9-4582-9D04-381558D30D6D}"/>
    <cellStyle name="Normal 13 4 3 3 4" xfId="16449" xr:uid="{8E98C890-A352-465E-9001-E931FDB0862A}"/>
    <cellStyle name="Normal 13 4 3 3 4 2" xfId="16450" xr:uid="{F92308F9-FC38-4DF1-ACC3-BC790A797C5C}"/>
    <cellStyle name="Normal 13 4 3 3 5" xfId="16451" xr:uid="{54F12171-5369-4316-9E9E-774AA9114252}"/>
    <cellStyle name="Normal 13 4 3 4" xfId="16452" xr:uid="{C6B29EED-F7B1-448C-9B53-FC261D095E07}"/>
    <cellStyle name="Normal 13 4 3 4 2" xfId="16453" xr:uid="{D186B451-A613-4D6B-A0FB-0A17B0581A90}"/>
    <cellStyle name="Normal 13 4 3 5" xfId="16454" xr:uid="{3A8AD7E0-B9FA-411C-9167-309BFAD44FAD}"/>
    <cellStyle name="Normal 13 4 3 5 2" xfId="16455" xr:uid="{8BB9FFD8-801A-4820-864B-42DEFB1668F1}"/>
    <cellStyle name="Normal 13 4 3 6" xfId="16456" xr:uid="{86149F26-1A0D-4284-9572-5F5DBECF4A81}"/>
    <cellStyle name="Normal 13 4 3 6 2" xfId="16457" xr:uid="{CBD541C1-3268-4C3A-80F8-BA626EC82C7C}"/>
    <cellStyle name="Normal 13 4 3 7" xfId="16458" xr:uid="{6DF1A9C8-142B-46F4-9265-4E48E3667C63}"/>
    <cellStyle name="Normal 13 4 3 7 2" xfId="16459" xr:uid="{05F9559A-3B23-435F-8794-DC9A8495534E}"/>
    <cellStyle name="Normal 13 4 3 8" xfId="16460" xr:uid="{33E48D5F-78EB-4814-B5CE-0AB39A49C612}"/>
    <cellStyle name="Normal 13 4 3 8 2" xfId="16461" xr:uid="{02150D5E-280F-4023-92D3-711F97B9A1B3}"/>
    <cellStyle name="Normal 13 4 3 9" xfId="16462" xr:uid="{E163F3EE-3501-4D84-9EF5-A37EB57F1ADB}"/>
    <cellStyle name="Normal 13 4 4" xfId="16463" xr:uid="{7976B69C-BFDD-4DCD-B076-106CA59182A0}"/>
    <cellStyle name="Normal 13 4 4 2" xfId="16464" xr:uid="{E6394C3F-A1C4-4A7E-8779-9D81C119A4E7}"/>
    <cellStyle name="Normal 13 4 4 2 2" xfId="16465" xr:uid="{EE3EC9EF-0CA3-41C5-9E3F-E41A26FA23B7}"/>
    <cellStyle name="Normal 13 4 4 3" xfId="16466" xr:uid="{DEACAA33-19EE-42B9-8EEB-A82230C9E06E}"/>
    <cellStyle name="Normal 13 4 4 3 2" xfId="16467" xr:uid="{68830D30-D666-439B-8E83-6D53BD47CCBA}"/>
    <cellStyle name="Normal 13 4 4 4" xfId="16468" xr:uid="{16DA2273-2666-4DDF-ABE0-29C4386C4A43}"/>
    <cellStyle name="Normal 13 4 4 4 2" xfId="16469" xr:uid="{7ACC2B04-1FFC-419E-A58A-0B65090617F4}"/>
    <cellStyle name="Normal 13 4 4 5" xfId="16470" xr:uid="{9C4D1BDC-B73F-49A7-A505-F91F53514E20}"/>
    <cellStyle name="Normal 13 4 5" xfId="16471" xr:uid="{40ABC8F1-81E1-4F0B-8363-934C6F81468B}"/>
    <cellStyle name="Normal 13 4 5 2" xfId="16472" xr:uid="{7FBFBEDE-B97F-4726-9AED-3A7FB87665F9}"/>
    <cellStyle name="Normal 13 4 5 2 2" xfId="16473" xr:uid="{3782DE75-A71E-4311-B004-36D60FD150BC}"/>
    <cellStyle name="Normal 13 4 5 3" xfId="16474" xr:uid="{BD5B96EE-8505-4D78-98F7-BBD910FFD5DE}"/>
    <cellStyle name="Normal 13 4 5 3 2" xfId="16475" xr:uid="{23CAB101-3EF1-43BF-8425-2116DDD5CB7F}"/>
    <cellStyle name="Normal 13 4 5 4" xfId="16476" xr:uid="{27203434-EE9C-4F61-8547-BFA9AFD2F23A}"/>
    <cellStyle name="Normal 13 4 5 4 2" xfId="16477" xr:uid="{451C9978-930D-469E-B1AD-579A286CDA04}"/>
    <cellStyle name="Normal 13 4 5 5" xfId="16478" xr:uid="{5464CCDE-AAB4-4A97-8368-C34353846121}"/>
    <cellStyle name="Normal 13 4 6" xfId="16479" xr:uid="{3FC9E366-27B1-40B7-B13B-4D195F049FFF}"/>
    <cellStyle name="Normal 13 4 6 2" xfId="16480" xr:uid="{6DC0B37F-F5C6-427D-82DE-90BE2B0305D2}"/>
    <cellStyle name="Normal 13 4 7" xfId="16481" xr:uid="{F44D0D91-7760-468F-A9A8-51754F554D2B}"/>
    <cellStyle name="Normal 13 4 7 2" xfId="16482" xr:uid="{1506C6DD-42C5-4EFB-9FCF-55CA32335808}"/>
    <cellStyle name="Normal 13 4 8" xfId="16483" xr:uid="{AE1EEA31-60A9-4E94-A3D0-9D7F46AE5691}"/>
    <cellStyle name="Normal 13 4 8 2" xfId="16484" xr:uid="{F00CEBC7-C880-4193-809C-E35A02EB5618}"/>
    <cellStyle name="Normal 13 4 9" xfId="16485" xr:uid="{89584AAA-F830-4AB7-80DB-4953BFEB780C}"/>
    <cellStyle name="Normal 13 4 9 2" xfId="16486" xr:uid="{E929D1E0-C606-40CD-B938-FC3AB18BCB8E}"/>
    <cellStyle name="Normal 13 5" xfId="16487" xr:uid="{B1889EF6-0D1D-40D7-AF62-A7C2113202D1}"/>
    <cellStyle name="Normal 13 5 10" xfId="16488" xr:uid="{E520837C-1EA8-4D1C-A6ED-18625039295A}"/>
    <cellStyle name="Normal 13 5 10 2" xfId="16489" xr:uid="{617D2127-7488-4142-BC2B-31C8235DE88F}"/>
    <cellStyle name="Normal 13 5 11" xfId="16490" xr:uid="{4ABB6131-5708-4B62-8006-5290BC1BA4D5}"/>
    <cellStyle name="Normal 13 5 12" xfId="16491" xr:uid="{6BF3B109-4452-4297-A4E5-2BC0628722EA}"/>
    <cellStyle name="Normal 13 5 2" xfId="16492" xr:uid="{327B94C3-9408-4AA5-B5E0-6F8257AA8DC3}"/>
    <cellStyle name="Normal 13 5 2 10" xfId="16493" xr:uid="{DD0F6604-5FEC-418E-9000-E2C10536E66D}"/>
    <cellStyle name="Normal 13 5 2 2" xfId="16494" xr:uid="{799D0963-8A49-47C2-859A-466A5F043249}"/>
    <cellStyle name="Normal 13 5 2 2 2" xfId="16495" xr:uid="{937C950A-819F-44E7-A4C5-1AC79926196D}"/>
    <cellStyle name="Normal 13 5 2 2 2 2" xfId="16496" xr:uid="{1D09C3C3-636A-4D03-B304-C4B95CAD41E2}"/>
    <cellStyle name="Normal 13 5 2 2 2 2 2" xfId="16497" xr:uid="{555B4113-E65C-4534-AF75-557F45A9E841}"/>
    <cellStyle name="Normal 13 5 2 2 2 3" xfId="16498" xr:uid="{8314B420-A342-4D3A-A6D0-FEFD0EAF529C}"/>
    <cellStyle name="Normal 13 5 2 2 2 3 2" xfId="16499" xr:uid="{77AED7AF-BFB0-4F02-B28E-592777888535}"/>
    <cellStyle name="Normal 13 5 2 2 2 4" xfId="16500" xr:uid="{529BD1F9-A729-4A5A-B2C7-9CBC77A72BD8}"/>
    <cellStyle name="Normal 13 5 2 2 2 4 2" xfId="16501" xr:uid="{5132006A-D899-49C7-8807-1AEEFBA37D56}"/>
    <cellStyle name="Normal 13 5 2 2 2 5" xfId="16502" xr:uid="{9F63CB07-B352-4F69-94CB-C4BFDFA32D8A}"/>
    <cellStyle name="Normal 13 5 2 2 3" xfId="16503" xr:uid="{DDA6DDDA-FD0A-47AB-8202-083C0754E47E}"/>
    <cellStyle name="Normal 13 5 2 2 3 2" xfId="16504" xr:uid="{6FDC4F1B-398E-466D-8893-AC0F7DB5A85A}"/>
    <cellStyle name="Normal 13 5 2 2 3 2 2" xfId="16505" xr:uid="{D21B034C-DD63-46CA-A2E9-1D39C7ED82FC}"/>
    <cellStyle name="Normal 13 5 2 2 3 3" xfId="16506" xr:uid="{DEB510BC-BB5D-4B6E-A4C4-25592FDFD639}"/>
    <cellStyle name="Normal 13 5 2 2 3 3 2" xfId="16507" xr:uid="{8B53BF1F-843C-4587-8318-5FFD9BD214F1}"/>
    <cellStyle name="Normal 13 5 2 2 3 4" xfId="16508" xr:uid="{20F79698-A2B2-4495-A89E-88D41082D089}"/>
    <cellStyle name="Normal 13 5 2 2 3 4 2" xfId="16509" xr:uid="{E3484328-5BC1-4BDD-844A-705F235089E1}"/>
    <cellStyle name="Normal 13 5 2 2 3 5" xfId="16510" xr:uid="{4BD18AB4-1C1E-4629-8C93-0585DC48FEA5}"/>
    <cellStyle name="Normal 13 5 2 2 4" xfId="16511" xr:uid="{1EA27E74-7BBA-4BF5-A6EA-2F558A122535}"/>
    <cellStyle name="Normal 13 5 2 2 4 2" xfId="16512" xr:uid="{E6ECE423-3C75-41C7-AB73-C8F0677B5CB6}"/>
    <cellStyle name="Normal 13 5 2 2 5" xfId="16513" xr:uid="{8941F788-B0FD-481B-A895-8C461BA240C5}"/>
    <cellStyle name="Normal 13 5 2 2 5 2" xfId="16514" xr:uid="{C218F107-8CDD-4228-B2BA-6FE186A2696C}"/>
    <cellStyle name="Normal 13 5 2 2 6" xfId="16515" xr:uid="{0E23DF3F-93AF-41A5-A742-B3B73861B57F}"/>
    <cellStyle name="Normal 13 5 2 2 6 2" xfId="16516" xr:uid="{A7B02DAF-7ACD-4CED-914E-F16FB0075900}"/>
    <cellStyle name="Normal 13 5 2 2 7" xfId="16517" xr:uid="{3CAAB188-3D4C-424B-AD72-383AB007FC2E}"/>
    <cellStyle name="Normal 13 5 2 2 7 2" xfId="16518" xr:uid="{3715AFAC-2C3D-4F7D-9870-4BD70A2CE607}"/>
    <cellStyle name="Normal 13 5 2 2 8" xfId="16519" xr:uid="{C089D9BE-AE00-4779-BC5B-32C5A3EC1B16}"/>
    <cellStyle name="Normal 13 5 2 2 8 2" xfId="16520" xr:uid="{80248B12-82EE-4FDE-95CF-DB6FA000F137}"/>
    <cellStyle name="Normal 13 5 2 2 9" xfId="16521" xr:uid="{6D434E1F-0A71-4E5C-818F-EDCA2809EC8B}"/>
    <cellStyle name="Normal 13 5 2 3" xfId="16522" xr:uid="{0D358B2E-0E46-40BC-9429-A031F686DC8F}"/>
    <cellStyle name="Normal 13 5 2 3 2" xfId="16523" xr:uid="{A2A90CDB-DA97-4351-A09D-41120D34F82B}"/>
    <cellStyle name="Normal 13 5 2 3 2 2" xfId="16524" xr:uid="{E248F086-EF2A-4C6B-9DD9-70D7C8E822AF}"/>
    <cellStyle name="Normal 13 5 2 3 3" xfId="16525" xr:uid="{F47BAC33-92D1-4147-93C8-FC30A1CCB475}"/>
    <cellStyle name="Normal 13 5 2 3 3 2" xfId="16526" xr:uid="{DF3C9FCE-22E3-4FDA-A74A-E7681BDF83D1}"/>
    <cellStyle name="Normal 13 5 2 3 4" xfId="16527" xr:uid="{91C2140D-D289-4E40-9E39-F62983B80713}"/>
    <cellStyle name="Normal 13 5 2 3 4 2" xfId="16528" xr:uid="{A6F836C6-1D12-4B5B-878E-47619AFDB0F1}"/>
    <cellStyle name="Normal 13 5 2 3 5" xfId="16529" xr:uid="{598514C9-62C2-4DD5-B550-00F5CD9E4EB1}"/>
    <cellStyle name="Normal 13 5 2 4" xfId="16530" xr:uid="{D712D0B7-C43D-4D30-B5EA-BF958CB83C0D}"/>
    <cellStyle name="Normal 13 5 2 4 2" xfId="16531" xr:uid="{FC45DDE5-97E5-4E5F-9E66-A7E27BE69F78}"/>
    <cellStyle name="Normal 13 5 2 4 2 2" xfId="16532" xr:uid="{0BDCC270-812D-4DF6-AB5E-672D1381D554}"/>
    <cellStyle name="Normal 13 5 2 4 3" xfId="16533" xr:uid="{555A9A48-067A-4229-9228-2A46C30A172E}"/>
    <cellStyle name="Normal 13 5 2 4 3 2" xfId="16534" xr:uid="{D1DD8FCB-CE53-4058-934C-AF512685BA19}"/>
    <cellStyle name="Normal 13 5 2 4 4" xfId="16535" xr:uid="{AC9B7537-CAD8-4577-9FEC-7A086833C48A}"/>
    <cellStyle name="Normal 13 5 2 4 4 2" xfId="16536" xr:uid="{BC178760-88CB-4086-A6FB-1387B34F9D9F}"/>
    <cellStyle name="Normal 13 5 2 4 5" xfId="16537" xr:uid="{FB0D3A72-ED1F-46B1-BCF0-C5CC798EF789}"/>
    <cellStyle name="Normal 13 5 2 5" xfId="16538" xr:uid="{33CA873D-FC85-4FF2-B77B-4071F84531EB}"/>
    <cellStyle name="Normal 13 5 2 5 2" xfId="16539" xr:uid="{A70A2628-2588-4A63-A1AD-4B3704FF35E0}"/>
    <cellStyle name="Normal 13 5 2 6" xfId="16540" xr:uid="{B6D19301-862B-4BF9-A599-530B544CA99A}"/>
    <cellStyle name="Normal 13 5 2 6 2" xfId="16541" xr:uid="{EDD6FE63-57A0-4B48-8109-15B83853376F}"/>
    <cellStyle name="Normal 13 5 2 7" xfId="16542" xr:uid="{81360708-D275-47DD-9901-65CF76F3D91D}"/>
    <cellStyle name="Normal 13 5 2 7 2" xfId="16543" xr:uid="{96DE18EC-1D73-41FA-83F0-2610CF0F3F8C}"/>
    <cellStyle name="Normal 13 5 2 8" xfId="16544" xr:uid="{B81516E8-EA91-4947-B431-5F120B158EA7}"/>
    <cellStyle name="Normal 13 5 2 8 2" xfId="16545" xr:uid="{D9342143-1456-47E1-939C-79CBF4084EC6}"/>
    <cellStyle name="Normal 13 5 2 9" xfId="16546" xr:uid="{E267A12A-2EE1-4B3E-9850-6D247D58D48B}"/>
    <cellStyle name="Normal 13 5 2 9 2" xfId="16547" xr:uid="{A23FF0ED-752B-4F35-8AD2-0C233D38BB77}"/>
    <cellStyle name="Normal 13 5 3" xfId="16548" xr:uid="{0B93C23A-723D-499D-8282-1E9607DE5C91}"/>
    <cellStyle name="Normal 13 5 3 2" xfId="16549" xr:uid="{F51AA364-62CB-41C3-8B83-F81C2C8BAE17}"/>
    <cellStyle name="Normal 13 5 3 2 2" xfId="16550" xr:uid="{83119FF6-DBAF-459A-A933-89CC4B7149F3}"/>
    <cellStyle name="Normal 13 5 3 2 2 2" xfId="16551" xr:uid="{568C506F-2724-464E-82FD-A4368337A2F7}"/>
    <cellStyle name="Normal 13 5 3 2 3" xfId="16552" xr:uid="{E7563483-82D3-4C3D-BF38-2E6FDEBB03F7}"/>
    <cellStyle name="Normal 13 5 3 2 3 2" xfId="16553" xr:uid="{AFC24BFC-8EB2-4F8B-ACEF-30886944B88D}"/>
    <cellStyle name="Normal 13 5 3 2 4" xfId="16554" xr:uid="{F5DAB037-90C4-4862-B119-1BC3953CF726}"/>
    <cellStyle name="Normal 13 5 3 2 4 2" xfId="16555" xr:uid="{00A44E3F-3301-4B39-9773-92ABFD9B58F8}"/>
    <cellStyle name="Normal 13 5 3 2 5" xfId="16556" xr:uid="{912374CC-27B5-4775-A49D-B67D680FD5BC}"/>
    <cellStyle name="Normal 13 5 3 3" xfId="16557" xr:uid="{8376E9ED-D67B-4184-8C59-3C8AC12C199D}"/>
    <cellStyle name="Normal 13 5 3 3 2" xfId="16558" xr:uid="{107A9E6D-F110-4C74-B9AA-C5C2A6B52EA9}"/>
    <cellStyle name="Normal 13 5 3 3 2 2" xfId="16559" xr:uid="{D118D122-7E58-4B53-8835-721D65944B3B}"/>
    <cellStyle name="Normal 13 5 3 3 3" xfId="16560" xr:uid="{23C1CA4B-A5ED-4B95-91FB-F245516A8FFD}"/>
    <cellStyle name="Normal 13 5 3 3 3 2" xfId="16561" xr:uid="{2DFC2C81-7A5C-45B5-809B-58481AB5541C}"/>
    <cellStyle name="Normal 13 5 3 3 4" xfId="16562" xr:uid="{AFDB8FEB-1FAF-459A-9796-D83E68D6210B}"/>
    <cellStyle name="Normal 13 5 3 3 4 2" xfId="16563" xr:uid="{A9073E83-F612-4260-BBFD-9F678C5BA76E}"/>
    <cellStyle name="Normal 13 5 3 3 5" xfId="16564" xr:uid="{22F888C1-3CAA-4AB8-8EC3-BB6F4272DB78}"/>
    <cellStyle name="Normal 13 5 3 4" xfId="16565" xr:uid="{5242FAE6-011E-462C-A171-D7EB0BFFCB46}"/>
    <cellStyle name="Normal 13 5 3 4 2" xfId="16566" xr:uid="{97768FAE-5302-4473-9845-DBE1D5EB2079}"/>
    <cellStyle name="Normal 13 5 3 5" xfId="16567" xr:uid="{0BE30663-4EB9-4EEE-AE86-7655DCBE9503}"/>
    <cellStyle name="Normal 13 5 3 5 2" xfId="16568" xr:uid="{03AF1136-CF0F-447C-B26B-BD23D3E07199}"/>
    <cellStyle name="Normal 13 5 3 6" xfId="16569" xr:uid="{09F58EC0-4E47-48AB-8515-8A755445E433}"/>
    <cellStyle name="Normal 13 5 3 6 2" xfId="16570" xr:uid="{4341BBC3-4828-4ACB-91B7-98CB226E83D2}"/>
    <cellStyle name="Normal 13 5 3 7" xfId="16571" xr:uid="{C630BFE4-F305-4008-9F9C-60CBDC573866}"/>
    <cellStyle name="Normal 13 5 3 7 2" xfId="16572" xr:uid="{2CE3EF8C-0B93-458F-88B0-04C75450E884}"/>
    <cellStyle name="Normal 13 5 3 8" xfId="16573" xr:uid="{65B31B45-277E-4813-A301-C3806F58CB03}"/>
    <cellStyle name="Normal 13 5 3 8 2" xfId="16574" xr:uid="{0B1143DC-181F-4CA9-9540-B28DFFC9881A}"/>
    <cellStyle name="Normal 13 5 3 9" xfId="16575" xr:uid="{CF9B31FC-DA18-4BA2-BCFC-02B9D00CC659}"/>
    <cellStyle name="Normal 13 5 4" xfId="16576" xr:uid="{B9B65974-CE9E-493D-979E-BDBD8B3FD7F7}"/>
    <cellStyle name="Normal 13 5 4 2" xfId="16577" xr:uid="{2D41EF96-892B-47E2-B03F-B1652EE0133D}"/>
    <cellStyle name="Normal 13 5 4 2 2" xfId="16578" xr:uid="{0FEED1BD-4418-4CCD-A873-076058130431}"/>
    <cellStyle name="Normal 13 5 4 3" xfId="16579" xr:uid="{46AE528A-1543-4F8C-8C61-18920F1EB832}"/>
    <cellStyle name="Normal 13 5 4 3 2" xfId="16580" xr:uid="{480DF6FE-3532-486D-B0A1-7C8FA1433414}"/>
    <cellStyle name="Normal 13 5 4 4" xfId="16581" xr:uid="{12BFDB89-14AC-4B52-A530-FAAFD207CE1F}"/>
    <cellStyle name="Normal 13 5 4 4 2" xfId="16582" xr:uid="{69B56491-3CD4-4241-ABCA-18D0BCE9F170}"/>
    <cellStyle name="Normal 13 5 4 5" xfId="16583" xr:uid="{14625A9E-FEB4-4F9C-831E-E13D121372FB}"/>
    <cellStyle name="Normal 13 5 5" xfId="16584" xr:uid="{79C2A230-D530-4DEF-B33D-F2C21A36AD4C}"/>
    <cellStyle name="Normal 13 5 5 2" xfId="16585" xr:uid="{12360230-D157-4131-AB2D-A1C4C250CEF6}"/>
    <cellStyle name="Normal 13 5 5 2 2" xfId="16586" xr:uid="{3D8CB942-BFC0-4931-901A-D6EF3A030750}"/>
    <cellStyle name="Normal 13 5 5 3" xfId="16587" xr:uid="{70190C47-BB29-4B94-9281-D9B11B9A752E}"/>
    <cellStyle name="Normal 13 5 5 3 2" xfId="16588" xr:uid="{63CBD5C3-2F20-4E86-B5D4-1A0EC3B643FE}"/>
    <cellStyle name="Normal 13 5 5 4" xfId="16589" xr:uid="{4F0F3173-5A3B-49CB-978D-BDC5C151F655}"/>
    <cellStyle name="Normal 13 5 5 4 2" xfId="16590" xr:uid="{AB405714-FD5F-48C5-B2D7-DB811220478A}"/>
    <cellStyle name="Normal 13 5 5 5" xfId="16591" xr:uid="{015FAB91-32D6-4E97-8F39-646DB641DC0A}"/>
    <cellStyle name="Normal 13 5 6" xfId="16592" xr:uid="{9E26EA2B-3E74-4669-A6F4-7C70F52F0A07}"/>
    <cellStyle name="Normal 13 5 6 2" xfId="16593" xr:uid="{20118386-BFF7-4DD9-BBBA-45821528F71C}"/>
    <cellStyle name="Normal 13 5 7" xfId="16594" xr:uid="{4109CF70-44FA-4CCB-B874-9A1E15500B5F}"/>
    <cellStyle name="Normal 13 5 7 2" xfId="16595" xr:uid="{C625770F-DFDF-4F36-86ED-C56D5F55CFD9}"/>
    <cellStyle name="Normal 13 5 8" xfId="16596" xr:uid="{D09EEA05-C9D8-49A7-A27F-B0742686D9E8}"/>
    <cellStyle name="Normal 13 5 8 2" xfId="16597" xr:uid="{59B4EF31-52EC-43D8-857C-42B0AA521596}"/>
    <cellStyle name="Normal 13 5 9" xfId="16598" xr:uid="{3111D0B2-98A6-4E52-8BEC-AEB6455CDB3C}"/>
    <cellStyle name="Normal 13 5 9 2" xfId="16599" xr:uid="{0F2CA5EC-8FAF-4785-8541-F2DFC90F05A1}"/>
    <cellStyle name="Normal 13 6" xfId="16600" xr:uid="{864B5A06-7309-47DD-9428-FF478319751A}"/>
    <cellStyle name="Normal 13 6 10" xfId="16601" xr:uid="{BD1745C0-72B3-481B-844B-70FE6060503D}"/>
    <cellStyle name="Normal 13 6 10 2" xfId="16602" xr:uid="{01E24D59-1303-413B-B77C-92D7FC0C8F79}"/>
    <cellStyle name="Normal 13 6 11" xfId="16603" xr:uid="{D272A507-D6C4-4A6A-976A-759B89414648}"/>
    <cellStyle name="Normal 13 6 12" xfId="16604" xr:uid="{83729C6A-1B5F-4CFC-8B26-79731A0837C1}"/>
    <cellStyle name="Normal 13 6 2" xfId="16605" xr:uid="{C621136F-4331-460C-A595-042D292B24AE}"/>
    <cellStyle name="Normal 13 6 2 10" xfId="16606" xr:uid="{EE06202A-BE59-4D21-96DE-86E2882D5B58}"/>
    <cellStyle name="Normal 13 6 2 11" xfId="16607" xr:uid="{525E32AF-197D-4BE3-A58F-41E19D29EF36}"/>
    <cellStyle name="Normal 13 6 2 2" xfId="16608" xr:uid="{BBFADF97-6481-43E8-A126-EFBDD05AB198}"/>
    <cellStyle name="Normal 13 6 2 2 10" xfId="16609" xr:uid="{4E2D0755-E64A-4F93-949C-D0ADBE1F12E3}"/>
    <cellStyle name="Normal 13 6 2 2 2" xfId="16610" xr:uid="{E232950E-1A0E-473F-89B2-DBE2C2BDCF90}"/>
    <cellStyle name="Normal 13 6 2 2 2 2" xfId="16611" xr:uid="{BF9C4860-F523-4C86-AD75-E1670EBFE104}"/>
    <cellStyle name="Normal 13 6 2 2 2 2 2" xfId="16612" xr:uid="{D472B754-36DC-4C19-A664-90C4666AA29B}"/>
    <cellStyle name="Normal 13 6 2 2 2 3" xfId="16613" xr:uid="{F194C9D8-B5C5-47BE-8109-980E81E7D3B8}"/>
    <cellStyle name="Normal 13 6 2 2 2 3 2" xfId="16614" xr:uid="{6526E2B5-C1DD-4D32-9ADB-8CE0A8E7B757}"/>
    <cellStyle name="Normal 13 6 2 2 2 4" xfId="16615" xr:uid="{89532E6E-48C2-4B1C-9DA4-047238C198AC}"/>
    <cellStyle name="Normal 13 6 2 2 2 4 2" xfId="16616" xr:uid="{25D5BA33-4ED4-4E9E-B9C8-F1DAD9CF905F}"/>
    <cellStyle name="Normal 13 6 2 2 2 5" xfId="16617" xr:uid="{0A959340-2BB9-4941-8B95-DC91A95E017C}"/>
    <cellStyle name="Normal 13 6 2 2 3" xfId="16618" xr:uid="{0EB1F601-9283-4DB2-989B-76D6B06073B9}"/>
    <cellStyle name="Normal 13 6 2 2 3 2" xfId="16619" xr:uid="{7E58CB82-DE93-4A95-917F-4B7C6C0C0626}"/>
    <cellStyle name="Normal 13 6 2 2 3 2 2" xfId="16620" xr:uid="{7CEE5EBD-629B-4871-97BC-BFE63AB7412E}"/>
    <cellStyle name="Normal 13 6 2 2 3 3" xfId="16621" xr:uid="{212AAE93-ED74-4A17-8CC8-BCEB3C52C483}"/>
    <cellStyle name="Normal 13 6 2 2 3 3 2" xfId="16622" xr:uid="{17E2EAA5-1E87-4041-BBD4-CE01CBC3E0A1}"/>
    <cellStyle name="Normal 13 6 2 2 3 4" xfId="16623" xr:uid="{1E7D49B4-9DA6-48F6-9B23-634005499040}"/>
    <cellStyle name="Normal 13 6 2 2 3 4 2" xfId="16624" xr:uid="{BB8B6F28-2149-40C8-99FF-801303BA80D6}"/>
    <cellStyle name="Normal 13 6 2 2 3 5" xfId="16625" xr:uid="{8EA2DF19-2D36-43A5-9837-D12DF64CB669}"/>
    <cellStyle name="Normal 13 6 2 2 4" xfId="16626" xr:uid="{37DCD266-5501-4C54-9125-848D0FE79113}"/>
    <cellStyle name="Normal 13 6 2 2 4 2" xfId="16627" xr:uid="{68207666-1B7C-4712-A0C1-17B894066828}"/>
    <cellStyle name="Normal 13 6 2 2 5" xfId="16628" xr:uid="{1B71392D-1817-45AA-9651-BC3D9C80214D}"/>
    <cellStyle name="Normal 13 6 2 2 5 2" xfId="16629" xr:uid="{57FC8350-F847-4C52-A77B-6C8CFD22EBF3}"/>
    <cellStyle name="Normal 13 6 2 2 6" xfId="16630" xr:uid="{9ECC7855-08CC-4EF3-A9F4-BD554C643CDF}"/>
    <cellStyle name="Normal 13 6 2 2 6 2" xfId="16631" xr:uid="{46F67148-7C33-46E7-9A37-BDFE21B918EE}"/>
    <cellStyle name="Normal 13 6 2 2 7" xfId="16632" xr:uid="{68A56FC4-DCE3-43AD-B757-6DFD23A34AF4}"/>
    <cellStyle name="Normal 13 6 2 2 7 2" xfId="16633" xr:uid="{A7B91D85-7C7A-4B5E-9A20-BE8E135E38AF}"/>
    <cellStyle name="Normal 13 6 2 2 8" xfId="16634" xr:uid="{BA306C46-8694-4AC5-951C-A4CF39C34DD7}"/>
    <cellStyle name="Normal 13 6 2 2 8 2" xfId="16635" xr:uid="{A3E77AB4-F785-49A8-B306-349DEA01F766}"/>
    <cellStyle name="Normal 13 6 2 2 9" xfId="16636" xr:uid="{2EB7CB7D-060B-45B2-953A-8C263BBAB5C1}"/>
    <cellStyle name="Normal 13 6 2 3" xfId="16637" xr:uid="{D3E51F74-B073-412B-91E8-7BD976A4EE4D}"/>
    <cellStyle name="Normal 13 6 2 3 2" xfId="16638" xr:uid="{F8FA0AC5-17E6-4EC0-B906-6A73235F205E}"/>
    <cellStyle name="Normal 13 6 2 3 2 2" xfId="16639" xr:uid="{3D122EB8-F54A-4825-AD32-15B2A901AE88}"/>
    <cellStyle name="Normal 13 6 2 3 3" xfId="16640" xr:uid="{C115BC14-15DE-407A-9935-53A533195699}"/>
    <cellStyle name="Normal 13 6 2 3 3 2" xfId="16641" xr:uid="{99CADFBF-A8EA-4733-BFB9-6A4B47191B3C}"/>
    <cellStyle name="Normal 13 6 2 3 4" xfId="16642" xr:uid="{4B4F5059-9D0E-44A8-8DE0-7528931801B9}"/>
    <cellStyle name="Normal 13 6 2 3 4 2" xfId="16643" xr:uid="{285AE44A-05CA-45C8-81DE-73801299E085}"/>
    <cellStyle name="Normal 13 6 2 3 5" xfId="16644" xr:uid="{4283F9F5-3FAA-45D0-86A5-0A2DFA50C9D4}"/>
    <cellStyle name="Normal 13 6 2 3 6" xfId="16645" xr:uid="{E6DA8666-BDA6-4EB5-902D-32966F6DA374}"/>
    <cellStyle name="Normal 13 6 2 4" xfId="16646" xr:uid="{96922FE1-88A7-489E-A3A3-D96648589967}"/>
    <cellStyle name="Normal 13 6 2 4 2" xfId="16647" xr:uid="{4105C59D-E7F5-45AE-B115-969CB4D1214A}"/>
    <cellStyle name="Normal 13 6 2 4 2 2" xfId="16648" xr:uid="{E19A4C97-1DF2-404E-8924-8250985B43CA}"/>
    <cellStyle name="Normal 13 6 2 4 3" xfId="16649" xr:uid="{A58CE995-FCDA-40DE-B810-80D303AB2EB5}"/>
    <cellStyle name="Normal 13 6 2 4 3 2" xfId="16650" xr:uid="{97545FFB-F273-49BD-96BB-7B7F67DA74EB}"/>
    <cellStyle name="Normal 13 6 2 4 4" xfId="16651" xr:uid="{AB8D31FC-EBB6-4A57-99A2-31228F2AE69D}"/>
    <cellStyle name="Normal 13 6 2 4 4 2" xfId="16652" xr:uid="{1C59170A-C253-4B51-8E11-EAEDD0C72868}"/>
    <cellStyle name="Normal 13 6 2 4 5" xfId="16653" xr:uid="{C7E65604-1DC0-4FC3-A0A0-BBF83E4FD349}"/>
    <cellStyle name="Normal 13 6 2 5" xfId="16654" xr:uid="{BF238C54-B4F9-48C6-8599-745BC47A1BAA}"/>
    <cellStyle name="Normal 13 6 2 5 2" xfId="16655" xr:uid="{913BB12A-BB8C-46BF-9040-BE8BDD892284}"/>
    <cellStyle name="Normal 13 6 2 6" xfId="16656" xr:uid="{ED148F04-7277-4242-B7DA-715703EBF58F}"/>
    <cellStyle name="Normal 13 6 2 6 2" xfId="16657" xr:uid="{D6C20768-F8A5-424F-AFE3-CD87C337D13A}"/>
    <cellStyle name="Normal 13 6 2 7" xfId="16658" xr:uid="{AE40EC40-E714-497C-981D-E2D43A205C87}"/>
    <cellStyle name="Normal 13 6 2 7 2" xfId="16659" xr:uid="{8C56D660-8AFA-4C97-BFCC-973C84964113}"/>
    <cellStyle name="Normal 13 6 2 8" xfId="16660" xr:uid="{0661F6F0-13F1-436A-A8B4-D25E782C2BDA}"/>
    <cellStyle name="Normal 13 6 2 8 2" xfId="16661" xr:uid="{FE5451F2-D79E-465E-8DCB-3B460A39ED20}"/>
    <cellStyle name="Normal 13 6 2 9" xfId="16662" xr:uid="{9C8B7A36-FF11-49A8-B98C-A9D2D2023759}"/>
    <cellStyle name="Normal 13 6 2 9 2" xfId="16663" xr:uid="{925E0020-613A-4660-A965-5E122B9DE96A}"/>
    <cellStyle name="Normal 13 6 3" xfId="16664" xr:uid="{A0FE1F31-96E9-4503-844B-2A384B92FC0A}"/>
    <cellStyle name="Normal 13 6 3 10" xfId="16665" xr:uid="{E8E9CD79-02C5-4C28-AA3F-D430BB46FA7E}"/>
    <cellStyle name="Normal 13 6 3 2" xfId="16666" xr:uid="{E8EF0432-E022-42C2-A854-781B3D00E515}"/>
    <cellStyle name="Normal 13 6 3 2 2" xfId="16667" xr:uid="{2734B166-1AD2-4F40-84B3-4B6C616E62E1}"/>
    <cellStyle name="Normal 13 6 3 2 2 2" xfId="16668" xr:uid="{B43BA365-5FC3-4B9A-8EEA-68C2E01957CA}"/>
    <cellStyle name="Normal 13 6 3 2 3" xfId="16669" xr:uid="{12C1C965-4814-4E46-9BC3-32A6F1F7728D}"/>
    <cellStyle name="Normal 13 6 3 2 3 2" xfId="16670" xr:uid="{3D8BAF87-140D-42DF-BE48-F71ED2A48E29}"/>
    <cellStyle name="Normal 13 6 3 2 4" xfId="16671" xr:uid="{FD8D87EA-9F8C-4E60-8EF8-94997711292F}"/>
    <cellStyle name="Normal 13 6 3 2 4 2" xfId="16672" xr:uid="{7AA1B14B-DF07-4994-8CCD-2FB1DEE1DCF2}"/>
    <cellStyle name="Normal 13 6 3 2 5" xfId="16673" xr:uid="{6E405717-932F-4882-866F-FA8408AE0D7B}"/>
    <cellStyle name="Normal 13 6 3 3" xfId="16674" xr:uid="{5648EF1D-D63C-4FD8-BEC2-1778BE2C77CD}"/>
    <cellStyle name="Normal 13 6 3 3 2" xfId="16675" xr:uid="{7C84A7E5-C27E-4166-9F0E-1EB1B9E06DA7}"/>
    <cellStyle name="Normal 13 6 3 3 2 2" xfId="16676" xr:uid="{A8974F47-EB56-475E-9578-3EBF240A3FF7}"/>
    <cellStyle name="Normal 13 6 3 3 3" xfId="16677" xr:uid="{52B3DA88-EC2E-4789-86F2-8943B442E1B8}"/>
    <cellStyle name="Normal 13 6 3 3 3 2" xfId="16678" xr:uid="{93CDA7CD-FADC-498C-BBFB-F702C29A9E46}"/>
    <cellStyle name="Normal 13 6 3 3 4" xfId="16679" xr:uid="{5CA23A1B-FC89-4AA2-B235-ACDF22616ED0}"/>
    <cellStyle name="Normal 13 6 3 3 4 2" xfId="16680" xr:uid="{65B2CC75-C094-4752-BD83-CB28314C0369}"/>
    <cellStyle name="Normal 13 6 3 3 5" xfId="16681" xr:uid="{E34EB373-5BC9-42AF-9790-CD3BF11DAAE7}"/>
    <cellStyle name="Normal 13 6 3 4" xfId="16682" xr:uid="{572544AB-7643-4BBC-9E4B-341253B00273}"/>
    <cellStyle name="Normal 13 6 3 4 2" xfId="16683" xr:uid="{C84DEDFA-6AC6-4ACA-9D7B-7356290C4777}"/>
    <cellStyle name="Normal 13 6 3 5" xfId="16684" xr:uid="{50811B59-1F31-40BC-8563-FEF0BACDABF6}"/>
    <cellStyle name="Normal 13 6 3 5 2" xfId="16685" xr:uid="{1F432ABB-E64D-433E-ADFD-42E696D38162}"/>
    <cellStyle name="Normal 13 6 3 6" xfId="16686" xr:uid="{9FD894CB-B8E8-4D66-B79C-998827395832}"/>
    <cellStyle name="Normal 13 6 3 6 2" xfId="16687" xr:uid="{2A90EBF5-CB26-4AA3-9D28-31BDE657DF5E}"/>
    <cellStyle name="Normal 13 6 3 7" xfId="16688" xr:uid="{DBEB29CE-5CD5-49C4-87EC-F7C980F3AD1F}"/>
    <cellStyle name="Normal 13 6 3 7 2" xfId="16689" xr:uid="{A20D6B30-8A61-4153-94F6-70AB712C75D6}"/>
    <cellStyle name="Normal 13 6 3 8" xfId="16690" xr:uid="{A034369F-0384-4B2C-84DA-876AF96150ED}"/>
    <cellStyle name="Normal 13 6 3 8 2" xfId="16691" xr:uid="{E961094C-81C2-42DE-9D72-1C4E95E4EE79}"/>
    <cellStyle name="Normal 13 6 3 9" xfId="16692" xr:uid="{9E919490-0A44-46A8-91C7-6FE3823F3A34}"/>
    <cellStyle name="Normal 13 6 4" xfId="16693" xr:uid="{F3D9AB9F-E44E-4BA0-A453-1EFC26159411}"/>
    <cellStyle name="Normal 13 6 4 2" xfId="16694" xr:uid="{18957C17-F974-4B99-A269-712B140095F5}"/>
    <cellStyle name="Normal 13 6 4 2 2" xfId="16695" xr:uid="{94B7B4E3-89DC-46CE-8A9F-5140CD03FFCF}"/>
    <cellStyle name="Normal 13 6 4 3" xfId="16696" xr:uid="{B13EACA2-E984-4DB5-8F20-A54B656E2F3B}"/>
    <cellStyle name="Normal 13 6 4 3 2" xfId="16697" xr:uid="{9B8471B2-F84C-4A53-8F61-B895DB582792}"/>
    <cellStyle name="Normal 13 6 4 4" xfId="16698" xr:uid="{7CDC4EB5-57BB-412C-8AA8-02E4C3D0E5C2}"/>
    <cellStyle name="Normal 13 6 4 4 2" xfId="16699" xr:uid="{0B204FD9-B4AA-43CB-AA03-052F045E0628}"/>
    <cellStyle name="Normal 13 6 4 5" xfId="16700" xr:uid="{68B5479E-7EA8-4F4B-A505-4845074D1657}"/>
    <cellStyle name="Normal 13 6 4 6" xfId="16701" xr:uid="{E182755A-C792-42FC-B5A5-456A47C50A3F}"/>
    <cellStyle name="Normal 13 6 5" xfId="16702" xr:uid="{FA89D593-E3EB-42F6-8268-31EE8FE8DADF}"/>
    <cellStyle name="Normal 13 6 5 2" xfId="16703" xr:uid="{FE2D1A00-582A-43B5-A16F-0F18F7D1515F}"/>
    <cellStyle name="Normal 13 6 5 2 2" xfId="16704" xr:uid="{8F7A15A5-B663-432F-ACD4-4C4D9F5601FB}"/>
    <cellStyle name="Normal 13 6 5 3" xfId="16705" xr:uid="{ADE05DD3-5A77-4363-BB12-CB26F6064EDB}"/>
    <cellStyle name="Normal 13 6 5 3 2" xfId="16706" xr:uid="{57184E46-BA4F-42CF-AE79-60AD7302CA48}"/>
    <cellStyle name="Normal 13 6 5 4" xfId="16707" xr:uid="{D8AD4631-37F0-4E12-A92A-365925591B00}"/>
    <cellStyle name="Normal 13 6 5 4 2" xfId="16708" xr:uid="{63F44842-971B-40AE-BF7C-F53772E41257}"/>
    <cellStyle name="Normal 13 6 5 5" xfId="16709" xr:uid="{F6764C78-63F4-4CF2-B4BD-F6FCB1434246}"/>
    <cellStyle name="Normal 13 6 6" xfId="16710" xr:uid="{F27BE421-03A2-4636-8434-7E5C4E3B8B2F}"/>
    <cellStyle name="Normal 13 6 6 2" xfId="16711" xr:uid="{0423B2B2-0C15-415A-BE72-08CDA4436269}"/>
    <cellStyle name="Normal 13 6 7" xfId="16712" xr:uid="{1E9DCF1F-B262-41AE-AB07-16426FFFCDFF}"/>
    <cellStyle name="Normal 13 6 7 2" xfId="16713" xr:uid="{ABD610E8-3E57-4086-A1F5-FF6368216E76}"/>
    <cellStyle name="Normal 13 6 8" xfId="16714" xr:uid="{5B97C76C-1EA3-45F3-9C51-66F0F6690611}"/>
    <cellStyle name="Normal 13 6 8 2" xfId="16715" xr:uid="{9BD5D97B-92B3-4F5E-A177-F44942F1045A}"/>
    <cellStyle name="Normal 13 6 9" xfId="16716" xr:uid="{DCFF1677-DFD4-4164-AEF9-F12E14B60F4E}"/>
    <cellStyle name="Normal 13 6 9 2" xfId="16717" xr:uid="{BDC92494-F382-44AA-87E3-51A42FA73AD4}"/>
    <cellStyle name="Normal 13 7" xfId="16718" xr:uid="{5C772522-0649-4086-90B7-011E94573833}"/>
    <cellStyle name="Normal 13 7 10" xfId="16719" xr:uid="{F89721AA-81DF-4CE6-B2A0-645E333333F0}"/>
    <cellStyle name="Normal 13 7 10 2" xfId="16720" xr:uid="{2E939780-7C74-4A8C-ACAF-A0D43B2F5E78}"/>
    <cellStyle name="Normal 13 7 11" xfId="16721" xr:uid="{40358DD1-EF60-4F0E-B8EE-FA60369EC900}"/>
    <cellStyle name="Normal 13 7 12" xfId="16722" xr:uid="{CAF8D511-B79B-405F-8765-788A27DB45BB}"/>
    <cellStyle name="Normal 13 7 2" xfId="16723" xr:uid="{55CD61A4-CF9C-4398-A410-6C4A1EAFDC9D}"/>
    <cellStyle name="Normal 13 7 2 10" xfId="16724" xr:uid="{BD89692D-4A5C-4633-939E-F42C21E6A53B}"/>
    <cellStyle name="Normal 13 7 2 11" xfId="16725" xr:uid="{9EFD736D-EFB3-4533-BD72-CE73A84C8AFA}"/>
    <cellStyle name="Normal 13 7 2 2" xfId="16726" xr:uid="{87C72429-D242-487D-804C-FFCB223F8965}"/>
    <cellStyle name="Normal 13 7 2 2 2" xfId="16727" xr:uid="{E94E69F2-229B-463E-A778-FB238DAB7AEB}"/>
    <cellStyle name="Normal 13 7 2 2 2 2" xfId="16728" xr:uid="{F9E19F88-B4F3-42B5-9A95-19C9CA3507AD}"/>
    <cellStyle name="Normal 13 7 2 2 2 2 2" xfId="16729" xr:uid="{5F01D28F-A43C-4EBD-909B-68BA55EA6A20}"/>
    <cellStyle name="Normal 13 7 2 2 2 3" xfId="16730" xr:uid="{A6FFCB09-38F9-449A-87D1-20BD37193898}"/>
    <cellStyle name="Normal 13 7 2 2 2 3 2" xfId="16731" xr:uid="{F50C0B23-6170-4189-B110-245A7BD34E54}"/>
    <cellStyle name="Normal 13 7 2 2 2 4" xfId="16732" xr:uid="{B357E7D2-267B-4FD0-8E6C-BB6188DBDD7E}"/>
    <cellStyle name="Normal 13 7 2 2 2 4 2" xfId="16733" xr:uid="{CA22CEC7-CEA4-42E3-AFFE-2CBC4FB75533}"/>
    <cellStyle name="Normal 13 7 2 2 2 5" xfId="16734" xr:uid="{28F68530-0322-42DF-9970-96D09952F390}"/>
    <cellStyle name="Normal 13 7 2 2 3" xfId="16735" xr:uid="{4D68019B-C3D3-402C-8414-E1F209990199}"/>
    <cellStyle name="Normal 13 7 2 2 3 2" xfId="16736" xr:uid="{C97F8F58-FCF1-4944-95C6-6DA84D131C37}"/>
    <cellStyle name="Normal 13 7 2 2 3 2 2" xfId="16737" xr:uid="{9E23B59C-F8E6-4EED-8A79-1DBFCE20ADB0}"/>
    <cellStyle name="Normal 13 7 2 2 3 3" xfId="16738" xr:uid="{1B13D179-5340-4CC7-BA07-24D956DC489D}"/>
    <cellStyle name="Normal 13 7 2 2 3 3 2" xfId="16739" xr:uid="{EB4A44B5-1A0F-40FA-B903-412DA596B245}"/>
    <cellStyle name="Normal 13 7 2 2 3 4" xfId="16740" xr:uid="{8B901767-993A-49FF-B2AF-2044E677C311}"/>
    <cellStyle name="Normal 13 7 2 2 3 4 2" xfId="16741" xr:uid="{58767245-9B5C-4CB3-8DD0-DB2F89E760C5}"/>
    <cellStyle name="Normal 13 7 2 2 3 5" xfId="16742" xr:uid="{5EAD4D2E-995F-4203-A422-4BA671EFE4AA}"/>
    <cellStyle name="Normal 13 7 2 2 4" xfId="16743" xr:uid="{A82A532B-AD93-4E84-A426-0617CA11DEE7}"/>
    <cellStyle name="Normal 13 7 2 2 4 2" xfId="16744" xr:uid="{0FDE3749-A51A-4937-9379-30631A1F674B}"/>
    <cellStyle name="Normal 13 7 2 2 5" xfId="16745" xr:uid="{E62A71FB-9F75-4AF1-A2CD-2496154C2251}"/>
    <cellStyle name="Normal 13 7 2 2 5 2" xfId="16746" xr:uid="{E848EFEA-6B94-45EA-B1D8-7874E9E7D161}"/>
    <cellStyle name="Normal 13 7 2 2 6" xfId="16747" xr:uid="{89E5C4CA-F72A-4C8B-8AF7-C4138BA6EFA6}"/>
    <cellStyle name="Normal 13 7 2 2 6 2" xfId="16748" xr:uid="{27615041-1DB0-4901-A770-A19BB1741A08}"/>
    <cellStyle name="Normal 13 7 2 2 7" xfId="16749" xr:uid="{4C603CB6-87AA-49E5-AE0F-3E21AF62C062}"/>
    <cellStyle name="Normal 13 7 2 2 7 2" xfId="16750" xr:uid="{9EBB15C1-E1AF-48AD-9639-0ABF86721A45}"/>
    <cellStyle name="Normal 13 7 2 2 8" xfId="16751" xr:uid="{9F99D1C5-4F06-4775-BCE0-71E510F22C86}"/>
    <cellStyle name="Normal 13 7 2 2 8 2" xfId="16752" xr:uid="{B9A1CFD7-CB3D-4352-BF96-E6D7A0170B72}"/>
    <cellStyle name="Normal 13 7 2 2 9" xfId="16753" xr:uid="{697889C5-1745-4226-9E8D-0305BD279057}"/>
    <cellStyle name="Normal 13 7 2 3" xfId="16754" xr:uid="{83C33BE8-F1C6-4979-BB6C-92B896EFD40E}"/>
    <cellStyle name="Normal 13 7 2 3 2" xfId="16755" xr:uid="{CB76EC88-2FD5-437B-A7BB-32EF6963D04B}"/>
    <cellStyle name="Normal 13 7 2 3 2 2" xfId="16756" xr:uid="{B9ECB535-B96A-4194-A797-4D85D44898B7}"/>
    <cellStyle name="Normal 13 7 2 3 3" xfId="16757" xr:uid="{3FEB3709-FE61-4F72-B1A0-4D0B59F98540}"/>
    <cellStyle name="Normal 13 7 2 3 3 2" xfId="16758" xr:uid="{447FDB2B-31C1-424E-81F8-6FF15B789696}"/>
    <cellStyle name="Normal 13 7 2 3 4" xfId="16759" xr:uid="{F529257D-EB96-4A4C-9512-F69E044D6AD3}"/>
    <cellStyle name="Normal 13 7 2 3 4 2" xfId="16760" xr:uid="{287AC3CD-3BDD-4B32-A9BA-CD7FB4AC0BE5}"/>
    <cellStyle name="Normal 13 7 2 3 5" xfId="16761" xr:uid="{9664F69E-146C-476D-A893-C156A75A2224}"/>
    <cellStyle name="Normal 13 7 2 4" xfId="16762" xr:uid="{DA657553-5C83-4A82-A9B3-0D90A72840CA}"/>
    <cellStyle name="Normal 13 7 2 4 2" xfId="16763" xr:uid="{AE5A9B91-A35E-4388-81ED-F8FEB1038A8C}"/>
    <cellStyle name="Normal 13 7 2 4 2 2" xfId="16764" xr:uid="{21B92480-2A6F-432A-ACD1-A6B2E3C6BAC1}"/>
    <cellStyle name="Normal 13 7 2 4 3" xfId="16765" xr:uid="{7169526B-6F9D-4D24-8E60-FE46B37077A2}"/>
    <cellStyle name="Normal 13 7 2 4 3 2" xfId="16766" xr:uid="{45EFC701-C837-4A7D-8CAA-49A2FA0B5386}"/>
    <cellStyle name="Normal 13 7 2 4 4" xfId="16767" xr:uid="{C29C4AE2-7D74-47B1-A07B-F20CC259F720}"/>
    <cellStyle name="Normal 13 7 2 4 4 2" xfId="16768" xr:uid="{D699555E-976F-4A60-83E2-75C453007862}"/>
    <cellStyle name="Normal 13 7 2 4 5" xfId="16769" xr:uid="{8BD18949-2B4E-46ED-A663-D63A8F7E2CE5}"/>
    <cellStyle name="Normal 13 7 2 5" xfId="16770" xr:uid="{95EE393E-976A-4D0C-8B7A-F4AD23560704}"/>
    <cellStyle name="Normal 13 7 2 5 2" xfId="16771" xr:uid="{5F098D3D-503A-42EC-8A7B-6FCC0BCE2F46}"/>
    <cellStyle name="Normal 13 7 2 6" xfId="16772" xr:uid="{704575BC-95C9-4379-B4C7-DEE0E1974A61}"/>
    <cellStyle name="Normal 13 7 2 6 2" xfId="16773" xr:uid="{64E2A322-87E2-46D2-9263-6564DBE0E94F}"/>
    <cellStyle name="Normal 13 7 2 7" xfId="16774" xr:uid="{059FC75A-9FCE-43A2-8BDC-BE63505DDEB5}"/>
    <cellStyle name="Normal 13 7 2 7 2" xfId="16775" xr:uid="{E153FC41-4FE5-4647-B35B-821870956407}"/>
    <cellStyle name="Normal 13 7 2 8" xfId="16776" xr:uid="{E548C6BD-F1FE-4BF7-A52E-E5C9DE518E2B}"/>
    <cellStyle name="Normal 13 7 2 8 2" xfId="16777" xr:uid="{64C3F518-F713-4B03-B5B9-C81E13ED9795}"/>
    <cellStyle name="Normal 13 7 2 9" xfId="16778" xr:uid="{8FC11A0A-633D-4F87-B9B4-EFA63ED183A9}"/>
    <cellStyle name="Normal 13 7 2 9 2" xfId="16779" xr:uid="{46AD4578-78F0-424E-87DC-8424FFDEEE3B}"/>
    <cellStyle name="Normal 13 7 3" xfId="16780" xr:uid="{5EAB4E8A-AF77-42C1-A554-B4529F8FF0E3}"/>
    <cellStyle name="Normal 13 7 3 10" xfId="16781" xr:uid="{DF2761A8-095C-4E0E-BFC8-B83A98DDB4E0}"/>
    <cellStyle name="Normal 13 7 3 2" xfId="16782" xr:uid="{8BC419D7-D7DA-425B-8CFB-EBE7F2B549E5}"/>
    <cellStyle name="Normal 13 7 3 2 2" xfId="16783" xr:uid="{F0D65AA4-269C-4700-9F64-99207A5B3B0D}"/>
    <cellStyle name="Normal 13 7 3 2 2 2" xfId="16784" xr:uid="{76364715-FD2E-44D8-9ED8-37604412F602}"/>
    <cellStyle name="Normal 13 7 3 2 3" xfId="16785" xr:uid="{CB47EF94-2BF5-4844-971F-B28110E977E5}"/>
    <cellStyle name="Normal 13 7 3 2 3 2" xfId="16786" xr:uid="{62DF1105-D837-4A39-B28F-A38AFC1C6BC7}"/>
    <cellStyle name="Normal 13 7 3 2 4" xfId="16787" xr:uid="{9A7F8CC4-CB9D-4F6F-83E7-29BACBCB842B}"/>
    <cellStyle name="Normal 13 7 3 2 4 2" xfId="16788" xr:uid="{1A5D0CAC-8F2C-413D-ADE1-5EA18EBC8757}"/>
    <cellStyle name="Normal 13 7 3 2 5" xfId="16789" xr:uid="{AADE8173-74B1-409F-B595-6B0A2B1F34DE}"/>
    <cellStyle name="Normal 13 7 3 3" xfId="16790" xr:uid="{281762AE-96BF-49B9-83F5-3CBAA1D89416}"/>
    <cellStyle name="Normal 13 7 3 3 2" xfId="16791" xr:uid="{CE20436B-4C99-498B-820C-AC3BC39A4ED7}"/>
    <cellStyle name="Normal 13 7 3 3 2 2" xfId="16792" xr:uid="{2D6BCDE7-FD7D-43B1-A8FD-037BC5ADA97B}"/>
    <cellStyle name="Normal 13 7 3 3 3" xfId="16793" xr:uid="{E606118F-75B4-4734-99D2-C16799CFD48E}"/>
    <cellStyle name="Normal 13 7 3 3 3 2" xfId="16794" xr:uid="{9E6AFF2A-2951-46F7-BF71-A742407E6A1A}"/>
    <cellStyle name="Normal 13 7 3 3 4" xfId="16795" xr:uid="{75D2E89E-84B1-472C-B7E6-4C74E2CAD595}"/>
    <cellStyle name="Normal 13 7 3 3 4 2" xfId="16796" xr:uid="{F96D4303-3347-473C-BC76-837DD3E23C61}"/>
    <cellStyle name="Normal 13 7 3 3 5" xfId="16797" xr:uid="{31A53F58-9C04-4B33-96C1-0439041E31C0}"/>
    <cellStyle name="Normal 13 7 3 4" xfId="16798" xr:uid="{AC8ADCA5-B5F6-42EB-9294-60B6E214FB56}"/>
    <cellStyle name="Normal 13 7 3 4 2" xfId="16799" xr:uid="{E1338663-F524-4F09-8997-358A3D8C80FE}"/>
    <cellStyle name="Normal 13 7 3 5" xfId="16800" xr:uid="{3FB0680A-B0C8-4E12-8A11-BCE72EE2AACE}"/>
    <cellStyle name="Normal 13 7 3 5 2" xfId="16801" xr:uid="{0A68955D-80F8-44C8-A79C-080C07762FBD}"/>
    <cellStyle name="Normal 13 7 3 6" xfId="16802" xr:uid="{876A5879-30FA-4DDB-B92E-597BB33FD1AB}"/>
    <cellStyle name="Normal 13 7 3 6 2" xfId="16803" xr:uid="{B4FC60C7-6E88-419E-B8B1-C6B97F5DCF1A}"/>
    <cellStyle name="Normal 13 7 3 7" xfId="16804" xr:uid="{E4EDF862-4B1E-4D7C-9EAB-4AA68C75EDD2}"/>
    <cellStyle name="Normal 13 7 3 7 2" xfId="16805" xr:uid="{C7C5EBD6-3384-4DC0-B179-B77F429569F7}"/>
    <cellStyle name="Normal 13 7 3 8" xfId="16806" xr:uid="{287BA26D-6781-4EA5-8498-56FD8681E62C}"/>
    <cellStyle name="Normal 13 7 3 8 2" xfId="16807" xr:uid="{D44438C4-2A2A-4714-BDCE-8EBA129179F3}"/>
    <cellStyle name="Normal 13 7 3 9" xfId="16808" xr:uid="{40BF9EC0-836F-44F5-85F3-4C2CDF52B67B}"/>
    <cellStyle name="Normal 13 7 4" xfId="16809" xr:uid="{F9A4EB82-BEC6-407C-BFCA-A4840CE1AACC}"/>
    <cellStyle name="Normal 13 7 4 2" xfId="16810" xr:uid="{FD8D81EA-2FF5-4304-B5EC-E6EEEE42131D}"/>
    <cellStyle name="Normal 13 7 4 2 2" xfId="16811" xr:uid="{CE232C35-EF7B-46F4-83B8-34B9E0E9B579}"/>
    <cellStyle name="Normal 13 7 4 3" xfId="16812" xr:uid="{82C22163-790E-4ACE-A056-8897EED8D1ED}"/>
    <cellStyle name="Normal 13 7 4 3 2" xfId="16813" xr:uid="{6E955F06-1CCE-42F9-99E0-022BAF9638D4}"/>
    <cellStyle name="Normal 13 7 4 4" xfId="16814" xr:uid="{4727965F-2B82-4B3A-9BF1-F5249C58DC5D}"/>
    <cellStyle name="Normal 13 7 4 4 2" xfId="16815" xr:uid="{6784B9E4-4D43-4686-9A50-07E2C2CA0DC9}"/>
    <cellStyle name="Normal 13 7 4 5" xfId="16816" xr:uid="{637F7DBC-DAFE-4D7C-87B3-DE078D9F819A}"/>
    <cellStyle name="Normal 13 7 5" xfId="16817" xr:uid="{DE85194E-13BE-45BC-B895-2CCB0945FCBC}"/>
    <cellStyle name="Normal 13 7 5 2" xfId="16818" xr:uid="{66818A8F-7E80-4E87-BC68-829C782AF3A3}"/>
    <cellStyle name="Normal 13 7 5 2 2" xfId="16819" xr:uid="{3983A410-8C62-4FBC-8C90-41C790F37CB1}"/>
    <cellStyle name="Normal 13 7 5 3" xfId="16820" xr:uid="{417246CC-B2F6-4892-83A0-45A0B5F95C39}"/>
    <cellStyle name="Normal 13 7 5 3 2" xfId="16821" xr:uid="{23EAB4A2-06DB-43AE-AD3C-1040690791F0}"/>
    <cellStyle name="Normal 13 7 5 4" xfId="16822" xr:uid="{CE39EA05-1551-4D4C-B445-AA8F3D4B26FC}"/>
    <cellStyle name="Normal 13 7 5 4 2" xfId="16823" xr:uid="{19796C26-DDB7-4D9E-820C-D0E01E516521}"/>
    <cellStyle name="Normal 13 7 5 5" xfId="16824" xr:uid="{190D0F3C-1802-47EC-91DF-50B0DB5166CD}"/>
    <cellStyle name="Normal 13 7 6" xfId="16825" xr:uid="{34EC5FF3-4009-4482-91F1-1E515B45A3F7}"/>
    <cellStyle name="Normal 13 7 6 2" xfId="16826" xr:uid="{FFD6CDA5-86C3-4359-AFA7-940BC6AD4EA5}"/>
    <cellStyle name="Normal 13 7 7" xfId="16827" xr:uid="{33D8BFFC-995E-4439-8969-EA7BB22A4694}"/>
    <cellStyle name="Normal 13 7 7 2" xfId="16828" xr:uid="{931069CA-9B0D-4284-B82D-AF418D4193E4}"/>
    <cellStyle name="Normal 13 7 8" xfId="16829" xr:uid="{AFEF287F-4655-4B2F-9960-1C75C024021E}"/>
    <cellStyle name="Normal 13 7 8 2" xfId="16830" xr:uid="{B926F05D-C8F3-4FE0-BA17-BC0EB632DBFE}"/>
    <cellStyle name="Normal 13 7 9" xfId="16831" xr:uid="{F5C1E8DD-155E-474D-AB33-C742EA4F9BDF}"/>
    <cellStyle name="Normal 13 7 9 2" xfId="16832" xr:uid="{EB8CC3A9-6A9D-4548-BD26-88E1DCAA79E8}"/>
    <cellStyle name="Normal 13 8" xfId="16833" xr:uid="{6667C243-0B1A-4B8A-A5DB-C2F4FAF8F1E0}"/>
    <cellStyle name="Normal 13 8 10" xfId="16834" xr:uid="{7BA09D5B-9C15-4595-AF4F-1A3D74972051}"/>
    <cellStyle name="Normal 13 8 2" xfId="16835" xr:uid="{16FE5CAC-0755-4E63-B1DC-C742C4921304}"/>
    <cellStyle name="Normal 13 8 2 2" xfId="16836" xr:uid="{FCDC5F54-F797-469D-A7DD-920EF73B2BB0}"/>
    <cellStyle name="Normal 13 8 2 2 2" xfId="16837" xr:uid="{6B22D7D1-6D4E-4F7B-B8E1-726665777AE9}"/>
    <cellStyle name="Normal 13 8 2 2 2 2" xfId="16838" xr:uid="{5E82C24F-0253-407A-84D4-07CC2A858672}"/>
    <cellStyle name="Normal 13 8 2 2 3" xfId="16839" xr:uid="{6BB037B9-FA81-4413-80CB-F7EC41A49C95}"/>
    <cellStyle name="Normal 13 8 2 2 3 2" xfId="16840" xr:uid="{9C319962-4337-4F88-920A-0E03967495CA}"/>
    <cellStyle name="Normal 13 8 2 2 4" xfId="16841" xr:uid="{B66AC50C-F328-43D9-94D7-2FD19A6D5928}"/>
    <cellStyle name="Normal 13 8 2 2 4 2" xfId="16842" xr:uid="{E0E24A84-BEAC-4801-B7AA-7823A5417062}"/>
    <cellStyle name="Normal 13 8 2 2 5" xfId="16843" xr:uid="{998F0FA5-410C-40AB-9808-B0238B6E05CC}"/>
    <cellStyle name="Normal 13 8 2 3" xfId="16844" xr:uid="{960A346D-D0CE-4781-9BB1-C7DF7B038442}"/>
    <cellStyle name="Normal 13 8 2 3 2" xfId="16845" xr:uid="{4474E8A4-1B4F-4E57-8F1D-78713B92F8DF}"/>
    <cellStyle name="Normal 13 8 2 3 2 2" xfId="16846" xr:uid="{F0DC6D1D-2941-42B7-AE32-C21AA81112D8}"/>
    <cellStyle name="Normal 13 8 2 3 3" xfId="16847" xr:uid="{6C1364FD-4BA4-4E21-8E5A-05E0EC2591CB}"/>
    <cellStyle name="Normal 13 8 2 3 3 2" xfId="16848" xr:uid="{F55ED717-5F4F-461A-816F-2E36AEA3E73A}"/>
    <cellStyle name="Normal 13 8 2 3 4" xfId="16849" xr:uid="{9411189E-AFBC-40F7-A389-0024FF6C6C85}"/>
    <cellStyle name="Normal 13 8 2 3 4 2" xfId="16850" xr:uid="{34B1FDD0-03CF-4A34-96FB-72D3E72A362C}"/>
    <cellStyle name="Normal 13 8 2 3 5" xfId="16851" xr:uid="{B7B9EDE9-87E5-4B0C-A394-A6720DD6E170}"/>
    <cellStyle name="Normal 13 8 2 4" xfId="16852" xr:uid="{C3C673F4-8659-43E3-AE2D-C104AFFD3CD9}"/>
    <cellStyle name="Normal 13 8 2 4 2" xfId="16853" xr:uid="{AAB6475A-6224-4028-BBE8-3CAD0B3CE91C}"/>
    <cellStyle name="Normal 13 8 2 5" xfId="16854" xr:uid="{9DFB5118-13AC-4537-975B-BD6FB3CF6ED7}"/>
    <cellStyle name="Normal 13 8 2 5 2" xfId="16855" xr:uid="{B9C29E09-6163-4428-91BD-82DC2283522A}"/>
    <cellStyle name="Normal 13 8 2 6" xfId="16856" xr:uid="{A9114CA4-DDAB-4741-A42B-2766071CCCD1}"/>
    <cellStyle name="Normal 13 8 2 6 2" xfId="16857" xr:uid="{FB003794-E839-4A62-A433-1B996CB4B698}"/>
    <cellStyle name="Normal 13 8 2 7" xfId="16858" xr:uid="{43647B5F-45FD-4928-A982-419CC74305CA}"/>
    <cellStyle name="Normal 13 8 2 7 2" xfId="16859" xr:uid="{08CB7769-31CB-4D88-95BA-413E9BEA6337}"/>
    <cellStyle name="Normal 13 8 2 8" xfId="16860" xr:uid="{97701E99-F80D-4B7D-B8B9-30D7082B04AC}"/>
    <cellStyle name="Normal 13 8 2 8 2" xfId="16861" xr:uid="{354423EA-89CB-4A7B-9108-8E9E35A2C057}"/>
    <cellStyle name="Normal 13 8 2 9" xfId="16862" xr:uid="{17D6AC54-254D-49F8-AA6B-AE9790A39AEE}"/>
    <cellStyle name="Normal 13 8 3" xfId="16863" xr:uid="{09459DCF-8FC3-4DF0-8324-784ECC9E92D8}"/>
    <cellStyle name="Normal 13 8 3 2" xfId="16864" xr:uid="{B7DF55CD-3CEB-49BF-A407-46A84516B2CF}"/>
    <cellStyle name="Normal 13 8 3 2 2" xfId="16865" xr:uid="{1E345E3D-62FF-436F-B913-D5967916B05F}"/>
    <cellStyle name="Normal 13 8 3 3" xfId="16866" xr:uid="{22A696C3-66B0-4869-A5D5-4943796C6F8E}"/>
    <cellStyle name="Normal 13 8 3 3 2" xfId="16867" xr:uid="{F3730CED-DBCA-4E52-A5F3-356E29939C62}"/>
    <cellStyle name="Normal 13 8 3 4" xfId="16868" xr:uid="{5A55A4A8-0513-41BD-9222-09C5B2077953}"/>
    <cellStyle name="Normal 13 8 3 4 2" xfId="16869" xr:uid="{E853A300-D0A5-41DF-B570-CA2A34E206C6}"/>
    <cellStyle name="Normal 13 8 3 5" xfId="16870" xr:uid="{FF3E3B29-C040-46A4-88CA-C64337C5C066}"/>
    <cellStyle name="Normal 13 8 4" xfId="16871" xr:uid="{A316A482-7D07-4F59-B0E2-284979400831}"/>
    <cellStyle name="Normal 13 8 4 2" xfId="16872" xr:uid="{F0492E30-AFD2-4884-B5D2-FB99F79C6CC8}"/>
    <cellStyle name="Normal 13 8 4 2 2" xfId="16873" xr:uid="{FD5EC222-18EE-44B1-BE49-40F59AE50A7C}"/>
    <cellStyle name="Normal 13 8 4 3" xfId="16874" xr:uid="{E47CCAEF-36DD-4041-8936-496E7DC9498D}"/>
    <cellStyle name="Normal 13 8 4 3 2" xfId="16875" xr:uid="{AC974E79-19C2-453B-A5E6-555D47B3AF6C}"/>
    <cellStyle name="Normal 13 8 4 4" xfId="16876" xr:uid="{0D71A4DE-FF48-406F-B948-AD6C50AD0E84}"/>
    <cellStyle name="Normal 13 8 4 4 2" xfId="16877" xr:uid="{B717BB4E-FBD8-48EA-87DD-99281AF4372F}"/>
    <cellStyle name="Normal 13 8 4 5" xfId="16878" xr:uid="{C7832310-1E57-42F2-9BE0-B4D554974680}"/>
    <cellStyle name="Normal 13 8 5" xfId="16879" xr:uid="{65E9B2DA-CD52-4A99-A358-29F7D98E9DB1}"/>
    <cellStyle name="Normal 13 8 5 2" xfId="16880" xr:uid="{5D6FF44C-0900-4874-9A7A-6480D4522602}"/>
    <cellStyle name="Normal 13 8 6" xfId="16881" xr:uid="{8F7F6023-6F07-470F-8B3A-D9F97C84C4C3}"/>
    <cellStyle name="Normal 13 8 6 2" xfId="16882" xr:uid="{39B72EC4-21D3-406C-83F9-3D5853B0CE97}"/>
    <cellStyle name="Normal 13 8 7" xfId="16883" xr:uid="{624BD51A-1F69-45DD-A942-5224709768C5}"/>
    <cellStyle name="Normal 13 8 7 2" xfId="16884" xr:uid="{EDBB2186-4D2A-49B2-85DE-5A363FAF0F93}"/>
    <cellStyle name="Normal 13 8 8" xfId="16885" xr:uid="{9DD340F9-8B93-4464-B1DD-8E11601C7804}"/>
    <cellStyle name="Normal 13 8 8 2" xfId="16886" xr:uid="{B2E92097-0C6C-42C4-969D-6853296F8821}"/>
    <cellStyle name="Normal 13 8 9" xfId="16887" xr:uid="{4847A62B-539F-4FB3-BFA4-EC413AEA57B1}"/>
    <cellStyle name="Normal 13 8 9 2" xfId="16888" xr:uid="{98D4FCA3-37C3-4B92-AF63-D085F23AC489}"/>
    <cellStyle name="Normal 13 9" xfId="16889" xr:uid="{CB4A57F3-786E-4578-AE1E-E887A51213CB}"/>
    <cellStyle name="Normal 13 9 2" xfId="16890" xr:uid="{834B6B06-B175-488D-B620-9FD5CCC3CA61}"/>
    <cellStyle name="Normal 13 9 2 2" xfId="16891" xr:uid="{84EC8D4E-5D73-4771-81F1-ED7D6B233153}"/>
    <cellStyle name="Normal 13 9 2 2 2" xfId="16892" xr:uid="{0B56E7C9-281F-4616-AA76-850DE4EDCD39}"/>
    <cellStyle name="Normal 13 9 2 3" xfId="16893" xr:uid="{F548B158-49D0-4AD9-9C3D-9545EFE02C6F}"/>
    <cellStyle name="Normal 13 9 2 3 2" xfId="16894" xr:uid="{765C578C-3AC9-4A8E-8A51-F6AB14A7D9A0}"/>
    <cellStyle name="Normal 13 9 2 4" xfId="16895" xr:uid="{BAC43B51-D0E2-46A8-9684-D3EED6E2EBA8}"/>
    <cellStyle name="Normal 13 9 2 4 2" xfId="16896" xr:uid="{0D7BD9CD-773B-4073-BBA3-45C02083CB62}"/>
    <cellStyle name="Normal 13 9 2 5" xfId="16897" xr:uid="{8B16A363-9C63-4072-BD01-E61F256F8D9B}"/>
    <cellStyle name="Normal 13 9 3" xfId="16898" xr:uid="{50F3BC9C-25BC-4923-A66C-7D3B238C12C4}"/>
    <cellStyle name="Normal 13 9 3 2" xfId="16899" xr:uid="{F3AF2DFE-C49D-4029-A58F-6566E2E1818D}"/>
    <cellStyle name="Normal 13 9 3 2 2" xfId="16900" xr:uid="{224A2D48-200E-442C-BE82-2EA6B1C29705}"/>
    <cellStyle name="Normal 13 9 3 3" xfId="16901" xr:uid="{4ED71F8B-2C90-465E-A07C-E878864B892F}"/>
    <cellStyle name="Normal 13 9 3 3 2" xfId="16902" xr:uid="{07155720-613D-4EDD-9916-0A583C34484E}"/>
    <cellStyle name="Normal 13 9 3 4" xfId="16903" xr:uid="{EBE87C08-07FA-41B8-9EAA-1F60A20B491C}"/>
    <cellStyle name="Normal 13 9 3 4 2" xfId="16904" xr:uid="{94325D92-DDBE-4404-A52A-E1DA1172A89B}"/>
    <cellStyle name="Normal 13 9 3 5" xfId="16905" xr:uid="{79CCD1CA-75B2-446F-9431-7774FF64A046}"/>
    <cellStyle name="Normal 13 9 4" xfId="16906" xr:uid="{30174086-3805-4A90-A4CE-3A3530A713C0}"/>
    <cellStyle name="Normal 13 9 4 2" xfId="16907" xr:uid="{8F114A03-C7C7-4D40-9923-31157576DF0A}"/>
    <cellStyle name="Normal 13 9 5" xfId="16908" xr:uid="{601E2051-BE14-4F4D-AC3E-728314A18F6A}"/>
    <cellStyle name="Normal 13 9 5 2" xfId="16909" xr:uid="{23E6F34D-5648-4314-9186-7FB43E4507A7}"/>
    <cellStyle name="Normal 13 9 6" xfId="16910" xr:uid="{57E530B2-D55B-4DA5-BB99-7915743AC45D}"/>
    <cellStyle name="Normal 13 9 6 2" xfId="16911" xr:uid="{B6E9CED9-F394-4552-83C2-0194C4221781}"/>
    <cellStyle name="Normal 13 9 7" xfId="16912" xr:uid="{FD3CD168-C6D7-4416-8CC9-280D0DFEB526}"/>
    <cellStyle name="Normal 13 9 7 2" xfId="16913" xr:uid="{DA1D11ED-70E2-407F-BC35-8929ABA85A1B}"/>
    <cellStyle name="Normal 13 9 8" xfId="16914" xr:uid="{4127CC19-50F5-4721-8150-BA61CFD447F5}"/>
    <cellStyle name="Normal 13 9 8 2" xfId="16915" xr:uid="{539B8106-67D5-4E89-9C9C-ABA10FC347D8}"/>
    <cellStyle name="Normal 13 9 9" xfId="16916" xr:uid="{AB667B4A-7D42-4102-B6CC-0B1945B0BDC2}"/>
    <cellStyle name="Normal 13_12.31.2009 Sev TBBS # 82 (version 2)" xfId="16917" xr:uid="{08E9B335-C899-457A-A5A6-A583ED8EC916}"/>
    <cellStyle name="Normal 130" xfId="16918" xr:uid="{58F2DC92-427D-4509-AB77-3E2F7E368BC1}"/>
    <cellStyle name="Normal 131" xfId="16919" xr:uid="{F9D2BA72-6D96-4430-9B53-B71665E6FF39}"/>
    <cellStyle name="Normal 132" xfId="16920" xr:uid="{0209E2FC-F8CD-4640-B3DF-1EB392C80C3B}"/>
    <cellStyle name="Normal 133" xfId="16921" xr:uid="{DA6CDB49-63E1-4A30-8BF7-0AF146F89B25}"/>
    <cellStyle name="Normal 134" xfId="16922" xr:uid="{C42E2140-82F1-4BF7-B1C4-2BD64374230C}"/>
    <cellStyle name="Normal 135" xfId="16923" xr:uid="{B4D3C7C1-05A0-4B41-997E-71B93B315429}"/>
    <cellStyle name="Normal 135 2" xfId="33033" xr:uid="{D2C05DFA-DD78-401A-8E1E-A501AC9FAFB7}"/>
    <cellStyle name="Normal 135 3" xfId="33034" xr:uid="{76B9E79E-ED09-4BF4-8B72-D1C01E7F6EEB}"/>
    <cellStyle name="Normal 136" xfId="16924" xr:uid="{786EA4E2-1495-4FA2-B8CC-C9B55555A23D}"/>
    <cellStyle name="Normal 137" xfId="16925" xr:uid="{8F2F503F-9D91-4BF7-B70D-234C8747E94A}"/>
    <cellStyle name="Normal 138" xfId="16926" xr:uid="{F04B07A2-EFCE-42DA-8123-D7B1967E21F6}"/>
    <cellStyle name="Normal 139" xfId="16927" xr:uid="{85BA5735-6700-4307-98A3-1F98AAFA710B}"/>
    <cellStyle name="Normal 14" xfId="16928" xr:uid="{823F6E58-A145-400E-86B6-6E528F4745CF}"/>
    <cellStyle name="Normal 14 2" xfId="16929" xr:uid="{A234D0A4-D371-42B6-87E5-8FE6701D2E20}"/>
    <cellStyle name="Normal 14 2 2" xfId="16930" xr:uid="{D0424B10-1CBB-42E8-932D-A62D6DD8C0EF}"/>
    <cellStyle name="Normal 14 2 2 2" xfId="16931" xr:uid="{7F4788D5-2ED4-47F5-9C1B-476AF8EC64E2}"/>
    <cellStyle name="Normal 14 2 2 3" xfId="41489" xr:uid="{2B3B7E2D-01DD-4094-95E1-42958CD0C3EA}"/>
    <cellStyle name="Normal 14 2 3" xfId="16932" xr:uid="{10B8B7E5-601E-4F04-B19B-679D5FD53D1A}"/>
    <cellStyle name="Normal 14 2 3 2" xfId="41490" xr:uid="{4A188F3E-6677-4435-AE3A-4CE331305430}"/>
    <cellStyle name="Normal 14 2 4" xfId="41491" xr:uid="{55CB79C4-0DF0-40D9-BED9-394653342875}"/>
    <cellStyle name="Normal 14 2 5" xfId="41492" xr:uid="{8713A204-D5D8-4B38-B95A-8166C2B92C2F}"/>
    <cellStyle name="Normal 14 3" xfId="16933" xr:uid="{E0192E14-3021-47AA-BF83-783F6B2D0BD6}"/>
    <cellStyle name="Normal 14 3 2" xfId="16934" xr:uid="{452E2588-D7FE-4DCC-B5D0-4858ECDDA3AF}"/>
    <cellStyle name="Normal 14 3 3" xfId="41493" xr:uid="{8DA99C49-FDBC-46CE-B9EB-5553EE74F3E2}"/>
    <cellStyle name="Normal 14 4" xfId="16935" xr:uid="{8706A565-0D0B-4DEA-B460-572FBA19C788}"/>
    <cellStyle name="Normal 14 4 2" xfId="41494" xr:uid="{9A113E02-BB7D-4D18-BFAE-F45C7D01FB53}"/>
    <cellStyle name="Normal 14 5" xfId="16936" xr:uid="{EBEA4E1B-1270-40C0-B671-FB9E986B0AE4}"/>
    <cellStyle name="Normal 14 6" xfId="16937" xr:uid="{F150CABE-853C-466B-8B74-0C5663B57C81}"/>
    <cellStyle name="Normal 14 6 2" xfId="16938" xr:uid="{8545CD54-CEDA-4AA6-B57B-76122AB3F86C}"/>
    <cellStyle name="Normal 14 6 3" xfId="16939" xr:uid="{D45BAC2E-AB49-49A6-B2B6-4BF00AB5DF18}"/>
    <cellStyle name="Normal 14 7" xfId="33035" xr:uid="{960FA50F-C2E0-412A-8690-E1F3329C5B30}"/>
    <cellStyle name="Normal 140" xfId="16940" xr:uid="{484DA600-BAEE-4DD6-9CBD-25B7A988D3D3}"/>
    <cellStyle name="Normal 141" xfId="16941" xr:uid="{543C4B86-1FC0-4CAE-9C5D-45670B77CE41}"/>
    <cellStyle name="Normal 142" xfId="16942" xr:uid="{998953E1-345B-4948-AB8B-965753F36A00}"/>
    <cellStyle name="Normal 143" xfId="16943" xr:uid="{DE127AC3-3A4D-472F-965B-C98433C26CB3}"/>
    <cellStyle name="Normal 143 2" xfId="41495" xr:uid="{2A357A08-54B1-4F2F-9719-F4BD347D9DEB}"/>
    <cellStyle name="Normal 143 3" xfId="41496" xr:uid="{899940F1-193C-4D35-A387-186434C914CC}"/>
    <cellStyle name="Normal 144" xfId="33027" xr:uid="{D7E6D21B-1CF9-4E3E-89A0-00D717C31D82}"/>
    <cellStyle name="Normal 144 2" xfId="33038" xr:uid="{3639E359-FD9B-4769-86F4-F4161F37575B}"/>
    <cellStyle name="Normal 145" xfId="41497" xr:uid="{BC72F05B-A1AF-4AA3-A525-0A7671A18C0C}"/>
    <cellStyle name="Normal 146" xfId="41498" xr:uid="{547DFA72-3B9A-453D-ABE7-426AFD17A016}"/>
    <cellStyle name="Normal 147" xfId="41499" xr:uid="{E5910D1C-4A68-41F0-9F2F-2ADF03933136}"/>
    <cellStyle name="Normal 148" xfId="41500" xr:uid="{213106F8-90F3-47E0-A21D-C26BD69480DB}"/>
    <cellStyle name="Normal 149" xfId="41501" xr:uid="{B70060B5-83BC-4DAA-8F60-A5DB516E8B14}"/>
    <cellStyle name="Normal 15" xfId="16944" xr:uid="{35A6E2AB-A472-46BD-84F8-FFB858A6483B}"/>
    <cellStyle name="Normal 15 2" xfId="16945" xr:uid="{C054EA1A-7FFB-46B1-9EF6-16F7540CF215}"/>
    <cellStyle name="Normal 15 2 2" xfId="16946" xr:uid="{686E7746-4248-46AA-8545-5245E0FC43D0}"/>
    <cellStyle name="Normal 15 2 2 2" xfId="41502" xr:uid="{4A22A803-8468-408C-BBEE-243A180E63E1}"/>
    <cellStyle name="Normal 15 2 3" xfId="16947" xr:uid="{4981D3D6-B0F4-4C98-9DF5-51A2A159DE9E}"/>
    <cellStyle name="Normal 15 2 3 2" xfId="41503" xr:uid="{9D11FA02-340E-4672-BADE-2C7A1C6F7B10}"/>
    <cellStyle name="Normal 15 2 4" xfId="41504" xr:uid="{9FBBE534-EB2D-4CE5-B470-D1FF292D7306}"/>
    <cellStyle name="Normal 15 3" xfId="16948" xr:uid="{B8DD3103-3B46-4AAB-9AF7-C682A94D0662}"/>
    <cellStyle name="Normal 15 3 2" xfId="16949" xr:uid="{310725E2-EE3D-4DD4-89F0-2C88D596A32B}"/>
    <cellStyle name="Normal 15 3 3" xfId="41505" xr:uid="{C8DBCF7C-363D-47B9-9A84-3CF2A8BEDC35}"/>
    <cellStyle name="Normal 15 4" xfId="16950" xr:uid="{AC96E4AF-40C4-4213-B63B-4DD86E43495D}"/>
    <cellStyle name="Normal 15 4 2" xfId="41506" xr:uid="{EEB3ACF7-5C01-4A55-878D-B5796707D86C}"/>
    <cellStyle name="Normal 15 5" xfId="16951" xr:uid="{FD66A031-D5BC-4DA0-BAEB-589D504F43BB}"/>
    <cellStyle name="Normal 15 6" xfId="16952" xr:uid="{67F929B8-4624-4A5F-BD0D-CEDF177683D5}"/>
    <cellStyle name="Normal 15 6 2" xfId="16953" xr:uid="{3652EB12-40A5-41A1-87EC-9664718E7ED5}"/>
    <cellStyle name="Normal 15 6 3" xfId="16954" xr:uid="{DA4A2258-68E7-41BF-9855-688B1122D302}"/>
    <cellStyle name="Normal 150" xfId="41507" xr:uid="{4AFAC5DB-C382-4828-9965-1DDB2E9C04EA}"/>
    <cellStyle name="Normal 150 2" xfId="63" xr:uid="{A74945D3-B01D-49BA-988C-8485FB78EA18}"/>
    <cellStyle name="Normal 150 2 2" xfId="43637" xr:uid="{2E0AE908-1007-4077-845C-1BFA6CF9B5E8}"/>
    <cellStyle name="Normal 151" xfId="41508" xr:uid="{F46AD2F6-66CB-4DB1-BCCD-911BD4E9DAF6}"/>
    <cellStyle name="Normal 151 2" xfId="61" xr:uid="{9D80449F-4C35-486C-9B2A-35E59CB0C760}"/>
    <cellStyle name="Normal 152" xfId="41509" xr:uid="{4DEB357C-1F31-417A-A69B-85F3DD45FEBC}"/>
    <cellStyle name="Normal 153" xfId="33039" xr:uid="{22F1B022-4890-4E79-AC9D-B46F927F4559}"/>
    <cellStyle name="Normal 154" xfId="49" xr:uid="{9B612339-0E2D-4D29-BD23-05CC0422BA07}"/>
    <cellStyle name="Normal 154 2" xfId="41510" xr:uid="{32F9E513-7C2D-44AC-B227-D8527E62D3FD}"/>
    <cellStyle name="Normal 154 3" xfId="43635" xr:uid="{035DBCDA-67EA-438E-A483-BB0A9545769B}"/>
    <cellStyle name="Normal 155" xfId="71" xr:uid="{390F1241-90F4-49F6-8F6C-2B6AB0838E2D}"/>
    <cellStyle name="Normal 155 2" xfId="43642" xr:uid="{10000FAB-D9E9-4F06-B5E3-B9DD28930A8D}"/>
    <cellStyle name="Normal 156" xfId="41511" xr:uid="{9BBF57CE-7444-45AA-AD5D-8A3D70C24EA8}"/>
    <cellStyle name="Normal 156 2" xfId="41512" xr:uid="{83131DDC-9944-4243-ADE0-77ACF81D53A2}"/>
    <cellStyle name="Normal 157" xfId="74" xr:uid="{899FBCA5-625A-4AA8-B731-99115FF5D05D}"/>
    <cellStyle name="Normal 157 2" xfId="43644" xr:uid="{05DBBBB0-5237-49B2-BF01-F9ACA6983AF9}"/>
    <cellStyle name="Normal 158" xfId="75" xr:uid="{12880B0A-FC40-4F05-9AEB-EFF13EF69132}"/>
    <cellStyle name="Normal 158 2" xfId="41513" xr:uid="{A762D2A6-D674-41D7-A09E-BB67C2385747}"/>
    <cellStyle name="Normal 158 3" xfId="43645" xr:uid="{A82CB2A5-FC53-46BC-96A3-C043BE55E7FD}"/>
    <cellStyle name="Normal 159" xfId="76" xr:uid="{27DD747B-411F-409D-8453-BCE830254AA9}"/>
    <cellStyle name="Normal 159 2" xfId="43646" xr:uid="{9DBECDEB-D418-4600-B63C-354402D2C79D}"/>
    <cellStyle name="Normal 16" xfId="16955" xr:uid="{D055EC67-F4F2-4018-93B4-AC1630E033F6}"/>
    <cellStyle name="Normal 16 2" xfId="41" xr:uid="{D920D4DF-0ABE-43AB-9547-A69509A4DC36}"/>
    <cellStyle name="Normal 16 2 2" xfId="16957" xr:uid="{FF5FA249-63FC-4A26-9268-A962ACE6932A}"/>
    <cellStyle name="Normal 16 2 2 2" xfId="41514" xr:uid="{A9477ECF-6012-4DE4-B84F-9CDEF88E02C3}"/>
    <cellStyle name="Normal 16 2 3" xfId="16958" xr:uid="{9ACBC933-0A2B-435B-8F82-EC3359DC3669}"/>
    <cellStyle name="Normal 16 2 3 2" xfId="41515" xr:uid="{35C9805A-D494-430C-A98A-7E434E6B0DAC}"/>
    <cellStyle name="Normal 16 2 4" xfId="41516" xr:uid="{83A2322C-9564-4A8F-A57B-478E1E125A5A}"/>
    <cellStyle name="Normal 16 2 5" xfId="43627" xr:uid="{F7DFCD7D-747E-4D5A-A27E-5838295D66AE}"/>
    <cellStyle name="Normal 16 2 6" xfId="16956" xr:uid="{2687F89F-15D3-4237-A008-4CA64EB98F64}"/>
    <cellStyle name="Normal 16 3" xfId="16959" xr:uid="{E5A3ADE7-18B5-4003-B8CD-4947E5179CD2}"/>
    <cellStyle name="Normal 16 3 2" xfId="16960" xr:uid="{9A08F454-470B-4F15-A2E6-3B0FCC3560D1}"/>
    <cellStyle name="Normal 16 3 3" xfId="41517" xr:uid="{F1027978-D35E-402F-9C51-F0D78CF19E13}"/>
    <cellStyle name="Normal 16 4" xfId="16961" xr:uid="{6ABE3D4E-8BCA-4303-8DEC-1B7B14BAD42C}"/>
    <cellStyle name="Normal 16 4 2" xfId="41518" xr:uid="{E5D98682-F8C9-4C42-953B-8FB70208BDE7}"/>
    <cellStyle name="Normal 16 5" xfId="16962" xr:uid="{232E5BE4-37DA-42DF-B068-B07556769915}"/>
    <cellStyle name="Normal 16 6" xfId="16963" xr:uid="{6F63996B-0DA4-4F24-9EFB-3C462BA97DEE}"/>
    <cellStyle name="Normal 16 6 2" xfId="16964" xr:uid="{8F50479E-5DF5-4BF6-9791-B86142B92385}"/>
    <cellStyle name="Normal 16 6 3" xfId="16965" xr:uid="{2A1C2477-A9C5-43C4-8625-388B00AAE184}"/>
    <cellStyle name="Normal 160" xfId="77" xr:uid="{CAB0A9B9-8108-4517-9F5F-95145B04B534}"/>
    <cellStyle name="Normal 160 2" xfId="43647" xr:uid="{F7106A44-9887-47D8-86B7-DA8FF4E70D09}"/>
    <cellStyle name="Normal 161" xfId="78" xr:uid="{43AFCAFB-50F2-4B68-9B5A-441D2C556792}"/>
    <cellStyle name="Normal 161 2" xfId="43648" xr:uid="{331C8426-E30A-4403-95C4-5D00C547675D}"/>
    <cellStyle name="Normal 162" xfId="41519" xr:uid="{62A108BE-2DD1-46C5-9224-30D4B3C423C9}"/>
    <cellStyle name="Normal 163" xfId="41520" xr:uid="{E0D59ECF-F4C7-4F78-ACB3-02C8F5E1A3F3}"/>
    <cellStyle name="Normal 164" xfId="41521" xr:uid="{BB52F590-610F-4020-9C5A-B132D8C0E938}"/>
    <cellStyle name="Normal 165" xfId="41522" xr:uid="{D5C9C846-5D78-460B-B0D8-4A6AC8D68C8E}"/>
    <cellStyle name="Normal 166" xfId="41523" xr:uid="{B62DD7F7-E00E-49FE-B0C9-874CDE6F6F2B}"/>
    <cellStyle name="Normal 167" xfId="41524" xr:uid="{2FF44B5C-ACBA-4B8C-BDCE-ECF197AE31A3}"/>
    <cellStyle name="Normal 167 2" xfId="41525" xr:uid="{8E04B64F-8A1B-4F7D-AA69-899354F0B1D9}"/>
    <cellStyle name="Normal 167 2 2" xfId="41526" xr:uid="{D33884F4-A275-4DA7-BC6B-6711421FDB36}"/>
    <cellStyle name="Normal 167 2 3" xfId="41527" xr:uid="{7639C438-D9A0-47DC-8D21-E577D4020DAB}"/>
    <cellStyle name="Normal 168" xfId="41528" xr:uid="{C48BA46E-7639-4FA0-BC7D-98929E886358}"/>
    <cellStyle name="Normal 169" xfId="41529" xr:uid="{3F49D212-0693-4292-A08A-B87F84A1B5CF}"/>
    <cellStyle name="Normal 17" xfId="16966" xr:uid="{3EBD5F5E-0BA2-4B1B-A883-DFBE044C548F}"/>
    <cellStyle name="Normal 17 2" xfId="16967" xr:uid="{6076B442-731D-4E92-95E8-5BD56F232061}"/>
    <cellStyle name="Normal 17 2 2" xfId="16968" xr:uid="{2E8A9C2A-1C80-47B4-B687-AEDBC2686FF8}"/>
    <cellStyle name="Normal 17 2 2 2" xfId="41530" xr:uid="{F0574FAC-FD93-4B4E-BD5D-83E4CB9A0C99}"/>
    <cellStyle name="Normal 17 2 3" xfId="16969" xr:uid="{2C1CC097-1F0C-418E-9072-BB0740EDF12F}"/>
    <cellStyle name="Normal 17 2 3 2" xfId="41531" xr:uid="{890579BD-3F8E-4601-9E11-2B10A4020ABD}"/>
    <cellStyle name="Normal 17 2 4" xfId="41532" xr:uid="{B48378D7-1577-40F1-995F-1D71E29A9378}"/>
    <cellStyle name="Normal 17 3" xfId="16970" xr:uid="{19ABA6DC-D233-4791-A071-286AD1269656}"/>
    <cellStyle name="Normal 17 3 2" xfId="16971" xr:uid="{693B5125-330E-48AB-AA21-F92204FC4D27}"/>
    <cellStyle name="Normal 17 3 3" xfId="16972" xr:uid="{9ADE0EAE-5569-4E7D-B345-93A7AC994628}"/>
    <cellStyle name="Normal 17 3 4" xfId="41533" xr:uid="{53BD3FC7-6A8E-4842-9015-4D5741250110}"/>
    <cellStyle name="Normal 17 4" xfId="16973" xr:uid="{8FE00BE6-A72F-4E1C-BF20-7EF50107E7D3}"/>
    <cellStyle name="Normal 17 4 2" xfId="41534" xr:uid="{DF018C2F-4A83-4B12-A88B-B81AEA1FBEBD}"/>
    <cellStyle name="Normal 17 5" xfId="16974" xr:uid="{5D445DC8-F8A3-411D-8040-998E6C8DC9FA}"/>
    <cellStyle name="Normal 17 6" xfId="16975" xr:uid="{0C0DBCE2-15FF-4996-B1C9-DA45B4EFE7AD}"/>
    <cellStyle name="Normal 17 6 2" xfId="16976" xr:uid="{051DDF3B-651D-4811-BF70-97E8703DE7E7}"/>
    <cellStyle name="Normal 17 6 3" xfId="16977" xr:uid="{EAF03BD1-73B9-4F48-BFCF-84037D3A93EF}"/>
    <cellStyle name="Normal 170" xfId="41535" xr:uid="{02186200-2B24-4271-9AF7-4ABA3A7B90D4}"/>
    <cellStyle name="Normal 171" xfId="41536" xr:uid="{D00A0F94-F028-4D8A-9FF8-1BAC0AA92FDA}"/>
    <cellStyle name="Normal 171 2" xfId="41537" xr:uid="{A4CA3272-D104-4362-B53C-F7B63F80E886}"/>
    <cellStyle name="Normal 171 3" xfId="41538" xr:uid="{5D38C3CB-1607-4FE3-906C-AEB72F030F21}"/>
    <cellStyle name="Normal 172" xfId="41539" xr:uid="{A2258099-BD83-442D-93DB-23580A8A3A9B}"/>
    <cellStyle name="Normal 173" xfId="73" xr:uid="{9CC58BCA-FAC5-42CC-8383-F42F76BBDB73}"/>
    <cellStyle name="Normal 173 2" xfId="43643" xr:uid="{8E3BB28D-C9D8-4A67-8E23-61FD689B9ECB}"/>
    <cellStyle name="Normal 174" xfId="41540" xr:uid="{A3C8D758-FB99-4706-A690-801F4C7B7342}"/>
    <cellStyle name="Normal 175" xfId="41541" xr:uid="{4570DFAC-C578-4808-9093-80520A4F09FA}"/>
    <cellStyle name="Normal 176" xfId="41542" xr:uid="{821C0F1E-3247-4B65-9070-3ADA2074197F}"/>
    <cellStyle name="Normal 177" xfId="41543" xr:uid="{B099CA72-E876-417A-8253-FD02AEB05483}"/>
    <cellStyle name="Normal 178" xfId="41544" xr:uid="{80D8C471-F8F0-4A99-81BC-E14205D92CCA}"/>
    <cellStyle name="Normal 179" xfId="41545" xr:uid="{13D69903-DC83-4D50-A937-2CC93CF61F6E}"/>
    <cellStyle name="Normal 18" xfId="16978" xr:uid="{7BAC13D3-3AF5-407A-8BCE-FD197DC4B9C8}"/>
    <cellStyle name="Normal 18 2" xfId="16979" xr:uid="{67763962-E036-4A1C-B8F3-7750973FE5AB}"/>
    <cellStyle name="Normal 18 2 2" xfId="16980" xr:uid="{AE31644F-9549-425F-B622-51FA571108DF}"/>
    <cellStyle name="Normal 18 2 2 2" xfId="41546" xr:uid="{BCA52E2B-1C57-4CDC-820D-AF593EDF6FD2}"/>
    <cellStyle name="Normal 18 2 3" xfId="16981" xr:uid="{D1A04DA1-93F5-42F6-AB01-557B633BDE12}"/>
    <cellStyle name="Normal 18 2 3 2" xfId="41547" xr:uid="{E237DD07-82CE-4DE4-AE84-8A41B3AEDE4B}"/>
    <cellStyle name="Normal 18 2 4" xfId="41548" xr:uid="{3480CAEC-CF80-40CB-927F-F9B10B3CB52B}"/>
    <cellStyle name="Normal 18 3" xfId="16982" xr:uid="{98A84A00-D29B-47F6-8728-DE285480939E}"/>
    <cellStyle name="Normal 18 3 2" xfId="16983" xr:uid="{88E6A53C-9528-43C3-ACA7-C6E183F57E63}"/>
    <cellStyle name="Normal 18 3 3" xfId="41549" xr:uid="{F92A838B-2E0A-4C50-8BCA-8B82601646B4}"/>
    <cellStyle name="Normal 18 4" xfId="16984" xr:uid="{2090035E-B9C1-4305-BB0D-87DB5B1F5E5A}"/>
    <cellStyle name="Normal 18 4 2" xfId="41550" xr:uid="{9833B154-5602-4C2E-B698-108C2E89FD24}"/>
    <cellStyle name="Normal 18 5" xfId="41551" xr:uid="{B28B4440-B635-4CE1-BBDB-F3D0A605A6AC}"/>
    <cellStyle name="Normal 180" xfId="41552" xr:uid="{9673EBEE-D588-40DC-A1FC-7109716E56A1}"/>
    <cellStyle name="Normal 181" xfId="41553" xr:uid="{1E4918AB-4541-474B-A8CD-05C89373F447}"/>
    <cellStyle name="Normal 182" xfId="41554" xr:uid="{7413FD8D-D881-4672-9ABC-F1D3D397A342}"/>
    <cellStyle name="Normal 183" xfId="41555" xr:uid="{CB0DD147-E072-48BC-8F4E-15CC7D38EB0C}"/>
    <cellStyle name="Normal 184" xfId="41556" xr:uid="{2DD99C4B-903B-45A0-ADDF-71AAD62166A6}"/>
    <cellStyle name="Normal 185" xfId="41557" xr:uid="{EF76425D-71D3-4186-A83A-76F843821DAC}"/>
    <cellStyle name="Normal 186" xfId="41558" xr:uid="{10ACF0C0-F72B-4B2D-A383-D97D4890FE6A}"/>
    <cellStyle name="Normal 187" xfId="41559" xr:uid="{53A58956-084B-4D4A-9470-E2110F0E3A22}"/>
    <cellStyle name="Normal 188" xfId="41560" xr:uid="{2501CA76-5ACB-414D-BE4D-AE70058D90A8}"/>
    <cellStyle name="Normal 189" xfId="41561" xr:uid="{935A46D8-726F-4AF7-8245-B6BDA5B590E6}"/>
    <cellStyle name="Normal 19" xfId="16985" xr:uid="{8F8B8E43-E4E7-4FDB-9F55-055109FF52E0}"/>
    <cellStyle name="Normal 19 2" xfId="16986" xr:uid="{BF3D22D7-A4E0-48BC-AC03-DD42E7A19D6C}"/>
    <cellStyle name="Normal 19 2 2" xfId="16987" xr:uid="{4620B77F-62A8-4CCE-A6E3-0DE4C57326EA}"/>
    <cellStyle name="Normal 19 2 2 2" xfId="41562" xr:uid="{519252BA-71B1-4E81-8E13-0FF4B03B4032}"/>
    <cellStyle name="Normal 19 2 3" xfId="16988" xr:uid="{DFAF9DCF-91A5-419C-AAC2-9FA6649CD5EB}"/>
    <cellStyle name="Normal 19 2 3 2" xfId="16989" xr:uid="{1E6A21D2-F47A-4781-9A8D-F8087257B822}"/>
    <cellStyle name="Normal 19 2 3 3" xfId="16990" xr:uid="{3914B51C-15F1-466C-95A1-6DDA81972D8A}"/>
    <cellStyle name="Normal 19 2 3 4" xfId="41563" xr:uid="{26A59AD6-2F92-4DC3-BD3A-5FF9B9B68EFB}"/>
    <cellStyle name="Normal 19 2 4" xfId="16991" xr:uid="{F98F7A0D-87D1-4FE0-9551-6926218A18BC}"/>
    <cellStyle name="Normal 19 2 5" xfId="16992" xr:uid="{56375CC6-7911-4C90-9316-C461BFFADC89}"/>
    <cellStyle name="Normal 19 2 6" xfId="41564" xr:uid="{6513223F-2662-4A56-8A13-1E08D88BEE90}"/>
    <cellStyle name="Normal 19 3" xfId="16993" xr:uid="{9029454E-7D21-41F6-8390-3E4469D31DB8}"/>
    <cellStyle name="Normal 19 3 2" xfId="16994" xr:uid="{8521C1DA-F4A9-4686-B431-AD1817387AC3}"/>
    <cellStyle name="Normal 19 3 2 2" xfId="16995" xr:uid="{74658AFF-DDC1-4687-9777-B30E56175D26}"/>
    <cellStyle name="Normal 19 3 2 3" xfId="16996" xr:uid="{DC9D45AC-B47A-47FD-B2E9-969988A833E3}"/>
    <cellStyle name="Normal 19 3 3" xfId="16997" xr:uid="{83FC8413-E7E5-4F07-B5E5-0758C2A94AE5}"/>
    <cellStyle name="Normal 19 3 4" xfId="16998" xr:uid="{31F8F270-9746-4D08-9F4E-AC0B6FD92DA1}"/>
    <cellStyle name="Normal 19 3 5" xfId="41565" xr:uid="{C53E6CCB-4F56-47D8-A4E5-0939CCE0BB99}"/>
    <cellStyle name="Normal 19 4" xfId="16999" xr:uid="{2AAE7E63-B33F-4404-98E9-8DA62400C84E}"/>
    <cellStyle name="Normal 19 4 2" xfId="17000" xr:uid="{6189109A-4015-4A8E-A4D4-8F226F1502F2}"/>
    <cellStyle name="Normal 19 4 2 2" xfId="17001" xr:uid="{B32AC74E-83C5-4874-A327-61CE8748AE1F}"/>
    <cellStyle name="Normal 19 4 3" xfId="17002" xr:uid="{04AFA178-DD8B-443F-8F53-10DE9DEEDF13}"/>
    <cellStyle name="Normal 19 4 4" xfId="17003" xr:uid="{81E5D652-8DA3-42FF-AA0D-3228353D9963}"/>
    <cellStyle name="Normal 19 4 5" xfId="41566" xr:uid="{2661E9AB-C8D2-42C9-B28A-14B4CC3ED2DF}"/>
    <cellStyle name="Normal 19 5" xfId="17004" xr:uid="{998165C6-EBB8-4535-8176-4AD6B6FC9B74}"/>
    <cellStyle name="Normal 19 5 2" xfId="17005" xr:uid="{2972D73E-2F00-4DE3-8BF1-955A33B5BA9A}"/>
    <cellStyle name="Normal 19 5 2 2" xfId="17006" xr:uid="{60B04A28-E3BC-430E-9970-A074D4A291BD}"/>
    <cellStyle name="Normal 19 5 3" xfId="17007" xr:uid="{738285DA-6C24-489D-9657-E471D43A0082}"/>
    <cellStyle name="Normal 19 6" xfId="17008" xr:uid="{3439571F-D411-4F66-99AF-25D2859D3692}"/>
    <cellStyle name="Normal 19 6 2" xfId="17009" xr:uid="{D6855FFC-8523-4110-8C21-8D658E53B6E9}"/>
    <cellStyle name="Normal 19 7" xfId="17010" xr:uid="{F88C6AE7-63E0-4812-9E79-19C4A1053276}"/>
    <cellStyle name="Normal 19 8" xfId="17011" xr:uid="{A1F330C1-949E-45E5-BAFB-D290A79F593D}"/>
    <cellStyle name="Normal 19 9" xfId="41567" xr:uid="{CA786845-CAC9-4659-9766-B3E4FB8F5F8F}"/>
    <cellStyle name="Normal 190" xfId="41568" xr:uid="{A22110F0-A0A0-49F8-B9A4-E6548DD64B69}"/>
    <cellStyle name="Normal 191" xfId="41569" xr:uid="{83EE046B-21F3-4943-9A3E-AFA81DBF1D41}"/>
    <cellStyle name="Normal 192" xfId="41570" xr:uid="{22B13646-C6DA-4AAC-82D7-99D34853FBE8}"/>
    <cellStyle name="Normal 193" xfId="41571" xr:uid="{76B90FDE-7745-4F61-9140-634925A7B0EB}"/>
    <cellStyle name="Normal 194" xfId="41572" xr:uid="{17A150DE-AA1F-42D1-AD7B-50D6C7D2FAF3}"/>
    <cellStyle name="Normal 195" xfId="41573" xr:uid="{AE8FC7B4-B46A-45C4-805A-44CCFAC257C9}"/>
    <cellStyle name="Normal 196" xfId="41574" xr:uid="{2557D5A2-A11B-4201-AF68-7D0467D06BCB}"/>
    <cellStyle name="Normal 197" xfId="41575" xr:uid="{059593F5-AE1D-41C1-98D7-C672D27D761A}"/>
    <cellStyle name="Normal 198" xfId="41576" xr:uid="{3577196E-1953-44A3-A4D8-DC44BC196B0B}"/>
    <cellStyle name="Normal 199" xfId="41577" xr:uid="{AA07E090-E3B3-4795-ABC8-899DA660E05C}"/>
    <cellStyle name="Normal 2" xfId="5" xr:uid="{00000000-0005-0000-0000-00000E000000}"/>
    <cellStyle name="Normal 2 10" xfId="7" xr:uid="{00000000-0005-0000-0000-00000F000000}"/>
    <cellStyle name="Normal 2 10 2" xfId="17012" xr:uid="{040B70DC-160E-4254-9BED-7F82BD576B02}"/>
    <cellStyle name="Normal 2 10 2 2" xfId="17013" xr:uid="{A4479E7A-892C-4DBD-8AE6-3568D92044C4}"/>
    <cellStyle name="Normal 2 10 2 2 2" xfId="144" xr:uid="{7060F6CD-1E22-4BE3-B8DF-6910592428C0}"/>
    <cellStyle name="Normal 2 10 2 3" xfId="17014" xr:uid="{BAB4811E-041A-4A63-B161-7A1477AF7052}"/>
    <cellStyle name="Normal 2 10 2 3 2" xfId="41578" xr:uid="{10F99398-0E90-4D1E-91DB-3A07EC2CB54F}"/>
    <cellStyle name="Normal 2 10 2 4" xfId="41579" xr:uid="{CCD722E1-BB13-4654-9838-BACFD761490B}"/>
    <cellStyle name="Normal 2 10 3" xfId="17015" xr:uid="{8948AD39-317A-4148-BDDF-85609E72F7E0}"/>
    <cellStyle name="Normal 2 10 3 2" xfId="41580" xr:uid="{4316E6D8-F8C0-4D27-BF37-381E90E4A7B1}"/>
    <cellStyle name="Normal 2 10 4" xfId="17016" xr:uid="{6A53C313-1BBD-44D2-B28B-308E5094C5B5}"/>
    <cellStyle name="Normal 2 10 4 2" xfId="41581" xr:uid="{16FEF647-5B42-4033-A424-F487851D840E}"/>
    <cellStyle name="Normal 2 10 5" xfId="41582" xr:uid="{8C39A800-47F3-4C8F-9E32-2D9E9C4100B8}"/>
    <cellStyle name="Normal 2 11" xfId="17017" xr:uid="{8491AA42-2776-4191-A491-3C59DBC7AF58}"/>
    <cellStyle name="Normal 2 11 2" xfId="17018" xr:uid="{97AD1EBC-57B2-45E1-8D42-64A24225D886}"/>
    <cellStyle name="Normal 2 11 2 2" xfId="41583" xr:uid="{E15BE07E-20AC-44C2-9F85-A68FC43B8F61}"/>
    <cellStyle name="Normal 2 11 3" xfId="17019" xr:uid="{8C57E4DD-AFC4-46FE-A13F-77F66D0DCB4D}"/>
    <cellStyle name="Normal 2 11 3 2" xfId="41584" xr:uid="{F286C4E5-BED4-4E64-97D1-DBBD68841D78}"/>
    <cellStyle name="Normal 2 11 4" xfId="41585" xr:uid="{39CDF07D-1AB6-4FA1-8631-3076EAA5AF2E}"/>
    <cellStyle name="Normal 2 12" xfId="17020" xr:uid="{36EB3F2B-868A-4C85-A42B-42F08F484233}"/>
    <cellStyle name="Normal 2 12 2" xfId="17021" xr:uid="{D2697139-AC50-4FB5-8029-6289C3596CEA}"/>
    <cellStyle name="Normal 2 12 2 2" xfId="41586" xr:uid="{CA7D2ED1-C71A-4BE9-860B-121893E85F2B}"/>
    <cellStyle name="Normal 2 12 3" xfId="17022" xr:uid="{2CE6E398-9A98-415B-8E53-C71E5B979C64}"/>
    <cellStyle name="Normal 2 12 3 2" xfId="41587" xr:uid="{090EE08C-D079-412A-AE88-117A9127121F}"/>
    <cellStyle name="Normal 2 12 4" xfId="41588" xr:uid="{BBF251E9-15F5-4484-8836-25FDD92B0E2C}"/>
    <cellStyle name="Normal 2 13" xfId="17023" xr:uid="{3E1460E5-5927-4E4F-BDC4-10710473A5E6}"/>
    <cellStyle name="Normal 2 13 2" xfId="17024" xr:uid="{B83BB589-FF6C-4D66-A184-7BB24008B8C7}"/>
    <cellStyle name="Normal 2 13 2 2" xfId="41589" xr:uid="{752AA95C-0640-42B2-BC2F-96CDC16F8C23}"/>
    <cellStyle name="Normal 2 13 3" xfId="17025" xr:uid="{270A9FC1-5D80-4C32-9CD6-6E5CF86ACAAA}"/>
    <cellStyle name="Normal 2 13 3 2" xfId="41590" xr:uid="{57F458D9-E504-45F6-BE25-57907825E89F}"/>
    <cellStyle name="Normal 2 13 4" xfId="41591" xr:uid="{BD5F34D2-1293-47B8-A3C9-07DE9C02D20C}"/>
    <cellStyle name="Normal 2 14" xfId="17026" xr:uid="{5B4A148A-ACE8-40C0-80A8-99B35D674E2A}"/>
    <cellStyle name="Normal 2 14 2" xfId="17027" xr:uid="{F412065A-20C4-4E2C-AC75-18C32E5D9CDD}"/>
    <cellStyle name="Normal 2 14 2 2" xfId="41592" xr:uid="{414B0793-513E-4090-8749-8A5779C1587C}"/>
    <cellStyle name="Normal 2 14 3" xfId="17028" xr:uid="{EBF4913E-FFA6-4D39-9BA2-3989EB2E0979}"/>
    <cellStyle name="Normal 2 14 3 2" xfId="41593" xr:uid="{ED19CDC8-37E2-4FB8-AC5D-D53D6070758A}"/>
    <cellStyle name="Normal 2 14 4" xfId="41594" xr:uid="{852B5DC6-362A-41B9-ABF3-18B17941652E}"/>
    <cellStyle name="Normal 2 15" xfId="17029" xr:uid="{1BF27787-D834-4CFD-B1E0-E3D5BB62EA58}"/>
    <cellStyle name="Normal 2 15 2" xfId="17030" xr:uid="{40CD979F-C90C-476A-A513-D73CE233B9D3}"/>
    <cellStyle name="Normal 2 15 2 2" xfId="41595" xr:uid="{6E9A798C-FB3C-4F63-B39B-56B3C2E81286}"/>
    <cellStyle name="Normal 2 15 3" xfId="17031" xr:uid="{955C26D6-4B9C-4F97-9D1D-7D2BD3A50AA7}"/>
    <cellStyle name="Normal 2 15 3 2" xfId="41596" xr:uid="{F47B8FB6-A3D0-4F44-BD9E-CF8065026734}"/>
    <cellStyle name="Normal 2 15 4" xfId="41597" xr:uid="{B40461F6-E94C-4BEE-8156-D4818480209D}"/>
    <cellStyle name="Normal 2 16" xfId="17032" xr:uid="{C0214C70-4D90-42F4-A2DA-476D022EA7FD}"/>
    <cellStyle name="Normal 2 16 2" xfId="17033" xr:uid="{3FFA41A2-5FDB-4C55-8FA9-0B3EA5A2EA2C}"/>
    <cellStyle name="Normal 2 16 2 2" xfId="41598" xr:uid="{3EE7A7EF-A7E2-44D9-8736-28C01A941765}"/>
    <cellStyle name="Normal 2 16 3" xfId="17034" xr:uid="{884BC9D4-1EA9-487E-AF2F-72226AD1F096}"/>
    <cellStyle name="Normal 2 16 3 2" xfId="41599" xr:uid="{C0505DC4-7C6A-4BC8-94B8-FFE6D1944189}"/>
    <cellStyle name="Normal 2 16 4" xfId="41600" xr:uid="{FF23F310-72D1-46A8-839E-41987D2B78FB}"/>
    <cellStyle name="Normal 2 17" xfId="17035" xr:uid="{047BB2B8-087D-4F40-A10D-243127DFD128}"/>
    <cellStyle name="Normal 2 17 2" xfId="17036" xr:uid="{561E7719-9A6A-4D90-9CA7-BE9BCDFB4545}"/>
    <cellStyle name="Normal 2 17 2 2" xfId="41601" xr:uid="{4C3E77D1-59D0-4415-99D3-489C78F7BA82}"/>
    <cellStyle name="Normal 2 17 3" xfId="41602" xr:uid="{374387DF-1162-4BDC-B5AF-309F45867EE8}"/>
    <cellStyle name="Normal 2 18" xfId="17037" xr:uid="{27622541-4F5F-4FAF-8D21-465887093427}"/>
    <cellStyle name="Normal 2 18 2" xfId="17038" xr:uid="{0ED95E5C-B9E7-4475-8917-F9700295C23A}"/>
    <cellStyle name="Normal 2 18 2 2" xfId="41603" xr:uid="{E77877A1-F419-420A-98E4-A61274D84BA6}"/>
    <cellStyle name="Normal 2 18 3" xfId="41604" xr:uid="{44466169-5157-4D46-931F-CFEA5570C0CB}"/>
    <cellStyle name="Normal 2 19" xfId="17039" xr:uid="{22A8A012-B3F1-43DA-A10E-B1694034D262}"/>
    <cellStyle name="Normal 2 19 2" xfId="17040" xr:uid="{223FC69A-5E1D-4C0A-A2DA-B679C66E4A6C}"/>
    <cellStyle name="Normal 2 19 2 2" xfId="41605" xr:uid="{118DBC85-194A-4CC6-975D-A5B95E0D6AF9}"/>
    <cellStyle name="Normal 2 19 3" xfId="41606" xr:uid="{AA2A14E8-CD2D-4194-AE16-81A270D457ED}"/>
    <cellStyle name="Normal 2 2" xfId="55" xr:uid="{B08F26E5-48BE-4E7E-BFEE-6F0CFAFD4D8E}"/>
    <cellStyle name="Normal 2 2 10" xfId="17041" xr:uid="{90E34941-24E7-447B-A971-41532244E0CE}"/>
    <cellStyle name="Normal 2 2 10 2" xfId="17042" xr:uid="{F7102692-8D9B-49EC-9B3D-2537538F623F}"/>
    <cellStyle name="Normal 2 2 10 2 2" xfId="17043" xr:uid="{F238ECFE-0FAE-4CAE-A966-FAEED6294A7A}"/>
    <cellStyle name="Normal 2 2 10 2 2 2" xfId="41607" xr:uid="{DC886615-F67B-46C8-8D7C-EEE207CDD8D4}"/>
    <cellStyle name="Normal 2 2 10 2 3" xfId="17044" xr:uid="{BB4F2E3B-0786-4EBB-ABB5-1E24A5E0F42B}"/>
    <cellStyle name="Normal 2 2 10 2 3 2" xfId="41608" xr:uid="{3F9C3287-1F09-4705-8595-9EF0ABE02314}"/>
    <cellStyle name="Normal 2 2 10 2 4" xfId="41609" xr:uid="{D26CB36B-45E9-4E19-A1AD-6EB2C85C11EB}"/>
    <cellStyle name="Normal 2 2 10 3" xfId="17045" xr:uid="{41BB8A36-36E6-416C-ADCC-AA5D3EEE5310}"/>
    <cellStyle name="Normal 2 2 10 3 2" xfId="41610" xr:uid="{12292263-FA0B-4B48-9501-3FFBD081920F}"/>
    <cellStyle name="Normal 2 2 10 4" xfId="17046" xr:uid="{070E36A3-4E92-4493-A797-A4E4A1EA2FF7}"/>
    <cellStyle name="Normal 2 2 10 4 2" xfId="41611" xr:uid="{6BED7F49-12AA-423D-9F2E-678A9ACC24C4}"/>
    <cellStyle name="Normal 2 2 10 5" xfId="41612" xr:uid="{8ABBFB96-60F9-4229-8AEC-1FE1161B5FAC}"/>
    <cellStyle name="Normal 2 2 11" xfId="17047" xr:uid="{3A201116-14BF-4B39-B431-07F5A3A85B66}"/>
    <cellStyle name="Normal 2 2 11 2" xfId="17048" xr:uid="{4D8696D2-2594-447B-97A1-61D5217D1E99}"/>
    <cellStyle name="Normal 2 2 11 2 2" xfId="17049" xr:uid="{8A7AE2E6-01B4-4C6D-8F87-8180CF4A2A60}"/>
    <cellStyle name="Normal 2 2 11 2 2 2" xfId="41613" xr:uid="{531222FB-732A-4015-974F-D8DC0B553FFA}"/>
    <cellStyle name="Normal 2 2 11 2 3" xfId="17050" xr:uid="{11FE81F3-A341-4B95-80C2-808452F06E31}"/>
    <cellStyle name="Normal 2 2 11 2 3 2" xfId="41614" xr:uid="{1C3F6A54-1CAC-4D60-A93C-11EC5A9AE71E}"/>
    <cellStyle name="Normal 2 2 11 2 4" xfId="41615" xr:uid="{5095AB1A-DC66-4C53-A365-5E0EC4FF8D50}"/>
    <cellStyle name="Normal 2 2 11 3" xfId="17051" xr:uid="{3F5B1AE5-2EC0-41ED-973A-E6CF81E96071}"/>
    <cellStyle name="Normal 2 2 11 3 2" xfId="41616" xr:uid="{200689AF-F02B-45A9-BC07-D45832B4DDA8}"/>
    <cellStyle name="Normal 2 2 11 4" xfId="17052" xr:uid="{A35CFCEB-1868-4D0F-8396-E68D5C51AE63}"/>
    <cellStyle name="Normal 2 2 11 4 2" xfId="41617" xr:uid="{9031DB7F-F9EC-4252-A080-0A1AD87B8C22}"/>
    <cellStyle name="Normal 2 2 11 5" xfId="41618" xr:uid="{EB2692C7-0511-4476-BCBA-65B5EA89E22E}"/>
    <cellStyle name="Normal 2 2 12" xfId="17053" xr:uid="{44412EAA-4EBC-42AA-83E1-7B5B728A2B9F}"/>
    <cellStyle name="Normal 2 2 12 2" xfId="17054" xr:uid="{A913AE83-B293-4084-9A0A-2767773113ED}"/>
    <cellStyle name="Normal 2 2 12 2 2" xfId="17055" xr:uid="{262B5EC0-4D5A-4B6C-8A1F-82300A9844AF}"/>
    <cellStyle name="Normal 2 2 12 2 2 2" xfId="41619" xr:uid="{5B22A37D-86BB-4C52-804A-E89C95C5A20F}"/>
    <cellStyle name="Normal 2 2 12 2 3" xfId="17056" xr:uid="{37F3822F-3065-4503-A416-3C9819D0F415}"/>
    <cellStyle name="Normal 2 2 12 2 3 2" xfId="41620" xr:uid="{9C7D6401-D678-4BE3-B7D5-83D5C2218C7F}"/>
    <cellStyle name="Normal 2 2 12 2 4" xfId="41621" xr:uid="{0D874E16-1398-43C4-AEEA-7EEE4376779B}"/>
    <cellStyle name="Normal 2 2 12 3" xfId="17057" xr:uid="{5DC926B6-5072-4CF8-A193-7047067D3BFE}"/>
    <cellStyle name="Normal 2 2 12 3 2" xfId="41622" xr:uid="{B75D3E91-F22B-4E81-AC2F-FC5A663662C1}"/>
    <cellStyle name="Normal 2 2 12 4" xfId="17058" xr:uid="{046F93E8-31CF-451F-B29B-C3DB9E32E85D}"/>
    <cellStyle name="Normal 2 2 12 4 2" xfId="41623" xr:uid="{C39E613C-5378-4522-AB1D-9AA75DCCE4C7}"/>
    <cellStyle name="Normal 2 2 12 5" xfId="41624" xr:uid="{5D839AE8-A1FF-4D28-BF04-54EDAD0B6CB6}"/>
    <cellStyle name="Normal 2 2 13" xfId="17059" xr:uid="{43C9D3EB-3366-4268-B93A-6EFF8489A303}"/>
    <cellStyle name="Normal 2 2 13 2" xfId="17060" xr:uid="{979A06D4-6610-4C5A-BC0A-E38A534B6813}"/>
    <cellStyle name="Normal 2 2 13 2 2" xfId="17061" xr:uid="{821AA0AE-E6D9-417C-99DC-004A55A6DF4F}"/>
    <cellStyle name="Normal 2 2 13 2 2 2" xfId="41625" xr:uid="{7E719CBE-E233-4BFD-A1C6-0E0CFB509200}"/>
    <cellStyle name="Normal 2 2 13 2 3" xfId="17062" xr:uid="{9A07E17D-07B6-418A-84B7-74C443A265B6}"/>
    <cellStyle name="Normal 2 2 13 2 3 2" xfId="41626" xr:uid="{96C11FDE-1611-480A-806C-3C464A4AF62E}"/>
    <cellStyle name="Normal 2 2 13 2 4" xfId="41627" xr:uid="{1F125562-829E-45FF-A196-06C0416B1A6F}"/>
    <cellStyle name="Normal 2 2 13 3" xfId="17063" xr:uid="{8F178AEC-0AB3-4AEC-91BD-E2A47EA9A5D3}"/>
    <cellStyle name="Normal 2 2 13 3 2" xfId="41628" xr:uid="{CAFC8A97-14D8-4287-BDC4-EB501F3C0FC8}"/>
    <cellStyle name="Normal 2 2 13 4" xfId="17064" xr:uid="{F4E72A7D-08DF-49FC-A73F-FFC56D7F0F52}"/>
    <cellStyle name="Normal 2 2 13 4 2" xfId="41629" xr:uid="{8BAC2B0D-23E4-42F3-B48E-7B4C78E4AE2C}"/>
    <cellStyle name="Normal 2 2 13 5" xfId="41630" xr:uid="{B0CFDD60-D479-44CC-A70B-FE01E9AFF9CB}"/>
    <cellStyle name="Normal 2 2 14" xfId="17065" xr:uid="{3FB27C3D-FEC4-41C0-8B14-56BF19C60B05}"/>
    <cellStyle name="Normal 2 2 14 2" xfId="17066" xr:uid="{9C992010-4E66-435D-A6A5-AB90A60CC41D}"/>
    <cellStyle name="Normal 2 2 14 2 2" xfId="17067" xr:uid="{1D2E67C7-4959-4460-896C-2E63C351F275}"/>
    <cellStyle name="Normal 2 2 14 2 2 2" xfId="41631" xr:uid="{D59F8190-47BA-441C-9ECD-6C169EA9A193}"/>
    <cellStyle name="Normal 2 2 14 2 3" xfId="17068" xr:uid="{E43F1616-1221-4539-A61B-E1896A289DFA}"/>
    <cellStyle name="Normal 2 2 14 2 3 2" xfId="41632" xr:uid="{B629ED85-5B1B-44EE-B4D3-1519777BE366}"/>
    <cellStyle name="Normal 2 2 14 2 4" xfId="41633" xr:uid="{2553CA24-7674-4162-BC57-DE2F6FCF2895}"/>
    <cellStyle name="Normal 2 2 14 3" xfId="17069" xr:uid="{7E173F70-99E3-4F70-9E70-7C99F4259B0F}"/>
    <cellStyle name="Normal 2 2 14 3 2" xfId="41634" xr:uid="{AB47553F-632D-41B5-8702-6F8175FDB02C}"/>
    <cellStyle name="Normal 2 2 14 4" xfId="17070" xr:uid="{E918BC49-E426-4007-B386-8EEF80378B43}"/>
    <cellStyle name="Normal 2 2 14 4 2" xfId="41635" xr:uid="{BF96799F-B1AC-4206-BD8E-2D80C82B392A}"/>
    <cellStyle name="Normal 2 2 14 5" xfId="41636" xr:uid="{433A5060-DADB-4C1F-96A5-B161B6A8AA78}"/>
    <cellStyle name="Normal 2 2 15" xfId="17071" xr:uid="{334C84DF-95A9-46F1-8871-C99C423123A4}"/>
    <cellStyle name="Normal 2 2 15 2" xfId="17072" xr:uid="{4249A455-EF8D-43D4-8464-268DFCEA6DD8}"/>
    <cellStyle name="Normal 2 2 15 2 2" xfId="17073" xr:uid="{A60AB52A-F33E-4E15-B3F1-5711BF410E83}"/>
    <cellStyle name="Normal 2 2 15 2 2 2" xfId="41637" xr:uid="{FDA593C3-2220-4E15-9414-B5D3D3FCB02D}"/>
    <cellStyle name="Normal 2 2 15 2 3" xfId="17074" xr:uid="{08568A6B-40E3-4B20-86DD-459408EC043D}"/>
    <cellStyle name="Normal 2 2 15 2 3 2" xfId="41638" xr:uid="{45118F03-316B-41E3-A9CE-B52C9C61379A}"/>
    <cellStyle name="Normal 2 2 15 2 4" xfId="41639" xr:uid="{490E8656-2AF5-4F77-8D4C-9BA76003AAA2}"/>
    <cellStyle name="Normal 2 2 15 3" xfId="17075" xr:uid="{A71E219B-CCC6-46E6-98D9-F4A915380614}"/>
    <cellStyle name="Normal 2 2 15 3 2" xfId="41640" xr:uid="{BAC371E1-4968-408E-8387-40C2792C0AC9}"/>
    <cellStyle name="Normal 2 2 15 4" xfId="17076" xr:uid="{C0F50EB3-EB56-4306-A357-94F4F33761D1}"/>
    <cellStyle name="Normal 2 2 15 4 2" xfId="41641" xr:uid="{8BC64FA5-B8BB-40F8-BC3D-537AA6CCE78F}"/>
    <cellStyle name="Normal 2 2 15 5" xfId="41642" xr:uid="{948DB50C-6261-440C-9ECA-3890307F082B}"/>
    <cellStyle name="Normal 2 2 16" xfId="17077" xr:uid="{D828F59C-9FA5-4C43-919F-6B73337EB9AC}"/>
    <cellStyle name="Normal 2 2 16 2" xfId="17078" xr:uid="{F8CBDAB5-1C1D-4EDA-983E-6D8C2AEFA097}"/>
    <cellStyle name="Normal 2 2 16 2 2" xfId="17079" xr:uid="{2002BDE2-5305-4543-9314-297901C3211A}"/>
    <cellStyle name="Normal 2 2 16 2 2 2" xfId="41643" xr:uid="{8EEC79EB-28B5-4734-A0FB-0B1881429E09}"/>
    <cellStyle name="Normal 2 2 16 2 3" xfId="17080" xr:uid="{48D6E3DF-8855-41B5-BEBD-1BEB155805B1}"/>
    <cellStyle name="Normal 2 2 16 2 3 2" xfId="41644" xr:uid="{8EE3B915-B3A2-4FFA-B03D-0805C034D216}"/>
    <cellStyle name="Normal 2 2 16 2 4" xfId="41645" xr:uid="{9B565357-71C7-4BD2-9B56-C1694D70D59B}"/>
    <cellStyle name="Normal 2 2 16 3" xfId="17081" xr:uid="{2D0A754C-8A24-4432-BF10-81E9E3515414}"/>
    <cellStyle name="Normal 2 2 16 3 2" xfId="41646" xr:uid="{731DDAB6-BE20-43DC-A1FB-C656D574B9D6}"/>
    <cellStyle name="Normal 2 2 16 4" xfId="17082" xr:uid="{47E9FBE9-8B88-401C-8850-4A75AACB9751}"/>
    <cellStyle name="Normal 2 2 16 4 2" xfId="41647" xr:uid="{4A49C487-724E-42DD-8CD0-BDDA9F0EEEB2}"/>
    <cellStyle name="Normal 2 2 16 5" xfId="41648" xr:uid="{32D7BBF8-F7DD-4010-8005-9DB893FC9CC1}"/>
    <cellStyle name="Normal 2 2 17" xfId="17083" xr:uid="{E90283CA-6BA3-45FA-9A13-2C1F84F64786}"/>
    <cellStyle name="Normal 2 2 17 2" xfId="17084" xr:uid="{D0095ADC-6BDA-47FB-B5CA-FAFAFE7F0F13}"/>
    <cellStyle name="Normal 2 2 17 2 2" xfId="17085" xr:uid="{AF875028-2D3D-447C-BAF2-BBF5455008BC}"/>
    <cellStyle name="Normal 2 2 17 2 2 2" xfId="41649" xr:uid="{2A04EA91-4E66-4908-AD9B-77108362FB7D}"/>
    <cellStyle name="Normal 2 2 17 2 3" xfId="17086" xr:uid="{5A9026B3-CAB7-4F88-9C62-9E54B4BAF23B}"/>
    <cellStyle name="Normal 2 2 17 2 3 2" xfId="41650" xr:uid="{88DE7F47-63CB-4507-B367-40C08D5B0BFE}"/>
    <cellStyle name="Normal 2 2 17 2 4" xfId="41651" xr:uid="{C15BCB03-A976-4139-98FD-6D9BCD142950}"/>
    <cellStyle name="Normal 2 2 17 3" xfId="17087" xr:uid="{9DF031D2-9DAC-44DE-B780-466FBE670336}"/>
    <cellStyle name="Normal 2 2 17 3 2" xfId="41652" xr:uid="{C507B96B-433D-4F30-92AF-632A440239CE}"/>
    <cellStyle name="Normal 2 2 17 4" xfId="17088" xr:uid="{ECDDCBDA-BCFD-478C-92BA-12BA5B747350}"/>
    <cellStyle name="Normal 2 2 17 4 2" xfId="41653" xr:uid="{AB0A11CD-71BE-4CF7-8ACB-4F84FDC89A57}"/>
    <cellStyle name="Normal 2 2 17 5" xfId="41654" xr:uid="{95B32839-BB2B-4F39-BCEB-CDF4AD48B9B7}"/>
    <cellStyle name="Normal 2 2 18" xfId="17089" xr:uid="{09635B1F-2395-4906-9AD4-1B1ACB5DF698}"/>
    <cellStyle name="Normal 2 2 18 2" xfId="17090" xr:uid="{D1F116DE-6883-41D8-A2B0-818A9AABDBFF}"/>
    <cellStyle name="Normal 2 2 18 2 2" xfId="17091" xr:uid="{12EFF2BF-7CB7-4C7C-8228-23A72549D168}"/>
    <cellStyle name="Normal 2 2 18 2 2 2" xfId="41655" xr:uid="{6A949B27-A550-4650-A226-A523006A6422}"/>
    <cellStyle name="Normal 2 2 18 2 3" xfId="17092" xr:uid="{FE31B3D8-4031-4393-B9B0-C2FB5EFE9324}"/>
    <cellStyle name="Normal 2 2 18 2 3 2" xfId="41656" xr:uid="{B99BD8F2-121B-4152-A104-D276D8A25494}"/>
    <cellStyle name="Normal 2 2 18 2 4" xfId="41657" xr:uid="{900A8BFC-47D1-4CB2-AE60-9856FB94673C}"/>
    <cellStyle name="Normal 2 2 18 3" xfId="17093" xr:uid="{C4F8B3DE-37E1-4B16-95CF-4D0E87E503B1}"/>
    <cellStyle name="Normal 2 2 18 3 2" xfId="41658" xr:uid="{A2BE1E47-6054-48D0-9A8D-EBA49F389C20}"/>
    <cellStyle name="Normal 2 2 18 4" xfId="17094" xr:uid="{88F4794A-45A3-4C65-BB5C-E65713EC490D}"/>
    <cellStyle name="Normal 2 2 18 4 2" xfId="41659" xr:uid="{B40CEB9E-5222-4840-8D62-046289E95569}"/>
    <cellStyle name="Normal 2 2 18 5" xfId="41660" xr:uid="{79DBF420-0BC8-47D0-98A7-32F21A2E1E6F}"/>
    <cellStyle name="Normal 2 2 19" xfId="17095" xr:uid="{051862F2-0098-43FB-9E64-627B1F05F21A}"/>
    <cellStyle name="Normal 2 2 19 2" xfId="17096" xr:uid="{870E6AEF-BEBC-4263-A5E7-604B2E7AEA4C}"/>
    <cellStyle name="Normal 2 2 19 2 2" xfId="17097" xr:uid="{9E700728-3861-489B-AFC1-CC6C7EB91A3C}"/>
    <cellStyle name="Normal 2 2 19 2 2 2" xfId="41661" xr:uid="{E489B6A4-2468-4036-B270-760B9BDD7367}"/>
    <cellStyle name="Normal 2 2 19 2 3" xfId="17098" xr:uid="{9972F502-2485-42CE-BADC-8C69EC0855F3}"/>
    <cellStyle name="Normal 2 2 19 2 3 2" xfId="41662" xr:uid="{FCD4D72D-0954-41A7-AEB2-A38A9A20AA7D}"/>
    <cellStyle name="Normal 2 2 19 2 4" xfId="41663" xr:uid="{40C94E57-EABA-488E-AF0C-6110307CD3B6}"/>
    <cellStyle name="Normal 2 2 19 3" xfId="17099" xr:uid="{A5B7A77B-D833-42C6-8040-8158DDBAABB8}"/>
    <cellStyle name="Normal 2 2 19 3 2" xfId="41664" xr:uid="{63E10E2D-B019-4058-A4CA-637B6B1DCF16}"/>
    <cellStyle name="Normal 2 2 19 4" xfId="17100" xr:uid="{8C86D013-4761-4961-81C7-735751D1C3B8}"/>
    <cellStyle name="Normal 2 2 19 4 2" xfId="41665" xr:uid="{9444418B-4811-46D3-92D0-4E416BB03F59}"/>
    <cellStyle name="Normal 2 2 19 5" xfId="41666" xr:uid="{F9D463E4-7C73-42AF-835E-AA715BC11542}"/>
    <cellStyle name="Normal 2 2 2" xfId="17101" xr:uid="{41D2C97E-387C-40CF-99CC-0F3E21F6479D}"/>
    <cellStyle name="Normal 2 2 2 10" xfId="41667" xr:uid="{A22EDB9A-29AD-42E1-B85C-D2A9B4C7B47C}"/>
    <cellStyle name="Normal 2 2 2 11" xfId="41668" xr:uid="{14244235-CDFC-4A83-BE20-694A7A2E225C}"/>
    <cellStyle name="Normal 2 2 2 12" xfId="41669" xr:uid="{F0596228-BEA3-42F6-B962-5B4E6AC4480F}"/>
    <cellStyle name="Normal 2 2 2 13" xfId="41670" xr:uid="{972A84A7-1AFC-4430-AB5F-2B80CBFC08EC}"/>
    <cellStyle name="Normal 2 2 2 14" xfId="41671" xr:uid="{4117F836-233A-41DF-BC94-F6F79F6C94FE}"/>
    <cellStyle name="Normal 2 2 2 15" xfId="41672" xr:uid="{193230F4-01A7-4086-9A2A-AF4910EE53FE}"/>
    <cellStyle name="Normal 2 2 2 2" xfId="17102" xr:uid="{D2C97BD2-926B-4F32-9942-FE8A9F12C389}"/>
    <cellStyle name="Normal 2 2 2 2 10" xfId="41673" xr:uid="{AEB7A858-5E7D-4AEA-BFC1-3BBCE5F77102}"/>
    <cellStyle name="Normal 2 2 2 2 11" xfId="41674" xr:uid="{E769B75C-3AE5-4D26-8F76-87F8DFF024B8}"/>
    <cellStyle name="Normal 2 2 2 2 12" xfId="41675" xr:uid="{32DA624C-A014-40E2-9FD3-01B7BE98F6D5}"/>
    <cellStyle name="Normal 2 2 2 2 13" xfId="41676" xr:uid="{EB31FF04-E081-4E46-A700-E6925FF02F95}"/>
    <cellStyle name="Normal 2 2 2 2 14" xfId="41677" xr:uid="{364B3F39-C8A0-4EAD-910D-BE7938BF7C0D}"/>
    <cellStyle name="Normal 2 2 2 2 2" xfId="17103" xr:uid="{705E9E98-867C-46A4-937E-17399D6EAFFF}"/>
    <cellStyle name="Normal 2 2 2 2 2 2" xfId="17104" xr:uid="{29320052-9036-4FB9-95A4-90BD7A49ACC4}"/>
    <cellStyle name="Normal 2 2 2 2 2 2 2" xfId="17105" xr:uid="{0F8D307E-E64A-4139-BE55-348EB8FC7CDE}"/>
    <cellStyle name="Normal 2 2 2 2 2 2 3" xfId="17106" xr:uid="{12C4C5F1-9CB3-434D-8949-A7E1D06C60BC}"/>
    <cellStyle name="Normal 2 2 2 2 2 2 4" xfId="41678" xr:uid="{8911C038-6B6E-4252-B4AD-8BAF2971ED49}"/>
    <cellStyle name="Normal 2 2 2 2 2 3" xfId="17107" xr:uid="{DBA3DAC9-FA75-4EAA-93B7-029F48B31376}"/>
    <cellStyle name="Normal 2 2 2 2 2 3 2" xfId="17108" xr:uid="{66704C74-7792-4EC9-8A16-800FECA412E6}"/>
    <cellStyle name="Normal 2 2 2 2 2 3 3" xfId="41679" xr:uid="{B19BA415-6B8C-429D-97C7-1C58C7E0B9C7}"/>
    <cellStyle name="Normal 2 2 2 2 2 4" xfId="17109" xr:uid="{8B5AB9A6-C4E0-4865-A70B-7830158F7E58}"/>
    <cellStyle name="Normal 2 2 2 2 2 5" xfId="41680" xr:uid="{1B0E1B44-BA1A-4F15-B697-254DD6A0BFDF}"/>
    <cellStyle name="Normal 2 2 2 2 3" xfId="17110" xr:uid="{73A1F00A-AB5D-4107-B36B-11B82390F0BA}"/>
    <cellStyle name="Normal 2 2 2 2 3 2" xfId="17111" xr:uid="{1580AEBE-8CD2-4A6C-9E4E-B060275C3C8B}"/>
    <cellStyle name="Normal 2 2 2 2 3 3" xfId="17112" xr:uid="{CB8812F4-E3AF-450B-9E0E-77226AA26E7B}"/>
    <cellStyle name="Normal 2 2 2 2 3 4" xfId="41681" xr:uid="{5158E4D8-BE81-41D0-A508-8FB9574E41D4}"/>
    <cellStyle name="Normal 2 2 2 2 4" xfId="17113" xr:uid="{8181868C-6838-4381-8527-6E12D888FAD2}"/>
    <cellStyle name="Normal 2 2 2 2 4 2" xfId="17114" xr:uid="{52E5E64C-93A7-49F7-B3F3-C226358F9ED1}"/>
    <cellStyle name="Normal 2 2 2 2 4 3" xfId="41682" xr:uid="{570A7F1F-880C-402F-AE70-DA6E596C88AB}"/>
    <cellStyle name="Normal 2 2 2 2 5" xfId="17115" xr:uid="{8C551D98-57C2-4C15-AF00-3C7B246DE8EB}"/>
    <cellStyle name="Normal 2 2 2 2 6" xfId="41683" xr:uid="{38CFC2F2-D139-4D31-94D4-346822FEFD07}"/>
    <cellStyle name="Normal 2 2 2 2 7" xfId="41684" xr:uid="{CDBD5A56-706C-427F-9970-E30F754DF277}"/>
    <cellStyle name="Normal 2 2 2 2 8" xfId="41685" xr:uid="{1CE6F367-902E-4B32-A519-414C963ACAF4}"/>
    <cellStyle name="Normal 2 2 2 2 9" xfId="41686" xr:uid="{EBC2C223-1F90-416A-AFCB-AECDD5208CDA}"/>
    <cellStyle name="Normal 2 2 2 3" xfId="17116" xr:uid="{3892DB2E-8E74-4428-814F-F1250425AB6C}"/>
    <cellStyle name="Normal 2 2 2 3 2" xfId="17117" xr:uid="{ABC2B353-010F-45AE-A607-085DE6E2390A}"/>
    <cellStyle name="Normal 2 2 2 3 2 2" xfId="41687" xr:uid="{BD116D0F-C06D-4DA9-ABC3-F53666922B51}"/>
    <cellStyle name="Normal 2 2 2 3 3" xfId="17118" xr:uid="{5B061667-134E-4694-B1F9-D73358949D3D}"/>
    <cellStyle name="Normal 2 2 2 3 3 2" xfId="41688" xr:uid="{77C2551C-7297-4F91-9F8E-69C04333FF41}"/>
    <cellStyle name="Normal 2 2 2 3 4" xfId="41689" xr:uid="{EC38DB75-2BB4-4E60-9BD9-C3B5413FE9E1}"/>
    <cellStyle name="Normal 2 2 2 4" xfId="17119" xr:uid="{C102C4DC-F9BA-4A8A-BB9C-5C3A96071FAE}"/>
    <cellStyle name="Normal 2 2 2 4 2" xfId="41690" xr:uid="{BF4F7477-418F-44C3-BE59-11AB75C269FA}"/>
    <cellStyle name="Normal 2 2 2 4 3" xfId="41691" xr:uid="{241C47BA-4D9F-41EA-A1AE-56E6DA5DCD8F}"/>
    <cellStyle name="Normal 2 2 2 5" xfId="17120" xr:uid="{80562581-E209-4A72-BBAE-6AE59B9B02B8}"/>
    <cellStyle name="Normal 2 2 2 5 2" xfId="41692" xr:uid="{C475A7AA-578A-4892-B75A-591DC12FBEDB}"/>
    <cellStyle name="Normal 2 2 2 6" xfId="41693" xr:uid="{344098D9-21FB-48C7-9EB3-C8EA1C1F00B3}"/>
    <cellStyle name="Normal 2 2 2 7" xfId="41694" xr:uid="{14019768-7758-477E-957F-F01EDD8784E0}"/>
    <cellStyle name="Normal 2 2 2 8" xfId="41695" xr:uid="{A7B88627-B169-4C2B-BA41-52C273950AFD}"/>
    <cellStyle name="Normal 2 2 2 9" xfId="41696" xr:uid="{1D6D442B-651A-498C-A733-6349AA5FC4B0}"/>
    <cellStyle name="Normal 2 2 20" xfId="241" xr:uid="{EBABC899-6B0E-4B20-8B4B-A69F626AFE0D}"/>
    <cellStyle name="Normal 2 2 20 2" xfId="17121" xr:uid="{396F80A4-0E1C-4E39-9515-0F719EF34DD6}"/>
    <cellStyle name="Normal 2 2 20 2 2" xfId="17122" xr:uid="{A571810E-A3B4-4CE1-BAED-FBEDBC8E2467}"/>
    <cellStyle name="Normal 2 2 20 2 2 2" xfId="41697" xr:uid="{B4C41CFE-C55D-4BFF-9041-1AC734B2AF69}"/>
    <cellStyle name="Normal 2 2 20 2 3" xfId="17123" xr:uid="{E04E8B82-0EE8-4D9D-A0F0-881483F6B82A}"/>
    <cellStyle name="Normal 2 2 20 2 3 2" xfId="41698" xr:uid="{B988A5E2-4AEE-4637-83C0-4C684861519A}"/>
    <cellStyle name="Normal 2 2 20 2 4" xfId="41699" xr:uid="{8C036870-DFFA-4640-9469-783825D5AD9E}"/>
    <cellStyle name="Normal 2 2 20 3" xfId="17124" xr:uid="{C5B419DC-0F61-4579-BB01-BF50CC6BE8DA}"/>
    <cellStyle name="Normal 2 2 20 3 2" xfId="17125" xr:uid="{D2360D43-EE78-421C-B677-5AC1FD2147BB}"/>
    <cellStyle name="Normal 2 2 20 3 2 2" xfId="41700" xr:uid="{F00E10D0-A536-4268-9AAF-26F35E233084}"/>
    <cellStyle name="Normal 2 2 20 3 3" xfId="41701" xr:uid="{B3B93907-02E7-4596-8F09-2ECA163A20DD}"/>
    <cellStyle name="Normal 2 2 20 4" xfId="17126" xr:uid="{32E81630-576B-43C2-BE02-9D0762EDC76C}"/>
    <cellStyle name="Normal 2 2 20 4 2" xfId="17127" xr:uid="{DAB40CB2-9448-4608-9DAD-B5DD56981215}"/>
    <cellStyle name="Normal 2 2 20 4 2 2" xfId="41702" xr:uid="{9236388E-AB5B-44A2-8B6B-108C56A3884E}"/>
    <cellStyle name="Normal 2 2 20 4 3" xfId="41703" xr:uid="{29761E32-8733-425C-9BDE-1438C7729960}"/>
    <cellStyle name="Normal 2 2 20 5" xfId="17128" xr:uid="{7C468D6E-280A-478D-8088-A329DF63B8EA}"/>
    <cellStyle name="Normal 2 2 20 5 2" xfId="41704" xr:uid="{35678DE6-496F-4BA1-A838-87CAD988E6BA}"/>
    <cellStyle name="Normal 2 2 21" xfId="17129" xr:uid="{0280B2FB-8513-486B-B6D5-8D25CEC86028}"/>
    <cellStyle name="Normal 2 2 21 2" xfId="17130" xr:uid="{F7B9FC98-FD1C-4678-916E-CDB6547EA370}"/>
    <cellStyle name="Normal 2 2 21 2 2" xfId="17131" xr:uid="{E3737731-FBF5-43B4-8762-E4FC3965C559}"/>
    <cellStyle name="Normal 2 2 21 2 2 2" xfId="41705" xr:uid="{0F9805DE-FE7C-4435-A8E9-BFE5FBD03A1D}"/>
    <cellStyle name="Normal 2 2 21 2 3" xfId="17132" xr:uid="{58A7E175-5DAC-4206-8E73-BF2CFA359476}"/>
    <cellStyle name="Normal 2 2 21 2 3 2" xfId="41706" xr:uid="{34BB9D15-CF43-4145-939C-82029F726C59}"/>
    <cellStyle name="Normal 2 2 21 2 4" xfId="41707" xr:uid="{076D652F-6542-4E9A-94AF-3CF527DA11A9}"/>
    <cellStyle name="Normal 2 2 21 3" xfId="17133" xr:uid="{DE5C2EE8-D1A9-42B0-AFDE-FC88379B1CF6}"/>
    <cellStyle name="Normal 2 2 21 3 2" xfId="41708" xr:uid="{E0E76190-64DA-4009-B3AA-80E47C478659}"/>
    <cellStyle name="Normal 2 2 21 4" xfId="17134" xr:uid="{CF0BA177-CA9D-4B57-9A97-C119BE795463}"/>
    <cellStyle name="Normal 2 2 21 4 2" xfId="41709" xr:uid="{738105FA-90CB-49E0-A2AB-6503C3E778F8}"/>
    <cellStyle name="Normal 2 2 21 5" xfId="41710" xr:uid="{12620FB3-703D-434A-967B-74C5315875EB}"/>
    <cellStyle name="Normal 2 2 22" xfId="17135" xr:uid="{9177086A-74B3-4B38-A12F-3133795F927A}"/>
    <cellStyle name="Normal 2 2 22 2" xfId="17136" xr:uid="{8ABE74E8-71D8-4406-9C48-7DD98F2489AA}"/>
    <cellStyle name="Normal 2 2 22 2 2" xfId="17137" xr:uid="{4407DA77-7D4F-4485-ABFC-F1645EE54A9E}"/>
    <cellStyle name="Normal 2 2 22 2 2 2" xfId="41711" xr:uid="{B88D14DF-C8C1-451B-A52C-8D39A4F1362B}"/>
    <cellStyle name="Normal 2 2 22 2 3" xfId="17138" xr:uid="{312A447D-6D82-4C42-A194-31B690A291F8}"/>
    <cellStyle name="Normal 2 2 22 2 3 2" xfId="41712" xr:uid="{1811482F-F213-4B22-9814-7A7718667386}"/>
    <cellStyle name="Normal 2 2 22 2 4" xfId="41713" xr:uid="{EEC3A91B-C4FD-44DD-8114-3C335B881C26}"/>
    <cellStyle name="Normal 2 2 22 3" xfId="17139" xr:uid="{6C4A12FB-4471-426D-AED8-2E4DC4E48791}"/>
    <cellStyle name="Normal 2 2 22 3 2" xfId="41714" xr:uid="{BBF4A942-1EF8-4920-A663-C3B8D854D961}"/>
    <cellStyle name="Normal 2 2 22 4" xfId="17140" xr:uid="{91DD835D-13FA-46F5-A616-9211912BE3D2}"/>
    <cellStyle name="Normal 2 2 22 4 2" xfId="41715" xr:uid="{578BD42B-D4D8-4240-A797-88E9043A3B1B}"/>
    <cellStyle name="Normal 2 2 22 5" xfId="41716" xr:uid="{23DE0ED4-23B4-4357-A9AA-924E75E546C7}"/>
    <cellStyle name="Normal 2 2 23" xfId="17141" xr:uid="{3366BE79-35C1-4552-B683-0FA0190EAFC2}"/>
    <cellStyle name="Normal 2 2 23 2" xfId="17142" xr:uid="{83A31690-DA55-41F5-9157-45CAB4974202}"/>
    <cellStyle name="Normal 2 2 23 2 2" xfId="17143" xr:uid="{30981563-2AD1-467E-AC28-B5389496D0F1}"/>
    <cellStyle name="Normal 2 2 23 2 2 2" xfId="41717" xr:uid="{426E32A6-3326-43E9-9D56-3566C7FC1DC1}"/>
    <cellStyle name="Normal 2 2 23 2 3" xfId="17144" xr:uid="{E27A49A5-6973-4C28-9CCC-580D77F382B1}"/>
    <cellStyle name="Normal 2 2 23 2 3 2" xfId="41718" xr:uid="{CFA96E55-6B7C-4C7B-813D-B77FA805CF03}"/>
    <cellStyle name="Normal 2 2 23 2 4" xfId="41719" xr:uid="{704ADDAC-263C-41D6-84BF-183D8EF4D55E}"/>
    <cellStyle name="Normal 2 2 23 3" xfId="17145" xr:uid="{3554672A-48D0-4870-8128-189DAFBAFB1F}"/>
    <cellStyle name="Normal 2 2 23 3 2" xfId="41720" xr:uid="{96650CF9-DC88-4711-8972-702B8AB0933F}"/>
    <cellStyle name="Normal 2 2 23 4" xfId="17146" xr:uid="{76341FFA-56F4-4269-8858-531111137D26}"/>
    <cellStyle name="Normal 2 2 23 4 2" xfId="41721" xr:uid="{7599A7D1-9364-4339-8315-3584097B42B0}"/>
    <cellStyle name="Normal 2 2 23 5" xfId="41722" xr:uid="{F3994BA3-8340-47C3-B67E-1D7DA3411074}"/>
    <cellStyle name="Normal 2 2 24" xfId="17147" xr:uid="{DC2380CD-2222-4FC1-9892-2770E8D8D3E4}"/>
    <cellStyle name="Normal 2 2 24 2" xfId="17148" xr:uid="{EB0B8598-5AF3-4C9E-A14C-53510C21E923}"/>
    <cellStyle name="Normal 2 2 24 2 2" xfId="17149" xr:uid="{BC1772B0-5FF3-444C-B684-279A31449D12}"/>
    <cellStyle name="Normal 2 2 24 2 2 2" xfId="41723" xr:uid="{79CFC31C-7F0D-4C90-9551-FCC083E41189}"/>
    <cellStyle name="Normal 2 2 24 2 3" xfId="17150" xr:uid="{72F2DDB0-BE2F-4EA0-AAEA-C85F906F9096}"/>
    <cellStyle name="Normal 2 2 24 2 3 2" xfId="41724" xr:uid="{9BEC24E5-A735-4BB0-A22C-4C2557838FF0}"/>
    <cellStyle name="Normal 2 2 24 2 4" xfId="41725" xr:uid="{4D3E9F82-DC6A-41F3-9666-54C9D374B6DE}"/>
    <cellStyle name="Normal 2 2 24 3" xfId="17151" xr:uid="{49DF61F6-BBD7-4924-B30A-0DE47BC67C14}"/>
    <cellStyle name="Normal 2 2 24 3 2" xfId="41726" xr:uid="{F87E3E57-2385-4D54-B44F-E339B5B331BE}"/>
    <cellStyle name="Normal 2 2 24 4" xfId="17152" xr:uid="{C6B44141-DCA6-458E-9DFC-DEFA5D8FCA71}"/>
    <cellStyle name="Normal 2 2 24 4 2" xfId="41727" xr:uid="{DA7C3FBC-26B5-41F1-8D9A-F5BE361793E7}"/>
    <cellStyle name="Normal 2 2 24 5" xfId="41728" xr:uid="{35DFC05C-F6BD-4F2B-B99C-727E56E435F5}"/>
    <cellStyle name="Normal 2 2 25" xfId="17153" xr:uid="{695013AF-4F00-4702-A1E6-8986B0891C5F}"/>
    <cellStyle name="Normal 2 2 25 2" xfId="17154" xr:uid="{3C597BE0-644F-412D-95A9-42037A22FFE4}"/>
    <cellStyle name="Normal 2 2 25 2 2" xfId="17155" xr:uid="{FAE61AF3-91F1-418A-A0E1-FBCEFC0C2029}"/>
    <cellStyle name="Normal 2 2 25 2 2 2" xfId="41729" xr:uid="{1DFFEB3C-A8D6-498C-AF35-4B12DA0DA1D4}"/>
    <cellStyle name="Normal 2 2 25 2 3" xfId="17156" xr:uid="{31276609-BBA4-47B4-B418-2A0B6C073C7E}"/>
    <cellStyle name="Normal 2 2 25 2 3 2" xfId="41730" xr:uid="{8DE94D01-3308-439D-996C-A8372BE3AA31}"/>
    <cellStyle name="Normal 2 2 25 2 4" xfId="41731" xr:uid="{478C371D-E5E8-467F-9572-1972D91467BD}"/>
    <cellStyle name="Normal 2 2 25 3" xfId="17157" xr:uid="{0B50F3C8-979C-4D83-8D26-2558BE02B891}"/>
    <cellStyle name="Normal 2 2 25 3 2" xfId="41732" xr:uid="{41A4173A-0478-4B5C-A87B-BA90FE365077}"/>
    <cellStyle name="Normal 2 2 25 4" xfId="17158" xr:uid="{3BBBC1D5-90E9-4045-9C10-DF16032BBCE5}"/>
    <cellStyle name="Normal 2 2 25 4 2" xfId="41733" xr:uid="{66DACAE3-F7CB-4B72-A346-6D218E3A7E64}"/>
    <cellStyle name="Normal 2 2 25 5" xfId="41734" xr:uid="{CFB64A02-3529-44EB-A5AC-41FD74497AB6}"/>
    <cellStyle name="Normal 2 2 26" xfId="17159" xr:uid="{8C2CEB61-58E7-45B1-A358-771842C57CB2}"/>
    <cellStyle name="Normal 2 2 26 2" xfId="17160" xr:uid="{6275887A-42E1-47B4-869D-82C6FC281371}"/>
    <cellStyle name="Normal 2 2 26 2 2" xfId="17161" xr:uid="{9191E2C8-43DF-4E8F-BF25-8469B06EFA78}"/>
    <cellStyle name="Normal 2 2 26 2 2 2" xfId="41735" xr:uid="{D4F8CF36-2C06-4BF8-9044-15F2D9557B7A}"/>
    <cellStyle name="Normal 2 2 26 2 3" xfId="17162" xr:uid="{53F6C7EB-26FB-4F2F-80E6-97F70325364A}"/>
    <cellStyle name="Normal 2 2 26 2 3 2" xfId="41736" xr:uid="{E8A507BA-C271-48A5-9076-84CAAD069E5A}"/>
    <cellStyle name="Normal 2 2 26 2 4" xfId="41737" xr:uid="{6B8F5DDF-8EC1-4EB9-AF5E-108F54EFFE70}"/>
    <cellStyle name="Normal 2 2 26 3" xfId="17163" xr:uid="{4804F0E8-6BD9-487E-93B3-9662AAFD54F9}"/>
    <cellStyle name="Normal 2 2 26 3 2" xfId="41738" xr:uid="{9895E75B-0968-46C3-B786-04846DB86F1C}"/>
    <cellStyle name="Normal 2 2 26 4" xfId="17164" xr:uid="{FB533590-CEDD-45CB-88B8-2E220D517A6E}"/>
    <cellStyle name="Normal 2 2 26 4 2" xfId="41739" xr:uid="{9B28E6FB-DCE3-4A59-8365-31F13CB3F245}"/>
    <cellStyle name="Normal 2 2 26 5" xfId="41740" xr:uid="{C42053F3-99B8-4DF2-A911-72562D83BDF0}"/>
    <cellStyle name="Normal 2 2 27" xfId="17165" xr:uid="{6352FE46-00EB-446A-B2AF-7B5EFE4A5EB8}"/>
    <cellStyle name="Normal 2 2 27 2" xfId="17166" xr:uid="{2C8B8A72-F419-4024-A50A-2602041196B1}"/>
    <cellStyle name="Normal 2 2 27 2 2" xfId="17167" xr:uid="{81EC59EF-5FA5-4156-8F03-F5BBDFB5BCDA}"/>
    <cellStyle name="Normal 2 2 27 2 2 2" xfId="41741" xr:uid="{073D35C1-E9FF-4232-9B09-F77B627E1937}"/>
    <cellStyle name="Normal 2 2 27 2 3" xfId="17168" xr:uid="{47A89973-2B03-4124-B92C-86A6C3C2F5CE}"/>
    <cellStyle name="Normal 2 2 27 2 3 2" xfId="41742" xr:uid="{37FCADE5-9FB7-4721-A6A1-FAEE18EC1E4B}"/>
    <cellStyle name="Normal 2 2 27 2 4" xfId="41743" xr:uid="{620C2A91-8DF2-4597-8DC0-919967BFA9B4}"/>
    <cellStyle name="Normal 2 2 27 3" xfId="17169" xr:uid="{AD2FEA47-0CBB-49DF-8733-AED000874717}"/>
    <cellStyle name="Normal 2 2 27 3 2" xfId="41744" xr:uid="{A43F7C04-FA2E-4A17-B0CD-C96D79D0C7C9}"/>
    <cellStyle name="Normal 2 2 27 4" xfId="17170" xr:uid="{9E571BE1-9D76-4775-9CDD-3AADCA3BBDEC}"/>
    <cellStyle name="Normal 2 2 27 4 2" xfId="41745" xr:uid="{FF8663FD-5BDC-4122-A371-A220746B230C}"/>
    <cellStyle name="Normal 2 2 27 5" xfId="41746" xr:uid="{C59DECEE-6852-4ED0-8BAC-795611AC52E3}"/>
    <cellStyle name="Normal 2 2 28" xfId="17171" xr:uid="{8521065D-8FEE-405B-AF98-A0DF15E03903}"/>
    <cellStyle name="Normal 2 2 28 2" xfId="17172" xr:uid="{EB6F8557-FC81-422B-8CC0-B38A00A13683}"/>
    <cellStyle name="Normal 2 2 28 2 2" xfId="17173" xr:uid="{E4BFF3A7-CEF1-4C6B-B405-E93AD9A0C369}"/>
    <cellStyle name="Normal 2 2 28 2 2 2" xfId="41747" xr:uid="{F7149DBC-0832-4968-80E5-3ACC50CE77D8}"/>
    <cellStyle name="Normal 2 2 28 2 3" xfId="17174" xr:uid="{7D2BEC2E-440C-434D-9B56-1E2502CA2620}"/>
    <cellStyle name="Normal 2 2 28 2 3 2" xfId="41748" xr:uid="{B7379103-CFC7-4A1C-9714-BDD7A3322C76}"/>
    <cellStyle name="Normal 2 2 28 2 4" xfId="41749" xr:uid="{27040EF3-1F88-40B1-BDAC-2F7D48502003}"/>
    <cellStyle name="Normal 2 2 28 3" xfId="17175" xr:uid="{FF795DCE-5524-4B84-A822-0F24E2A2E4E3}"/>
    <cellStyle name="Normal 2 2 28 3 2" xfId="41750" xr:uid="{C7ABE102-4908-4FF9-8C08-629AA09DE51F}"/>
    <cellStyle name="Normal 2 2 28 4" xfId="17176" xr:uid="{9BB2640B-FB14-44A8-96E2-C570067E6AF8}"/>
    <cellStyle name="Normal 2 2 28 4 2" xfId="41751" xr:uid="{A76A128A-8179-4E0D-8C9B-ACE1F6F67118}"/>
    <cellStyle name="Normal 2 2 28 5" xfId="41752" xr:uid="{E9817253-CDA1-4F5D-AE73-3FE212406851}"/>
    <cellStyle name="Normal 2 2 29" xfId="17177" xr:uid="{B816B6EF-5393-4EA0-8B41-FD542C44B713}"/>
    <cellStyle name="Normal 2 2 29 2" xfId="17178" xr:uid="{E49C0C54-F134-49D5-ADCB-C82A7FD40603}"/>
    <cellStyle name="Normal 2 2 29 2 2" xfId="17179" xr:uid="{D5DDA129-3173-490A-A855-1B8288C1045E}"/>
    <cellStyle name="Normal 2 2 29 2 2 2" xfId="41753" xr:uid="{12A8981F-65F0-4336-B373-505DC0AE2EA4}"/>
    <cellStyle name="Normal 2 2 29 2 3" xfId="17180" xr:uid="{C67E2003-2AC0-4BEF-A692-3DED15B3DE95}"/>
    <cellStyle name="Normal 2 2 29 2 3 2" xfId="41754" xr:uid="{1AF4A79C-86B4-45CD-B7AD-A86485971685}"/>
    <cellStyle name="Normal 2 2 29 2 4" xfId="41755" xr:uid="{143AB565-C4DF-491B-A61F-291054C909EF}"/>
    <cellStyle name="Normal 2 2 29 3" xfId="17181" xr:uid="{85331475-ECAF-4BA6-BD1A-3B8B8FA5CF40}"/>
    <cellStyle name="Normal 2 2 29 3 2" xfId="41756" xr:uid="{58DF2B99-E35C-4042-9446-01A85CCA1AEC}"/>
    <cellStyle name="Normal 2 2 29 4" xfId="17182" xr:uid="{44DF106E-6C12-4ACF-82A5-5B882E41368E}"/>
    <cellStyle name="Normal 2 2 29 4 2" xfId="41757" xr:uid="{EE32CE7D-16AF-44F2-9071-D379059ABF80}"/>
    <cellStyle name="Normal 2 2 29 5" xfId="41758" xr:uid="{F2D1442A-7A67-4262-B209-F6F46864616F}"/>
    <cellStyle name="Normal 2 2 3" xfId="17183" xr:uid="{F1F80977-2623-42B8-9FE7-0FDD446E09F5}"/>
    <cellStyle name="Normal 2 2 3 2" xfId="17184" xr:uid="{5FDCE199-F725-47BE-BD6C-DDE37A733E08}"/>
    <cellStyle name="Normal 2 2 3 2 2" xfId="17185" xr:uid="{08E5635D-C7CE-4CC6-8543-F2498B9D2334}"/>
    <cellStyle name="Normal 2 2 3 2 2 2" xfId="17186" xr:uid="{6DBB1E0B-BDFB-4202-B447-F0CE10F5570A}"/>
    <cellStyle name="Normal 2 2 3 2 2 2 2" xfId="17187" xr:uid="{2FA55B42-7D2E-4E5F-9328-856283E3EF3F}"/>
    <cellStyle name="Normal 2 2 3 2 2 2 3" xfId="41759" xr:uid="{5D22EAFC-C077-4B63-829E-2348D4CAE27F}"/>
    <cellStyle name="Normal 2 2 3 2 2 3" xfId="17188" xr:uid="{9D01F9AD-6FE5-422F-A415-C750A874CCD4}"/>
    <cellStyle name="Normal 2 2 3 2 2 3 2" xfId="41760" xr:uid="{D3BDBFF0-5C6D-440F-A4DB-640C9A9C9588}"/>
    <cellStyle name="Normal 2 2 3 2 2 4" xfId="17189" xr:uid="{1E551AC6-6AF6-491E-AEB9-7B06EB3C2D2C}"/>
    <cellStyle name="Normal 2 2 3 2 2 5" xfId="41761" xr:uid="{E8502325-44CF-43F6-8D0E-A7DA3A5E1010}"/>
    <cellStyle name="Normal 2 2 3 2 3" xfId="17190" xr:uid="{2F3CCE26-C1CE-4EF0-86C6-A03A4356E69B}"/>
    <cellStyle name="Normal 2 2 3 2 3 2" xfId="17191" xr:uid="{68D35B8C-68ED-4EB5-B80B-7A4CFB6B8BCD}"/>
    <cellStyle name="Normal 2 2 3 2 3 3" xfId="41762" xr:uid="{53626AC2-08E7-4C5C-B59C-006AAA3399AD}"/>
    <cellStyle name="Normal 2 2 3 2 4" xfId="17192" xr:uid="{32276B11-225E-4D63-BA1C-5CF40B592D7F}"/>
    <cellStyle name="Normal 2 2 3 2 4 2" xfId="41763" xr:uid="{9933D82E-736C-49EF-BDD0-1993C6C3FC29}"/>
    <cellStyle name="Normal 2 2 3 2 5" xfId="17193" xr:uid="{18B4EF02-3B51-477A-B88C-DAA8314A67BB}"/>
    <cellStyle name="Normal 2 2 3 2 6" xfId="41764" xr:uid="{D3A96C2B-96F7-42BA-8588-3FE7E93BF049}"/>
    <cellStyle name="Normal 2 2 3 3" xfId="17194" xr:uid="{3FBB211D-5B3F-4D24-AF07-E4EFA2B260B3}"/>
    <cellStyle name="Normal 2 2 3 3 2" xfId="17195" xr:uid="{8CD26E35-5181-4ED1-9F2E-CB6D481C31BC}"/>
    <cellStyle name="Normal 2 2 3 3 2 2" xfId="17196" xr:uid="{F64E0AB7-1DE7-4DB5-866D-6232CE6DD2A9}"/>
    <cellStyle name="Normal 2 2 3 3 2 3" xfId="17197" xr:uid="{9EBBB5F2-9663-4F73-80BB-2B37D3F8D6D3}"/>
    <cellStyle name="Normal 2 2 3 3 2 4" xfId="41765" xr:uid="{116BF3D5-C4DF-4AF5-B167-8EC56669B895}"/>
    <cellStyle name="Normal 2 2 3 3 3" xfId="17198" xr:uid="{AB717DC1-38CF-4C2E-9F09-3C0F7F19F1F5}"/>
    <cellStyle name="Normal 2 2 3 3 3 2" xfId="17199" xr:uid="{FDE5A2FC-A1C9-486B-AC58-A8C5F3DCB425}"/>
    <cellStyle name="Normal 2 2 3 3 3 3" xfId="41766" xr:uid="{27C541F6-56FF-406E-AB16-8306D2169A2F}"/>
    <cellStyle name="Normal 2 2 3 3 4" xfId="17200" xr:uid="{4146B7DB-277E-4DCF-9FF4-EDBC6F667984}"/>
    <cellStyle name="Normal 2 2 3 3 5" xfId="41767" xr:uid="{F2CA04FC-D4AB-41A6-9FFC-A812C28D002B}"/>
    <cellStyle name="Normal 2 2 3 4" xfId="17201" xr:uid="{49C18BFE-30FB-4CEB-A6D1-A6BBD8D68518}"/>
    <cellStyle name="Normal 2 2 3 4 2" xfId="41768" xr:uid="{14511A9A-E851-41FA-871D-1BC4DFD1DC02}"/>
    <cellStyle name="Normal 2 2 3 5" xfId="17202" xr:uid="{495DF939-01B8-45EC-B45C-652A0DD6B975}"/>
    <cellStyle name="Normal 2 2 3 5 2" xfId="41769" xr:uid="{67B876AB-497E-471A-8CA4-F3269B420705}"/>
    <cellStyle name="Normal 2 2 3 6" xfId="41770" xr:uid="{C4D262EA-D404-40C0-BCEA-B14BDAEE33DE}"/>
    <cellStyle name="Normal 2 2 30" xfId="17203" xr:uid="{147C97EA-CEE6-464F-B8DF-4E9D5FEE0451}"/>
    <cellStyle name="Normal 2 2 30 2" xfId="17204" xr:uid="{4A861330-FFB0-478E-8A5D-F32C1D3DB86D}"/>
    <cellStyle name="Normal 2 2 30 2 2" xfId="17205" xr:uid="{02C11A08-E0F9-4F77-843C-8DFF0478D312}"/>
    <cellStyle name="Normal 2 2 30 2 2 2" xfId="41771" xr:uid="{2754FC24-A5B0-4BAA-AF60-3D24F34DB224}"/>
    <cellStyle name="Normal 2 2 30 2 3" xfId="17206" xr:uid="{3191A0E8-48AA-42EA-B82B-B693361836C9}"/>
    <cellStyle name="Normal 2 2 30 2 3 2" xfId="41772" xr:uid="{30444D64-1C53-45F9-82F6-AFCC7B434934}"/>
    <cellStyle name="Normal 2 2 30 2 4" xfId="41773" xr:uid="{588AD125-7D4A-4AB1-A3B5-DFEC375014B6}"/>
    <cellStyle name="Normal 2 2 30 3" xfId="17207" xr:uid="{06E5B300-68EF-4FC9-A3FD-F0727CD68B71}"/>
    <cellStyle name="Normal 2 2 30 3 2" xfId="41774" xr:uid="{575CC1DF-3674-4C08-B155-1C64BC90731C}"/>
    <cellStyle name="Normal 2 2 30 4" xfId="17208" xr:uid="{797186BA-9B24-47E9-9A37-6184847D6345}"/>
    <cellStyle name="Normal 2 2 30 4 2" xfId="41775" xr:uid="{707EB5EC-4EFD-4E3C-B752-6CD2742FA00A}"/>
    <cellStyle name="Normal 2 2 30 5" xfId="41776" xr:uid="{2E7A42A8-274C-4BEA-99D7-33AD8DFEDDAA}"/>
    <cellStyle name="Normal 2 2 31" xfId="17209" xr:uid="{16545AE7-2A86-4A26-A9C2-CBB34196068B}"/>
    <cellStyle name="Normal 2 2 31 2" xfId="17210" xr:uid="{CDBC7C94-F69E-4BC8-8B58-2CFEA88D0D4A}"/>
    <cellStyle name="Normal 2 2 31 2 2" xfId="17211" xr:uid="{F6650E97-B652-43A5-AA1A-E76FFAF985E6}"/>
    <cellStyle name="Normal 2 2 31 2 2 2" xfId="41777" xr:uid="{C39ADB1D-1D19-49F6-BFC1-9E513FB58943}"/>
    <cellStyle name="Normal 2 2 31 2 3" xfId="17212" xr:uid="{42BF2FF9-3E97-4A33-BF75-E73C8E4CD0BD}"/>
    <cellStyle name="Normal 2 2 31 2 3 2" xfId="41778" xr:uid="{319D207A-40ED-4D40-848D-7F6732767D51}"/>
    <cellStyle name="Normal 2 2 31 2 4" xfId="41779" xr:uid="{500DB4F3-9420-470E-B89D-423D12D43826}"/>
    <cellStyle name="Normal 2 2 31 3" xfId="17213" xr:uid="{183CBDB3-A3D9-4D89-88CF-1CF2C0FCD6CA}"/>
    <cellStyle name="Normal 2 2 31 3 2" xfId="41780" xr:uid="{23DDA661-B1DE-4C43-8F3F-3C0014BFB878}"/>
    <cellStyle name="Normal 2 2 31 4" xfId="17214" xr:uid="{D7E71420-88B1-483B-9349-3DB9B3577FDB}"/>
    <cellStyle name="Normal 2 2 31 4 2" xfId="41781" xr:uid="{E3ED47D9-C842-4655-8159-4B0D5376C4DF}"/>
    <cellStyle name="Normal 2 2 31 5" xfId="41782" xr:uid="{A1E2A5F0-9063-413A-AF47-B3C6C82C1FD0}"/>
    <cellStyle name="Normal 2 2 32" xfId="17215" xr:uid="{988A4F59-B66F-4AD2-A4D9-18E25FF39EDB}"/>
    <cellStyle name="Normal 2 2 32 2" xfId="17216" xr:uid="{F5EB712E-0FDF-40C2-93FF-BE39DC926B13}"/>
    <cellStyle name="Normal 2 2 32 2 2" xfId="41783" xr:uid="{437737AB-F68E-44E0-AFF8-B175D796CF10}"/>
    <cellStyle name="Normal 2 2 32 3" xfId="17217" xr:uid="{B9FC12C3-D1C6-4E59-96F3-6A7C970A591E}"/>
    <cellStyle name="Normal 2 2 32 3 2" xfId="41784" xr:uid="{7E8E29CD-4102-412A-821D-6917BCBB5F36}"/>
    <cellStyle name="Normal 2 2 32 4" xfId="41785" xr:uid="{3EDD05F4-5D2F-48AF-AA7F-1482B0C9C04D}"/>
    <cellStyle name="Normal 2 2 33" xfId="17218" xr:uid="{AF87C21A-2685-4769-92F2-2DE5D30A36FA}"/>
    <cellStyle name="Normal 2 2 33 2" xfId="41786" xr:uid="{F53F5BC5-8F77-4BD4-AA38-B7067D521DB5}"/>
    <cellStyle name="Normal 2 2 33 3" xfId="41787" xr:uid="{675D96D0-C340-4BDD-B7E6-254C6F2629C7}"/>
    <cellStyle name="Normal 2 2 34" xfId="17219" xr:uid="{710FDF16-3850-4325-982B-455DCB67CD09}"/>
    <cellStyle name="Normal 2 2 34 2" xfId="41788" xr:uid="{20A1DC37-7F5C-4ABF-B7A3-AE8F6C30704E}"/>
    <cellStyle name="Normal 2 2 35" xfId="17220" xr:uid="{272DD87C-3DFC-406B-A08F-2B2969CFCA25}"/>
    <cellStyle name="Normal 2 2 35 2" xfId="17221" xr:uid="{1B55AA3F-6021-498F-A624-3A99B757E8AD}"/>
    <cellStyle name="Normal 2 2 36" xfId="41789" xr:uid="{CE8C2437-D1BE-4F66-AE09-C06A459A234D}"/>
    <cellStyle name="Normal 2 2 4" xfId="17222" xr:uid="{40170F67-7D17-4581-8C16-F64E345554D6}"/>
    <cellStyle name="Normal 2 2 4 2" xfId="17223" xr:uid="{04B4EFAC-A13E-4617-8A39-B93274275D2A}"/>
    <cellStyle name="Normal 2 2 4 2 2" xfId="17224" xr:uid="{8BCF63A6-F899-4DB5-9093-44CD3DEEAD1E}"/>
    <cellStyle name="Normal 2 2 4 2 2 2" xfId="17225" xr:uid="{F44A3683-8441-4FA0-B31A-7F099E41FD89}"/>
    <cellStyle name="Normal 2 2 4 2 2 2 2" xfId="41790" xr:uid="{3819E744-9289-48F7-B54B-0CFCCF724B1B}"/>
    <cellStyle name="Normal 2 2 4 2 2 3" xfId="17226" xr:uid="{EF247F09-489D-42FC-8295-695022F033CE}"/>
    <cellStyle name="Normal 2 2 4 2 2 3 2" xfId="41791" xr:uid="{A5892A56-9295-402B-A5F8-CF7E4B393AD5}"/>
    <cellStyle name="Normal 2 2 4 2 2 4" xfId="41792" xr:uid="{32B5BFD7-AE6E-4CAD-B945-54CCB2E386D3}"/>
    <cellStyle name="Normal 2 2 4 2 3" xfId="17227" xr:uid="{88ED31A3-62B6-4F35-A2D7-046D7F7E22D1}"/>
    <cellStyle name="Normal 2 2 4 2 3 2" xfId="41793" xr:uid="{1DA42733-CE0F-4838-A579-A2B106E6F08C}"/>
    <cellStyle name="Normal 2 2 4 2 4" xfId="17228" xr:uid="{8B47F0CF-8CE3-4E68-9CA7-257ED0BD0096}"/>
    <cellStyle name="Normal 2 2 4 2 4 2" xfId="41794" xr:uid="{3BA46F11-7B6B-47B9-AF2F-2EEEE71B1A2F}"/>
    <cellStyle name="Normal 2 2 4 2 5" xfId="41795" xr:uid="{75B7EA1F-271B-4213-9EEB-AFC7C0EA4E84}"/>
    <cellStyle name="Normal 2 2 4 3" xfId="17229" xr:uid="{63EED1CD-B038-450C-964C-63E25CBC71DB}"/>
    <cellStyle name="Normal 2 2 4 3 2" xfId="17230" xr:uid="{00559C34-6C2E-49D1-9A6C-462FBCFC0D18}"/>
    <cellStyle name="Normal 2 2 4 3 2 2" xfId="41796" xr:uid="{B30F695D-69F1-4C15-B545-EA741118A8A0}"/>
    <cellStyle name="Normal 2 2 4 3 3" xfId="17231" xr:uid="{30DE9DEB-438C-4C0A-9B87-1281521883C4}"/>
    <cellStyle name="Normal 2 2 4 3 3 2" xfId="41797" xr:uid="{6DB63CA7-7041-4967-B1BF-F07B59068AA8}"/>
    <cellStyle name="Normal 2 2 4 3 4" xfId="41798" xr:uid="{C772B57A-B434-4F64-AB14-7AF7D000EC2B}"/>
    <cellStyle name="Normal 2 2 4 4" xfId="17232" xr:uid="{0ECAF8F5-5D32-43A5-8F6A-CD7D1D45B17F}"/>
    <cellStyle name="Normal 2 2 4 4 2" xfId="41799" xr:uid="{F51177A3-7F5A-45D9-8092-7515D824130B}"/>
    <cellStyle name="Normal 2 2 4 5" xfId="17233" xr:uid="{063FF81D-CE17-4552-82F3-1DA1A717B230}"/>
    <cellStyle name="Normal 2 2 4 5 2" xfId="41800" xr:uid="{D0FF2CE2-D279-41BB-B9D7-FF15AFB2B6A0}"/>
    <cellStyle name="Normal 2 2 4 6" xfId="41801" xr:uid="{212A1A70-2046-462E-B6C5-78EE4697455A}"/>
    <cellStyle name="Normal 2 2 5" xfId="17234" xr:uid="{14F661D7-9DFA-4A68-8D47-8F696795CBC4}"/>
    <cellStyle name="Normal 2 2 5 2" xfId="17235" xr:uid="{5FC15770-9FF8-4A81-8B2D-E80107D75627}"/>
    <cellStyle name="Normal 2 2 5 2 2" xfId="17236" xr:uid="{85AEA445-8FF3-46E3-916A-04660C52428B}"/>
    <cellStyle name="Normal 2 2 5 2 2 2" xfId="17237" xr:uid="{7D2ADA3B-D0C8-4FA3-8CEA-FC1F25E5CD44}"/>
    <cellStyle name="Normal 2 2 5 2 2 2 2" xfId="41802" xr:uid="{4AD8C3A9-202B-4F26-BF9A-FE1B73D9E750}"/>
    <cellStyle name="Normal 2 2 5 2 2 3" xfId="17238" xr:uid="{D3B6757F-FD0B-4997-B947-C30E85441BE2}"/>
    <cellStyle name="Normal 2 2 5 2 2 3 2" xfId="41803" xr:uid="{365520D7-3EBD-4576-82D1-ECDD32C45BE8}"/>
    <cellStyle name="Normal 2 2 5 2 2 4" xfId="41804" xr:uid="{125557D9-BC6C-4D0F-8D1D-4CA2EA797718}"/>
    <cellStyle name="Normal 2 2 5 2 3" xfId="17239" xr:uid="{FE35676D-106B-408B-B279-ADB4355E1102}"/>
    <cellStyle name="Normal 2 2 5 2 3 2" xfId="41805" xr:uid="{490C0276-7158-493A-9A8F-5868D2CABD0F}"/>
    <cellStyle name="Normal 2 2 5 2 4" xfId="17240" xr:uid="{A459511B-5AFD-4C62-99CF-89F13E79B645}"/>
    <cellStyle name="Normal 2 2 5 2 4 2" xfId="41806" xr:uid="{5953FF5A-69F7-4B34-B6EC-E8151A741267}"/>
    <cellStyle name="Normal 2 2 5 2 5" xfId="41807" xr:uid="{D737BA8B-8364-4DDB-977A-51F6F29199B6}"/>
    <cellStyle name="Normal 2 2 5 3" xfId="17241" xr:uid="{2D01364F-CE70-4217-9CEB-CF90820DD929}"/>
    <cellStyle name="Normal 2 2 5 3 2" xfId="17242" xr:uid="{AC5EE774-98E9-42D7-8750-B21145E789EA}"/>
    <cellStyle name="Normal 2 2 5 3 2 2" xfId="41808" xr:uid="{82B6DA60-5EFD-4F1D-BB92-23F5DF580C9A}"/>
    <cellStyle name="Normal 2 2 5 3 3" xfId="17243" xr:uid="{E486262B-A560-4A25-8983-B024AF287C2E}"/>
    <cellStyle name="Normal 2 2 5 3 3 2" xfId="41809" xr:uid="{0C201330-083A-4DFF-B520-1D05604A6CE5}"/>
    <cellStyle name="Normal 2 2 5 3 4" xfId="41810" xr:uid="{BCB5053F-C4D5-4B84-AB63-7531B9489CE5}"/>
    <cellStyle name="Normal 2 2 5 4" xfId="17244" xr:uid="{4738A70B-8D09-4E6A-BC15-88B746A5A903}"/>
    <cellStyle name="Normal 2 2 5 4 2" xfId="41811" xr:uid="{C01B836A-C0D3-417E-9A90-9B46BB581F7B}"/>
    <cellStyle name="Normal 2 2 5 5" xfId="17245" xr:uid="{4FACD688-4BEE-4732-BA29-265671DA1B05}"/>
    <cellStyle name="Normal 2 2 5 5 2" xfId="41812" xr:uid="{304AA96D-C836-4EE9-B8B3-CE26E578D4DC}"/>
    <cellStyle name="Normal 2 2 5 6" xfId="41813" xr:uid="{0399F547-EBD2-42C8-A65F-CA4702158089}"/>
    <cellStyle name="Normal 2 2 6" xfId="17246" xr:uid="{27B33EE8-9F72-4795-B3D4-9745AE0FEB2C}"/>
    <cellStyle name="Normal 2 2 6 2" xfId="17247" xr:uid="{930B6E8F-EF9D-4994-8C00-B88E19D6BA70}"/>
    <cellStyle name="Normal 2 2 6 2 2" xfId="17248" xr:uid="{2AD21FC3-BBD8-484B-B191-E0E800AA3D9F}"/>
    <cellStyle name="Normal 2 2 6 2 2 2" xfId="41814" xr:uid="{25E19686-185B-4B89-A163-D8BB2655C0D1}"/>
    <cellStyle name="Normal 2 2 6 2 3" xfId="17249" xr:uid="{B8B0FA82-DEEA-4D60-A3CB-5BCBA198CDEF}"/>
    <cellStyle name="Normal 2 2 6 2 3 2" xfId="41815" xr:uid="{C41659CD-D518-42F8-ABDE-C25E5B76E04E}"/>
    <cellStyle name="Normal 2 2 6 2 4" xfId="41816" xr:uid="{29FF3BB7-8F95-4509-8FB3-1FD304BF3917}"/>
    <cellStyle name="Normal 2 2 6 3" xfId="17250" xr:uid="{FDE01C7E-A6B0-4DCD-9A1B-0373D948FAD1}"/>
    <cellStyle name="Normal 2 2 6 3 2" xfId="41817" xr:uid="{2E6D954D-34C4-4C40-A821-F914284E08B7}"/>
    <cellStyle name="Normal 2 2 6 4" xfId="17251" xr:uid="{A07B7D9F-487F-441C-85FB-F1F53CFB1C31}"/>
    <cellStyle name="Normal 2 2 6 4 2" xfId="41818" xr:uid="{D32CF5B1-721B-4E3A-8937-297EF080C91F}"/>
    <cellStyle name="Normal 2 2 6 5" xfId="41819" xr:uid="{993BD4E0-A9A6-48E7-841B-6D32643DEAB9}"/>
    <cellStyle name="Normal 2 2 7" xfId="17252" xr:uid="{E2E5CA5E-9606-453C-A96C-C7207AB83319}"/>
    <cellStyle name="Normal 2 2 7 2" xfId="17253" xr:uid="{410E6525-DE77-4A6D-95B9-FF20D03C373A}"/>
    <cellStyle name="Normal 2 2 7 2 2" xfId="17254" xr:uid="{F94681B3-BF9B-4CCB-93F4-83A993ACC2D0}"/>
    <cellStyle name="Normal 2 2 7 2 2 2" xfId="41820" xr:uid="{A5980AC5-B111-4A4D-86A4-562965386792}"/>
    <cellStyle name="Normal 2 2 7 2 3" xfId="17255" xr:uid="{056DA208-B6C0-4738-A5B3-CEA4E9F416F6}"/>
    <cellStyle name="Normal 2 2 7 2 3 2" xfId="41821" xr:uid="{A4320762-C238-4802-9D37-E1E5F413DEDF}"/>
    <cellStyle name="Normal 2 2 7 2 4" xfId="41822" xr:uid="{F1275D81-F81F-44BB-9565-B359D765E8C7}"/>
    <cellStyle name="Normal 2 2 7 3" xfId="17256" xr:uid="{E28BD065-9B7F-4D6C-8FFF-72C95B83BF48}"/>
    <cellStyle name="Normal 2 2 7 3 2" xfId="41823" xr:uid="{28EFF9C3-442C-40CA-BD37-4206170E0A90}"/>
    <cellStyle name="Normal 2 2 7 4" xfId="17257" xr:uid="{976987A5-F268-449F-85E5-A2F534752C1A}"/>
    <cellStyle name="Normal 2 2 7 4 2" xfId="41824" xr:uid="{EC248116-E851-459B-9787-136C44AE8C43}"/>
    <cellStyle name="Normal 2 2 7 5" xfId="41825" xr:uid="{1FCB60A3-4371-4073-A942-F3611FD79C50}"/>
    <cellStyle name="Normal 2 2 8" xfId="17258" xr:uid="{6EAF96EE-070A-43D2-B3C6-01EAB7B0B815}"/>
    <cellStyle name="Normal 2 2 8 2" xfId="17259" xr:uid="{BDFE62C7-E859-4E2A-9E01-5DA3CD15E78E}"/>
    <cellStyle name="Normal 2 2 8 2 2" xfId="17260" xr:uid="{05C09DCA-AA8F-48E2-97DB-D78EC549C9AE}"/>
    <cellStyle name="Normal 2 2 8 2 2 2" xfId="41826" xr:uid="{2C716A62-E958-4101-A205-B48078768564}"/>
    <cellStyle name="Normal 2 2 8 2 3" xfId="17261" xr:uid="{610FE245-91D2-48A8-9301-C42C68B8A7B5}"/>
    <cellStyle name="Normal 2 2 8 2 3 2" xfId="41827" xr:uid="{EDA64291-D4F1-4FB0-9942-CC1E1AC7F526}"/>
    <cellStyle name="Normal 2 2 8 2 4" xfId="41828" xr:uid="{3D8A7BB1-67B3-462E-BE15-83726200E902}"/>
    <cellStyle name="Normal 2 2 8 3" xfId="17262" xr:uid="{87F2BDE0-5C0D-449B-AA85-532685267C80}"/>
    <cellStyle name="Normal 2 2 8 3 2" xfId="41829" xr:uid="{55B426D3-B9D9-4A58-BB21-82B183A0338E}"/>
    <cellStyle name="Normal 2 2 8 4" xfId="17263" xr:uid="{13CB0513-D035-481B-8BD6-DC2B7A45479D}"/>
    <cellStyle name="Normal 2 2 8 4 2" xfId="41830" xr:uid="{68F7578D-6D81-4D25-AB1F-1DB505FFF726}"/>
    <cellStyle name="Normal 2 2 8 5" xfId="41831" xr:uid="{E9D4D809-8717-4D8F-9DE1-4AC483134B6A}"/>
    <cellStyle name="Normal 2 2 9" xfId="17264" xr:uid="{FE0DE2B8-B35A-4C2F-B9D0-08F7C78EADFF}"/>
    <cellStyle name="Normal 2 2 9 2" xfId="17265" xr:uid="{60FC3AEC-728B-49C1-96C0-678195AF3F0C}"/>
    <cellStyle name="Normal 2 2 9 2 2" xfId="17266" xr:uid="{C1165B1D-250C-4F84-9119-5B70A9C8635D}"/>
    <cellStyle name="Normal 2 2 9 2 2 2" xfId="41832" xr:uid="{EFB685E5-05D2-4C22-9B55-0DB9C1022D01}"/>
    <cellStyle name="Normal 2 2 9 2 3" xfId="17267" xr:uid="{79C7CB6F-80D7-40F1-ACB2-6D05FC5E9CC2}"/>
    <cellStyle name="Normal 2 2 9 2 3 2" xfId="41833" xr:uid="{D0EC175B-A959-466A-AC9B-EFC6A307DE70}"/>
    <cellStyle name="Normal 2 2 9 2 4" xfId="41834" xr:uid="{43A00C00-B5FC-4897-B901-B19CC95F0DF9}"/>
    <cellStyle name="Normal 2 2 9 3" xfId="17268" xr:uid="{B470CF81-E5E2-4D15-AD85-0708D7170D2E}"/>
    <cellStyle name="Normal 2 2 9 3 2" xfId="41835" xr:uid="{BAF3A1A2-F244-4389-A19E-D99A1BE4F9C4}"/>
    <cellStyle name="Normal 2 2 9 4" xfId="17269" xr:uid="{03BF9AB7-6423-479A-8F5B-ABEB4C925C2D}"/>
    <cellStyle name="Normal 2 2 9 4 2" xfId="41836" xr:uid="{16293233-8F54-4356-8212-BB34A7B15534}"/>
    <cellStyle name="Normal 2 2 9 5" xfId="41837" xr:uid="{195B4B7B-31EB-4B6F-BDA4-AEEDC1A3C53A}"/>
    <cellStyle name="Normal 2 2_2011 PCI Provision Workpapers Q1" xfId="17270" xr:uid="{C8D53266-E152-4C77-A2F8-DCA461B81BF4}"/>
    <cellStyle name="Normal 2 20" xfId="17271" xr:uid="{A1A6727C-A88A-476A-9127-CE9C1CA0C6C4}"/>
    <cellStyle name="Normal 2 20 2" xfId="17272" xr:uid="{9D128836-DF64-4288-AC48-A002BCA8929B}"/>
    <cellStyle name="Normal 2 20 2 2" xfId="41838" xr:uid="{E443A453-EBAA-4487-BA7A-9F18E061AB01}"/>
    <cellStyle name="Normal 2 20 3" xfId="41839" xr:uid="{7EF951B5-390B-48B1-A1E3-2DCDC42C5DDD}"/>
    <cellStyle name="Normal 2 21" xfId="17273" xr:uid="{DA9F3CFE-4C3D-4701-A17B-C9A7B61907B4}"/>
    <cellStyle name="Normal 2 21 2" xfId="17274" xr:uid="{27BC723E-90D2-4001-9F8E-F6D4F39B94A2}"/>
    <cellStyle name="Normal 2 21 2 2" xfId="41840" xr:uid="{F996338F-0106-4C33-8D19-62D8FDFDDA43}"/>
    <cellStyle name="Normal 2 21 3" xfId="41841" xr:uid="{7262F832-80D2-455C-A0B6-E61A0A1649AB}"/>
    <cellStyle name="Normal 2 22" xfId="17275" xr:uid="{204538BB-71D5-4B7A-B087-C7E8E137FAF4}"/>
    <cellStyle name="Normal 2 22 2" xfId="17276" xr:uid="{F3231878-7D5A-4665-89E8-AED6E6C5BB4D}"/>
    <cellStyle name="Normal 2 22 2 2" xfId="41842" xr:uid="{DAB47A17-E1B7-4D97-9E00-643E78E379A7}"/>
    <cellStyle name="Normal 2 22 3" xfId="41843" xr:uid="{73F44EF7-D622-4266-99D2-F5B116E277BA}"/>
    <cellStyle name="Normal 2 23" xfId="17277" xr:uid="{505ACEFC-B0D5-47B3-B7DA-402287989B6A}"/>
    <cellStyle name="Normal 2 23 2" xfId="17278" xr:uid="{8EEC5927-9D8A-4713-80D7-E2A2A1B82316}"/>
    <cellStyle name="Normal 2 23 2 2" xfId="41844" xr:uid="{38931656-D962-4625-BCB0-51FB6856C48C}"/>
    <cellStyle name="Normal 2 23 3" xfId="41845" xr:uid="{5849FDA6-EEB4-4330-BD9B-71FC7A6B6FE9}"/>
    <cellStyle name="Normal 2 24" xfId="17279" xr:uid="{281D9E61-51D3-424D-9AB2-E1BDC55A7FBA}"/>
    <cellStyle name="Normal 2 24 2" xfId="17280" xr:uid="{C7B1A24C-C355-4C74-B1B0-0BC4076DA70B}"/>
    <cellStyle name="Normal 2 24 2 2" xfId="41846" xr:uid="{C9904D01-979D-44E7-B9A5-7F94E2B3ACAC}"/>
    <cellStyle name="Normal 2 24 3" xfId="41847" xr:uid="{50F76DA9-E8E4-46FD-97FB-2A652330593B}"/>
    <cellStyle name="Normal 2 25" xfId="17281" xr:uid="{0B2155B8-C012-4066-80ED-590220495209}"/>
    <cellStyle name="Normal 2 25 2" xfId="17282" xr:uid="{885FEFCD-C8A2-4776-A1C7-66B33277D94A}"/>
    <cellStyle name="Normal 2 25 2 2" xfId="41848" xr:uid="{093B4FE5-B557-41A5-808E-88C89D6348B9}"/>
    <cellStyle name="Normal 2 25 3" xfId="41849" xr:uid="{F1B673E6-5E78-4BB1-A1C9-6DFBBC6DA891}"/>
    <cellStyle name="Normal 2 26" xfId="17283" xr:uid="{EB081DCE-7C38-42EC-9714-2EE2F8D52AE2}"/>
    <cellStyle name="Normal 2 26 2" xfId="17284" xr:uid="{96E83ABE-B395-45A6-B37A-43D3DE1960F4}"/>
    <cellStyle name="Normal 2 26 2 2" xfId="41850" xr:uid="{2B53BDC6-A29F-4E45-9BA4-5144F5762B5F}"/>
    <cellStyle name="Normal 2 26 3" xfId="41851" xr:uid="{C3DB39F1-C01D-41F3-9937-1BFFD3A237DD}"/>
    <cellStyle name="Normal 2 27" xfId="17285" xr:uid="{CE3644B6-1DD7-485D-820E-76E5737DE7C4}"/>
    <cellStyle name="Normal 2 27 2" xfId="17286" xr:uid="{387F5D55-E9FF-4406-8C8B-00EECFCF9E4E}"/>
    <cellStyle name="Normal 2 27 2 2" xfId="41852" xr:uid="{2B67DFF5-45ED-41C4-9D91-41F550851706}"/>
    <cellStyle name="Normal 2 27 3" xfId="41853" xr:uid="{A7807827-4589-4F74-9A6F-D568CC32D3E0}"/>
    <cellStyle name="Normal 2 28" xfId="17287" xr:uid="{ECF924A8-0B56-4615-AF52-D45D6A7D176C}"/>
    <cellStyle name="Normal 2 28 2" xfId="17288" xr:uid="{EC8F424B-02DF-4F5E-8925-089015948B87}"/>
    <cellStyle name="Normal 2 28 2 2" xfId="41854" xr:uid="{9DBFE2B6-57F3-407A-B807-C590CFABFB5D}"/>
    <cellStyle name="Normal 2 28 3" xfId="41855" xr:uid="{F3659A09-59EB-41D8-BBBA-1339B72ACC66}"/>
    <cellStyle name="Normal 2 29" xfId="17289" xr:uid="{B7EDDADF-1EC3-49E0-AE0C-04258FD0BC2A}"/>
    <cellStyle name="Normal 2 29 2" xfId="17290" xr:uid="{D526EBDD-6607-4C9F-AAA8-0B9181548935}"/>
    <cellStyle name="Normal 2 29 2 2" xfId="41856" xr:uid="{6EA3242C-40C0-4088-A2AE-58767ACD2A1E}"/>
    <cellStyle name="Normal 2 29 3" xfId="41857" xr:uid="{8E47A4D9-8CAB-4AAE-ABE4-95C77864ABF9}"/>
    <cellStyle name="Normal 2 29 4" xfId="41858" xr:uid="{0CFE4300-43FC-45C4-B8EF-3FF4B0A3A0CF}"/>
    <cellStyle name="Normal 2 3" xfId="17291" xr:uid="{C5ED9DD2-582E-440B-9F38-71692A38C404}"/>
    <cellStyle name="Normal 2 3 2" xfId="17292" xr:uid="{10790629-8625-4228-892A-1030E9A05C10}"/>
    <cellStyle name="Normal 2 3 2 2" xfId="17293" xr:uid="{6C85CD8B-C1D6-4C93-A5CE-BC954C93529B}"/>
    <cellStyle name="Normal 2 3 2 2 2" xfId="41859" xr:uid="{0BB7FE96-BED8-44CB-A733-25327763B359}"/>
    <cellStyle name="Normal 2 3 2 3" xfId="17294" xr:uid="{8CE12823-A566-4679-BB5D-B58A0BCD590F}"/>
    <cellStyle name="Normal 2 3 2 3 2" xfId="41860" xr:uid="{4901D79A-7EC1-45A7-8835-E2FD0F515186}"/>
    <cellStyle name="Normal 2 3 2 4" xfId="17295" xr:uid="{8E4E3CB8-E5AE-4020-869A-858D40BD362B}"/>
    <cellStyle name="Normal 2 3 2 5" xfId="17296" xr:uid="{3A91F958-719B-4E7D-B84D-DB0D3040F6BC}"/>
    <cellStyle name="Normal 2 3 2 5 2" xfId="17297" xr:uid="{0B71F064-8039-4433-92F1-AAD914598846}"/>
    <cellStyle name="Normal 2 3 2 5 3" xfId="17298" xr:uid="{2322D71D-8383-43D3-8B66-C75F748A94BA}"/>
    <cellStyle name="Normal 2 3 3" xfId="17299" xr:uid="{A6A8993D-01D9-41D9-86D8-51FC768F6FC9}"/>
    <cellStyle name="Normal 2 3 3 2" xfId="17300" xr:uid="{4E16CC6D-6EC4-4C1A-84D8-23716020F3BC}"/>
    <cellStyle name="Normal 2 3 3 3" xfId="17301" xr:uid="{EA7B9387-A51D-4C97-B044-4FBA96B2B390}"/>
    <cellStyle name="Normal 2 3 3 3 2" xfId="17302" xr:uid="{2305E141-7FA3-4676-BCDB-026DD0E0A768}"/>
    <cellStyle name="Normal 2 3 3 3 3" xfId="17303" xr:uid="{B8B03DA9-7467-4E35-BCB5-8D46E437965C}"/>
    <cellStyle name="Normal 2 3 4" xfId="17304" xr:uid="{F2AE2650-A69E-4021-937A-C36D16843351}"/>
    <cellStyle name="Normal 2 3 4 2" xfId="41861" xr:uid="{3793E977-64D4-4087-A396-ED491EFC20D0}"/>
    <cellStyle name="Normal 2 3 5" xfId="17305" xr:uid="{40828212-1707-44B9-87DB-9AEFBAD61F0A}"/>
    <cellStyle name="Normal 2 3 6" xfId="17306" xr:uid="{9A637BD8-98E4-4526-AE7E-2E4AE73497CB}"/>
    <cellStyle name="Normal 2 3 6 2" xfId="17307" xr:uid="{1EDC2F08-F357-44CD-A91E-3B4E03C649BE}"/>
    <cellStyle name="Normal 2 3 6 2 2" xfId="17308" xr:uid="{49B39F8F-8BB4-4859-A8D0-8E35293D9AD6}"/>
    <cellStyle name="Normal 2 3 6 2 3" xfId="17309" xr:uid="{42A0537B-7F70-4485-99A7-9E98650D6683}"/>
    <cellStyle name="Normal 2 3 6 3" xfId="17310" xr:uid="{D399A520-2E40-4C13-A52B-E1D24725F64F}"/>
    <cellStyle name="Normal 2 3 6 4" xfId="17311" xr:uid="{2C618AC0-1591-4FFF-ACBB-3BDDEDD6B987}"/>
    <cellStyle name="Normal 2 30" xfId="17312" xr:uid="{1A04B943-2AFA-4B51-9497-B893365BB914}"/>
    <cellStyle name="Normal 2 30 2" xfId="17313" xr:uid="{D0464E17-1324-44CB-B77A-3AF8713D897B}"/>
    <cellStyle name="Normal 2 30 2 2" xfId="41862" xr:uid="{74E5472F-49A2-4482-8297-7A8656A080E7}"/>
    <cellStyle name="Normal 2 30 3" xfId="41863" xr:uid="{8F6E4FE3-DC68-4D4C-BB19-D63C74760D06}"/>
    <cellStyle name="Normal 2 31" xfId="17314" xr:uid="{90F77BED-4FA1-48FC-A28A-2C541798D0F3}"/>
    <cellStyle name="Normal 2 31 2" xfId="17315" xr:uid="{5708FDA7-2B6A-4F4B-BBC3-AFD8F2CC5F63}"/>
    <cellStyle name="Normal 2 31 2 2" xfId="41864" xr:uid="{D0F3F5B4-056A-41C4-BA5D-A9D1118B6592}"/>
    <cellStyle name="Normal 2 31 3" xfId="41865" xr:uid="{72A09815-A1A5-4D96-B960-2909667805CC}"/>
    <cellStyle name="Normal 2 32" xfId="17316" xr:uid="{5498EAA3-52C2-4AEA-AD9F-B4313AC35E62}"/>
    <cellStyle name="Normal 2 32 2" xfId="17317" xr:uid="{25F82829-E297-42C6-8EDE-83D87214374E}"/>
    <cellStyle name="Normal 2 32 2 2" xfId="41866" xr:uid="{4A22E378-0A7E-4607-A49C-F4140D1FBBF4}"/>
    <cellStyle name="Normal 2 32 3" xfId="41867" xr:uid="{2A5856A8-6FD1-4581-9BAC-24018B346526}"/>
    <cellStyle name="Normal 2 33" xfId="17318" xr:uid="{813FF458-A499-4CE4-886A-DFC2DAB53472}"/>
    <cellStyle name="Normal 2 33 2" xfId="17319" xr:uid="{73D2D7EC-8B78-47F6-AA3B-0DDBC7A2178B}"/>
    <cellStyle name="Normal 2 33 2 2" xfId="41868" xr:uid="{736A43BF-8E60-4462-9C48-9C9103F0B7E2}"/>
    <cellStyle name="Normal 2 33 3" xfId="41869" xr:uid="{0DC82685-0923-4ACF-9F11-F0FB336CF6F4}"/>
    <cellStyle name="Normal 2 34" xfId="17320" xr:uid="{EF958C9E-C791-41D2-BCF5-7A2246A51C99}"/>
    <cellStyle name="Normal 2 34 2" xfId="17321" xr:uid="{4C8D8F0D-780E-4D3F-B5B3-1D5937ABEC58}"/>
    <cellStyle name="Normal 2 34 2 2" xfId="41870" xr:uid="{4F716686-A83A-4BD7-A033-A598BD077386}"/>
    <cellStyle name="Normal 2 34 3" xfId="41871" xr:uid="{DEF33041-071B-47F2-A904-D7C15B94A540}"/>
    <cellStyle name="Normal 2 35" xfId="17322" xr:uid="{CE99FA1F-EEE6-4158-9237-724C07E0D89E}"/>
    <cellStyle name="Normal 2 35 2" xfId="17323" xr:uid="{E2EC40C7-AB57-4EA2-A6EC-400E46B417A5}"/>
    <cellStyle name="Normal 2 35 2 2" xfId="41872" xr:uid="{BB216877-DD7B-40DB-A549-923D723A1FB6}"/>
    <cellStyle name="Normal 2 35 3" xfId="41873" xr:uid="{CA2C9F99-0112-40AF-A9EC-613ACFA7F903}"/>
    <cellStyle name="Normal 2 36" xfId="17324" xr:uid="{C608CFE9-847A-4EC1-B16B-8B73B3F3371D}"/>
    <cellStyle name="Normal 2 36 2" xfId="17325" xr:uid="{F0497349-A917-4272-A5BD-FAC9A8B26A55}"/>
    <cellStyle name="Normal 2 36 2 2" xfId="41874" xr:uid="{E4C3B5E6-BC4D-4C25-8E69-132475EB1E1C}"/>
    <cellStyle name="Normal 2 36 3" xfId="41875" xr:uid="{86EDAD2E-9A34-4CC3-A34F-559D300F8139}"/>
    <cellStyle name="Normal 2 37" xfId="17326" xr:uid="{C8BCAE3E-121E-4758-8C12-5E05AD78B360}"/>
    <cellStyle name="Normal 2 37 2" xfId="17327" xr:uid="{8D10E172-6D20-4863-BA9E-D940CCBEB690}"/>
    <cellStyle name="Normal 2 37 2 2" xfId="41876" xr:uid="{88077ECD-FC1E-4F59-A60C-F1D023FB3B79}"/>
    <cellStyle name="Normal 2 37 3" xfId="41877" xr:uid="{5718BE43-8B1D-44F9-984C-DB5A16D9A3A2}"/>
    <cellStyle name="Normal 2 38" xfId="17328" xr:uid="{DBD3C988-FDB1-4133-B197-C40217BF0BC4}"/>
    <cellStyle name="Normal 2 38 2" xfId="17329" xr:uid="{068D77FA-6024-4A63-8E75-BCC704456729}"/>
    <cellStyle name="Normal 2 38 2 2" xfId="41878" xr:uid="{AB767FA1-53D0-48BB-ABDD-D65636AE3C8B}"/>
    <cellStyle name="Normal 2 38 3" xfId="41879" xr:uid="{946CDA6F-8E48-40F1-9C23-C3A97977D1A8}"/>
    <cellStyle name="Normal 2 39" xfId="17330" xr:uid="{91CD056D-4037-4D28-8B58-957F6606C881}"/>
    <cellStyle name="Normal 2 39 2" xfId="17331" xr:uid="{E6E77A92-0E35-4BA8-A496-9B847779B14B}"/>
    <cellStyle name="Normal 2 39 2 2" xfId="41880" xr:uid="{F64D97F6-419F-4AF7-B43D-842C3E7B58E9}"/>
    <cellStyle name="Normal 2 39 3" xfId="41881" xr:uid="{B430F3F2-F882-485E-83D1-F6B24CA9007A}"/>
    <cellStyle name="Normal 2 4" xfId="17332" xr:uid="{03B9DD43-D657-4F42-B547-42897053C78D}"/>
    <cellStyle name="Normal 2 4 2" xfId="17333" xr:uid="{D1922BA0-8C07-46AE-8BDE-4E6623946327}"/>
    <cellStyle name="Normal 2 4 2 2" xfId="17334" xr:uid="{600898AC-3DCE-40F6-B644-6CCDE3C05B88}"/>
    <cellStyle name="Normal 2 4 2 2 2" xfId="17335" xr:uid="{E1841278-8B0A-4B4A-8C11-3B813F72F0FB}"/>
    <cellStyle name="Normal 2 4 2 2 3" xfId="17336" xr:uid="{3D136072-F22F-4FE1-B55A-449D1480A51E}"/>
    <cellStyle name="Normal 2 4 2 2 4" xfId="41882" xr:uid="{E42F662C-FD14-4239-932B-934C31CA7685}"/>
    <cellStyle name="Normal 2 4 2 3" xfId="17337" xr:uid="{55457E8D-071C-4B3B-91B1-283E27315127}"/>
    <cellStyle name="Normal 2 4 2 3 2" xfId="17338" xr:uid="{47C06471-EC39-42D2-8E62-F8AD08D215E1}"/>
    <cellStyle name="Normal 2 4 2 3 3" xfId="41883" xr:uid="{AC15DD23-9D02-4B19-A6FF-707D295B04A9}"/>
    <cellStyle name="Normal 2 4 2 4" xfId="17339" xr:uid="{D825075E-579E-469C-837E-615F709E6ADF}"/>
    <cellStyle name="Normal 2 4 2 5" xfId="17340" xr:uid="{38C872EA-5034-44F6-8D13-441717A0C7F2}"/>
    <cellStyle name="Normal 2 4 2 5 2" xfId="17341" xr:uid="{88FD0603-7A28-4A95-A5A6-BC5E7FBB72C6}"/>
    <cellStyle name="Normal 2 4 2 5 3" xfId="17342" xr:uid="{EFC2A5CF-3D47-4AA3-87B9-F4474406A335}"/>
    <cellStyle name="Normal 2 4 2 6" xfId="17343" xr:uid="{BBF583EF-8D9B-4A67-BCA1-2F708B0C02D0}"/>
    <cellStyle name="Normal 2 4 3" xfId="17344" xr:uid="{39DC0CE9-DCB6-4027-8BE9-A9512AE86C2A}"/>
    <cellStyle name="Normal 2 4 3 2" xfId="17345" xr:uid="{571C7323-6367-41CE-8076-CD03AC5EBF47}"/>
    <cellStyle name="Normal 2 4 3 2 2" xfId="17346" xr:uid="{DCDB980F-9700-4BE8-82C0-133F49AA5A95}"/>
    <cellStyle name="Normal 2 4 3 3" xfId="17347" xr:uid="{60EF6526-8D4C-48DC-84E4-16D70C0DBC2A}"/>
    <cellStyle name="Normal 2 4 3 4" xfId="17348" xr:uid="{6637C1B0-E3FB-4B36-BA0E-DDBD1EC8217E}"/>
    <cellStyle name="Normal 2 4 3 5" xfId="41884" xr:uid="{ACA94C31-C387-4249-82B5-1FF5F8566B44}"/>
    <cellStyle name="Normal 2 4 4" xfId="17349" xr:uid="{E525505E-6693-4075-9BAA-85E7707CA434}"/>
    <cellStyle name="Normal 2 4 4 2" xfId="41885" xr:uid="{19820A71-19AB-4923-A1F9-6189E5A6D8B8}"/>
    <cellStyle name="Normal 2 4 5" xfId="17350" xr:uid="{15F2E0D5-D610-441B-BA81-3AC179A71814}"/>
    <cellStyle name="Normal 2 4 6" xfId="17351" xr:uid="{FC8AD515-62F0-4529-8C4B-9F76698EB83B}"/>
    <cellStyle name="Normal 2 4 6 2" xfId="17352" xr:uid="{A9A2D464-7B83-40A7-8A2A-F7EB0EE3DDBA}"/>
    <cellStyle name="Normal 2 4 6 2 2" xfId="17353" xr:uid="{D5F55641-5AA1-4174-BD83-A3166F29E1D5}"/>
    <cellStyle name="Normal 2 4 6 2 3" xfId="17354" xr:uid="{FA4F66C1-8891-4B6B-BA49-C11C46694D45}"/>
    <cellStyle name="Normal 2 4 6 3" xfId="17355" xr:uid="{63514FB3-33A7-4F23-94E4-9B99378B99AE}"/>
    <cellStyle name="Normal 2 4 6 4" xfId="17356" xr:uid="{B829BFD2-3FA0-420F-8777-E85365532A7E}"/>
    <cellStyle name="Normal 2 4 7" xfId="17357" xr:uid="{E38A3C26-8A11-4BE1-9098-52B07E6C10D5}"/>
    <cellStyle name="Normal 2 4 7 2" xfId="17358" xr:uid="{443BEA05-E2F4-47CA-AD09-6AB5A08A1286}"/>
    <cellStyle name="Normal 2 4 7 3" xfId="17359" xr:uid="{D6465D76-A2C4-43C8-A2F9-8A13A08726A1}"/>
    <cellStyle name="Normal 2 4 8" xfId="17360" xr:uid="{22379E29-E93D-403B-8006-E1F9B34AE83E}"/>
    <cellStyle name="Normal 2 4 8 2" xfId="17361" xr:uid="{AD49E0B3-D275-4EAF-9B40-345005D85DE8}"/>
    <cellStyle name="Normal 2 4 8 3" xfId="17362" xr:uid="{E1E1AE36-1DBF-4D55-A2E5-BCF0FD11DA1F}"/>
    <cellStyle name="Normal 2 40" xfId="17363" xr:uid="{6653B6DC-9CE3-47FC-96FD-CAEF68B5C545}"/>
    <cellStyle name="Normal 2 40 2" xfId="17364" xr:uid="{936A5EDF-4394-4BE1-8303-C3E7749E863B}"/>
    <cellStyle name="Normal 2 40 2 2" xfId="41886" xr:uid="{99390970-7CED-4D95-87A1-4E223C14221F}"/>
    <cellStyle name="Normal 2 40 3" xfId="41887" xr:uid="{48D66B0A-3871-4BC2-8E73-B245FDE2EB6C}"/>
    <cellStyle name="Normal 2 41" xfId="17365" xr:uid="{693FBFE2-A2F7-48E7-8C0F-74DE1283BE2E}"/>
    <cellStyle name="Normal 2 41 2" xfId="17366" xr:uid="{B121B51D-1D5E-40D4-A186-9A43B203FDA8}"/>
    <cellStyle name="Normal 2 41 2 2" xfId="41888" xr:uid="{9E04C759-80BD-494D-985E-648D6DBC6298}"/>
    <cellStyle name="Normal 2 41 3" xfId="41889" xr:uid="{C50374D1-116E-4C03-99E9-7BFFC641844F}"/>
    <cellStyle name="Normal 2 42" xfId="17367" xr:uid="{BFF26958-EA19-4A29-ADCB-4A848BFE2272}"/>
    <cellStyle name="Normal 2 42 2" xfId="17368" xr:uid="{06ADC608-D374-406D-A2EE-A7F4E1DA7A0A}"/>
    <cellStyle name="Normal 2 42 2 2" xfId="41890" xr:uid="{2BD186B5-B1A1-42C4-8F19-4EDD64895604}"/>
    <cellStyle name="Normal 2 42 3" xfId="41891" xr:uid="{B1C95B0E-05FC-41AE-A82C-B8A7F118C0A6}"/>
    <cellStyle name="Normal 2 43" xfId="17369" xr:uid="{BEA7B953-A9E3-4533-99D8-96003EA6AFCF}"/>
    <cellStyle name="Normal 2 43 2" xfId="17370" xr:uid="{6199856F-E61C-4682-84AA-74AD79EC13A5}"/>
    <cellStyle name="Normal 2 43 2 2" xfId="41892" xr:uid="{20D2371A-E365-4DBF-9D7B-837C7E93A97C}"/>
    <cellStyle name="Normal 2 43 3" xfId="41893" xr:uid="{615C517A-F3C5-42FF-B3BF-D33D5762824A}"/>
    <cellStyle name="Normal 2 44" xfId="17371" xr:uid="{AC976359-D516-40A3-9122-0209F9475657}"/>
    <cellStyle name="Normal 2 44 2" xfId="17372" xr:uid="{762287C9-DAF6-403C-8C4F-92132589652F}"/>
    <cellStyle name="Normal 2 44 2 2" xfId="41894" xr:uid="{1D1215E6-791E-4236-98A7-D42EA05530ED}"/>
    <cellStyle name="Normal 2 44 3" xfId="41895" xr:uid="{CA4BFFBF-E92C-4D08-A3C7-B98C923E057E}"/>
    <cellStyle name="Normal 2 45" xfId="17373" xr:uid="{7DCC526F-1BAB-4AA7-8A70-60005C1FF14A}"/>
    <cellStyle name="Normal 2 45 2" xfId="17374" xr:uid="{2ADD0920-DD6C-4698-A904-30BF3A4390D3}"/>
    <cellStyle name="Normal 2 45 2 2" xfId="41896" xr:uid="{002CB094-0411-439C-A803-495AF8AB2BA6}"/>
    <cellStyle name="Normal 2 45 3" xfId="41897" xr:uid="{12DE06CC-AC75-4671-8AA8-E603491BFBCE}"/>
    <cellStyle name="Normal 2 46" xfId="17375" xr:uid="{5609EF67-FF19-4629-80AF-BB8DA3A6FAFE}"/>
    <cellStyle name="Normal 2 46 2" xfId="17376" xr:uid="{71513265-0EF5-402A-8263-4CE8F3572E53}"/>
    <cellStyle name="Normal 2 46 2 2" xfId="41898" xr:uid="{4C6C5654-126E-43CF-8D08-FB9F4F9A3ACF}"/>
    <cellStyle name="Normal 2 46 3" xfId="41899" xr:uid="{D0512FB5-B78A-4328-97D5-C6D0BE45B7D1}"/>
    <cellStyle name="Normal 2 47" xfId="17377" xr:uid="{88209C42-4B71-41BE-BCCF-878A5427AA70}"/>
    <cellStyle name="Normal 2 47 2" xfId="17378" xr:uid="{5ED7B3E9-B5C2-41AE-8692-E9945426CBCC}"/>
    <cellStyle name="Normal 2 47 2 2" xfId="41900" xr:uid="{81349745-E34C-4CE5-B4CC-5F8F80BA142F}"/>
    <cellStyle name="Normal 2 47 3" xfId="41901" xr:uid="{6DDFC927-AAFC-46AC-9FBB-35E17850B709}"/>
    <cellStyle name="Normal 2 48" xfId="17379" xr:uid="{A329BAEA-FCB3-4D0F-ACB9-3AA261F602BC}"/>
    <cellStyle name="Normal 2 48 2" xfId="17380" xr:uid="{2FC3AD70-FCC1-4DF8-8210-83BC5FD21F51}"/>
    <cellStyle name="Normal 2 48 2 2" xfId="41902" xr:uid="{4323FE9B-B657-4F80-9F7F-60082059B0E8}"/>
    <cellStyle name="Normal 2 48 3" xfId="41903" xr:uid="{E668F457-80CC-4005-967A-E7C65308392B}"/>
    <cellStyle name="Normal 2 49" xfId="17381" xr:uid="{74920828-D1FF-43FD-A81C-A07FD1211976}"/>
    <cellStyle name="Normal 2 49 2" xfId="17382" xr:uid="{40F3DA97-1442-4B82-ADA0-3C1825604C30}"/>
    <cellStyle name="Normal 2 49 2 2" xfId="41904" xr:uid="{0BFE41F7-1942-466F-BDC8-5431FC12CA00}"/>
    <cellStyle name="Normal 2 49 3" xfId="41905" xr:uid="{9AABBFD1-95A8-4717-BB14-6DAE45921E93}"/>
    <cellStyle name="Normal 2 5" xfId="17383" xr:uid="{51E2ABCA-C12E-47B4-953B-9E5E8BD34811}"/>
    <cellStyle name="Normal 2 5 2" xfId="17384" xr:uid="{114BF71A-1BA7-4333-83F5-77D4870568B6}"/>
    <cellStyle name="Normal 2 5 2 2" xfId="17385" xr:uid="{E350C9A3-E928-456A-AE6E-0A9AC578DF14}"/>
    <cellStyle name="Normal 2 5 2 2 2" xfId="17386" xr:uid="{B7F5B54D-2114-468C-A4A6-A91BF9EA1133}"/>
    <cellStyle name="Normal 2 5 2 2 3" xfId="17387" xr:uid="{26005AB1-36C3-4D05-925E-4EA399D47563}"/>
    <cellStyle name="Normal 2 5 2 2 4" xfId="41906" xr:uid="{2A233771-4DC5-4E71-B48A-CF1681BA1ACA}"/>
    <cellStyle name="Normal 2 5 2 3" xfId="17388" xr:uid="{816917AC-2B13-4866-B67F-4521934BA6EC}"/>
    <cellStyle name="Normal 2 5 2 3 2" xfId="17389" xr:uid="{36CB06F3-843C-44FA-AF47-57C97FFA107F}"/>
    <cellStyle name="Normal 2 5 2 3 3" xfId="41907" xr:uid="{BC4C4C90-545C-4BD3-9610-5BA9EBC0D53F}"/>
    <cellStyle name="Normal 2 5 2 4" xfId="17390" xr:uid="{872ECFB8-FF47-4D3E-9B44-1C93DF34F5E2}"/>
    <cellStyle name="Normal 2 5 2 5" xfId="17391" xr:uid="{C9B41061-DAE8-42EB-84C9-92C1C6144ABA}"/>
    <cellStyle name="Normal 2 5 2 5 2" xfId="17392" xr:uid="{68DC7051-5FF6-4285-B240-931E53BBDA35}"/>
    <cellStyle name="Normal 2 5 2 5 3" xfId="17393" xr:uid="{48F51D51-795F-40C8-9CB5-6416780DE9D3}"/>
    <cellStyle name="Normal 2 5 2 6" xfId="17394" xr:uid="{9036F648-7783-4A77-B01A-DA19EAFF4D9D}"/>
    <cellStyle name="Normal 2 5 3" xfId="17395" xr:uid="{82CEB0A3-59A1-4E46-9E8E-D10F83977187}"/>
    <cellStyle name="Normal 2 5 3 2" xfId="17396" xr:uid="{532CB3D1-BB99-4FC6-AA10-4CB7BA43188D}"/>
    <cellStyle name="Normal 2 5 3 2 2" xfId="17397" xr:uid="{A2E47EF5-09AE-4B22-B36B-94BC0047DE37}"/>
    <cellStyle name="Normal 2 5 3 3" xfId="17398" xr:uid="{94540D90-F5F0-4CDC-AB74-B72D89981222}"/>
    <cellStyle name="Normal 2 5 3 4" xfId="17399" xr:uid="{52120087-1E39-4FE2-8964-A838A297492B}"/>
    <cellStyle name="Normal 2 5 3 5" xfId="41908" xr:uid="{BD7196CA-91DB-494F-AF87-B34C085BFE78}"/>
    <cellStyle name="Normal 2 5 4" xfId="17400" xr:uid="{7741E2DC-47BC-4E5D-8C1D-56187BF9DDBF}"/>
    <cellStyle name="Normal 2 5 4 2" xfId="41909" xr:uid="{133A8482-C1A4-43A2-B2F6-94E8A6F4E1A6}"/>
    <cellStyle name="Normal 2 5 5" xfId="17401" xr:uid="{948AF6B7-C0EE-4C33-B66F-4893E850F9E8}"/>
    <cellStyle name="Normal 2 5 5 2" xfId="17402" xr:uid="{6AEF6BF3-ED72-46E8-89F1-A060919FD8D1}"/>
    <cellStyle name="Normal 2 5 5 2 2" xfId="17403" xr:uid="{DD15E52B-EA19-49DC-BF7A-AA35A956E353}"/>
    <cellStyle name="Normal 2 5 5 2 3" xfId="17404" xr:uid="{E7CA9001-085D-4E2A-9A0A-54BB78512B54}"/>
    <cellStyle name="Normal 2 5 5 3" xfId="17405" xr:uid="{5EE5AD0A-AA0F-4581-B90F-E3A6145D0F77}"/>
    <cellStyle name="Normal 2 5 5 4" xfId="17406" xr:uid="{1882EC71-7014-4E2F-B6E9-A2AF531237B4}"/>
    <cellStyle name="Normal 2 5 6" xfId="43492" xr:uid="{9F4E6BBA-6184-473A-B69F-331FFCF1887C}"/>
    <cellStyle name="Normal 2 50" xfId="17407" xr:uid="{00356F1C-8F2D-462B-AF9F-D828C5042183}"/>
    <cellStyle name="Normal 2 50 2" xfId="17408" xr:uid="{40162658-9C4E-4660-B1D5-D44A73796CBC}"/>
    <cellStyle name="Normal 2 50 2 2" xfId="41910" xr:uid="{676A3438-0219-49F3-AE75-24756C459B1C}"/>
    <cellStyle name="Normal 2 50 3" xfId="41911" xr:uid="{B92B342C-E3DE-43E1-89A0-1F112CA08625}"/>
    <cellStyle name="Normal 2 51" xfId="17409" xr:uid="{48F3A5C6-5C8F-49D8-A95E-4EAE61260324}"/>
    <cellStyle name="Normal 2 51 2" xfId="17410" xr:uid="{1F72BA8D-88B1-45FC-9A9F-2FEA9A29979A}"/>
    <cellStyle name="Normal 2 51 2 2" xfId="41912" xr:uid="{4869341F-83A1-49AC-A877-4D1F3DA35F6A}"/>
    <cellStyle name="Normal 2 51 3" xfId="41913" xr:uid="{4854E2F9-6768-44ED-8C81-CBA88F0976A5}"/>
    <cellStyle name="Normal 2 52" xfId="17411" xr:uid="{6C3A2FD3-85D2-4E5E-8AF6-CCA0BF79D44C}"/>
    <cellStyle name="Normal 2 52 2" xfId="17412" xr:uid="{E4F2610F-B8F2-4F4A-A295-325327658729}"/>
    <cellStyle name="Normal 2 52 2 2" xfId="41914" xr:uid="{EC65A1FB-FE40-4DA7-A37F-1DA87E405C07}"/>
    <cellStyle name="Normal 2 52 3" xfId="41915" xr:uid="{A2E0981C-3E27-45AE-A57A-557EB4A26B7C}"/>
    <cellStyle name="Normal 2 53" xfId="17413" xr:uid="{7510C2FA-1E5C-4BD5-82DC-0CE7B5BFAED7}"/>
    <cellStyle name="Normal 2 53 2" xfId="17414" xr:uid="{9303724C-3C06-48DA-808D-4F96050B0089}"/>
    <cellStyle name="Normal 2 53 2 2" xfId="41916" xr:uid="{73E84CBD-627F-4402-BE87-4A987E0A8CC4}"/>
    <cellStyle name="Normal 2 53 3" xfId="41917" xr:uid="{FABBDB3B-2296-492F-A6B0-09270FFD16DD}"/>
    <cellStyle name="Normal 2 54" xfId="17415" xr:uid="{CDE060C3-A26A-4A4B-9483-904263C44673}"/>
    <cellStyle name="Normal 2 54 2" xfId="17416" xr:uid="{EAE6070A-AA77-4356-8046-F4AA83ECF55D}"/>
    <cellStyle name="Normal 2 54 2 2" xfId="41918" xr:uid="{8885DF04-6ECB-4167-A0CE-9E2DFCD680E1}"/>
    <cellStyle name="Normal 2 54 3" xfId="41919" xr:uid="{99F743E3-2182-4FD0-A467-42A4FA8C5824}"/>
    <cellStyle name="Normal 2 55" xfId="17417" xr:uid="{AC83FC8C-53C8-452D-B2FA-E688FF9F9CD3}"/>
    <cellStyle name="Normal 2 55 2" xfId="17418" xr:uid="{B4971537-4AA3-4ECC-83AB-31D074B444B9}"/>
    <cellStyle name="Normal 2 55 2 2" xfId="41920" xr:uid="{F345F204-5289-4220-B792-B76F574D59CF}"/>
    <cellStyle name="Normal 2 55 3" xfId="41921" xr:uid="{C482816C-8693-4FB7-8ADE-6B77D31FF95F}"/>
    <cellStyle name="Normal 2 56" xfId="17419" xr:uid="{D1B7A012-FBC9-461C-BD29-ABC7EBC97367}"/>
    <cellStyle name="Normal 2 56 2" xfId="17420" xr:uid="{294A5CA1-C5D1-495F-952F-722B9C467D32}"/>
    <cellStyle name="Normal 2 56 2 2" xfId="41922" xr:uid="{FFB05DED-6689-42CE-AA56-D5CBD275FE63}"/>
    <cellStyle name="Normal 2 56 3" xfId="41923" xr:uid="{D341C95B-C8EA-4EF2-9646-30E159D72B06}"/>
    <cellStyle name="Normal 2 57" xfId="17421" xr:uid="{170162A9-B5CB-47C2-9B94-59EF8D96477D}"/>
    <cellStyle name="Normal 2 57 2" xfId="17422" xr:uid="{AD2B9EBD-B0D5-4838-B25B-AAC8E5634DEE}"/>
    <cellStyle name="Normal 2 57 2 2" xfId="41924" xr:uid="{F6F78930-5F87-409E-BB44-7E965387A2A4}"/>
    <cellStyle name="Normal 2 57 3" xfId="41925" xr:uid="{1C091E10-9CBA-4C43-8965-C7C5C4182902}"/>
    <cellStyle name="Normal 2 58" xfId="17423" xr:uid="{D6EC7937-1ACE-4F48-876F-A812A7454A02}"/>
    <cellStyle name="Normal 2 58 2" xfId="17424" xr:uid="{C2F6B622-743D-49EC-B5C8-E4F0CA1355BA}"/>
    <cellStyle name="Normal 2 58 2 2" xfId="41926" xr:uid="{5CDDF523-E4F5-4115-B961-6F3752ACCA6C}"/>
    <cellStyle name="Normal 2 58 3" xfId="41927" xr:uid="{0DCA08C3-9E89-48E0-A21A-326D9DE9488E}"/>
    <cellStyle name="Normal 2 59" xfId="17425" xr:uid="{75531D82-3413-4740-B517-9502FCBBF4D7}"/>
    <cellStyle name="Normal 2 59 2" xfId="17426" xr:uid="{2DC54A06-4A07-4353-A140-C9C6FE5688C5}"/>
    <cellStyle name="Normal 2 59 2 2" xfId="41928" xr:uid="{F00C0E79-9275-4A3D-B488-7C74F76B22BA}"/>
    <cellStyle name="Normal 2 59 3" xfId="41929" xr:uid="{25E614B0-1D6D-445B-BF8B-FFC778BF9B38}"/>
    <cellStyle name="Normal 2 6" xfId="17427" xr:uid="{FA4B2604-E117-413A-BD71-B8FBBD76F23B}"/>
    <cellStyle name="Normal 2 6 2" xfId="17428" xr:uid="{28546168-0269-4AD1-9CDB-C133F8EF06B2}"/>
    <cellStyle name="Normal 2 6 2 2" xfId="17429" xr:uid="{D2FD6214-B7CF-4061-83FA-8A7A6AD294CE}"/>
    <cellStyle name="Normal 2 6 2 2 2" xfId="17430" xr:uid="{5AAF1A56-2832-4B8F-BD1A-FD426E353B1C}"/>
    <cellStyle name="Normal 2 6 2 2 3" xfId="17431" xr:uid="{41F84F9C-A474-4D1A-8C50-34324E5D56E7}"/>
    <cellStyle name="Normal 2 6 2 2 4" xfId="41930" xr:uid="{C278A291-FEAD-416E-9FD3-FE50C8D98804}"/>
    <cellStyle name="Normal 2 6 2 3" xfId="17432" xr:uid="{9F1E1714-EA39-4B1D-BDCE-EDE40E06C7A9}"/>
    <cellStyle name="Normal 2 6 2 3 2" xfId="17433" xr:uid="{CF32904E-67A5-4BB1-B454-F83AD59C6855}"/>
    <cellStyle name="Normal 2 6 2 3 3" xfId="41931" xr:uid="{1EB5D03E-1D46-4675-994C-4BCE6E5BD324}"/>
    <cellStyle name="Normal 2 6 2 4" xfId="17434" xr:uid="{FF4F7CC1-BA03-46B2-997B-9574C6518E1A}"/>
    <cellStyle name="Normal 2 6 2 5" xfId="41932" xr:uid="{02724CF0-A9C7-40AA-BD43-BD955A764702}"/>
    <cellStyle name="Normal 2 6 3" xfId="17435" xr:uid="{EA4A0C54-0D02-4AC5-A581-6126D696227C}"/>
    <cellStyle name="Normal 2 6 3 2" xfId="17436" xr:uid="{99FFB5EE-8DB6-4C30-808D-593AFE098E6B}"/>
    <cellStyle name="Normal 2 6 3 2 2" xfId="17437" xr:uid="{B38A47DF-EBE1-4084-A7A7-F5A11606C251}"/>
    <cellStyle name="Normal 2 6 3 3" xfId="17438" xr:uid="{BA920D50-FE03-46AF-B521-1749236CCF31}"/>
    <cellStyle name="Normal 2 6 3 4" xfId="17439" xr:uid="{B37A5BB0-60E0-43FA-9B5C-539089B93EA7}"/>
    <cellStyle name="Normal 2 6 3 5" xfId="41933" xr:uid="{57FCE0D7-183A-4ACC-8B18-1A5835B2B92B}"/>
    <cellStyle name="Normal 2 6 4" xfId="17440" xr:uid="{DBBD7789-D9FA-48B6-B9D8-1283BC6D41A1}"/>
    <cellStyle name="Normal 2 6 4 2" xfId="41934" xr:uid="{CB097D33-F466-40E6-9334-AFFED1BD4D43}"/>
    <cellStyle name="Normal 2 6 5" xfId="17441" xr:uid="{1B7BDE12-BD41-473B-9FE6-8C8361A1A9E9}"/>
    <cellStyle name="Normal 2 6 6" xfId="17442" xr:uid="{BC453F00-33E5-41CA-A751-C74959EF8A43}"/>
    <cellStyle name="Normal 2 6 6 2" xfId="17443" xr:uid="{FA5164AC-1053-474C-8065-2D5A8676ABEE}"/>
    <cellStyle name="Normal 2 6 6 3" xfId="17444" xr:uid="{64E147F1-D9CD-4E51-946E-6C81A0A302AA}"/>
    <cellStyle name="Normal 2 60" xfId="17445" xr:uid="{2BF4A8F8-DED7-4013-9658-3FDD74F06454}"/>
    <cellStyle name="Normal 2 60 2" xfId="17446" xr:uid="{4F9E20D9-4253-4412-9A20-B3272FA2EF2A}"/>
    <cellStyle name="Normal 2 60 2 2" xfId="41935" xr:uid="{24D93B16-913C-42FF-8747-9D4612ABC697}"/>
    <cellStyle name="Normal 2 60 3" xfId="41936" xr:uid="{5411F684-E9E4-4A7E-BF01-D897D03F951D}"/>
    <cellStyle name="Normal 2 61" xfId="17447" xr:uid="{E3021F9F-2F4A-4CA6-AF10-4FD9721432E1}"/>
    <cellStyle name="Normal 2 61 2" xfId="17448" xr:uid="{8452DF46-6719-4FA1-A966-F54C78CA8487}"/>
    <cellStyle name="Normal 2 61 2 2" xfId="41937" xr:uid="{996FFC81-8A02-43CE-80F5-C5FB0E5C1079}"/>
    <cellStyle name="Normal 2 61 3" xfId="41938" xr:uid="{9FAD12F7-FD24-4E39-9E61-262631F150B3}"/>
    <cellStyle name="Normal 2 62" xfId="17449" xr:uid="{7B373060-40AB-4D08-833E-0000059768C0}"/>
    <cellStyle name="Normal 2 62 2" xfId="17450" xr:uid="{FE734A5B-D92C-419A-A900-F0D6C5E3839E}"/>
    <cellStyle name="Normal 2 62 2 2" xfId="41939" xr:uid="{3F1FA631-255F-49AB-BD93-62E69F305772}"/>
    <cellStyle name="Normal 2 62 3" xfId="41940" xr:uid="{83322502-5782-4604-BB8B-87F8DC34EF16}"/>
    <cellStyle name="Normal 2 63" xfId="17451" xr:uid="{1FD31AF7-07DF-482A-8D6F-693931D65FB3}"/>
    <cellStyle name="Normal 2 63 2" xfId="17452" xr:uid="{55DA0EC2-9926-4939-899C-8705A004794E}"/>
    <cellStyle name="Normal 2 63 2 2" xfId="41941" xr:uid="{AEBBC20F-8620-4673-8504-F0C79920D207}"/>
    <cellStyle name="Normal 2 63 3" xfId="41942" xr:uid="{8C6D7450-34C6-48FD-8B0B-DEE7E8051A01}"/>
    <cellStyle name="Normal 2 64" xfId="17453" xr:uid="{06AC5927-43BB-498F-8230-442C8FF1AB92}"/>
    <cellStyle name="Normal 2 64 2" xfId="17454" xr:uid="{1A2B752B-EE78-4C96-9638-7245CAEB9C95}"/>
    <cellStyle name="Normal 2 64 2 2" xfId="41943" xr:uid="{D9E22521-B2C5-4F05-A84D-5D89544CD3F9}"/>
    <cellStyle name="Normal 2 64 3" xfId="41944" xr:uid="{17C3B236-D66F-44A1-B9CE-8367E5D6CFFD}"/>
    <cellStyle name="Normal 2 65" xfId="17455" xr:uid="{6FB881A0-255F-47CE-B943-D764EAF5F421}"/>
    <cellStyle name="Normal 2 65 2" xfId="17456" xr:uid="{48338C43-7ADE-478C-9694-ECBC15768133}"/>
    <cellStyle name="Normal 2 65 2 2" xfId="41945" xr:uid="{CD568281-A64C-4A39-9DE2-6CA0F788D14A}"/>
    <cellStyle name="Normal 2 65 3" xfId="41946" xr:uid="{B4077788-1514-4D59-9465-1298F96F9497}"/>
    <cellStyle name="Normal 2 66" xfId="17457" xr:uid="{11ABCC21-3FC0-4806-B042-B6AA6408D281}"/>
    <cellStyle name="Normal 2 66 2" xfId="17458" xr:uid="{41031895-17E3-4790-A3C2-547D964847B4}"/>
    <cellStyle name="Normal 2 66 2 2" xfId="41947" xr:uid="{44D10931-8CB0-499C-903E-BF9D5E8D275F}"/>
    <cellStyle name="Normal 2 66 3" xfId="41948" xr:uid="{E64D642F-C58E-46D5-99D9-F02AFA21694C}"/>
    <cellStyle name="Normal 2 67" xfId="17459" xr:uid="{45BBFAF7-FBEB-4DB4-AA56-E3C3B58E4954}"/>
    <cellStyle name="Normal 2 67 2" xfId="17460" xr:uid="{D3AD0C9E-1549-484D-A2F0-05E6585C60E1}"/>
    <cellStyle name="Normal 2 67 2 2" xfId="41949" xr:uid="{B72166F6-FA83-4E8B-A116-18E309AB6918}"/>
    <cellStyle name="Normal 2 67 3" xfId="41950" xr:uid="{62C43F51-9E6B-476F-A8DE-DC1A253449BA}"/>
    <cellStyle name="Normal 2 68" xfId="17461" xr:uid="{0EECE027-3168-4952-A752-93A90FF9FEAC}"/>
    <cellStyle name="Normal 2 68 2" xfId="17462" xr:uid="{AA8875C8-B235-429F-9C50-043DB79344B9}"/>
    <cellStyle name="Normal 2 68 2 2" xfId="41951" xr:uid="{A2552374-AE6C-4A59-8E12-DD42E9B3DE19}"/>
    <cellStyle name="Normal 2 68 3" xfId="41952" xr:uid="{9938FE71-661B-439A-9CE6-8C9E153A1FAF}"/>
    <cellStyle name="Normal 2 69" xfId="17463" xr:uid="{527BF46B-72D0-4FB7-BDB9-C10857926E70}"/>
    <cellStyle name="Normal 2 69 2" xfId="17464" xr:uid="{629D6A5C-E53F-48A2-A7F5-32DF8E56D842}"/>
    <cellStyle name="Normal 2 69 2 2" xfId="41953" xr:uid="{31E91EF7-A954-4A36-9FC1-DDFE02808677}"/>
    <cellStyle name="Normal 2 69 3" xfId="41954" xr:uid="{D4B81F91-9FD1-4E6D-A010-F435FB1FB6C2}"/>
    <cellStyle name="Normal 2 7" xfId="17465" xr:uid="{D3F5921E-B6B0-405F-85BF-B6AEA37E40D4}"/>
    <cellStyle name="Normal 2 7 2" xfId="17466" xr:uid="{C4A40541-50A6-45D3-9D9F-69E2109D8988}"/>
    <cellStyle name="Normal 2 7 2 2" xfId="17467" xr:uid="{EA5079AD-D52E-4F3E-A250-43669D28C11D}"/>
    <cellStyle name="Normal 2 7 2 2 2" xfId="41955" xr:uid="{D0BF891E-B2E2-4A3D-8D6E-56446F070D87}"/>
    <cellStyle name="Normal 2 7 2 3" xfId="17468" xr:uid="{FD006F88-92DE-4603-9D92-9D8EE07595EF}"/>
    <cellStyle name="Normal 2 7 2 3 2" xfId="41956" xr:uid="{BF5ADE3E-E447-4CDC-8892-4A67867AD131}"/>
    <cellStyle name="Normal 2 7 2 4" xfId="41957" xr:uid="{0AB1DE22-A6E8-45A7-9BAB-1DC28691D7AE}"/>
    <cellStyle name="Normal 2 7 3" xfId="17469" xr:uid="{5B2D76AD-790B-4D15-98FE-19B888623F27}"/>
    <cellStyle name="Normal 2 7 3 2" xfId="41958" xr:uid="{1391BFC9-7940-4F18-A5C1-B442286A6186}"/>
    <cellStyle name="Normal 2 7 4" xfId="17470" xr:uid="{99ED469F-9D22-43FE-922B-026DBC2DB031}"/>
    <cellStyle name="Normal 2 7 4 2" xfId="41959" xr:uid="{BD040BD2-D588-4C38-A8CF-352E4490D270}"/>
    <cellStyle name="Normal 2 7 5" xfId="41960" xr:uid="{8E62DB11-677F-4709-89C0-41124502493B}"/>
    <cellStyle name="Normal 2 70" xfId="17471" xr:uid="{50964816-8935-48AE-9AAB-BC024A46C435}"/>
    <cellStyle name="Normal 2 70 2" xfId="17472" xr:uid="{2B4A4D99-3EA4-4A04-B2FD-08AC06B5FF38}"/>
    <cellStyle name="Normal 2 70 2 2" xfId="41961" xr:uid="{CC6AD6FB-325F-48C4-A146-3ABA83F0CE05}"/>
    <cellStyle name="Normal 2 70 3" xfId="41962" xr:uid="{DA80B97B-7F62-457F-B6C1-1A40BAC2BF8B}"/>
    <cellStyle name="Normal 2 71" xfId="17473" xr:uid="{62FB0096-F35F-4884-A18E-70FA7B3DF51C}"/>
    <cellStyle name="Normal 2 71 2" xfId="17474" xr:uid="{63F04153-B7ED-4CAE-8575-1C4CC044365D}"/>
    <cellStyle name="Normal 2 71 2 2" xfId="41963" xr:uid="{1C6A7C57-4228-413E-B6AA-D361A860D772}"/>
    <cellStyle name="Normal 2 71 3" xfId="41964" xr:uid="{A172EB98-46C9-413F-9501-2CBC40AED31D}"/>
    <cellStyle name="Normal 2 72" xfId="17475" xr:uid="{E4357306-A8E9-41BA-9E09-EF1D79380934}"/>
    <cellStyle name="Normal 2 72 2" xfId="17476" xr:uid="{F2FE5CA9-4F6B-441E-80D7-15D2BBC52553}"/>
    <cellStyle name="Normal 2 72 2 2" xfId="41965" xr:uid="{D9C7BED0-A6DB-477C-BC24-73CF69D42743}"/>
    <cellStyle name="Normal 2 72 3" xfId="41966" xr:uid="{3017912E-7418-408F-BEC3-0BB1B5C34D89}"/>
    <cellStyle name="Normal 2 73" xfId="17477" xr:uid="{93C3B781-060C-4D54-B310-AC63A89526CC}"/>
    <cellStyle name="Normal 2 73 2" xfId="17478" xr:uid="{0D4F3CB1-7717-47FC-9023-59A7925B4EE4}"/>
    <cellStyle name="Normal 2 73 2 2" xfId="41967" xr:uid="{0B24C9F6-7EDC-42CC-A10F-73581CB19473}"/>
    <cellStyle name="Normal 2 73 3" xfId="41968" xr:uid="{AA0379C6-8A80-41D0-B446-D59A0ADF9E56}"/>
    <cellStyle name="Normal 2 74" xfId="17479" xr:uid="{05780C5E-B73C-49A6-AF1C-1E6CCC9A2599}"/>
    <cellStyle name="Normal 2 74 2" xfId="17480" xr:uid="{5BD319C3-83BD-4AA3-AA39-1A6AD613DE23}"/>
    <cellStyle name="Normal 2 74 2 2" xfId="41969" xr:uid="{69CC4091-7C26-4EFA-A717-0ED54390F0F9}"/>
    <cellStyle name="Normal 2 74 3" xfId="41970" xr:uid="{4ED42DF8-6133-4B5C-8003-E6412476497A}"/>
    <cellStyle name="Normal 2 75" xfId="17481" xr:uid="{A14CE754-7D54-42D9-A96C-A4D17C618251}"/>
    <cellStyle name="Normal 2 75 2" xfId="17482" xr:uid="{DECDD7A8-D771-4904-95CA-A0CB8D8DB9EC}"/>
    <cellStyle name="Normal 2 75 2 2" xfId="41971" xr:uid="{E99EE59F-899A-4E43-93FB-9D5A85704C39}"/>
    <cellStyle name="Normal 2 75 3" xfId="41972" xr:uid="{ED2915AF-BA10-4EC1-A65D-32E2F711C06B}"/>
    <cellStyle name="Normal 2 76" xfId="17483" xr:uid="{3B4CF35A-526D-467F-A940-57BD41BAF62E}"/>
    <cellStyle name="Normal 2 76 2" xfId="17484" xr:uid="{EDD25531-960F-442F-A607-1C65834A27AF}"/>
    <cellStyle name="Normal 2 76 2 2" xfId="41973" xr:uid="{521BB722-1554-41D4-AB9F-8498C2A9FEC9}"/>
    <cellStyle name="Normal 2 76 3" xfId="41974" xr:uid="{F2B676A6-EDC6-4E60-9FF3-5971D27B118D}"/>
    <cellStyle name="Normal 2 77" xfId="17485" xr:uid="{FFDC6EB8-ED01-438D-9BBD-153AA04C4EFD}"/>
    <cellStyle name="Normal 2 77 2" xfId="17486" xr:uid="{2EED3B4E-F6D4-45F1-8224-2CB6814E1151}"/>
    <cellStyle name="Normal 2 77 2 2" xfId="41975" xr:uid="{C8514898-4EF9-4474-8636-456A88531021}"/>
    <cellStyle name="Normal 2 77 3" xfId="41976" xr:uid="{72CDC327-0B6A-44B6-BEE8-40E0016E10DE}"/>
    <cellStyle name="Normal 2 78" xfId="17487" xr:uid="{E3FFA7AC-A4B1-48FC-9EE7-2B683B623128}"/>
    <cellStyle name="Normal 2 78 2" xfId="17488" xr:uid="{2561AD66-08CC-4934-B7C1-70D56455090D}"/>
    <cellStyle name="Normal 2 78 2 2" xfId="41977" xr:uid="{5C93A1F5-0999-47CB-A9BD-96EAB727B81A}"/>
    <cellStyle name="Normal 2 78 3" xfId="41978" xr:uid="{1FC2D4AA-1DA4-458F-8AC3-A18BA7D08E11}"/>
    <cellStyle name="Normal 2 79" xfId="17489" xr:uid="{70B8B6EC-9888-4160-92AB-395F94F70941}"/>
    <cellStyle name="Normal 2 79 2" xfId="17490" xr:uid="{76BFEF17-BAEC-4FDE-B900-8FBF13A5F75F}"/>
    <cellStyle name="Normal 2 79 2 2" xfId="17491" xr:uid="{3E1A2CFA-FB61-491A-BBC7-B020C13EF485}"/>
    <cellStyle name="Normal 2 79 2 3" xfId="17492" xr:uid="{65CFA203-BF55-4B3B-9C2F-A4A9017DEDE6}"/>
    <cellStyle name="Normal 2 79 3" xfId="17493" xr:uid="{17C3A6F6-11C1-4BDA-8B67-3385E2DB22DC}"/>
    <cellStyle name="Normal 2 79 4" xfId="17494" xr:uid="{3E51AEBE-18B3-40F1-8509-016B7081694E}"/>
    <cellStyle name="Normal 2 79 5" xfId="41979" xr:uid="{5492909C-E222-4FB3-8893-BC9BD333195B}"/>
    <cellStyle name="Normal 2 8" xfId="17495" xr:uid="{D949FE0C-CE12-4FED-9532-C6A9642A9C31}"/>
    <cellStyle name="Normal 2 8 2" xfId="17496" xr:uid="{EFE4CCBB-C63B-4959-863A-D7634C121517}"/>
    <cellStyle name="Normal 2 8 2 2" xfId="17497" xr:uid="{1E6BE3A7-EE14-413E-A400-4F41BA417532}"/>
    <cellStyle name="Normal 2 8 2 2 2" xfId="41980" xr:uid="{45D2859E-4080-4EA7-8F04-A2EFC8119F3B}"/>
    <cellStyle name="Normal 2 8 2 3" xfId="17498" xr:uid="{064BD2E5-5336-4C45-BDA3-C03002DE8E07}"/>
    <cellStyle name="Normal 2 8 2 3 2" xfId="41981" xr:uid="{88A3D6F7-FC17-4015-8750-F8C8F0861C0A}"/>
    <cellStyle name="Normal 2 8 2 4" xfId="41982" xr:uid="{1937CBBA-DAEF-47E0-A2A1-DE6A14B51B83}"/>
    <cellStyle name="Normal 2 8 3" xfId="17499" xr:uid="{13DE9DEC-EF76-4C43-9243-00A1195E425B}"/>
    <cellStyle name="Normal 2 8 3 2" xfId="41983" xr:uid="{48FD9A34-8F69-485E-8CD6-B0F390484B45}"/>
    <cellStyle name="Normal 2 8 4" xfId="17500" xr:uid="{5EDC31E6-623A-45E2-BBC7-7743BEC4A603}"/>
    <cellStyle name="Normal 2 8 4 2" xfId="41984" xr:uid="{B3BDC456-3FA7-4C28-9208-071973B455A3}"/>
    <cellStyle name="Normal 2 8 5" xfId="41985" xr:uid="{7AA5C7D3-CC5B-41A1-A2C4-C287D1BB783A}"/>
    <cellStyle name="Normal 2 80" xfId="17501" xr:uid="{488FACE1-A2F2-40FB-8F72-8FACD2F054F0}"/>
    <cellStyle name="Normal 2 80 2" xfId="41986" xr:uid="{28CFE8F7-D740-43EC-8545-ADA9BE4470F2}"/>
    <cellStyle name="Normal 2 81" xfId="41987" xr:uid="{9ED99246-265C-4DEF-A363-6D7C44A1FA01}"/>
    <cellStyle name="Normal 2 9" xfId="17502" xr:uid="{FED0B3AA-0DE5-4A71-85FB-E9B7C81DE4CB}"/>
    <cellStyle name="Normal 2 9 2" xfId="17503" xr:uid="{5BB8F14C-958F-4739-A727-673C8C61246E}"/>
    <cellStyle name="Normal 2 9 2 2" xfId="17504" xr:uid="{C01EF7D2-689F-426D-9971-6C6CEC77F92B}"/>
    <cellStyle name="Normal 2 9 2 2 2" xfId="41988" xr:uid="{32FBE09D-5C1C-47B0-B180-0B9268EE8165}"/>
    <cellStyle name="Normal 2 9 2 3" xfId="17505" xr:uid="{77AE0BC9-4E11-47A2-8305-843C0B288E96}"/>
    <cellStyle name="Normal 2 9 2 3 2" xfId="41989" xr:uid="{C8B66F21-ED79-412C-AFEF-7A93CE8371AA}"/>
    <cellStyle name="Normal 2 9 2 4" xfId="41990" xr:uid="{25309E55-28B8-4EE9-8386-081F054EB007}"/>
    <cellStyle name="Normal 2 9 3" xfId="17506" xr:uid="{FE857B79-4ACB-483B-8223-36E56CB6FE84}"/>
    <cellStyle name="Normal 2 9 3 2" xfId="41991" xr:uid="{67B61336-29D5-494C-B360-29C18FDEEA4D}"/>
    <cellStyle name="Normal 2 9 4" xfId="17507" xr:uid="{BCD17410-6A96-4AAC-A2B1-4C9238E825DD}"/>
    <cellStyle name="Normal 2 9 4 2" xfId="41992" xr:uid="{B87C3021-C076-41E5-BF82-2DE85720FE28}"/>
    <cellStyle name="Normal 2 9 5" xfId="41993" xr:uid="{B7478C1F-2D4C-4093-878C-99A1DF849D24}"/>
    <cellStyle name="Normal 2_12.31.2009 Sev TBBS # 82 (version 2)" xfId="17508" xr:uid="{2C3E5365-5058-4A1F-A96D-660EBCEADA47}"/>
    <cellStyle name="Normal 20" xfId="17509" xr:uid="{2F9EEE0E-7BDF-4008-A2D8-1D3A87F672F1}"/>
    <cellStyle name="Normal 20 2" xfId="17510" xr:uid="{0C71EC1A-5BD0-4A42-9F08-4FA4B7E6CDD5}"/>
    <cellStyle name="Normal 20 2 2" xfId="17511" xr:uid="{96441855-38FD-47E5-B009-72CBCECEDE9A}"/>
    <cellStyle name="Normal 20 2 2 2" xfId="41994" xr:uid="{6F79DDFF-26BD-47DE-9243-461CC123BA8F}"/>
    <cellStyle name="Normal 20 2 3" xfId="17512" xr:uid="{34597735-8BBF-4763-B96F-7BAD00BEE3D0}"/>
    <cellStyle name="Normal 20 2 3 2" xfId="41995" xr:uid="{26A09C47-3196-426A-B769-09FD35856520}"/>
    <cellStyle name="Normal 20 2 4" xfId="41996" xr:uid="{7F58E25C-A1CB-4EDF-955D-A12AC520DDBA}"/>
    <cellStyle name="Normal 20 3" xfId="17513" xr:uid="{1DCF8652-6D8C-4A4B-AEB4-D453A13D095F}"/>
    <cellStyle name="Normal 20 3 2" xfId="41997" xr:uid="{89E69467-36EE-4F45-BC52-780CA710F925}"/>
    <cellStyle name="Normal 20 4" xfId="17514" xr:uid="{56FAC9AA-428E-429B-9696-E47F61F68486}"/>
    <cellStyle name="Normal 20 4 2" xfId="41998" xr:uid="{86E44CE5-4BAE-40D7-8EDB-81891769FC4F}"/>
    <cellStyle name="Normal 20 4 2 2" xfId="41999" xr:uid="{257E3E57-6553-4C25-808C-E25A18186D2C}"/>
    <cellStyle name="Normal 20 4 2 2 2" xfId="42000" xr:uid="{D3DDB43D-ED3F-436F-AC98-BB6E83A7471F}"/>
    <cellStyle name="Normal 20 4 2 3" xfId="42001" xr:uid="{8CCA97AD-794E-4A98-B126-49226ABB7578}"/>
    <cellStyle name="Normal 20 4 2 3 2" xfId="42002" xr:uid="{2CD0A2DA-B1BA-4970-A4C8-EEEE0D65ABC8}"/>
    <cellStyle name="Normal 20 4 2 4" xfId="42003" xr:uid="{DE1A7B1A-A16C-4290-A731-85C1F51AB59F}"/>
    <cellStyle name="Normal 20 4 3" xfId="42004" xr:uid="{69F8DCF3-7F77-4127-858D-C587D67C7476}"/>
    <cellStyle name="Normal 20 4 4" xfId="42005" xr:uid="{D9D94381-EF65-4857-B0FF-BB2BF2A1B235}"/>
    <cellStyle name="Normal 20 4 4 2" xfId="42006" xr:uid="{483D189A-F04E-481B-A80C-52F0BF7B66AA}"/>
    <cellStyle name="Normal 20 4 5" xfId="42007" xr:uid="{B081D1D6-7D6B-4617-861E-B421044EC5AE}"/>
    <cellStyle name="Normal 20 4 5 2" xfId="42008" xr:uid="{906FC6D0-4A73-4788-9DBD-0A8275FF8ABA}"/>
    <cellStyle name="Normal 20 5" xfId="42009" xr:uid="{B8632E98-08DB-4F01-81C1-200801C6F40A}"/>
    <cellStyle name="Normal 20 5 2" xfId="42010" xr:uid="{F187F045-6299-4F97-859B-F39259D82514}"/>
    <cellStyle name="Normal 20 5 2 2" xfId="42011" xr:uid="{22AE7D36-6E9E-40A8-A912-6B9F46535A19}"/>
    <cellStyle name="Normal 20 5 3" xfId="42012" xr:uid="{D1C53FE3-C4ED-4DDD-9889-4402106A352D}"/>
    <cellStyle name="Normal 20 5 3 2" xfId="42013" xr:uid="{5AE7E674-6E75-4B19-980F-12EE5C42773B}"/>
    <cellStyle name="Normal 20 5 4" xfId="42014" xr:uid="{436165B4-A379-44AA-9225-28018AB4C1AA}"/>
    <cellStyle name="Normal 200" xfId="42015" xr:uid="{13CA8609-7635-4983-A1CC-355A876439A4}"/>
    <cellStyle name="Normal 201" xfId="42016" xr:uid="{F20E7AFD-D96B-42EA-903F-7A4D70F4AEF0}"/>
    <cellStyle name="Normal 202" xfId="42017" xr:uid="{ECDAA880-36EB-4D1A-BB71-ADC9E612BC59}"/>
    <cellStyle name="Normal 203" xfId="42018" xr:uid="{B3837FCA-3C38-4F4E-84B6-1037B175CAF1}"/>
    <cellStyle name="Normal 204" xfId="42019" xr:uid="{D5270A19-4D89-436E-BF93-215525A55983}"/>
    <cellStyle name="Normal 205" xfId="42020" xr:uid="{A24FF428-0CE8-45EB-94E9-BD625971742C}"/>
    <cellStyle name="Normal 206" xfId="42021" xr:uid="{77093B12-64CD-410F-BBAA-D3FABD68B8FF}"/>
    <cellStyle name="Normal 207" xfId="42022" xr:uid="{73A845E8-F7CA-4E07-8A0F-18F8B8A62FAD}"/>
    <cellStyle name="Normal 208" xfId="42023" xr:uid="{144343E3-1039-41D7-AA60-45F85567DD52}"/>
    <cellStyle name="Normal 209" xfId="42024" xr:uid="{44039448-854B-422B-BACE-78058FD9A2EE}"/>
    <cellStyle name="Normal 21" xfId="17515" xr:uid="{047A6EFB-1DEF-42FD-B6B9-6AEE80013610}"/>
    <cellStyle name="Normal 21 2" xfId="17516" xr:uid="{E8FBFD54-F2FC-42C1-BE58-FB799A3E00BA}"/>
    <cellStyle name="Normal 21 2 2" xfId="17517" xr:uid="{EF1CC465-96EC-470C-B6B9-F4079CF7155F}"/>
    <cellStyle name="Normal 21 2 2 2" xfId="17518" xr:uid="{F5073356-6C32-4118-B638-4A1E4D91A071}"/>
    <cellStyle name="Normal 21 2 2 3" xfId="42025" xr:uid="{EB64EEFA-BD19-4A9C-8AE7-FB6A2A99D5F4}"/>
    <cellStyle name="Normal 21 2 3" xfId="17519" xr:uid="{3C17D0FD-EEF6-4445-A3CE-676C342EFA4C}"/>
    <cellStyle name="Normal 21 2 3 2" xfId="42026" xr:uid="{9C54F7D9-60B1-472E-A4A6-E708178F4DE1}"/>
    <cellStyle name="Normal 21 2 4" xfId="17520" xr:uid="{BF262EA2-D65B-4B58-ABE7-72FBADD0C2C1}"/>
    <cellStyle name="Normal 21 2 5" xfId="42027" xr:uid="{FEBBA261-B073-49C4-A881-327A0F689507}"/>
    <cellStyle name="Normal 21 3" xfId="17521" xr:uid="{1B6492C9-2DAF-4DAA-BE98-2A25EC7BB98E}"/>
    <cellStyle name="Normal 21 3 2" xfId="42028" xr:uid="{ACF667A0-2870-43A5-8DCE-36F7CA05141C}"/>
    <cellStyle name="Normal 21 4" xfId="17522" xr:uid="{DCD2F6C6-EBE1-4046-9891-E31A82AB6F85}"/>
    <cellStyle name="Normal 21 4 2" xfId="17523" xr:uid="{B87B0A90-D958-439F-871E-05181593AF26}"/>
    <cellStyle name="Normal 21 4 3" xfId="42029" xr:uid="{E3C61407-B136-4F58-BE35-20CFA782E861}"/>
    <cellStyle name="Normal 21 5" xfId="17524" xr:uid="{839FBD96-7705-4B92-AF0C-0FA26451FAEA}"/>
    <cellStyle name="Normal 210" xfId="42030" xr:uid="{9E5C4712-783F-440E-9AE3-82E90CC47349}"/>
    <cellStyle name="Normal 211" xfId="42031" xr:uid="{38F9074B-4A34-460F-A91D-BA3B299B152F}"/>
    <cellStyle name="Normal 212" xfId="42032" xr:uid="{8938CC82-6406-48D8-B4E4-74D0F74FB959}"/>
    <cellStyle name="Normal 213" xfId="42033" xr:uid="{8C564A29-A68D-48B6-9099-802F8BBC092A}"/>
    <cellStyle name="Normal 214" xfId="42034" xr:uid="{D4B5C073-5CE2-4CA5-95B5-43851F36E5C2}"/>
    <cellStyle name="Normal 215" xfId="42035" xr:uid="{B3D1006C-332E-4CB6-ABE1-0569C39E564C}"/>
    <cellStyle name="Normal 216" xfId="92" xr:uid="{9F107082-F9AE-4C0B-8494-B7B880DB02FE}"/>
    <cellStyle name="Normal 216 2" xfId="43656" xr:uid="{6E8B0BBA-7763-49AA-8833-1E46C0E77BA5}"/>
    <cellStyle name="Normal 216 3" xfId="42036" xr:uid="{536E6085-DC07-41BC-A5FC-52A4293914CE}"/>
    <cellStyle name="Normal 217" xfId="42037" xr:uid="{6EDCEC8C-E984-4B00-BA41-165D639CE2FB}"/>
    <cellStyle name="Normal 218" xfId="67" xr:uid="{6D9A54FF-1202-4662-BBAB-03E0D6D8ADFB}"/>
    <cellStyle name="Normal 218 2" xfId="43638" xr:uid="{25765459-66CB-4478-B9CC-FBFC794BE26D}"/>
    <cellStyle name="Normal 218 3" xfId="42038" xr:uid="{1808288D-D4D5-42AF-A301-1265C167B99F}"/>
    <cellStyle name="Normal 219" xfId="42039" xr:uid="{F549C030-05E2-47B4-BBDB-23B81E0F35DD}"/>
    <cellStyle name="Normal 22" xfId="17525" xr:uid="{48C6A832-0640-43D3-8C2C-937CFAD0786D}"/>
    <cellStyle name="Normal 22 2" xfId="17526" xr:uid="{A194708C-AE97-46A9-9A6B-0A389F08DFD9}"/>
    <cellStyle name="Normal 22 2 2" xfId="17527" xr:uid="{23AF84B5-7517-48B0-8E33-99D3B7A6EA8B}"/>
    <cellStyle name="Normal 22 2 2 2" xfId="17528" xr:uid="{35CC56F3-2362-43ED-AADE-8ADD97CC42B5}"/>
    <cellStyle name="Normal 22 2 2 3" xfId="42040" xr:uid="{0A171C6A-A31F-42E7-B1DD-468DEFB9FD2E}"/>
    <cellStyle name="Normal 22 2 3" xfId="17529" xr:uid="{A026C0FC-3CD9-46EC-ADE2-AF879228A58B}"/>
    <cellStyle name="Normal 22 2 3 2" xfId="42041" xr:uid="{2C8E0AC4-7044-4E15-BD5F-1E9EC868C71D}"/>
    <cellStyle name="Normal 22 2 4" xfId="17530" xr:uid="{1F57BB85-1AC2-463D-BC95-B2C7968116A2}"/>
    <cellStyle name="Normal 22 2 5" xfId="42042" xr:uid="{3C43C308-B6C4-4252-B34F-51CBBB200F7A}"/>
    <cellStyle name="Normal 22 3" xfId="17531" xr:uid="{CDA9525A-DBFB-4D6A-975F-CFFF135C4E0D}"/>
    <cellStyle name="Normal 22 3 2" xfId="42043" xr:uid="{2CCA6914-5B60-4C1E-B8A9-4943F2EDDCF7}"/>
    <cellStyle name="Normal 22 4" xfId="17532" xr:uid="{FA56104B-06A8-420C-B474-6F72DA42DED0}"/>
    <cellStyle name="Normal 22 4 2" xfId="17533" xr:uid="{847DE63D-4ECB-4DC9-93B9-D524E5ECE137}"/>
    <cellStyle name="Normal 22 4 3" xfId="42044" xr:uid="{30B5DF0F-EC18-4512-864B-511417B51830}"/>
    <cellStyle name="Normal 22 5" xfId="17534" xr:uid="{359CC8EB-584B-4D8F-8B4C-4D03049A6C9D}"/>
    <cellStyle name="Normal 220" xfId="42045" xr:uid="{CE4056F2-FA15-4E65-A493-4D15AC7DBEDD}"/>
    <cellStyle name="Normal 221" xfId="42046" xr:uid="{CA1EB1E2-0187-4ED0-9C44-BBC4F31E55D2}"/>
    <cellStyle name="Normal 222" xfId="42047" xr:uid="{86EEE83A-BE1A-4E52-AF68-21F230E918EC}"/>
    <cellStyle name="Normal 223" xfId="42048" xr:uid="{156CBE98-4C42-415A-943C-93B7E1737B32}"/>
    <cellStyle name="Normal 224" xfId="42049" xr:uid="{031C0C67-528E-4053-867B-3399B3B0F2A9}"/>
    <cellStyle name="Normal 225" xfId="42050" xr:uid="{0D7100E4-C456-4F35-B8B9-82DB898DF669}"/>
    <cellStyle name="Normal 226" xfId="42051" xr:uid="{0B24BC21-F93A-43F8-88EB-35E60E6C2292}"/>
    <cellStyle name="Normal 227" xfId="146" xr:uid="{8ABAE285-02EE-47D4-85A8-9A5FC4D7C841}"/>
    <cellStyle name="Normal 227 2" xfId="43657" xr:uid="{BD80C6F7-CF96-4C6B-8D0C-CEFDF237877C}"/>
    <cellStyle name="Normal 227 3" xfId="42052" xr:uid="{023BBE48-FA3D-490D-B5B0-A2527D8B53F7}"/>
    <cellStyle name="Normal 228" xfId="42053" xr:uid="{A88D7C86-1EFE-468C-B143-A7F293EFD058}"/>
    <cellStyle name="Normal 229" xfId="42054" xr:uid="{A7474D8B-8AE8-4283-8913-3747A646B55C}"/>
    <cellStyle name="Normal 23" xfId="17535" xr:uid="{1A77613F-49AA-4A28-8729-95EB055EFEBC}"/>
    <cellStyle name="Normal 23 2" xfId="17536" xr:uid="{8F1AFAF3-95DE-478B-AFCE-FF53F4F74889}"/>
    <cellStyle name="Normal 23 2 2" xfId="17537" xr:uid="{9A36333E-6E3E-43A1-8806-CFC0E7ED6549}"/>
    <cellStyle name="Normal 23 2 2 2" xfId="42055" xr:uid="{725EF19C-DB4F-4A99-8B86-DBA2DFB69394}"/>
    <cellStyle name="Normal 23 2 3" xfId="17538" xr:uid="{F6F4BAED-53ED-41CB-9725-68C214AD8EA2}"/>
    <cellStyle name="Normal 23 2 3 2" xfId="42056" xr:uid="{24D490AD-F154-4FC9-8A34-E4E5DC2F78CC}"/>
    <cellStyle name="Normal 23 2 4" xfId="42057" xr:uid="{6629237D-E71B-4FAD-8517-B9226BAA5AE0}"/>
    <cellStyle name="Normal 23 3" xfId="17539" xr:uid="{0C9AA896-8A71-41A6-B963-7B743A58FC2B}"/>
    <cellStyle name="Normal 23 3 2" xfId="17540" xr:uid="{1A1B5A77-61FD-45F4-A361-4D242D1E20DC}"/>
    <cellStyle name="Normal 23 3 2 2" xfId="42058" xr:uid="{F90989BA-F3C2-481E-B7FB-A8D1448BE1FF}"/>
    <cellStyle name="Normal 23 3 3" xfId="42059" xr:uid="{012C3125-5828-435F-8A82-1884DCCD538D}"/>
    <cellStyle name="Normal 23 4" xfId="17541" xr:uid="{88105376-7C55-469D-A0B8-B1602F21A691}"/>
    <cellStyle name="Normal 23 4 2" xfId="17542" xr:uid="{ED0E227F-FFB5-466F-A59C-74DD6A0FE4C4}"/>
    <cellStyle name="Normal 23 4 2 2" xfId="42060" xr:uid="{CFC9ACF9-733F-4251-A1A6-1215DD6377AB}"/>
    <cellStyle name="Normal 23 4 3" xfId="42061" xr:uid="{967BDD41-8F04-42F5-8AB2-717DCEF092C3}"/>
    <cellStyle name="Normal 23 5" xfId="17543" xr:uid="{89B9C4BA-5FEB-4291-8458-E17A358A8EE0}"/>
    <cellStyle name="Normal 23 5 2" xfId="17544" xr:uid="{EBA288D1-DCE8-411D-955C-56FE17CDD70F}"/>
    <cellStyle name="Normal 23 5 2 2" xfId="42062" xr:uid="{428D4EC9-3AC9-4026-8F72-10E48C1002B9}"/>
    <cellStyle name="Normal 23 5 3" xfId="42063" xr:uid="{CFA3ADD9-AFFD-48B9-BD71-618959A33735}"/>
    <cellStyle name="Normal 23 6" xfId="17545" xr:uid="{BC0401F3-85BF-49EB-9BD5-B56A086636F5}"/>
    <cellStyle name="Normal 23 6 2" xfId="17546" xr:uid="{4A64E387-2466-4E73-99FC-BC2ECF4CAB95}"/>
    <cellStyle name="Normal 23 6 2 2" xfId="42064" xr:uid="{35C4A7DB-FF77-4BE6-ACFA-5EDB88B2F653}"/>
    <cellStyle name="Normal 23 6 3" xfId="42065" xr:uid="{6F93A589-1468-4D0E-97B7-C373F9FA5995}"/>
    <cellStyle name="Normal 23 7" xfId="17547" xr:uid="{B335E97B-515B-40BB-B868-2EFF19AA2D57}"/>
    <cellStyle name="Normal 23 7 2" xfId="42066" xr:uid="{68DAFCA1-0DF6-45AA-8DFC-86386E14E7EA}"/>
    <cellStyle name="Normal 23_11-03 - PHI Consolidated - Summary of FIN 48 Related To DC Q4 2010" xfId="17548" xr:uid="{39ED195E-FDB9-463C-AF54-3B3EEB13E410}"/>
    <cellStyle name="Normal 230" xfId="42067" xr:uid="{41F54AD8-8594-4ED4-B3EC-D45794ACEC74}"/>
    <cellStyle name="Normal 231" xfId="42068" xr:uid="{F2AF7AD8-1261-434F-B07F-283C74485194}"/>
    <cellStyle name="Normal 232" xfId="42069" xr:uid="{4A0BF51A-7611-4845-85DF-894BED44E31B}"/>
    <cellStyle name="Normal 233" xfId="42070" xr:uid="{39D43B07-5AF7-4E42-8955-3970ADD00D65}"/>
    <cellStyle name="Normal 234" xfId="42071" xr:uid="{59DD5224-3054-4481-8AB9-39FCC8EB0956}"/>
    <cellStyle name="Normal 235" xfId="42072" xr:uid="{B8430D5D-8927-4408-A7F7-6964FBB3D725}"/>
    <cellStyle name="Normal 236" xfId="42073" xr:uid="{78376E05-176E-471D-A263-1C373A8DB0F3}"/>
    <cellStyle name="Normal 237" xfId="42074" xr:uid="{C56A617B-397B-45D8-9D7F-19C68E3773A4}"/>
    <cellStyle name="Normal 238" xfId="42075" xr:uid="{65536940-E163-4C5A-8F75-3A8DA15304E3}"/>
    <cellStyle name="Normal 239" xfId="42076" xr:uid="{DB1878A9-7A90-405C-A5B0-82302CB8E90E}"/>
    <cellStyle name="Normal 24" xfId="17549" xr:uid="{B37D513D-8E82-40F5-A509-A7D2E0A4A9A1}"/>
    <cellStyle name="Normal 24 2" xfId="17550" xr:uid="{D1A1BDE0-EA18-4DCC-A632-459E6338EAAB}"/>
    <cellStyle name="Normal 24 2 2" xfId="17551" xr:uid="{4EEA5284-5A2E-458F-B8CF-6F4258BE52C5}"/>
    <cellStyle name="Normal 24 2 2 2" xfId="42077" xr:uid="{DB117C08-8843-4DE0-A988-65EB88AAD203}"/>
    <cellStyle name="Normal 24 2 3" xfId="17552" xr:uid="{3338E0F6-DB46-4EF5-BA4B-B45813568E52}"/>
    <cellStyle name="Normal 24 2 3 2" xfId="42078" xr:uid="{EB1AE7CE-87DC-4720-9098-B42FAA55A935}"/>
    <cellStyle name="Normal 24 2 4" xfId="42079" xr:uid="{DB87F09F-357A-4439-B737-F71E0355B3E8}"/>
    <cellStyle name="Normal 24 3" xfId="17553" xr:uid="{B20EAB36-64D5-424C-9134-8649B281BE9B}"/>
    <cellStyle name="Normal 24 3 2" xfId="17554" xr:uid="{9664BCA2-6E54-4E41-8878-4DF97731DF1C}"/>
    <cellStyle name="Normal 24 3 2 2" xfId="42080" xr:uid="{6B7FDE7F-31F6-4982-AF11-2DCEB548EDBC}"/>
    <cellStyle name="Normal 24 3 3" xfId="42081" xr:uid="{D857F944-E186-406D-9C5F-6E3C08182A03}"/>
    <cellStyle name="Normal 24 4" xfId="17555" xr:uid="{269B15AB-E16A-484F-92EF-8A341ED73B4E}"/>
    <cellStyle name="Normal 24 4 2" xfId="17556" xr:uid="{B871AB85-688A-4542-AD17-A84C5ECA30DA}"/>
    <cellStyle name="Normal 24 4 2 2" xfId="42082" xr:uid="{36E12134-3B56-4D41-8B7C-05D277863891}"/>
    <cellStyle name="Normal 24 4 3" xfId="42083" xr:uid="{1DB89736-2570-43F5-AB09-91028A1725F2}"/>
    <cellStyle name="Normal 24 5" xfId="17557" xr:uid="{CEF23FA3-C8D4-4837-A2C2-CD6C1080442E}"/>
    <cellStyle name="Normal 24 5 2" xfId="17558" xr:uid="{9725ABE8-E115-4279-8F1B-BF900D857482}"/>
    <cellStyle name="Normal 24 5 2 2" xfId="42084" xr:uid="{0348B933-6D86-4EB0-BF36-6636FE8D574C}"/>
    <cellStyle name="Normal 24 5 3" xfId="42085" xr:uid="{05A485D7-D589-49CD-9D38-3F78106152CF}"/>
    <cellStyle name="Normal 24 6" xfId="17559" xr:uid="{28C50D9E-1CE4-41FE-B07E-10F614DC8D6D}"/>
    <cellStyle name="Normal 24 6 2" xfId="17560" xr:uid="{AF638E44-8E2C-4DF3-A9CA-40E7CC8F8DE3}"/>
    <cellStyle name="Normal 24 6 2 2" xfId="42086" xr:uid="{F68074BF-3986-4376-85A9-2DA83F301295}"/>
    <cellStyle name="Normal 24 6 3" xfId="42087" xr:uid="{274E4B6F-1E3E-46F7-A628-E2EB83379B7A}"/>
    <cellStyle name="Normal 24 7" xfId="17561" xr:uid="{23FD843C-EABC-4C8F-A40A-5D9812D285D6}"/>
    <cellStyle name="Normal 24 7 2" xfId="42088" xr:uid="{F04B5C16-4CCF-4123-B46F-CA368A4C4F86}"/>
    <cellStyle name="Normal 24_11-03 - PHI Consolidated - Summary of FIN 48 Related To DC Q4 2010" xfId="17562" xr:uid="{3E9B81A2-6D7B-47CB-8F5C-90C2617CED5D}"/>
    <cellStyle name="Normal 240" xfId="42089" xr:uid="{A37A03CC-EF99-4B5B-B2C6-D15988007C58}"/>
    <cellStyle name="Normal 241" xfId="42090" xr:uid="{AB220714-1286-4CD0-BCEB-036CED0091FB}"/>
    <cellStyle name="Normal 242" xfId="42091" xr:uid="{AFAF3B29-9816-4C01-90BE-1559ADA63FFD}"/>
    <cellStyle name="Normal 243" xfId="42092" xr:uid="{C02709EB-C794-4448-9056-B8C6C995362F}"/>
    <cellStyle name="Normal 244" xfId="42093" xr:uid="{E2024D8C-7FE4-453A-A9FF-A0169B3D03AC}"/>
    <cellStyle name="Normal 245" xfId="42094" xr:uid="{4AB502A0-21CA-4911-90B8-5C69BDB95AFD}"/>
    <cellStyle name="Normal 246" xfId="42095" xr:uid="{CFAFB060-6CB0-45A9-8943-DDA3506A8DB6}"/>
    <cellStyle name="Normal 247" xfId="42096" xr:uid="{BEDF52F1-484E-490D-B1CB-8CC04ECCA508}"/>
    <cellStyle name="Normal 248" xfId="42097" xr:uid="{03DD76B8-695B-4330-A875-05694BA8215C}"/>
    <cellStyle name="Normal 249" xfId="42098" xr:uid="{46AD5C0E-D882-45D8-BED8-CB0BEB881F4B}"/>
    <cellStyle name="Normal 25" xfId="17563" xr:uid="{962F546B-F8D3-43BE-8D7C-357D60622F14}"/>
    <cellStyle name="Normal 25 2" xfId="17564" xr:uid="{D138A905-2D1C-46FF-AF19-250F2EE899EC}"/>
    <cellStyle name="Normal 25 2 2" xfId="17565" xr:uid="{00EE77CD-E439-4A90-9E5A-C97AB0FE928C}"/>
    <cellStyle name="Normal 25 2 2 2" xfId="42099" xr:uid="{3B38C6B1-17B7-465C-8994-5DB2D994072D}"/>
    <cellStyle name="Normal 25 2 3" xfId="17566" xr:uid="{55FCABC8-3C88-414C-B252-99780ECD52C2}"/>
    <cellStyle name="Normal 25 2 3 2" xfId="42100" xr:uid="{C2DEE997-52C1-4069-A272-51BF9623D0DC}"/>
    <cellStyle name="Normal 25 2 4" xfId="17567" xr:uid="{87DCF090-0833-4E69-BBCB-3AD0947F60C1}"/>
    <cellStyle name="Normal 25 2 4 2" xfId="42101" xr:uid="{D885EF0B-7BEB-4C3A-AE96-2A9A6130C246}"/>
    <cellStyle name="Normal 25 2 4 2 2" xfId="42102" xr:uid="{F8504447-4946-4CCA-BF4C-FB705A033E87}"/>
    <cellStyle name="Normal 25 2 4 3" xfId="42103" xr:uid="{E56548B7-3741-42EB-92DA-FDEA636267A9}"/>
    <cellStyle name="Normal 25 2 4 3 2" xfId="42104" xr:uid="{2A541998-2402-40B0-991F-DD4F68398114}"/>
    <cellStyle name="Normal 25 2 4 4" xfId="42105" xr:uid="{17C5FB9E-EBA7-4024-82DF-8DD4F0CA96D7}"/>
    <cellStyle name="Normal 25 2 5" xfId="17568" xr:uid="{B2411ADE-0B0F-419F-BD7E-996858458773}"/>
    <cellStyle name="Normal 25 2 5 2" xfId="42106" xr:uid="{B51A3490-4479-4BB4-ADC8-0B429A046611}"/>
    <cellStyle name="Normal 25 2 5 2 2" xfId="42107" xr:uid="{AA078D65-CF03-486F-AC57-178AD130353A}"/>
    <cellStyle name="Normal 25 2 5 3" xfId="42108" xr:uid="{C50530F7-9F9E-45DD-9646-7F669FD83355}"/>
    <cellStyle name="Normal 25 2 5 3 2" xfId="42109" xr:uid="{89CE5227-F154-4014-8ADB-14B400A35A86}"/>
    <cellStyle name="Normal 25 2 5 4" xfId="42110" xr:uid="{656EE463-5495-441F-9CE0-FF215054A48F}"/>
    <cellStyle name="Normal 25 2 6" xfId="42111" xr:uid="{0585BB85-F821-4FD7-93A5-AA20491EEEBC}"/>
    <cellStyle name="Normal 25 3" xfId="17569" xr:uid="{268238E7-F34E-4BEC-8948-F8ED5D74A561}"/>
    <cellStyle name="Normal 25 3 2" xfId="17570" xr:uid="{E5682560-0B87-466A-A563-96C7DFDFC117}"/>
    <cellStyle name="Normal 25 3 2 2" xfId="42112" xr:uid="{5F6BA52C-15B6-4AD8-879F-E3A524914E6E}"/>
    <cellStyle name="Normal 25 3 2 2 2" xfId="42113" xr:uid="{B5BE6763-1C17-4AB6-B480-600FBC118F4C}"/>
    <cellStyle name="Normal 25 3 2 2 2 2" xfId="42114" xr:uid="{92FB413A-78A7-4B44-87FE-9CD9E39A0A7D}"/>
    <cellStyle name="Normal 25 3 2 2 3" xfId="42115" xr:uid="{F22817C2-030A-4E84-A79C-27033DE35A37}"/>
    <cellStyle name="Normal 25 3 2 2 3 2" xfId="42116" xr:uid="{A2EA49ED-EF71-4D44-8E55-6F6E8123BDB5}"/>
    <cellStyle name="Normal 25 3 2 2 4" xfId="42117" xr:uid="{47580994-A6B7-49C4-B4C6-DD72ECADF13F}"/>
    <cellStyle name="Normal 25 3 2 3" xfId="42118" xr:uid="{962B12AA-C73C-4068-B36B-15A92E6795C1}"/>
    <cellStyle name="Normal 25 3 2 3 2" xfId="42119" xr:uid="{F7DC4923-A6AF-466B-AA20-2773A5DBDDAC}"/>
    <cellStyle name="Normal 25 3 2 3 2 2" xfId="42120" xr:uid="{3F537E99-A528-4231-9B37-E51ED6C388CC}"/>
    <cellStyle name="Normal 25 3 2 3 3" xfId="42121" xr:uid="{9043FE21-9B60-41EA-A0B7-DDEF0562C923}"/>
    <cellStyle name="Normal 25 3 2 3 3 2" xfId="42122" xr:uid="{0E54FDF2-93FA-42E1-915B-EFAE5FB4B64E}"/>
    <cellStyle name="Normal 25 3 2 3 4" xfId="42123" xr:uid="{D3D23FFE-CAFE-46A3-AF56-DF218EF118E2}"/>
    <cellStyle name="Normal 25 3 2 4" xfId="42124" xr:uid="{A46790D4-8945-4951-B1B2-55E33C14CA4A}"/>
    <cellStyle name="Normal 25 3 2 4 2" xfId="42125" xr:uid="{A13241DB-C352-4607-B005-122E0237418A}"/>
    <cellStyle name="Normal 25 3 2 4 2 2" xfId="42126" xr:uid="{1EA8D33A-EA19-45C1-9A7A-EA2CA39760AA}"/>
    <cellStyle name="Normal 25 3 2 4 3" xfId="42127" xr:uid="{E8791525-FD4E-4252-A6DC-6D7820D1E2C1}"/>
    <cellStyle name="Normal 25 3 2 4 3 2" xfId="42128" xr:uid="{F3845D1C-0F5B-4841-8DE1-2DCBC7B10E31}"/>
    <cellStyle name="Normal 25 3 2 4 4" xfId="42129" xr:uid="{DC992548-B709-475A-93EC-3AA345B4BC3A}"/>
    <cellStyle name="Normal 25 3 2 5" xfId="42130" xr:uid="{7FB00873-B37D-41B4-BACC-5ABB3EAD1C49}"/>
    <cellStyle name="Normal 25 3 2 5 2" xfId="42131" xr:uid="{4A6BCDA6-001F-4464-8E66-39C5EBCC84F0}"/>
    <cellStyle name="Normal 25 3 2 6" xfId="42132" xr:uid="{4129ADD5-002F-4487-B5D4-8C88DC67A129}"/>
    <cellStyle name="Normal 25 3 2 6 2" xfId="42133" xr:uid="{095CFBEE-4388-40A8-84AD-216451E73FCC}"/>
    <cellStyle name="Normal 25 3 2 7" xfId="42134" xr:uid="{91BE5CFB-D57A-4D34-9497-D50B11AF8A96}"/>
    <cellStyle name="Normal 25 3 3" xfId="42135" xr:uid="{00A371A1-3227-4BED-B767-9B6E495E15F5}"/>
    <cellStyle name="Normal 25 3 3 2" xfId="42136" xr:uid="{93AB43C7-70A5-45BA-815B-41B4109850EC}"/>
    <cellStyle name="Normal 25 3 3 2 2" xfId="42137" xr:uid="{318D47D9-966B-4622-AEC1-1F173D0571A6}"/>
    <cellStyle name="Normal 25 3 3 2 2 2" xfId="42138" xr:uid="{A3AAD5A4-42BF-4722-8579-6B0078B59F35}"/>
    <cellStyle name="Normal 25 3 3 2 3" xfId="42139" xr:uid="{31157577-E1E8-4041-B4E4-655E1390C5C7}"/>
    <cellStyle name="Normal 25 3 3 2 3 2" xfId="42140" xr:uid="{ACBA8B9E-A873-436C-9980-7540ACFFBFF8}"/>
    <cellStyle name="Normal 25 3 3 2 4" xfId="42141" xr:uid="{9233741F-4BB3-4955-8BBA-660095989A09}"/>
    <cellStyle name="Normal 25 3 3 3" xfId="42142" xr:uid="{52792BD2-9303-489B-939A-4CD954640847}"/>
    <cellStyle name="Normal 25 3 3 3 2" xfId="42143" xr:uid="{485E8B36-6846-4604-AD9C-BA3C16A03E84}"/>
    <cellStyle name="Normal 25 3 3 3 2 2" xfId="42144" xr:uid="{A67F2694-BE29-4199-87CF-2358C5448E18}"/>
    <cellStyle name="Normal 25 3 3 3 3" xfId="42145" xr:uid="{EE8E101B-702E-48DF-B324-F57B13E6D07D}"/>
    <cellStyle name="Normal 25 3 3 3 3 2" xfId="42146" xr:uid="{5FD182FB-35CF-401C-AA87-1504122136ED}"/>
    <cellStyle name="Normal 25 3 3 3 4" xfId="42147" xr:uid="{D7EA0C1B-6161-4FF4-BEB5-646A89EB2FF9}"/>
    <cellStyle name="Normal 25 3 3 4" xfId="42148" xr:uid="{665EB0AA-1E6A-4F14-87C0-8D52C136BC59}"/>
    <cellStyle name="Normal 25 3 3 4 2" xfId="42149" xr:uid="{BD2ED03B-7889-4552-A0C7-DD90340DB182}"/>
    <cellStyle name="Normal 25 3 3 4 2 2" xfId="42150" xr:uid="{C40A3ECE-AB40-4B1C-859A-20C129569357}"/>
    <cellStyle name="Normal 25 3 3 4 3" xfId="42151" xr:uid="{8AA54245-F97A-43DD-996F-5058613F7F91}"/>
    <cellStyle name="Normal 25 3 3 4 3 2" xfId="42152" xr:uid="{ECD450F8-90F8-4046-A617-4A691DFB04C5}"/>
    <cellStyle name="Normal 25 3 3 4 4" xfId="42153" xr:uid="{3C1386B3-00B4-4892-91A1-B88CD349555E}"/>
    <cellStyle name="Normal 25 3 3 5" xfId="42154" xr:uid="{40AA9D2E-A19D-4015-8609-EFA317A81444}"/>
    <cellStyle name="Normal 25 3 3 5 2" xfId="42155" xr:uid="{3D6B3E44-A269-449A-9354-7B9DB77EFDD2}"/>
    <cellStyle name="Normal 25 3 3 6" xfId="42156" xr:uid="{E7267412-1A03-4882-9CBF-DC9D0B08DC64}"/>
    <cellStyle name="Normal 25 3 3 6 2" xfId="42157" xr:uid="{242D3D32-89B5-4F00-8489-05033D829B51}"/>
    <cellStyle name="Normal 25 3 3 7" xfId="42158" xr:uid="{A6751929-626D-435C-8EFF-3F0BA8AC6B32}"/>
    <cellStyle name="Normal 25 3 4" xfId="42159" xr:uid="{65440417-08EE-460E-A715-93CAD1BB1157}"/>
    <cellStyle name="Normal 25 3 4 2" xfId="42160" xr:uid="{F6B4465C-E9B1-4978-985F-DA3FDBC13B67}"/>
    <cellStyle name="Normal 25 3 4 2 2" xfId="42161" xr:uid="{AC79C0B1-6F87-4590-99D2-04A828000690}"/>
    <cellStyle name="Normal 25 3 4 3" xfId="42162" xr:uid="{D98BFE5F-E46A-454A-AB17-84983074E853}"/>
    <cellStyle name="Normal 25 3 4 3 2" xfId="42163" xr:uid="{98D8AFF5-7944-47E9-848C-01063411F60D}"/>
    <cellStyle name="Normal 25 3 4 4" xfId="42164" xr:uid="{110BFE9A-2B86-4719-8EDE-B5D25AA4F920}"/>
    <cellStyle name="Normal 25 3 5" xfId="42165" xr:uid="{B74EC023-C643-434A-B050-0CA3F9780D43}"/>
    <cellStyle name="Normal 25 3 5 2" xfId="42166" xr:uid="{8531C222-999F-4351-A54D-36F7378F4F44}"/>
    <cellStyle name="Normal 25 3 5 2 2" xfId="42167" xr:uid="{045835E2-6588-4627-930F-B11EF172173F}"/>
    <cellStyle name="Normal 25 3 5 3" xfId="42168" xr:uid="{C30786A6-D41D-44DB-A14B-EEBCA6504546}"/>
    <cellStyle name="Normal 25 3 5 3 2" xfId="42169" xr:uid="{5D459562-490C-46EF-A902-AB60BB6E381C}"/>
    <cellStyle name="Normal 25 3 5 4" xfId="42170" xr:uid="{1246DFE7-82ED-44FF-8E61-2EEE2A2B3FBB}"/>
    <cellStyle name="Normal 25 3 6" xfId="42171" xr:uid="{1B9FBC53-EF7B-40C5-9B12-CA6FC92F9EBD}"/>
    <cellStyle name="Normal 25 3 7" xfId="42172" xr:uid="{ED1409C1-1440-4C91-A360-966135B45219}"/>
    <cellStyle name="Normal 25 3 7 2" xfId="42173" xr:uid="{0948FF9C-4B31-4895-B16A-98CBAA7E3EB4}"/>
    <cellStyle name="Normal 25 3 8" xfId="42174" xr:uid="{2C94ABF6-A0EF-43DF-AF75-754CEC25F883}"/>
    <cellStyle name="Normal 25 3 8 2" xfId="42175" xr:uid="{554661AA-BD4E-4BFC-A982-D25407F51928}"/>
    <cellStyle name="Normal 25 3 9" xfId="42176" xr:uid="{66FAC786-599A-46CF-AF57-FE214A3B726C}"/>
    <cellStyle name="Normal 25 4" xfId="17571" xr:uid="{A0A8D712-AF4F-4467-BBB6-1C3059444631}"/>
    <cellStyle name="Normal 25 4 2" xfId="42177" xr:uid="{AEA000E3-9934-4EB6-A52D-9DB540721D39}"/>
    <cellStyle name="Normal 25 5" xfId="17572" xr:uid="{7B381CFE-B7FA-43D0-BA6B-1E03091C8078}"/>
    <cellStyle name="Normal 25 5 2" xfId="42178" xr:uid="{CCB07F2C-1327-4AC0-AA6C-05456F491AE7}"/>
    <cellStyle name="Normal 25 5 2 2" xfId="42179" xr:uid="{59B71196-04C4-419F-9D8D-E7DC5B242EE4}"/>
    <cellStyle name="Normal 25 5 3" xfId="42180" xr:uid="{DB4DBB3B-FD4F-403F-9B12-0AFD2E500C70}"/>
    <cellStyle name="Normal 25 5 3 2" xfId="42181" xr:uid="{45EBEBC0-DF9A-433C-8779-653CEB29D4A0}"/>
    <cellStyle name="Normal 25 5 4" xfId="42182" xr:uid="{F0CFA085-46CE-421D-9A56-B85328E2F77D}"/>
    <cellStyle name="Normal 25 6" xfId="17573" xr:uid="{C3A7C582-1DDA-4C56-AB69-84C4DC202E24}"/>
    <cellStyle name="Normal 25 6 2" xfId="42183" xr:uid="{377D5DAB-4FD8-4B35-B1B3-EA79084D1049}"/>
    <cellStyle name="Normal 25 6 2 2" xfId="42184" xr:uid="{FFFFBC0B-9D0E-4272-8DC5-D39814795A37}"/>
    <cellStyle name="Normal 25 6 3" xfId="42185" xr:uid="{701CD2A8-8220-401B-8FBD-721B09263928}"/>
    <cellStyle name="Normal 25 6 3 2" xfId="42186" xr:uid="{B35A7DE5-336A-4875-8AB2-95FF79C259A1}"/>
    <cellStyle name="Normal 25 6 4" xfId="42187" xr:uid="{2DB5DB2C-3191-459D-BDCC-34A57E7C78A2}"/>
    <cellStyle name="Normal 25 7" xfId="42188" xr:uid="{D7F301D9-1870-4CC0-B7B2-026CD265366E}"/>
    <cellStyle name="Normal 25_PwrTax 51040" xfId="17574" xr:uid="{AAA22BA0-45DA-4A40-B79A-532A78F0382F}"/>
    <cellStyle name="Normal 250" xfId="42189" xr:uid="{9242CD9C-12B8-4864-A0B4-235CE0C02F85}"/>
    <cellStyle name="Normal 251" xfId="42190" xr:uid="{C2B42B2D-6866-42CB-9DAD-898530E89536}"/>
    <cellStyle name="Normal 252" xfId="42191" xr:uid="{8177CCB2-3FE3-40A1-AC7C-B1D47FA5D81D}"/>
    <cellStyle name="Normal 253" xfId="21" xr:uid="{00000000-0005-0000-0000-000010000000}"/>
    <cellStyle name="Normal 253 2" xfId="43614" xr:uid="{D95052FB-B743-4D22-89FB-4736C6B864A5}"/>
    <cellStyle name="Normal 254" xfId="23" xr:uid="{00000000-0005-0000-0000-000011000000}"/>
    <cellStyle name="Normal 254 2" xfId="43616" xr:uid="{134E6D3F-19A9-4E11-B295-64B4163A0051}"/>
    <cellStyle name="Normal 255" xfId="70" xr:uid="{14072940-B50F-4616-A634-7D19051FE473}"/>
    <cellStyle name="Normal 255 2" xfId="43641" xr:uid="{FA39D362-D548-434B-BCDC-6F01060B3D77}"/>
    <cellStyle name="Normal 256" xfId="43463" xr:uid="{A353A624-9FF4-449C-9055-F7F24199931D}"/>
    <cellStyle name="Normal 257" xfId="43520" xr:uid="{18E0DA45-15E3-419F-8502-4B879889A84D}"/>
    <cellStyle name="Normal 258" xfId="79" xr:uid="{3FE87C1C-30E6-4FA8-9CE5-8727E334092E}"/>
    <cellStyle name="Normal 258 2" xfId="43649" xr:uid="{F63955E1-8731-4D25-BC24-D653CF05F940}"/>
    <cellStyle name="Normal 259" xfId="80" xr:uid="{0A373C13-BA6A-4804-A34B-679780A15ED0}"/>
    <cellStyle name="Normal 259 2" xfId="43650" xr:uid="{7E0E3FE0-D939-4BE9-BC23-7066433FAEDC}"/>
    <cellStyle name="Normal 26" xfId="17575" xr:uid="{32247301-B11A-43FB-94D1-8F7CB2133E8B}"/>
    <cellStyle name="Normal 26 2" xfId="17576" xr:uid="{3536439C-9BB1-4B5E-B39D-05CE1720A816}"/>
    <cellStyle name="Normal 26 2 2" xfId="17577" xr:uid="{D567430A-F398-41F7-86A5-498633E04BFC}"/>
    <cellStyle name="Normal 26 2 2 2" xfId="17578" xr:uid="{6DF9883A-9EBE-48ED-A114-110E87F2C781}"/>
    <cellStyle name="Normal 26 2 2 2 2" xfId="42192" xr:uid="{8831948F-888F-4B0F-93A8-142F29764485}"/>
    <cellStyle name="Normal 26 2 2 3" xfId="17579" xr:uid="{6721306E-03D4-4C4A-B951-F797E1DC727A}"/>
    <cellStyle name="Normal 26 2 2 3 2" xfId="42193" xr:uid="{712FB85C-CAE9-4C89-A2AA-31A8DF31A954}"/>
    <cellStyle name="Normal 26 2 2 4" xfId="42194" xr:uid="{4D492AB5-3AB3-46C9-A721-19FD4B8D0681}"/>
    <cellStyle name="Normal 26 2 3" xfId="17580" xr:uid="{5368FED3-D077-4993-B541-F6440F84D6B9}"/>
    <cellStyle name="Normal 26 2 3 2" xfId="42195" xr:uid="{B80B37F5-E3F3-4E13-B2EF-40BDF8C72234}"/>
    <cellStyle name="Normal 26 2 4" xfId="17581" xr:uid="{B22D9FA2-2F10-46F3-A79C-367FA187779E}"/>
    <cellStyle name="Normal 26 2 4 2" xfId="42196" xr:uid="{5EB0D080-B8B9-42FC-B74E-64B685DFBC8A}"/>
    <cellStyle name="Normal 26 2 5" xfId="42197" xr:uid="{66A189FD-D8D3-4948-B33B-2409719F0A26}"/>
    <cellStyle name="Normal 26 3" xfId="17582" xr:uid="{B6A3BAD5-50B7-41BD-9536-D57E02E42C4A}"/>
    <cellStyle name="Normal 26 3 2" xfId="17583" xr:uid="{3108C53A-476A-4D1E-97CC-DBDB3DE6D56E}"/>
    <cellStyle name="Normal 26 3 2 2" xfId="42198" xr:uid="{D3AE3158-569E-4046-9132-39B752A54124}"/>
    <cellStyle name="Normal 26 3 3" xfId="17584" xr:uid="{D9EC1B4D-E1F7-4049-8CB2-CD6240DDD165}"/>
    <cellStyle name="Normal 26 3 3 2" xfId="42199" xr:uid="{EC10AA25-4F19-46CE-AE1F-3A9D966E24F7}"/>
    <cellStyle name="Normal 26 3 4" xfId="42200" xr:uid="{6D3DE4A4-93CF-4D67-A0BE-193D9EAB782C}"/>
    <cellStyle name="Normal 26 4" xfId="17585" xr:uid="{A87AB23E-FAF9-437D-8D72-5DAA311CDAFA}"/>
    <cellStyle name="Normal 26 4 2" xfId="17586" xr:uid="{F4F2E1D6-BA3D-4314-9039-630CC22FDC86}"/>
    <cellStyle name="Normal 26 4 2 2" xfId="42201" xr:uid="{423AE75D-C8DE-4A12-A54B-F3B9151D039F}"/>
    <cellStyle name="Normal 26 4 3" xfId="42202" xr:uid="{6C41E106-D63D-4671-A6AE-E2D5472DEB02}"/>
    <cellStyle name="Normal 26 5" xfId="17587" xr:uid="{9C66253D-6DDA-4E77-97C6-A4B58A5ADDFB}"/>
    <cellStyle name="Normal 26 5 2" xfId="17588" xr:uid="{34849EEC-BD91-4716-91FB-C7D15BC1F939}"/>
    <cellStyle name="Normal 26 5 2 2" xfId="42203" xr:uid="{A8553ED6-8961-4607-A120-1F5333DD7AF6}"/>
    <cellStyle name="Normal 26 5 3" xfId="42204" xr:uid="{0DABB510-56B0-4166-86EC-7257A5BB70DB}"/>
    <cellStyle name="Normal 26 6" xfId="17589" xr:uid="{CB95052D-9FB2-4CAA-8459-C534CB6842CB}"/>
    <cellStyle name="Normal 26 6 2" xfId="17590" xr:uid="{A1478790-C971-448F-93C5-385E0081C0B4}"/>
    <cellStyle name="Normal 26 6 2 2" xfId="42205" xr:uid="{5DC0F87E-99E5-49F6-BBFC-D33A71BA49C4}"/>
    <cellStyle name="Normal 26 6 3" xfId="42206" xr:uid="{BAFA9DF8-8FC0-4B5B-AD5F-5B7619B92183}"/>
    <cellStyle name="Normal 26 7" xfId="17591" xr:uid="{B31B1A2B-E6A2-4408-908C-AD0067345B86}"/>
    <cellStyle name="Normal 26 7 2" xfId="42207" xr:uid="{F26483A7-A1C6-48FD-8FCA-CB9F3B330AB5}"/>
    <cellStyle name="Normal 26_11-03 - PHI Consolidated - Summary of FIN 48 Related To DC Q4 2010" xfId="17592" xr:uid="{EBD62838-669C-42D3-9FAD-228B3B8F93B8}"/>
    <cellStyle name="Normal 260" xfId="81" xr:uid="{10F1F00F-3F2D-4AA5-B335-72282A580444}"/>
    <cellStyle name="Normal 261" xfId="82" xr:uid="{A13605FD-045E-4E59-8358-87A66942A29C}"/>
    <cellStyle name="Normal 262" xfId="83" xr:uid="{09C0D646-19AA-4F3F-B7F3-8466443868F6}"/>
    <cellStyle name="Normal 262 2" xfId="43651" xr:uid="{CEDB72FF-83B7-4D0C-B29C-B8A2F165BD1A}"/>
    <cellStyle name="Normal 263" xfId="84" xr:uid="{01375633-9C12-4F19-9743-5812728FA639}"/>
    <cellStyle name="Normal 263 2" xfId="43652" xr:uid="{BBDB8E3B-A152-4E22-AE2B-B8637DA62D49}"/>
    <cellStyle name="Normal 264" xfId="85" xr:uid="{93DFA91D-E425-4EA7-B74F-457387F8F982}"/>
    <cellStyle name="Normal 264 2" xfId="43653" xr:uid="{6BF63C38-23A5-45BC-B249-2C7197A45EDC}"/>
    <cellStyle name="Normal 265" xfId="86" xr:uid="{B418CDD6-1965-48EB-B375-9711027D00A3}"/>
    <cellStyle name="Normal 265 2" xfId="43654" xr:uid="{05CCB3CB-6953-49CC-9F28-AFF154B250F0}"/>
    <cellStyle name="Normal 266" xfId="87" xr:uid="{040EDF12-9CC1-4510-B791-81B31EF72532}"/>
    <cellStyle name="Normal 266 2" xfId="43655" xr:uid="{30C39D5C-70F3-4D54-ABCB-1B3C38881B5D}"/>
    <cellStyle name="Normal 267" xfId="88" xr:uid="{6229370D-0D3D-4130-AE3C-0FED6DE8D352}"/>
    <cellStyle name="Normal 268" xfId="89" xr:uid="{31EC1CB6-8363-480E-8F47-83B25A2260E6}"/>
    <cellStyle name="Normal 269" xfId="90" xr:uid="{3C1FF2B1-8188-4C21-A3AD-B24667970E98}"/>
    <cellStyle name="Normal 27" xfId="17593" xr:uid="{BD9354F3-132E-413A-B770-46B7C9BCFE12}"/>
    <cellStyle name="Normal 27 2" xfId="17594" xr:uid="{FF82FE89-CF6A-4A67-A111-5BBCC4A34975}"/>
    <cellStyle name="Normal 27 2 2" xfId="17595" xr:uid="{06D15036-DECA-4712-8F7F-B6B33DEC7515}"/>
    <cellStyle name="Normal 27 2 2 2" xfId="42208" xr:uid="{56C01B33-C83D-4E3C-A3BF-0A7893D16928}"/>
    <cellStyle name="Normal 27 2 3" xfId="17596" xr:uid="{B3F7D51A-8485-446A-AAFE-574C279D7B23}"/>
    <cellStyle name="Normal 27 2 3 2" xfId="42209" xr:uid="{6EC01ECB-E7B9-420C-864A-908F5E71CEA0}"/>
    <cellStyle name="Normal 27 2 4" xfId="42210" xr:uid="{7AD27E1C-5912-44BC-A95C-17EFEE8DB5B4}"/>
    <cellStyle name="Normal 27 3" xfId="17597" xr:uid="{F906C443-B46E-492C-B699-6E42ECB5BC3D}"/>
    <cellStyle name="Normal 27 3 2" xfId="17598" xr:uid="{9B879277-344C-479C-8F47-568F1C593285}"/>
    <cellStyle name="Normal 27 3 2 2" xfId="42211" xr:uid="{2145577C-DE4D-481A-BDCF-F36B8F99F90A}"/>
    <cellStyle name="Normal 27 3 3" xfId="42212" xr:uid="{AABC677C-1231-4D0C-834A-6BE52E0E2D39}"/>
    <cellStyle name="Normal 27 4" xfId="17599" xr:uid="{7D354799-DFAF-46ED-B117-4CD964BA3EF3}"/>
    <cellStyle name="Normal 27 4 2" xfId="17600" xr:uid="{5F157C58-3AE7-423A-A51E-4A7D29F00A74}"/>
    <cellStyle name="Normal 27 4 2 2" xfId="42213" xr:uid="{0625E4EC-F930-4F76-977D-A8177DBE7819}"/>
    <cellStyle name="Normal 27 4 3" xfId="42214" xr:uid="{D0468D9D-D347-453F-865D-52D4603A8F3F}"/>
    <cellStyle name="Normal 27 5" xfId="17601" xr:uid="{67DF642A-6526-45C8-950E-D1559C461113}"/>
    <cellStyle name="Normal 27 5 2" xfId="17602" xr:uid="{189A52FB-BF2B-45F9-9401-02B1BD49A1A4}"/>
    <cellStyle name="Normal 27 5 2 2" xfId="42215" xr:uid="{173F110E-BAD3-49B3-872F-D929AA2F416C}"/>
    <cellStyle name="Normal 27 5 3" xfId="42216" xr:uid="{47278C84-02DD-4752-9ECC-A3347E26CF40}"/>
    <cellStyle name="Normal 27 6" xfId="17603" xr:uid="{54236B65-5922-4CE1-8730-639705218343}"/>
    <cellStyle name="Normal 27 6 2" xfId="17604" xr:uid="{A6D01CBB-8117-4DE1-896E-E45081EFF3A4}"/>
    <cellStyle name="Normal 27 6 2 2" xfId="42217" xr:uid="{F6BF2B79-A6B5-4B01-9CCE-574013DCFA0E}"/>
    <cellStyle name="Normal 27 6 3" xfId="42218" xr:uid="{BB269177-337F-4587-8599-709A3EF842BA}"/>
    <cellStyle name="Normal 27 7" xfId="17605" xr:uid="{2DB51A8C-90EA-416E-B9C0-5A6C8DAE8AEF}"/>
    <cellStyle name="Normal 27 7 2" xfId="42219" xr:uid="{F1112656-D552-4313-B37F-BC2362351177}"/>
    <cellStyle name="Normal 27 8" xfId="17606" xr:uid="{955F4F7C-6DED-4915-9EC6-8875FAF76CAC}"/>
    <cellStyle name="Normal 27_11-03 - PHI Consolidated - Summary of FIN 48 Related To DC Q4 2010" xfId="17607" xr:uid="{F002B115-01DC-4B0E-8F9A-62C14C22F3C9}"/>
    <cellStyle name="Normal 270" xfId="94" xr:uid="{4674BE3A-1929-47D6-8202-444E0B8C4ED8}"/>
    <cellStyle name="Normal 271" xfId="43611" xr:uid="{4479F699-DA27-4601-B296-7B9CC22F15C4}"/>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 xfId="242" xr:uid="{D4D50608-33B4-4D37-A88E-01568A36B72E}"/>
    <cellStyle name="Normal 28 2" xfId="17608" xr:uid="{09C60BB8-8CE0-41B4-92B2-29E0B1D58200}"/>
    <cellStyle name="Normal 28 2 2" xfId="17609" xr:uid="{FE076ABA-9D26-4C5E-A26A-217BE2779693}"/>
    <cellStyle name="Normal 28 2 2 2" xfId="42220" xr:uid="{1856715D-BB92-42E9-B636-6AE587966F6A}"/>
    <cellStyle name="Normal 28 2 3" xfId="17610" xr:uid="{74E470C1-A0D1-48B3-BF9F-C870E684FEF8}"/>
    <cellStyle name="Normal 28 2 3 2" xfId="42221" xr:uid="{B10148A1-5867-4F36-A9A6-0A1F28227312}"/>
    <cellStyle name="Normal 28 2 4" xfId="42222" xr:uid="{C2D2764A-A5D1-47A1-9C3E-E403EC846FCD}"/>
    <cellStyle name="Normal 28 3" xfId="17611" xr:uid="{F812554B-5A4E-4A76-AFC4-2134F310C298}"/>
    <cellStyle name="Normal 28 3 2" xfId="17612" xr:uid="{158C4ED1-50A7-4ED2-8AA5-A97AFCCD586A}"/>
    <cellStyle name="Normal 28 3 2 2" xfId="42223" xr:uid="{0E8D9376-1BD5-42E9-A9F5-05A4ED0AF95F}"/>
    <cellStyle name="Normal 28 3 3" xfId="42224" xr:uid="{57D09554-AF4C-489C-8CD7-9EA494F62F15}"/>
    <cellStyle name="Normal 28 4" xfId="17613" xr:uid="{AF05D724-B830-4BE2-A18F-AB2495DD56F7}"/>
    <cellStyle name="Normal 28 4 2" xfId="17614" xr:uid="{401B7D10-0C41-4A0B-997C-EAA25AF2BDFB}"/>
    <cellStyle name="Normal 28 4 2 2" xfId="42225" xr:uid="{FE28FEDF-6750-4D7B-BAF2-7986714D013D}"/>
    <cellStyle name="Normal 28 4 3" xfId="42226" xr:uid="{A0F475BC-97D9-419D-B2FF-31F634C99902}"/>
    <cellStyle name="Normal 28 5" xfId="17615" xr:uid="{83700838-B6A5-4A90-A043-B104CA791457}"/>
    <cellStyle name="Normal 28 5 2" xfId="42227" xr:uid="{24A3CFB6-B924-4063-91FB-BE640116270E}"/>
    <cellStyle name="Normal 28 6" xfId="42228" xr:uid="{DD31F930-E51D-4DD7-9EF5-CA326606B5B4}"/>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87" xfId="161" xr:uid="{CB551CD9-6E12-4A82-8DE8-071A620ADE26}"/>
    <cellStyle name="Normal 29" xfId="17616" xr:uid="{74ECC468-7195-45A4-BD1B-F4DD8201E228}"/>
    <cellStyle name="Normal 29 2" xfId="17617" xr:uid="{94C6F5A9-32F3-4D2C-B81A-E39634AEAE4E}"/>
    <cellStyle name="Normal 29 2 2" xfId="17618" xr:uid="{DF170079-D89F-4C4B-BC80-1E54FFEF49DD}"/>
    <cellStyle name="Normal 29 2 2 2" xfId="17619" xr:uid="{31CFC2AC-6041-42D0-A698-7CF4EB729F94}"/>
    <cellStyle name="Normal 29 2 2 3" xfId="17620" xr:uid="{BC421F7B-B5E4-4E7B-8E00-29647A0516BD}"/>
    <cellStyle name="Normal 29 2 2 4" xfId="42229" xr:uid="{119DA419-659A-4E1B-8C50-D0D9AFB89C43}"/>
    <cellStyle name="Normal 29 2 3" xfId="17621" xr:uid="{DB2E5C7A-4D01-4A9F-8D1D-880937C0F80B}"/>
    <cellStyle name="Normal 29 2 3 2" xfId="17622" xr:uid="{EDC19D75-A720-45E2-8318-368DF2AF9151}"/>
    <cellStyle name="Normal 29 2 3 3" xfId="42230" xr:uid="{77E331D2-E6EC-41E4-8234-9F53BF507BD6}"/>
    <cellStyle name="Normal 29 2 4" xfId="17623" xr:uid="{57403557-0EB9-4433-8ED5-77A3B9169B3D}"/>
    <cellStyle name="Normal 29 2 5" xfId="17624" xr:uid="{749715F1-C8A2-4979-BDBE-94DF46927FDA}"/>
    <cellStyle name="Normal 29 2 6" xfId="42231" xr:uid="{0D103E15-58B0-47EA-AE22-FF2031111D2A}"/>
    <cellStyle name="Normal 29 2_PwrTax 51040" xfId="17625" xr:uid="{E03D4068-672A-4E0E-9A57-C101F0EEA840}"/>
    <cellStyle name="Normal 29 3" xfId="17626" xr:uid="{82C70532-8618-456A-9F90-89A01CB4135D}"/>
    <cellStyle name="Normal 29 3 2" xfId="17627" xr:uid="{B1619F51-53E1-43F9-B93A-376E9F46545B}"/>
    <cellStyle name="Normal 29 3 3" xfId="17628" xr:uid="{0AFF4621-A63E-4DBE-BC43-06C8DFADB1C8}"/>
    <cellStyle name="Normal 29 3 4" xfId="42232" xr:uid="{A38EEC42-F774-484C-BE86-94E70A48A187}"/>
    <cellStyle name="Normal 29 4" xfId="17629" xr:uid="{F4DCF2B6-79B5-4C29-9627-78D3C9723D8B}"/>
    <cellStyle name="Normal 29 4 2" xfId="17630" xr:uid="{B646D64F-50B8-4232-AAF3-AFE7F0F68FD3}"/>
    <cellStyle name="Normal 29 4 3" xfId="17631" xr:uid="{C1B79FE8-7FE0-4BB8-B9FD-77ABFD457BBC}"/>
    <cellStyle name="Normal 29 4 4" xfId="42233" xr:uid="{5FD74925-81AA-448C-A131-874C775E286F}"/>
    <cellStyle name="Normal 29 5" xfId="17632" xr:uid="{FDB1271C-9903-4CD4-8F80-48AE59060DE4}"/>
    <cellStyle name="Normal 29 6" xfId="42234" xr:uid="{EAE6577D-14AF-4B5D-BEB8-D68017F0264E}"/>
    <cellStyle name="Normal 29_PwrTax 51040" xfId="17633" xr:uid="{2CB3A491-B9B4-487D-A3D7-9EB1A3013DB1}"/>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10" xfId="17634" xr:uid="{9FB35E62-ADB5-4BCE-9A2C-5A6676B63B70}"/>
    <cellStyle name="Normal 3 10 2" xfId="17635" xr:uid="{A28F373C-096F-42C1-AAF3-C1CDAB8EF43B}"/>
    <cellStyle name="Normal 3 10 2 2" xfId="42235" xr:uid="{C91CB62D-6CE2-45EB-BEC9-6A75E1A44BCD}"/>
    <cellStyle name="Normal 3 10 3" xfId="17636" xr:uid="{A2F3B7A0-B104-4FA5-A7B0-5650EB572D41}"/>
    <cellStyle name="Normal 3 10 3 2" xfId="42236" xr:uid="{A33F4620-A44B-48D1-8954-F55037F91AB7}"/>
    <cellStyle name="Normal 3 10 4" xfId="42237" xr:uid="{F9CA62E0-E056-4830-B29A-F04AF94308ED}"/>
    <cellStyle name="Normal 3 11" xfId="17637" xr:uid="{28D82DD8-E30D-4544-B8F4-91DB2E732D37}"/>
    <cellStyle name="Normal 3 11 2" xfId="42238" xr:uid="{BC700BC7-03E0-4947-93BE-A4650DD3F013}"/>
    <cellStyle name="Normal 3 12" xfId="17638" xr:uid="{C0F8D31F-E877-4551-A5DA-14B16F355A53}"/>
    <cellStyle name="Normal 3 12 2" xfId="42239" xr:uid="{2F786C04-08D9-493A-8CE9-34575DFAEBAC}"/>
    <cellStyle name="Normal 3 13" xfId="17639" xr:uid="{64ACB762-19BB-48DD-99BF-469C64FFDC6D}"/>
    <cellStyle name="Normal 3 13 2" xfId="17640" xr:uid="{C39E3037-2708-4165-A8E6-BA41982E3F5D}"/>
    <cellStyle name="Normal 3 13 3" xfId="17641" xr:uid="{6D509AD6-7A4A-40D6-93F4-FD9A5158484E}"/>
    <cellStyle name="Normal 3 13 3 2" xfId="17642" xr:uid="{558778BF-79F6-4F57-8ED3-D7ECCC444E71}"/>
    <cellStyle name="Normal 3 13 3 3" xfId="17643" xr:uid="{50590818-F2B9-43FE-B9CB-9D8E54740E46}"/>
    <cellStyle name="Normal 3 13 4" xfId="42240" xr:uid="{BC5A08AC-8E7A-4779-A5E7-78F7A604837B}"/>
    <cellStyle name="Normal 3 14" xfId="17644" xr:uid="{F69CE071-8279-44CB-8484-A51E9C657444}"/>
    <cellStyle name="Normal 3 14 2" xfId="17645" xr:uid="{DCF5B9FF-4E83-43F5-8A20-FCE4153F834D}"/>
    <cellStyle name="Normal 3 14 3" xfId="42241" xr:uid="{1BECC18C-F521-4250-B2A2-1BAE63B60FAD}"/>
    <cellStyle name="Normal 3 15" xfId="17646" xr:uid="{BF6A90D0-809F-4B55-BDBF-433A42FB8799}"/>
    <cellStyle name="Normal 3 16" xfId="17647" xr:uid="{633B592E-2AFE-46E2-BB35-E7FA603EC64A}"/>
    <cellStyle name="Normal 3 17" xfId="17648" xr:uid="{FCF26644-81D0-4C74-BAF1-F3B449BE8063}"/>
    <cellStyle name="Normal 3 18" xfId="33036" xr:uid="{F0D8DB10-1693-48C1-ACE9-35C944027D31}"/>
    <cellStyle name="Normal 3 19" xfId="42242" xr:uid="{2D717D66-E7F1-4984-9667-20E451B88797}"/>
    <cellStyle name="Normal 3 2" xfId="33" xr:uid="{99F8AE8C-05F2-490A-A25C-6008C9A4EA1B}"/>
    <cellStyle name="Normal 3 2 2" xfId="17649" xr:uid="{37B414C0-7B90-4E0C-A601-6135161895CA}"/>
    <cellStyle name="Normal 3 2 2 2" xfId="17650" xr:uid="{1F4F1A57-27EA-46EA-A00E-A4405F67E81A}"/>
    <cellStyle name="Normal 3 2 2 2 2" xfId="42243" xr:uid="{37BCCD4C-2A5A-4797-83D7-C723CE1F5F4C}"/>
    <cellStyle name="Normal 3 2 2 3" xfId="17651" xr:uid="{EBAEDFB8-1F3B-45DD-9948-44CED73EF9C0}"/>
    <cellStyle name="Normal 3 2 2 3 2" xfId="42244" xr:uid="{D3468AA2-3190-491D-B80E-8DB7385B3546}"/>
    <cellStyle name="Normal 3 2 2 4" xfId="42245" xr:uid="{B2B4CDA8-684B-4563-95DA-905150127250}"/>
    <cellStyle name="Normal 3 2 3" xfId="17652" xr:uid="{33C1C041-557B-4772-9AB8-FB2E51A395B0}"/>
    <cellStyle name="Normal 3 2 3 2" xfId="42246" xr:uid="{35B3EF25-8F1B-4913-9B86-AC61C5180804}"/>
    <cellStyle name="Normal 3 2 4" xfId="17653" xr:uid="{705C623E-DA3A-4A50-A0CE-83E4720CB2DF}"/>
    <cellStyle name="Normal 3 2 4 2" xfId="42247" xr:uid="{4D210F66-86BD-4AF1-9BBF-E9D71C8E14BE}"/>
    <cellStyle name="Normal 3 2 5" xfId="17654" xr:uid="{BA75697B-09BF-45FE-BA02-F4412263842D}"/>
    <cellStyle name="Normal 3 2 6" xfId="42248" xr:uid="{51539408-CE8F-4A91-8B01-AB0935A335C2}"/>
    <cellStyle name="Normal 3 2 7" xfId="42249" xr:uid="{FD4850F2-D2D7-4AB3-B5DF-F8A830710E27}"/>
    <cellStyle name="Normal 3 2 8" xfId="42250" xr:uid="{5C8ED767-7606-4223-ADF0-14D4DD1BDE9D}"/>
    <cellStyle name="Normal 3 2 9" xfId="43518" xr:uid="{004DFD03-6102-4F40-B328-EDD5288EFC81}"/>
    <cellStyle name="Normal 3 20" xfId="43486" xr:uid="{977190AE-C266-4E94-8BE7-5D510646DBF4}"/>
    <cellStyle name="Normal 3 3" xfId="54" xr:uid="{A9628838-9A52-4CCC-A869-45E6B0DC1BAA}"/>
    <cellStyle name="Normal 3 3 2" xfId="17656" xr:uid="{C0DDC544-E42B-435C-A3EA-B14E673BB217}"/>
    <cellStyle name="Normal 3 3 2 2" xfId="17657" xr:uid="{6B20A812-2DBC-43BC-BE47-8967D8612C24}"/>
    <cellStyle name="Normal 3 3 2 2 2" xfId="42251" xr:uid="{E875CF79-9688-413E-B79B-08F6BB644767}"/>
    <cellStyle name="Normal 3 3 2 3" xfId="17658" xr:uid="{41B5CF3E-A96F-4AE8-A22D-4A07D0FFC11D}"/>
    <cellStyle name="Normal 3 3 2 3 2" xfId="42252" xr:uid="{55C14FD9-02E3-4A82-91AD-06C3243AD235}"/>
    <cellStyle name="Normal 3 3 2 4" xfId="42253" xr:uid="{58DED60E-6521-478B-8C78-F288949FE052}"/>
    <cellStyle name="Normal 3 3 3" xfId="17659" xr:uid="{69D42AFF-686B-4365-A22A-83C8EF5B6D1D}"/>
    <cellStyle name="Normal 3 3 3 2" xfId="42254" xr:uid="{E44BBFB5-29AF-4024-A1AA-9B178575675C}"/>
    <cellStyle name="Normal 3 3 4" xfId="17660" xr:uid="{7841C216-9606-4B0E-BC96-D1080DF23AC8}"/>
    <cellStyle name="Normal 3 3 4 2" xfId="42255" xr:uid="{EA533F3A-BEE7-421A-B251-4319921A0E3B}"/>
    <cellStyle name="Normal 3 3 5" xfId="17661" xr:uid="{1B268D1A-1B58-4CA5-937A-6E8CABA4F48E}"/>
    <cellStyle name="Normal 3 3 6" xfId="42256" xr:uid="{3F0220E0-4E45-440D-BB38-F222477377C9}"/>
    <cellStyle name="Normal 3 3 7" xfId="43636" xr:uid="{6DCB728D-A576-4807-9752-4EB201EA32D7}"/>
    <cellStyle name="Normal 3 3 8" xfId="17655" xr:uid="{EE10C88D-87F2-4B70-A5BD-B9F99FBBC5A1}"/>
    <cellStyle name="Normal 3 4" xfId="17662" xr:uid="{41B8C354-5B97-491D-819A-D524E23861B5}"/>
    <cellStyle name="Normal 3 4 2" xfId="17663" xr:uid="{D99F46E7-296E-4412-99F5-E0A810AAE2AA}"/>
    <cellStyle name="Normal 3 4 2 2" xfId="17664" xr:uid="{9212A708-6DDB-4E34-B1B2-88F02D593F52}"/>
    <cellStyle name="Normal 3 4 2 2 2" xfId="42257" xr:uid="{CD11590B-64E4-405C-BEDE-025C23F8CE2E}"/>
    <cellStyle name="Normal 3 4 2 3" xfId="17665" xr:uid="{B64888B8-33DD-461D-90DD-3B2253EF0DDE}"/>
    <cellStyle name="Normal 3 4 2 3 2" xfId="42258" xr:uid="{69ECE220-142D-402D-BC1F-BC0BDFBDF2D1}"/>
    <cellStyle name="Normal 3 4 2 4" xfId="42259" xr:uid="{7649912F-BBDF-4671-90DE-5924868A251C}"/>
    <cellStyle name="Normal 3 4 3" xfId="17666" xr:uid="{0AAE4E37-7513-460D-9DB7-AE200E1B2CD6}"/>
    <cellStyle name="Normal 3 4 3 2" xfId="42260" xr:uid="{3A3FF2BA-8BD7-4BA0-AFE4-BB9433F268AF}"/>
    <cellStyle name="Normal 3 4 4" xfId="17667" xr:uid="{903A1A35-760F-4C16-840F-98A5E74F8329}"/>
    <cellStyle name="Normal 3 4 4 2" xfId="42261" xr:uid="{275818CB-3E39-40F0-B4E5-D83BB05A1801}"/>
    <cellStyle name="Normal 3 4 5" xfId="17668" xr:uid="{0E7E7981-47DD-4AE6-8056-A0F967A90A51}"/>
    <cellStyle name="Normal 3 4 6" xfId="17669" xr:uid="{92535070-CF74-4019-908F-12C7A710BEED}"/>
    <cellStyle name="Normal 3 4 7" xfId="42262" xr:uid="{0881A357-91AF-4E14-A4EA-3F97ADF86663}"/>
    <cellStyle name="Normal 3 5" xfId="17670" xr:uid="{3966ED2A-9596-48ED-955D-A019A631F622}"/>
    <cellStyle name="Normal 3 5 2" xfId="17671" xr:uid="{B980CB5F-5FD3-4A36-A4F3-1A730F21BB6D}"/>
    <cellStyle name="Normal 3 5 2 2" xfId="17672" xr:uid="{4DAB9AE8-69F2-4FD5-8CE7-BA74D6461F30}"/>
    <cellStyle name="Normal 3 5 2 2 2" xfId="42263" xr:uid="{8BA55E2B-FBA8-4C02-9D7A-DA52D4340DC0}"/>
    <cellStyle name="Normal 3 5 2 3" xfId="17673" xr:uid="{75871DAC-8E9E-4F7C-A382-FC68E07D6CDC}"/>
    <cellStyle name="Normal 3 5 2 3 2" xfId="42264" xr:uid="{2080774A-DEE4-4CDD-B304-7169664D5310}"/>
    <cellStyle name="Normal 3 5 2 4" xfId="42265" xr:uid="{8E2FC255-1D5C-422B-A2A5-AC303EAAA21B}"/>
    <cellStyle name="Normal 3 5 3" xfId="17674" xr:uid="{D1499E4D-19B1-4D6C-BC00-AEAE12F82035}"/>
    <cellStyle name="Normal 3 5 3 2" xfId="42266" xr:uid="{FF869F4E-64FD-4509-89A0-D07390560A6E}"/>
    <cellStyle name="Normal 3 5 4" xfId="17675" xr:uid="{4D85662F-F537-47D3-826F-B1F53B33A6D1}"/>
    <cellStyle name="Normal 3 5 4 2" xfId="42267" xr:uid="{13718DAD-117A-4A38-B1AA-75207A6CCE14}"/>
    <cellStyle name="Normal 3 5 5" xfId="17676" xr:uid="{48437E53-CAE6-4EFA-AFDF-49D1F8101476}"/>
    <cellStyle name="Normal 3 5 6" xfId="17677" xr:uid="{945297C5-1C03-4EA4-92BD-19BBBF683100}"/>
    <cellStyle name="Normal 3 5 7" xfId="17678" xr:uid="{6799DD05-85C4-4F80-93B6-EAF1CBA8F479}"/>
    <cellStyle name="Normal 3 5 7 2" xfId="17679" xr:uid="{41BE46D3-32E5-43F1-B923-AE0DDC24D333}"/>
    <cellStyle name="Normal 3 5 7 3" xfId="17680" xr:uid="{F9E72184-CDC7-45C7-BA00-22C567A46C92}"/>
    <cellStyle name="Normal 3 5 8" xfId="42268" xr:uid="{A51CB58D-C794-4886-9835-431AF0794581}"/>
    <cellStyle name="Normal 3 6" xfId="17681" xr:uid="{2DC49973-5CC9-4D01-894A-ACDED6728B54}"/>
    <cellStyle name="Normal 3 6 2" xfId="17682" xr:uid="{A3C77384-984C-4769-ACAA-94EC75D6DB96}"/>
    <cellStyle name="Normal 3 6 2 2" xfId="17683" xr:uid="{A0597B8B-1C0B-4957-8CBE-725ECEE282B3}"/>
    <cellStyle name="Normal 3 6 2 2 2" xfId="42269" xr:uid="{F0F360C1-EDA5-4451-8C33-0A2093923830}"/>
    <cellStyle name="Normal 3 6 2 3" xfId="17684" xr:uid="{87BB45D5-20B5-4BE4-9AD3-9F5CD0FBE181}"/>
    <cellStyle name="Normal 3 6 2 3 2" xfId="42270" xr:uid="{E8CD326D-58F3-4773-A873-6BF1A4871314}"/>
    <cellStyle name="Normal 3 6 2 4" xfId="42271" xr:uid="{B33F1C8E-26DF-4058-827B-2A71E2A50860}"/>
    <cellStyle name="Normal 3 6 3" xfId="17685" xr:uid="{3A09D9F6-44E3-4F14-9095-46D9638BD81F}"/>
    <cellStyle name="Normal 3 6 3 2" xfId="42272" xr:uid="{34CAC2CC-8196-40EB-8F8B-B92CE0ACEF79}"/>
    <cellStyle name="Normal 3 6 4" xfId="17686" xr:uid="{5776F70A-8A69-4DAC-BDB3-C28CD18ADFEB}"/>
    <cellStyle name="Normal 3 6 4 2" xfId="42273" xr:uid="{9CB4E695-7DFD-4154-8232-F98B61B00594}"/>
    <cellStyle name="Normal 3 6 5" xfId="42274" xr:uid="{4BBD889B-E2F8-4DB6-9EAF-10F63E8E7CD1}"/>
    <cellStyle name="Normal 3 7" xfId="17687" xr:uid="{A5C25202-42B3-4BDA-864A-9DB8498308DA}"/>
    <cellStyle name="Normal 3 7 2" xfId="17688" xr:uid="{70E3F0BC-D6E4-4AEA-9A87-57C4A092E9FA}"/>
    <cellStyle name="Normal 3 7 2 2" xfId="17689" xr:uid="{37B2F8EE-EBC9-46D2-A9D6-EC40A4D4BC9B}"/>
    <cellStyle name="Normal 3 7 2 2 2" xfId="42275" xr:uid="{301B0FBA-4293-4C63-9BB4-5CA3580EE59A}"/>
    <cellStyle name="Normal 3 7 2 3" xfId="17690" xr:uid="{BFC562C6-7BB8-49DE-847B-4D1ACEB409AE}"/>
    <cellStyle name="Normal 3 7 2 3 2" xfId="42276" xr:uid="{E3C5DAD4-0351-482D-95D4-DD3A5D6B3958}"/>
    <cellStyle name="Normal 3 7 2 4" xfId="42277" xr:uid="{65B3FFA4-218C-41EA-8B11-D756B6C7B633}"/>
    <cellStyle name="Normal 3 7 3" xfId="17691" xr:uid="{DBF256D0-0B91-45E6-9554-403D8071B993}"/>
    <cellStyle name="Normal 3 7 3 2" xfId="42278" xr:uid="{F1E88E9C-414C-41F3-9A69-E38E52A53A45}"/>
    <cellStyle name="Normal 3 7 4" xfId="17692" xr:uid="{EB570D01-8B6B-444B-9BDF-E3CFD3FFA646}"/>
    <cellStyle name="Normal 3 7 4 2" xfId="42279" xr:uid="{F29F868C-B09C-45BA-B122-1E7B7508B9DA}"/>
    <cellStyle name="Normal 3 7 5" xfId="42280" xr:uid="{3ADBAEF6-BCB2-4D2B-9BFB-690DE01C83D7}"/>
    <cellStyle name="Normal 3 8" xfId="17693" xr:uid="{7EFCCF4A-C314-4F8A-846B-C601BD4F79ED}"/>
    <cellStyle name="Normal 3 8 2" xfId="17694" xr:uid="{4A1BD8A2-18D4-42ED-A703-EF158488FD5B}"/>
    <cellStyle name="Normal 3 8 2 2" xfId="17695" xr:uid="{7414EDF1-194F-47E9-9A92-930577913858}"/>
    <cellStyle name="Normal 3 8 2 2 2" xfId="42281" xr:uid="{C5740B28-B179-446A-BF87-4B31D4068C6A}"/>
    <cellStyle name="Normal 3 8 2 3" xfId="17696" xr:uid="{3AAA5506-DD3D-4119-B92C-1B253CAA9C2F}"/>
    <cellStyle name="Normal 3 8 2 3 2" xfId="42282" xr:uid="{0BB18E31-B310-43D4-A19C-8C5630911B24}"/>
    <cellStyle name="Normal 3 8 2 4" xfId="42283" xr:uid="{2778F26C-9AC9-4108-908E-E128BA6D7D41}"/>
    <cellStyle name="Normal 3 8 3" xfId="17697" xr:uid="{FEEE570F-FF0E-44B6-823B-DF26C5BFFD22}"/>
    <cellStyle name="Normal 3 8 3 2" xfId="42284" xr:uid="{3BBEAFC5-440B-4934-ABA1-8CE7D5A00833}"/>
    <cellStyle name="Normal 3 8 4" xfId="17698" xr:uid="{78643145-053C-4140-AACF-92E1F28F8959}"/>
    <cellStyle name="Normal 3 8 4 2" xfId="42285" xr:uid="{E0144B78-659C-4C77-914B-5C6F39ED6D7E}"/>
    <cellStyle name="Normal 3 8 5" xfId="42286" xr:uid="{6ABC9A86-C800-4B85-9456-018318F93915}"/>
    <cellStyle name="Normal 3 9" xfId="17699" xr:uid="{335E07A6-70E8-4FD5-AABA-95F2BEA0C294}"/>
    <cellStyle name="Normal 3 9 2" xfId="17700" xr:uid="{2186C483-73B5-487D-A1B7-21C1030E8BEB}"/>
    <cellStyle name="Normal 3 9 2 2" xfId="17701" xr:uid="{3D3BE0A5-A853-4B04-8139-EC483D29EDD3}"/>
    <cellStyle name="Normal 3 9 2 2 2" xfId="42287" xr:uid="{66145C6C-51B4-4049-80E1-6DB42DCE8292}"/>
    <cellStyle name="Normal 3 9 2 3" xfId="17702" xr:uid="{022DC2DE-77B2-4C5E-B635-8159577653DB}"/>
    <cellStyle name="Normal 3 9 2 3 2" xfId="42288" xr:uid="{D35CC0D8-8384-432A-B0AB-33C08FE16A56}"/>
    <cellStyle name="Normal 3 9 2 4" xfId="42289" xr:uid="{6DF36D7C-26E0-40E5-BC0C-91500DD9B349}"/>
    <cellStyle name="Normal 3 9 3" xfId="17703" xr:uid="{A73CF3EC-267D-440A-A3A3-CBDA503F2D3A}"/>
    <cellStyle name="Normal 3 9 3 2" xfId="42290" xr:uid="{B06EABB2-E4BB-4491-913E-CC9E5DC3BC0F}"/>
    <cellStyle name="Normal 3 9 4" xfId="17704" xr:uid="{AD98CA19-6AFF-472E-89EC-C14902304017}"/>
    <cellStyle name="Normal 3 9 4 2" xfId="42291" xr:uid="{70DF72B2-8A29-49DE-A017-8D3CC138CC12}"/>
    <cellStyle name="Normal 3 9 5" xfId="42292" xr:uid="{71487E1C-F2CF-4735-9C55-68C5C6210F56}"/>
    <cellStyle name="Normal 3_1998-2002 adds try 4" xfId="42293" xr:uid="{DFD1A8EC-8CBF-4D4C-AD56-9E7163E6241C}"/>
    <cellStyle name="Normal 3_Attach O, GG, Support -New Method 2-14-11" xfId="31" xr:uid="{A98F5369-1071-44F5-B789-FF6BABDA384D}"/>
    <cellStyle name="Normal 30" xfId="243" xr:uid="{E1C4E721-9E04-446A-97D2-E42446707FB4}"/>
    <cellStyle name="Normal 30 2" xfId="17705" xr:uid="{8E5F52B0-265C-4962-88AF-98547385084D}"/>
    <cellStyle name="Normal 30 2 2" xfId="17706" xr:uid="{78C9184F-B9CA-4B28-B39D-68C621FF1A76}"/>
    <cellStyle name="Normal 30 2 2 2" xfId="42294" xr:uid="{1A69EB91-A08D-4047-92FA-6BC47530E413}"/>
    <cellStyle name="Normal 30 2 3" xfId="17707" xr:uid="{81C7F07D-190E-45CA-86F9-39B31CDF5AE9}"/>
    <cellStyle name="Normal 30 2 3 2" xfId="42295" xr:uid="{93B2C0CC-7EB9-4A3C-A184-A8E5B1C6F76B}"/>
    <cellStyle name="Normal 30 2 4" xfId="42296" xr:uid="{B1D09A83-B44E-43E1-B4CE-8C9A2A7455C8}"/>
    <cellStyle name="Normal 30 3" xfId="17708" xr:uid="{B954AB4A-9D53-4C68-8664-9E5F5FF2ACB0}"/>
    <cellStyle name="Normal 30 3 2" xfId="17709" xr:uid="{1D6637F9-85A4-4F9B-A025-1D07E8938568}"/>
    <cellStyle name="Normal 30 3 2 2" xfId="17710" xr:uid="{95DF7074-5E2C-4150-B4AE-ED3434C31262}"/>
    <cellStyle name="Normal 30 3 3" xfId="17711" xr:uid="{46F866D1-9CD5-4E47-BD5F-2F3F5AB3842C}"/>
    <cellStyle name="Normal 30 3 4" xfId="17712" xr:uid="{AAA4FC20-836D-4E12-8F15-2D0CF0241C4E}"/>
    <cellStyle name="Normal 30 3 5" xfId="42297" xr:uid="{3B21B1BF-EE45-4FC8-A773-6ECBB8406E65}"/>
    <cellStyle name="Normal 30 4" xfId="17713" xr:uid="{B2504A2F-B3FB-44E8-A301-E608B1573183}"/>
    <cellStyle name="Normal 30 4 2" xfId="42298" xr:uid="{9C603439-E1DB-49CE-9D9B-4E9F7E5D7E97}"/>
    <cellStyle name="Normal 30 5" xfId="17714" xr:uid="{7163EC2D-0FF8-4064-9EFD-A68CB49A63DC}"/>
    <cellStyle name="Normal 30 6" xfId="17715" xr:uid="{64E9C1AA-8C0D-42D9-877B-C83B2D75F305}"/>
    <cellStyle name="Normal 30_PwrTax 51040" xfId="17716" xr:uid="{2F9509D7-FEF2-460D-82DD-6C2BAA08FF0E}"/>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 xfId="17717" xr:uid="{EFCCBC52-E528-42D1-9D1E-739472489400}"/>
    <cellStyle name="Normal 31 2" xfId="17718" xr:uid="{B0C588D0-1A13-4F75-803D-182E1B87DD55}"/>
    <cellStyle name="Normal 31 2 2" xfId="17719" xr:uid="{D084D2D2-FA90-486C-8AE9-D5C64E76D757}"/>
    <cellStyle name="Normal 31 2 2 2" xfId="42299" xr:uid="{91891E88-64EE-459A-9CC0-A4378692BAA7}"/>
    <cellStyle name="Normal 31 2 3" xfId="17720" xr:uid="{35337062-123D-4C19-89CD-215EB27C491C}"/>
    <cellStyle name="Normal 31 2 3 2" xfId="42300" xr:uid="{FED4D5B6-9FDA-4807-952D-2D6D317A50F3}"/>
    <cellStyle name="Normal 31 2 4" xfId="17721" xr:uid="{CB4ED945-B5A6-4FA2-AD8E-16C934407EAC}"/>
    <cellStyle name="Normal 31 2 5" xfId="17722" xr:uid="{426BB9CF-82AE-49F6-818B-A8FA086B06B5}"/>
    <cellStyle name="Normal 31 2 6" xfId="42301" xr:uid="{171EF200-2E06-41B0-AFFD-381E0DEC0216}"/>
    <cellStyle name="Normal 31 3" xfId="17723" xr:uid="{F07455CD-E9D8-446A-BCF9-A510BA05EF93}"/>
    <cellStyle name="Normal 31 3 2" xfId="17724" xr:uid="{93A2C3A3-1E39-4BBA-8984-73AE16A1FD8A}"/>
    <cellStyle name="Normal 31 3 3" xfId="42302" xr:uid="{A9DD1616-A7B8-4DB8-86AA-1403CFF6E8E7}"/>
    <cellStyle name="Normal 31 4" xfId="17725" xr:uid="{6F61DF24-A142-4AD6-9380-8CBDDB78D3ED}"/>
    <cellStyle name="Normal 31 4 2" xfId="42303" xr:uid="{53ADD70A-8D52-4559-A521-4648B71FEB19}"/>
    <cellStyle name="Normal 31 5" xfId="17726" xr:uid="{5E142219-061A-40E2-8270-11A97A30E56D}"/>
    <cellStyle name="Normal 31 6" xfId="42304" xr:uid="{FB68E225-DEF8-4380-9C6A-86D1D829BF06}"/>
    <cellStyle name="Normal 31_PwrTax 51040" xfId="17727" xr:uid="{771FBA9F-DB40-4F95-86E0-C2C04AD8EFBB}"/>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 xfId="17728" xr:uid="{4117B8A1-9DBC-4CEF-9AF2-932B1C9979FE}"/>
    <cellStyle name="Normal 32 2" xfId="17729" xr:uid="{5DC764EC-8471-45A9-B177-BDE1CC96614B}"/>
    <cellStyle name="Normal 32 2 2" xfId="17730" xr:uid="{4B6213D1-E6B0-4270-B62B-3701452E56D4}"/>
    <cellStyle name="Normal 32 2 2 2" xfId="42305" xr:uid="{59622B4F-2D20-4247-933F-25D75F09FF43}"/>
    <cellStyle name="Normal 32 2 3" xfId="17731" xr:uid="{3701F994-31DA-469E-9B61-69DC0EEE5006}"/>
    <cellStyle name="Normal 32 2 3 2" xfId="42306" xr:uid="{AF9533B9-AFAA-40C7-86B4-D39FE4ADA9AE}"/>
    <cellStyle name="Normal 32 2 4" xfId="42307" xr:uid="{0E8FB06F-C88C-4FE9-B9A5-DAE9339249C1}"/>
    <cellStyle name="Normal 32 3" xfId="17732" xr:uid="{79AF9480-73A3-4AE3-A6D2-185A6EB4D7A3}"/>
    <cellStyle name="Normal 32 3 2" xfId="42308" xr:uid="{D1E06C27-0854-4586-AAAF-F72F415DB901}"/>
    <cellStyle name="Normal 32 4" xfId="17733" xr:uid="{29A87774-D892-413B-9AAF-968724687592}"/>
    <cellStyle name="Normal 32 4 2" xfId="42309" xr:uid="{5ACEFB86-2BBB-468B-9184-9C249175C60C}"/>
    <cellStyle name="Normal 32 5" xfId="42310" xr:uid="{A36F75DC-6BE7-4899-BE4E-2E88B1E2B6DD}"/>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 xfId="17734" xr:uid="{0F792CD5-94A4-4540-A575-8144BB38E744}"/>
    <cellStyle name="Normal 33 2" xfId="17735" xr:uid="{5B093661-1CEA-4F3D-A8D7-27215EE6A51B}"/>
    <cellStyle name="Normal 33 2 2" xfId="17736" xr:uid="{ADD415A9-80BD-42F0-9EAA-3C15687CE7CF}"/>
    <cellStyle name="Normal 33 2 2 2" xfId="42311" xr:uid="{89DD051F-D03A-47A1-8AF0-0CFC818911BA}"/>
    <cellStyle name="Normal 33 2 3" xfId="17737" xr:uid="{6172BACF-6B11-4C87-8642-12E7BFD05B8A}"/>
    <cellStyle name="Normal 33 2 3 2" xfId="42312" xr:uid="{5B67588F-C0EB-42CA-AE11-CDD117D6D110}"/>
    <cellStyle name="Normal 33 2 4" xfId="42313" xr:uid="{2E2F60D8-F0EA-4BC5-8249-F28A40E8DC6D}"/>
    <cellStyle name="Normal 33 3" xfId="17738" xr:uid="{412B82E7-2BD8-44E5-BCE4-FE72D86753CD}"/>
    <cellStyle name="Normal 33 3 2" xfId="42314" xr:uid="{E5C59CC0-9EA2-4702-B9BC-394CCDCF3846}"/>
    <cellStyle name="Normal 33 4" xfId="17739" xr:uid="{A66016EE-30CE-44D8-A36B-9A6A0D29F200}"/>
    <cellStyle name="Normal 33 4 2" xfId="42315" xr:uid="{A3696F86-58D9-4699-9507-6445C1512E2D}"/>
    <cellStyle name="Normal 33 5" xfId="17740" xr:uid="{7792B3A1-D2E2-426D-AB3C-E9422B98CCA6}"/>
    <cellStyle name="Normal 330" xfId="141" xr:uid="{FA0BC58C-0DF1-4064-9ECF-4B7AF54B4405}"/>
    <cellStyle name="Normal 332" xfId="111" xr:uid="{19C67990-A026-4BCC-A7FD-FDD2E3EE3AA6}"/>
    <cellStyle name="Normal 34" xfId="244" xr:uid="{3F0E453B-06C9-4570-A357-496C655BDEAE}"/>
    <cellStyle name="Normal 34 2" xfId="17741" xr:uid="{D7B047E3-864E-4482-918A-200C9DCD17C9}"/>
    <cellStyle name="Normal 34 2 2" xfId="17742" xr:uid="{C4ECBC4D-1BA5-45BE-82CB-C10CE303E5E4}"/>
    <cellStyle name="Normal 34 2 2 2" xfId="42316" xr:uid="{B514B9E8-506A-4C10-ACFD-0F8EFA66B58E}"/>
    <cellStyle name="Normal 34 2 3" xfId="17743" xr:uid="{DD66F8BD-FD1B-4588-A561-B73F9D38AB54}"/>
    <cellStyle name="Normal 34 2 3 2" xfId="42317" xr:uid="{308E3A56-EB90-4DDF-AB18-15F88456D68A}"/>
    <cellStyle name="Normal 34 2 4" xfId="42318" xr:uid="{961A9913-1120-4B3F-A636-F6EE3D46FA89}"/>
    <cellStyle name="Normal 34 3" xfId="17744" xr:uid="{40F47285-68D5-4B3A-A40E-B53B9E4822DD}"/>
    <cellStyle name="Normal 34 3 2" xfId="17745" xr:uid="{CAB06E75-9110-43DB-B2E8-E1BCACFF29CE}"/>
    <cellStyle name="Normal 34 3 2 2" xfId="42319" xr:uid="{BE9C7F17-33B7-4F29-872E-38A618DA4E19}"/>
    <cellStyle name="Normal 34 3 3" xfId="42320" xr:uid="{8C67AEB8-48D9-463A-ADAC-EDD090B5B432}"/>
    <cellStyle name="Normal 34 4" xfId="17746" xr:uid="{0DD03B6E-6F33-48C3-BEF0-9CF0171EBB5E}"/>
    <cellStyle name="Normal 34 4 2" xfId="17747" xr:uid="{1EB7F154-E107-423F-8D77-10A2CC042CA7}"/>
    <cellStyle name="Normal 34 4 2 2" xfId="42321" xr:uid="{6BB339BA-788A-4FB5-A420-DBF9376EE449}"/>
    <cellStyle name="Normal 34 4 3" xfId="42322" xr:uid="{43990C5C-D4E5-48F3-9333-805411F5B5AA}"/>
    <cellStyle name="Normal 34 5" xfId="17748" xr:uid="{CBBAE1E4-A029-4665-A95D-6D821BE9FF13}"/>
    <cellStyle name="Normal 34 5 2" xfId="42323" xr:uid="{A3DE5256-4261-42B7-8F56-021D6021D1B3}"/>
    <cellStyle name="Normal 35" xfId="17749" xr:uid="{0295C56B-7208-4994-8989-DED25DE6DCAA}"/>
    <cellStyle name="Normal 35 2" xfId="17750" xr:uid="{5F695C6D-8170-4C7C-98B1-1554A3544C09}"/>
    <cellStyle name="Normal 35 2 2" xfId="17751" xr:uid="{49801237-5C81-47A8-9FA6-B7832F037543}"/>
    <cellStyle name="Normal 35 2 2 2" xfId="42324" xr:uid="{18506950-3981-4BE3-BFED-EFBE978117C2}"/>
    <cellStyle name="Normal 35 2 2 2 2" xfId="42325" xr:uid="{D5AF1DC0-56DE-4F63-974D-8CE2A61226B7}"/>
    <cellStyle name="Normal 35 2 2 2 2 2" xfId="42326" xr:uid="{1B05AC5B-66C7-465A-AC92-26BF616C21C2}"/>
    <cellStyle name="Normal 35 2 2 2 2 2 2" xfId="42327" xr:uid="{E2416BA1-C5C9-4A5B-80F9-4D6E6DF05B71}"/>
    <cellStyle name="Normal 35 2 2 2 2 3" xfId="42328" xr:uid="{E5358B28-3DF7-4FCD-B24F-CD256671DE75}"/>
    <cellStyle name="Normal 35 2 2 2 2 3 2" xfId="42329" xr:uid="{566CA45E-E676-46DC-BEC8-950AE3BC3AF8}"/>
    <cellStyle name="Normal 35 2 2 2 2 4" xfId="42330" xr:uid="{EDA550B2-2BAC-4310-B002-AFA96A6D4D80}"/>
    <cellStyle name="Normal 35 2 2 2 3" xfId="42331" xr:uid="{52DEDEEF-2CF6-4AA0-BE64-986295374C38}"/>
    <cellStyle name="Normal 35 2 2 2 3 2" xfId="42332" xr:uid="{13298612-488C-48BA-8C1E-167472999656}"/>
    <cellStyle name="Normal 35 2 2 2 3 2 2" xfId="42333" xr:uid="{EE57081C-170D-4A6B-8A40-1CD8A746865F}"/>
    <cellStyle name="Normal 35 2 2 2 3 3" xfId="42334" xr:uid="{A395B01E-EF47-4086-B49B-B5E334F6212E}"/>
    <cellStyle name="Normal 35 2 2 2 3 3 2" xfId="42335" xr:uid="{9FAE5A2A-D189-4615-A34E-58D288EA70A1}"/>
    <cellStyle name="Normal 35 2 2 2 3 4" xfId="42336" xr:uid="{A4281291-423F-4AB6-AAE3-0A7CA055D65A}"/>
    <cellStyle name="Normal 35 2 2 2 4" xfId="42337" xr:uid="{A5517C9D-ED50-452E-B940-5EA91B9E88EB}"/>
    <cellStyle name="Normal 35 2 2 2 4 2" xfId="42338" xr:uid="{F75D0B2E-E4A0-4563-88F4-D95B89D16BBC}"/>
    <cellStyle name="Normal 35 2 2 2 4 2 2" xfId="42339" xr:uid="{BCD436C5-70FE-460A-986B-26648D2D1EDD}"/>
    <cellStyle name="Normal 35 2 2 2 4 3" xfId="42340" xr:uid="{116DDDDA-2AEA-4999-BC5B-A716AA7CB963}"/>
    <cellStyle name="Normal 35 2 2 2 4 3 2" xfId="42341" xr:uid="{76411191-5DD4-47B7-B33C-981B703E4013}"/>
    <cellStyle name="Normal 35 2 2 2 4 4" xfId="42342" xr:uid="{1DC1294A-704A-4F61-8031-5EBAFD38282F}"/>
    <cellStyle name="Normal 35 2 2 2 5" xfId="42343" xr:uid="{4811D060-2575-46A7-AC71-8672E5577DAE}"/>
    <cellStyle name="Normal 35 2 2 2 5 2" xfId="42344" xr:uid="{0DAC0525-09FD-48E8-9527-91AABF4A74DB}"/>
    <cellStyle name="Normal 35 2 2 2 6" xfId="42345" xr:uid="{D83251D0-433B-47B9-9019-4C0FC903B4D0}"/>
    <cellStyle name="Normal 35 2 2 2 6 2" xfId="42346" xr:uid="{0FBEB9AE-96ED-4B98-9C4D-540259768C08}"/>
    <cellStyle name="Normal 35 2 2 2 7" xfId="42347" xr:uid="{76792AD8-F8AE-4DE8-88F2-1077345DF8EB}"/>
    <cellStyle name="Normal 35 2 2 3" xfId="42348" xr:uid="{73555A00-F59E-49BE-8FA0-D1A6C80D801F}"/>
    <cellStyle name="Normal 35 2 2 3 2" xfId="42349" xr:uid="{0BB1B118-417F-4D5F-91C1-BEC75E04BDB9}"/>
    <cellStyle name="Normal 35 2 2 3 2 2" xfId="42350" xr:uid="{2B44DABD-ECB7-475A-AEF6-7610C867E07D}"/>
    <cellStyle name="Normal 35 2 2 3 3" xfId="42351" xr:uid="{BDCB660C-F7B5-41D1-A1D5-4D5661ECDCBE}"/>
    <cellStyle name="Normal 35 2 2 3 3 2" xfId="42352" xr:uid="{3D72A310-DC27-4CD6-B056-8F87CDE6DDE8}"/>
    <cellStyle name="Normal 35 2 2 3 4" xfId="42353" xr:uid="{ADA9E2E3-FFD3-48C8-B87C-B1683AC0BDD9}"/>
    <cellStyle name="Normal 35 2 2 4" xfId="42354" xr:uid="{D14E4305-878F-4FD8-807D-A4E4615D5189}"/>
    <cellStyle name="Normal 35 2 2 4 2" xfId="42355" xr:uid="{16A6D6E4-53F0-4D56-82D6-0539D3716030}"/>
    <cellStyle name="Normal 35 2 2 4 2 2" xfId="42356" xr:uid="{D29A1EB3-C7F2-4D00-9EFC-9947899CA8A6}"/>
    <cellStyle name="Normal 35 2 2 4 3" xfId="42357" xr:uid="{CD9D854C-A19E-4A61-AE30-56C4741063D0}"/>
    <cellStyle name="Normal 35 2 2 4 3 2" xfId="42358" xr:uid="{987CC585-2E94-4F80-B6AF-78CB9D0ADE97}"/>
    <cellStyle name="Normal 35 2 2 4 4" xfId="42359" xr:uid="{C50A7375-FC4F-4922-BAB2-FCFACA6F555A}"/>
    <cellStyle name="Normal 35 2 2 5" xfId="42360" xr:uid="{1E539EBF-B993-4DA9-B290-1D2CA82A9AC3}"/>
    <cellStyle name="Normal 35 2 2 6" xfId="42361" xr:uid="{737CF331-818A-4F60-A210-C591BBCE0682}"/>
    <cellStyle name="Normal 35 2 2 6 2" xfId="42362" xr:uid="{09E575C9-F522-4577-AFBC-B0337CFF28B1}"/>
    <cellStyle name="Normal 35 2 2 7" xfId="42363" xr:uid="{138E9A08-3B96-445E-9888-FF37A93EA6F8}"/>
    <cellStyle name="Normal 35 2 2 7 2" xfId="42364" xr:uid="{2E87F79F-D76A-4F5C-9D80-A6826EE2AF5F}"/>
    <cellStyle name="Normal 35 2 3" xfId="17752" xr:uid="{115442A1-66C3-4B24-AE96-CDB1F01346E9}"/>
    <cellStyle name="Normal 35 2 3 2" xfId="42365" xr:uid="{5F416CA3-72AC-4D3F-A89B-A776F1762769}"/>
    <cellStyle name="Normal 35 2 3 2 2" xfId="42366" xr:uid="{B81AA070-1732-4A26-B906-45FDF59E5B5B}"/>
    <cellStyle name="Normal 35 2 3 2 2 2" xfId="42367" xr:uid="{A3BBDED2-1AE2-4DBB-807D-AF3197EF7611}"/>
    <cellStyle name="Normal 35 2 3 2 3" xfId="42368" xr:uid="{7FED7A3C-00CC-4D4B-9AFF-AB68C680ED8E}"/>
    <cellStyle name="Normal 35 2 3 2 3 2" xfId="42369" xr:uid="{282FEA4F-B217-43A4-A6BD-2D80BDCE453F}"/>
    <cellStyle name="Normal 35 2 3 2 4" xfId="42370" xr:uid="{E307F566-044D-4FFE-BA6E-A904391DBE6C}"/>
    <cellStyle name="Normal 35 2 3 3" xfId="42371" xr:uid="{7BCFF098-BCB4-4245-99FA-220A5D71B915}"/>
    <cellStyle name="Normal 35 2 3 3 2" xfId="42372" xr:uid="{5E9AB530-DDD0-4D69-A538-DC8910967E95}"/>
    <cellStyle name="Normal 35 2 3 3 2 2" xfId="42373" xr:uid="{B5E994BE-5352-43C4-B8AF-E9CFDE6D7711}"/>
    <cellStyle name="Normal 35 2 3 3 3" xfId="42374" xr:uid="{C54318F0-52EA-441E-9745-6330ACDE4FAD}"/>
    <cellStyle name="Normal 35 2 3 3 3 2" xfId="42375" xr:uid="{4C69C692-38DD-42D6-978E-2F01B68A190A}"/>
    <cellStyle name="Normal 35 2 3 3 4" xfId="42376" xr:uid="{E92B09CE-22A2-49A7-901A-7A83BDBD766B}"/>
    <cellStyle name="Normal 35 2 3 4" xfId="42377" xr:uid="{6994FD40-CE89-4D17-B51E-C68430F247DC}"/>
    <cellStyle name="Normal 35 2 3 5" xfId="42378" xr:uid="{A602E02D-4EB6-4B0B-BF3A-36F2827981BD}"/>
    <cellStyle name="Normal 35 2 3 5 2" xfId="42379" xr:uid="{65ECA478-33EB-48F2-9634-4EA3A1F5F8B4}"/>
    <cellStyle name="Normal 35 2 3 6" xfId="42380" xr:uid="{A11317AF-3743-4B20-AE47-ACF9F67C00E6}"/>
    <cellStyle name="Normal 35 2 3 6 2" xfId="42381" xr:uid="{028C3090-6866-45E7-9DA6-5F7D7C89EE03}"/>
    <cellStyle name="Normal 35 2 4" xfId="17753" xr:uid="{57482D10-D3E2-440E-86ED-E5D22C40DCA0}"/>
    <cellStyle name="Normal 35 2 4 2" xfId="42382" xr:uid="{3DC12344-954B-44BB-82A3-677DE47153B4}"/>
    <cellStyle name="Normal 35 2 4 2 2" xfId="42383" xr:uid="{39BDF1D8-448B-4D54-81CD-4A250FBE62C2}"/>
    <cellStyle name="Normal 35 2 4 3" xfId="42384" xr:uid="{4A9064C1-4DE0-47A7-B46D-FFBE536BE5B8}"/>
    <cellStyle name="Normal 35 2 4 3 2" xfId="42385" xr:uid="{3E2744D4-555A-48DB-9BA8-887CA9548141}"/>
    <cellStyle name="Normal 35 2 4 4" xfId="42386" xr:uid="{B8C1E0BA-22D1-416E-BF8A-EFE4C7E03084}"/>
    <cellStyle name="Normal 35 2 5" xfId="42387" xr:uid="{64B1C92E-7E51-4492-9DBB-3CFA3648F866}"/>
    <cellStyle name="Normal 35 2 5 2" xfId="42388" xr:uid="{512A7B41-03C7-44FA-ADA5-49CF47BBBAC8}"/>
    <cellStyle name="Normal 35 2 5 2 2" xfId="42389" xr:uid="{DCE7FEC6-4527-445A-9D87-0C2C88D070A4}"/>
    <cellStyle name="Normal 35 2 5 3" xfId="42390" xr:uid="{1B679674-5E41-45F6-85F6-CC8DC3FD6476}"/>
    <cellStyle name="Normal 35 2 5 3 2" xfId="42391" xr:uid="{13281F75-8237-44AB-854E-265DA4F2D066}"/>
    <cellStyle name="Normal 35 2 5 4" xfId="42392" xr:uid="{5D408701-399C-45CB-B99C-13A5775753D5}"/>
    <cellStyle name="Normal 35 2 6" xfId="42393" xr:uid="{1BB4CBA2-BBED-4A4F-9CB3-0B305EF64DD4}"/>
    <cellStyle name="Normal 35 3" xfId="17754" xr:uid="{73FDB957-E914-43E6-98D4-D72A2AD5A884}"/>
    <cellStyle name="Normal 35 3 2" xfId="42394" xr:uid="{6E444BD7-BFEC-4C02-9BC2-E02B7F8ACDE2}"/>
    <cellStyle name="Normal 35 3 2 2" xfId="42395" xr:uid="{538705D9-9B5F-4D8C-960C-0393D1E98B4E}"/>
    <cellStyle name="Normal 35 3 2 2 2" xfId="42396" xr:uid="{0007DC89-9BED-47D6-9C2B-A7A462987515}"/>
    <cellStyle name="Normal 35 3 2 2 2 2" xfId="42397" xr:uid="{02C24ED5-6874-4063-8A83-ADB7E16A4584}"/>
    <cellStyle name="Normal 35 3 2 2 3" xfId="42398" xr:uid="{5D8AD1FF-EB33-4981-8F5F-C9124ABFDCA8}"/>
    <cellStyle name="Normal 35 3 2 2 3 2" xfId="42399" xr:uid="{A23AC0C8-FCC8-4D56-9891-9EE48055A349}"/>
    <cellStyle name="Normal 35 3 2 2 4" xfId="42400" xr:uid="{5B83F0D1-4D4A-4D09-9A40-2600A6DCF769}"/>
    <cellStyle name="Normal 35 3 2 3" xfId="42401" xr:uid="{2DCB759E-FDAD-47D9-99A4-DCFB63023B24}"/>
    <cellStyle name="Normal 35 3 2 3 2" xfId="42402" xr:uid="{44DBC361-17E1-46CF-BA51-525A689F576B}"/>
    <cellStyle name="Normal 35 3 2 3 2 2" xfId="42403" xr:uid="{0650578D-97BA-43B6-94A5-64110DF8172C}"/>
    <cellStyle name="Normal 35 3 2 3 3" xfId="42404" xr:uid="{6158D033-2574-453F-A91E-1A8F0729A52B}"/>
    <cellStyle name="Normal 35 3 2 3 3 2" xfId="42405" xr:uid="{36754491-1A60-432F-B6B8-A89AB76770C1}"/>
    <cellStyle name="Normal 35 3 2 3 4" xfId="42406" xr:uid="{733EF901-8F91-412A-B979-5BC2F42E7BEF}"/>
    <cellStyle name="Normal 35 3 2 4" xfId="42407" xr:uid="{DEC4B34C-5AE5-4042-B205-7037BC75F521}"/>
    <cellStyle name="Normal 35 3 2 4 2" xfId="42408" xr:uid="{00A0B41D-D150-4EB3-9167-4745E289146E}"/>
    <cellStyle name="Normal 35 3 2 4 2 2" xfId="42409" xr:uid="{07659528-3307-400C-ADD8-482E32FAF101}"/>
    <cellStyle name="Normal 35 3 2 4 3" xfId="42410" xr:uid="{B13426B5-662D-4397-9038-08F26FA35F86}"/>
    <cellStyle name="Normal 35 3 2 4 3 2" xfId="42411" xr:uid="{EDF1D079-3427-4ADC-B025-54A2B6F2B5D4}"/>
    <cellStyle name="Normal 35 3 2 4 4" xfId="42412" xr:uid="{0834370F-C930-41B2-9D37-CF91AB21BBDF}"/>
    <cellStyle name="Normal 35 3 2 5" xfId="42413" xr:uid="{5C42F81C-EF05-44B3-90E5-E84433C0B7C1}"/>
    <cellStyle name="Normal 35 3 2 5 2" xfId="42414" xr:uid="{B4CD9328-6698-4F64-B36F-B614CED10DE3}"/>
    <cellStyle name="Normal 35 3 2 6" xfId="42415" xr:uid="{8887D398-0AF9-4C04-B599-A452265435F8}"/>
    <cellStyle name="Normal 35 3 2 6 2" xfId="42416" xr:uid="{3E200CF8-D2E9-4B74-B6F1-63B4726E295A}"/>
    <cellStyle name="Normal 35 3 2 7" xfId="42417" xr:uid="{127B0803-9F31-4248-AEDC-8CDD745F8441}"/>
    <cellStyle name="Normal 35 3 3" xfId="42418" xr:uid="{F0175C18-BAB7-4F65-83D9-BD286A40F6B4}"/>
    <cellStyle name="Normal 35 3 3 2" xfId="42419" xr:uid="{71947A27-742A-47B6-A3FF-B4D1A9607F5F}"/>
    <cellStyle name="Normal 35 3 3 2 2" xfId="42420" xr:uid="{09A7BA21-8329-4ACF-B26E-DE868BF2C01B}"/>
    <cellStyle name="Normal 35 3 3 3" xfId="42421" xr:uid="{34B01D89-E1BA-4740-B7A8-BA346E07356D}"/>
    <cellStyle name="Normal 35 3 3 3 2" xfId="42422" xr:uid="{79449AA8-31F6-42CA-A873-B1DF4B51A037}"/>
    <cellStyle name="Normal 35 3 3 4" xfId="42423" xr:uid="{50D7A493-44C3-4994-8BEC-8CC12497744B}"/>
    <cellStyle name="Normal 35 3 4" xfId="42424" xr:uid="{BF001B13-5261-433A-A2C5-DC9E87E08C67}"/>
    <cellStyle name="Normal 35 3 4 2" xfId="42425" xr:uid="{5DE75ACC-7E65-431B-A3DB-DFE18EC9B589}"/>
    <cellStyle name="Normal 35 3 4 2 2" xfId="42426" xr:uid="{BFCC0EA0-AE63-4611-99B5-F15E9403B13D}"/>
    <cellStyle name="Normal 35 3 4 3" xfId="42427" xr:uid="{6B49F899-6B7C-4221-971B-3C633478AED0}"/>
    <cellStyle name="Normal 35 3 4 3 2" xfId="42428" xr:uid="{3AD8F5B7-23E0-4C54-9FD3-3B4C1304ECBF}"/>
    <cellStyle name="Normal 35 3 4 4" xfId="42429" xr:uid="{2541E5E3-E725-4272-8A5D-4B04F3560778}"/>
    <cellStyle name="Normal 35 3 5" xfId="42430" xr:uid="{E2561FD1-5A0F-4AEB-BDFB-2FD3299351FD}"/>
    <cellStyle name="Normal 35 3 6" xfId="42431" xr:uid="{4D08F3B1-7089-42A9-B44C-A825E4E84CE5}"/>
    <cellStyle name="Normal 35 3 6 2" xfId="42432" xr:uid="{433B3476-DE23-4A21-A7A6-20288CBD52A0}"/>
    <cellStyle name="Normal 35 3 7" xfId="42433" xr:uid="{ED14CB8B-6362-4B0B-A4FE-5EA7BD10B3E2}"/>
    <cellStyle name="Normal 35 3 7 2" xfId="42434" xr:uid="{8FF3ABF1-32B6-4818-A6EA-BC209BA1E55D}"/>
    <cellStyle name="Normal 35 4" xfId="17755" xr:uid="{8451A79C-17B8-48D9-AA16-F2DB1B4C72BA}"/>
    <cellStyle name="Normal 35 4 2" xfId="17756" xr:uid="{18D8F42E-EAE8-4CC9-9697-6C93356A7B6A}"/>
    <cellStyle name="Normal 35 4 2 2" xfId="42435" xr:uid="{0D78D6FE-B858-4968-AF05-08ADFD00DB77}"/>
    <cellStyle name="Normal 35 4 2 2 2" xfId="42436" xr:uid="{EC3F537B-A4E5-4089-B318-C64FB892F3E8}"/>
    <cellStyle name="Normal 35 4 2 3" xfId="42437" xr:uid="{6686A050-6AB5-4B15-BA4B-C43B2874A240}"/>
    <cellStyle name="Normal 35 4 2 3 2" xfId="42438" xr:uid="{8175C3BC-EA88-43DF-9987-829ABB56B1FA}"/>
    <cellStyle name="Normal 35 4 2 4" xfId="42439" xr:uid="{BF13231A-4EA5-401A-8610-7EC139C4C666}"/>
    <cellStyle name="Normal 35 4 3" xfId="42440" xr:uid="{392FBC6A-0814-4EE3-853E-0FEA6A7A40A6}"/>
    <cellStyle name="Normal 35 4 3 2" xfId="42441" xr:uid="{B3A513B9-0C8C-42DE-92D3-CD8E381C916E}"/>
    <cellStyle name="Normal 35 4 3 2 2" xfId="42442" xr:uid="{B9CED3E8-1649-47C8-A675-A48ECA28241A}"/>
    <cellStyle name="Normal 35 4 3 3" xfId="42443" xr:uid="{D74F9A08-670E-4D18-9A57-BF69E0D5A6CB}"/>
    <cellStyle name="Normal 35 4 3 3 2" xfId="42444" xr:uid="{7A6EBE0A-FAAB-4420-8107-602AFAE8116E}"/>
    <cellStyle name="Normal 35 4 3 4" xfId="42445" xr:uid="{6AB5AF6E-E870-4608-A131-FB50B54C7249}"/>
    <cellStyle name="Normal 35 4 4" xfId="42446" xr:uid="{7B29D705-75AA-4933-880F-EE24595C14F2}"/>
    <cellStyle name="Normal 35 4 5" xfId="42447" xr:uid="{7B52087A-3FA5-4205-9E61-550A68FA828E}"/>
    <cellStyle name="Normal 35 4 5 2" xfId="42448" xr:uid="{D7E4E35F-E8FA-4E55-90FE-8BBC7667CAFA}"/>
    <cellStyle name="Normal 35 4 6" xfId="42449" xr:uid="{4A254F6C-6EF0-4205-8A5D-6853E29F57E8}"/>
    <cellStyle name="Normal 35 4 6 2" xfId="42450" xr:uid="{9EA396EB-E906-4719-97A4-E10F53F0A2C1}"/>
    <cellStyle name="Normal 35 5" xfId="17757" xr:uid="{D39D2F79-A5BA-4CA3-8723-2C4B844EBB7B}"/>
    <cellStyle name="Normal 35 5 2" xfId="42451" xr:uid="{3F14C78F-4782-46A0-87F2-1E8AFE293A64}"/>
    <cellStyle name="Normal 35 5 2 2" xfId="42452" xr:uid="{5C1AD2E0-1A79-4648-9DF3-1AEDFAFEC3A3}"/>
    <cellStyle name="Normal 35 5 3" xfId="42453" xr:uid="{FBED36BC-3D22-42AC-A40B-174545B935BE}"/>
    <cellStyle name="Normal 35 5 3 2" xfId="42454" xr:uid="{0D307E9B-A595-4364-BFCB-8437BA3C6856}"/>
    <cellStyle name="Normal 35 5 4" xfId="42455" xr:uid="{899B7B4E-F58C-47CA-9FD7-CC19F52A21D4}"/>
    <cellStyle name="Normal 35 6" xfId="42456" xr:uid="{B0F76DCE-D9B8-4D0C-B028-F8831497F304}"/>
    <cellStyle name="Normal 35 6 2" xfId="42457" xr:uid="{570A90AB-2F7A-46E9-9AAA-D6662DF467E4}"/>
    <cellStyle name="Normal 35 6 2 2" xfId="42458" xr:uid="{E80A59CD-F898-41FC-9AE1-7396BCADBC2C}"/>
    <cellStyle name="Normal 35 6 3" xfId="42459" xr:uid="{87581E6B-E66A-41DE-866D-E1778917CEF8}"/>
    <cellStyle name="Normal 35 6 3 2" xfId="42460" xr:uid="{A8BE26CC-C227-4C80-93DF-1EB0DD453FCE}"/>
    <cellStyle name="Normal 35 6 4" xfId="42461" xr:uid="{AE905F8F-05C2-4233-823B-A3F0AFFD31CF}"/>
    <cellStyle name="Normal 35 7" xfId="42462" xr:uid="{CADE7D7F-C0F9-42F9-9A7F-6E6F7281E936}"/>
    <cellStyle name="Normal 35 8" xfId="42463" xr:uid="{787444FB-D580-4089-BF1D-C132C45E6898}"/>
    <cellStyle name="Normal 36" xfId="17758" xr:uid="{2C91BBD6-FBD6-454E-A7CE-1D4D8C386BD5}"/>
    <cellStyle name="Normal 36 2" xfId="17759" xr:uid="{B5120AC5-2A04-446B-9142-09035489E94D}"/>
    <cellStyle name="Normal 36 2 2" xfId="42464" xr:uid="{C4E45714-CC67-4E52-B22E-088432BB0CB9}"/>
    <cellStyle name="Normal 36 3" xfId="17760" xr:uid="{911508B5-0EA0-4F62-8FB2-DBB8551FA012}"/>
    <cellStyle name="Normal 36 3 2" xfId="42465" xr:uid="{A7BC6813-302B-423F-B4C9-EAA289EB85AC}"/>
    <cellStyle name="Normal 36 4" xfId="42466" xr:uid="{90AEA130-F691-4F59-BF67-F23F3B77470B}"/>
    <cellStyle name="Normal 37" xfId="17761" xr:uid="{62316E10-3AD3-44D8-AF5D-45B40335F89F}"/>
    <cellStyle name="Normal 37 2" xfId="17762" xr:uid="{50EB839A-5107-4D81-9E69-7B8798C6DCF4}"/>
    <cellStyle name="Normal 37 2 2" xfId="17763" xr:uid="{CE622AAA-8182-4586-82EC-E4E544F7A6A3}"/>
    <cellStyle name="Normal 37 2 2 2" xfId="42467" xr:uid="{A14FFB33-F908-4E03-80E5-5CC5AFD7F0F5}"/>
    <cellStyle name="Normal 37 2 3" xfId="42468" xr:uid="{806C5550-65DA-404F-98EE-D58C7979833B}"/>
    <cellStyle name="Normal 37 3" xfId="17764" xr:uid="{8398878D-FEF8-4A3E-A443-8907A1091951}"/>
    <cellStyle name="Normal 37 3 2" xfId="42469" xr:uid="{4E5A7975-5BD2-4BBB-867B-D3AD1AFDB64F}"/>
    <cellStyle name="Normal 37 4" xfId="42470" xr:uid="{27F67E77-DADA-438F-8AA4-F42B7DD72A52}"/>
    <cellStyle name="Normal 38" xfId="17765" xr:uid="{48457116-D4E0-4C66-80D0-DD5105762BCF}"/>
    <cellStyle name="Normal 38 2" xfId="17766" xr:uid="{62F726FB-9F12-42DA-A299-84F40EAF3E76}"/>
    <cellStyle name="Normal 38 2 2" xfId="17767" xr:uid="{7678CC0A-D32F-4D3C-8794-0D5CA78410AF}"/>
    <cellStyle name="Normal 38 2 2 2" xfId="42471" xr:uid="{378881F2-DED0-4E06-B299-DDCFD6A72947}"/>
    <cellStyle name="Normal 38 2 3" xfId="42472" xr:uid="{DADFDC20-2098-48E8-8CE2-D62A14DFE8DE}"/>
    <cellStyle name="Normal 38 3" xfId="17768" xr:uid="{903DEB15-CDB4-49FA-9879-596A6DA1B10D}"/>
    <cellStyle name="Normal 38 3 2" xfId="42473" xr:uid="{2A4AA1A1-709A-4043-A90E-4648DE4FAEE2}"/>
    <cellStyle name="Normal 38 4" xfId="42474" xr:uid="{76B092F4-3238-45F5-8674-7599350737C9}"/>
    <cellStyle name="Normal 39" xfId="17769" xr:uid="{8F0D8A90-2707-44BC-AD4F-613F3CC84728}"/>
    <cellStyle name="Normal 39 2" xfId="17770" xr:uid="{10B9D88D-411B-4533-AA53-94618F45BE46}"/>
    <cellStyle name="Normal 39 2 2" xfId="17771" xr:uid="{148D84C1-D29E-441B-A0A8-BA0A3EBD3EFD}"/>
    <cellStyle name="Normal 39 2 2 2" xfId="42475" xr:uid="{FB9B0DE9-B846-43D9-8DE6-92521CE010B3}"/>
    <cellStyle name="Normal 39 2 3" xfId="42476" xr:uid="{2B1A3694-5EB0-4C2F-8EB3-1B6F7BDF333A}"/>
    <cellStyle name="Normal 39 3" xfId="17772" xr:uid="{1B3B4920-6070-4A9B-B920-6EF1B6392EA2}"/>
    <cellStyle name="Normal 39 3 2" xfId="42477" xr:uid="{507D553F-4647-40E7-B8BA-0332AFBFF294}"/>
    <cellStyle name="Normal 39 4" xfId="17773" xr:uid="{984E2A34-0D66-4F1B-BF1B-F9F5952AA91F}"/>
    <cellStyle name="Normal 39 5" xfId="17774" xr:uid="{0D6A15CA-FA69-43D5-AD8C-08A3B738D677}"/>
    <cellStyle name="Normal 39 6" xfId="42478" xr:uid="{2D53228C-4967-45E0-B04B-8BE40588C37C}"/>
    <cellStyle name="Normal 4" xfId="25" xr:uid="{B697ADF7-9665-47A6-A433-57C5A4664A4C}"/>
    <cellStyle name="Normal 4 10" xfId="17775" xr:uid="{1368C365-667C-4C93-84FE-F9E6825D7836}"/>
    <cellStyle name="Normal 4 10 2" xfId="17776" xr:uid="{FEBFD3BF-ED93-44E1-BA51-79D39A671B5D}"/>
    <cellStyle name="Normal 4 10 2 2" xfId="42479" xr:uid="{B9404A70-6E58-402E-9D9F-4FD040C8C9CB}"/>
    <cellStyle name="Normal 4 10 3" xfId="17777" xr:uid="{91EEC69B-DEE2-45A0-90C2-DE1BEB5E133B}"/>
    <cellStyle name="Normal 4 10 3 2" xfId="42480" xr:uid="{40965517-DFE2-4094-A7E6-3746B017C701}"/>
    <cellStyle name="Normal 4 10 4" xfId="17778" xr:uid="{583439B2-F59A-4BF9-8F51-78DB2C88A4F1}"/>
    <cellStyle name="Normal 4 10 5" xfId="42481" xr:uid="{727DD3FB-D8FA-4054-B0B6-A2B0B60C36FE}"/>
    <cellStyle name="Normal 4 11" xfId="17779" xr:uid="{9B2E72B9-CB20-4B2E-B976-8212D828E52F}"/>
    <cellStyle name="Normal 4 11 2" xfId="17780" xr:uid="{62E5CAA7-BC5D-4862-95DF-25A6B6DCAFFE}"/>
    <cellStyle name="Normal 4 11 2 2" xfId="42482" xr:uid="{E7413B4C-D337-4D7C-8735-3C533B157CDF}"/>
    <cellStyle name="Normal 4 11 3" xfId="17781" xr:uid="{DA173CDE-F807-491E-9F6E-0F4F8A7A371C}"/>
    <cellStyle name="Normal 4 11 3 2" xfId="42483" xr:uid="{05F117E3-F78A-4935-B416-E40D4DBD1291}"/>
    <cellStyle name="Normal 4 11 4" xfId="17782" xr:uid="{A2BABC36-62F0-4E57-99E7-84B749BBCC0D}"/>
    <cellStyle name="Normal 4 11 5" xfId="42484" xr:uid="{45325513-2277-4306-AE01-51C21280C79E}"/>
    <cellStyle name="Normal 4 12" xfId="17783" xr:uid="{3E0236F8-BB8A-4D90-A54F-A02F231AD81C}"/>
    <cellStyle name="Normal 4 12 2" xfId="17784" xr:uid="{3A981A87-1643-425E-A5A0-3987BC09EDB1}"/>
    <cellStyle name="Normal 4 12 3" xfId="42485" xr:uid="{D75FE85F-3FA4-441F-801B-B64206E16AA2}"/>
    <cellStyle name="Normal 4 13" xfId="17785" xr:uid="{869FA1EA-CF90-47CF-B930-40A20906CD21}"/>
    <cellStyle name="Normal 4 13 2" xfId="17786" xr:uid="{AD96BD0A-5ACB-4084-B117-C4D761507D58}"/>
    <cellStyle name="Normal 4 13 3" xfId="42486" xr:uid="{60F672AF-AAF1-4C77-A48B-AF002C6C17C4}"/>
    <cellStyle name="Normal 4 14" xfId="17787" xr:uid="{9B3B9BB6-B37C-4ED9-8893-E6ADF120F2E6}"/>
    <cellStyle name="Normal 4 14 2" xfId="17788" xr:uid="{A51BF8B7-C448-4477-A982-EE0F1FC453EC}"/>
    <cellStyle name="Normal 4 14 3" xfId="42487" xr:uid="{DBE5F1E6-D693-401A-8BCD-440B65767823}"/>
    <cellStyle name="Normal 4 15" xfId="17789" xr:uid="{501F5BE4-E77B-438B-82C4-FF19EAC46CDE}"/>
    <cellStyle name="Normal 4 15 2" xfId="42488" xr:uid="{11D40CD1-6DBD-43D9-A78F-B6C6F95D323D}"/>
    <cellStyle name="Normal 4 15 3" xfId="42489" xr:uid="{F26E121C-5EAC-4065-8438-E463FD4D2F95}"/>
    <cellStyle name="Normal 4 16" xfId="17790" xr:uid="{9918ABEF-7E18-485E-B34B-ECCCA48C08F6}"/>
    <cellStyle name="Normal 4 17" xfId="17791" xr:uid="{CDB0A097-871B-4833-A07C-2E78E1E7A6AF}"/>
    <cellStyle name="Normal 4 18" xfId="17792" xr:uid="{A398472D-4D2C-4CC4-963A-A03B1E9A2D2A}"/>
    <cellStyle name="Normal 4 19" xfId="17793" xr:uid="{B581F2EB-E4E2-4E95-8DE9-1D33F6EFB439}"/>
    <cellStyle name="Normal 4 2" xfId="17794" xr:uid="{5FFD4B45-07CB-42C2-88BF-6D9A0E71BA6F}"/>
    <cellStyle name="Normal 4 2 2" xfId="17795" xr:uid="{73C895D8-49C7-4EE6-95F6-EAED901CFCD9}"/>
    <cellStyle name="Normal 4 2 2 2" xfId="17796" xr:uid="{4C61734E-A076-489C-8F4A-ED7E2EA91D5C}"/>
    <cellStyle name="Normal 4 2 2 2 2" xfId="17797" xr:uid="{F23C790F-CE3C-4163-B0DE-3D73D91302F1}"/>
    <cellStyle name="Normal 4 2 2 2 2 2" xfId="42490" xr:uid="{4D517A00-607E-478F-BE77-D00F3CB540AC}"/>
    <cellStyle name="Normal 4 2 2 2 3" xfId="17798" xr:uid="{886F52A5-642E-46C8-9DA2-163B887D498E}"/>
    <cellStyle name="Normal 4 2 2 2 3 2" xfId="42491" xr:uid="{C4F0396A-D61C-4BF5-9DF8-D2F4BE75F10C}"/>
    <cellStyle name="Normal 4 2 2 2 4" xfId="42492" xr:uid="{E12EE9B4-AFB4-41B1-9241-EE923200C036}"/>
    <cellStyle name="Normal 4 2 2 3" xfId="17799" xr:uid="{67612EAE-74BA-4445-9408-65A973023306}"/>
    <cellStyle name="Normal 4 2 2 3 2" xfId="42493" xr:uid="{77B05267-7999-4C93-93E1-7142D004DF37}"/>
    <cellStyle name="Normal 4 2 2 4" xfId="17800" xr:uid="{EE8A24ED-AB85-4E07-AAEB-5E438177D98F}"/>
    <cellStyle name="Normal 4 2 2 4 2" xfId="42494" xr:uid="{B69E4633-BAE1-4570-9AE5-20BE5EA21AB4}"/>
    <cellStyle name="Normal 4 2 2 5" xfId="17801" xr:uid="{1B9FB46E-A049-44FD-870C-9033321F5BAD}"/>
    <cellStyle name="Normal 4 2 2 6" xfId="42495" xr:uid="{00FBDCD3-BDB3-402D-89A6-1B18871D7F9E}"/>
    <cellStyle name="Normal 4 2 3" xfId="17802" xr:uid="{F2419B52-481D-4755-BDBC-83B07FDCF3D1}"/>
    <cellStyle name="Normal 4 2 3 2" xfId="17803" xr:uid="{A22A0FFC-5E10-448F-920F-3507DE536167}"/>
    <cellStyle name="Normal 4 2 3 2 2" xfId="42496" xr:uid="{A1E08446-189A-45BB-97D4-B7A0E0098D4D}"/>
    <cellStyle name="Normal 4 2 3 3" xfId="17804" xr:uid="{32509186-D68C-4C6C-B0C4-A8810AC298F6}"/>
    <cellStyle name="Normal 4 2 3 3 2" xfId="42497" xr:uid="{C83D384D-39E7-47A6-94A1-62AACA8ED754}"/>
    <cellStyle name="Normal 4 2 3 4" xfId="42498" xr:uid="{FBCD8A4C-B69A-4D25-B0FD-5093D0E88DAA}"/>
    <cellStyle name="Normal 4 2 4" xfId="17805" xr:uid="{8CD81FD9-3BAF-45E9-BAF6-0D91F6E804CF}"/>
    <cellStyle name="Normal 4 2 4 2" xfId="42499" xr:uid="{DDB61219-7EF9-4789-86D4-674EDA1B9AA8}"/>
    <cellStyle name="Normal 4 2 5" xfId="17806" xr:uid="{C6D2E03B-0599-4E7F-91AA-B9FEC9B441C8}"/>
    <cellStyle name="Normal 4 2 5 2" xfId="42500" xr:uid="{B000399A-5D17-4072-8692-4CD9AF91C61A}"/>
    <cellStyle name="Normal 4 2 6" xfId="42501" xr:uid="{0F54AFA6-A6A9-479A-A206-5C8215778723}"/>
    <cellStyle name="Normal 4 2 7" xfId="43519" xr:uid="{FB2D4B44-CC82-442E-B19E-F2F1F6637480}"/>
    <cellStyle name="Normal 4 20" xfId="42502" xr:uid="{7228B1C0-71DB-45C0-8A64-DB96D91772DB}"/>
    <cellStyle name="Normal 4 21" xfId="43487" xr:uid="{6E402DF0-0ACB-4A97-8A3B-E1042E66A7E3}"/>
    <cellStyle name="Normal 4 22" xfId="43618" xr:uid="{A7C12BBC-E604-4DE0-A49A-1B1A49556893}"/>
    <cellStyle name="Normal 4 22 2" xfId="56" xr:uid="{F9CE5AA6-8F32-4710-BE7E-7C7AB769A92B}"/>
    <cellStyle name="Normal 4 23" xfId="212" xr:uid="{9B730598-AAC1-4743-962E-ACD2ACEA30AA}"/>
    <cellStyle name="Normal 4 3" xfId="17807" xr:uid="{1C30CD78-C63C-456A-A0FA-E3E8335989F5}"/>
    <cellStyle name="Normal 4 3 2" xfId="17808" xr:uid="{4DA7D054-27A2-4881-8826-F0286B0F454C}"/>
    <cellStyle name="Normal 4 3 2 2" xfId="17809" xr:uid="{39AB6F63-C201-4588-B871-884948944B66}"/>
    <cellStyle name="Normal 4 3 2 2 2" xfId="42503" xr:uid="{3B1CA1AB-1B65-4016-99E6-9B1ED594D986}"/>
    <cellStyle name="Normal 4 3 2 3" xfId="17810" xr:uid="{A3EBAC5F-7F68-4F66-9B51-46C2FA2E5397}"/>
    <cellStyle name="Normal 4 3 2 3 2" xfId="42504" xr:uid="{85BBDBAD-AF24-441B-9F59-7866E30C95E6}"/>
    <cellStyle name="Normal 4 3 2 4" xfId="42505" xr:uid="{017ED41E-2934-410E-82B1-240035E09A0E}"/>
    <cellStyle name="Normal 4 3 3" xfId="17811" xr:uid="{57B93AD0-98F8-4602-8CAA-723EFD525611}"/>
    <cellStyle name="Normal 4 3 3 2" xfId="42506" xr:uid="{EDD918D8-937A-42A7-8389-A10D6E73CCAB}"/>
    <cellStyle name="Normal 4 3 4" xfId="17812" xr:uid="{E899302B-0951-4FBA-8D2F-BAEF63B58D77}"/>
    <cellStyle name="Normal 4 3 4 2" xfId="42507" xr:uid="{288E0B77-5890-4C25-919A-66215FF8775A}"/>
    <cellStyle name="Normal 4 3 5" xfId="17813" xr:uid="{E0AD05D9-B4F6-4DDE-8385-75E0892F73E0}"/>
    <cellStyle name="Normal 4 3 6" xfId="17814" xr:uid="{53413D61-455A-44B8-A0A2-9C11FAF44334}"/>
    <cellStyle name="Normal 4 3 7" xfId="42508" xr:uid="{38D2F5A7-4AB5-4BE6-9A63-CA262D979D1D}"/>
    <cellStyle name="Normal 4 4" xfId="17815" xr:uid="{BDD01E04-B432-4713-A48A-B3A21ABBE802}"/>
    <cellStyle name="Normal 4 4 2" xfId="17816" xr:uid="{195189DC-4D38-423B-B498-664E47846A6B}"/>
    <cellStyle name="Normal 4 4 2 2" xfId="17817" xr:uid="{9637AB63-0C79-4786-B699-5A8E944B4690}"/>
    <cellStyle name="Normal 4 4 2 2 2" xfId="42509" xr:uid="{C977784E-F464-44AF-8783-55681DDE743E}"/>
    <cellStyle name="Normal 4 4 2 3" xfId="17818" xr:uid="{AA2D8BA7-81C6-41A0-A77D-69C512577FB4}"/>
    <cellStyle name="Normal 4 4 2 3 2" xfId="42510" xr:uid="{BADD9C3D-4A51-439D-BD31-CE05B349D26F}"/>
    <cellStyle name="Normal 4 4 2 4" xfId="42511" xr:uid="{F62EF733-22E4-46C3-856E-9ACFF0E56A12}"/>
    <cellStyle name="Normal 4 4 3" xfId="17819" xr:uid="{42C82F61-93DF-49A3-A527-6FE0EFD35ED4}"/>
    <cellStyle name="Normal 4 4 3 2" xfId="42512" xr:uid="{07157DAD-1D7F-4C7C-97FF-1EACF207735A}"/>
    <cellStyle name="Normal 4 4 4" xfId="17820" xr:uid="{884E587E-0484-4462-9CEB-6A528143502B}"/>
    <cellStyle name="Normal 4 4 4 2" xfId="42513" xr:uid="{85963808-6B12-4FD1-A760-07FF6E771398}"/>
    <cellStyle name="Normal 4 4 5" xfId="17821" xr:uid="{E11E452A-AF27-44B8-ACD3-227A4C60E52B}"/>
    <cellStyle name="Normal 4 4 6" xfId="42514" xr:uid="{708C62C1-45CC-454F-9828-1E528C45FBCE}"/>
    <cellStyle name="Normal 4 5" xfId="17822" xr:uid="{E02B9B90-12A3-4C53-BB9A-023F38DA63A4}"/>
    <cellStyle name="Normal 4 5 2" xfId="17823" xr:uid="{605FEA49-1824-47DB-964D-F5E35188D070}"/>
    <cellStyle name="Normal 4 5 2 2" xfId="17824" xr:uid="{924317F0-AA95-43B4-BCE6-C97358E66C14}"/>
    <cellStyle name="Normal 4 5 2 2 2" xfId="42515" xr:uid="{EF35F7C6-C325-4BE2-837B-9A3C2C60800B}"/>
    <cellStyle name="Normal 4 5 2 3" xfId="17825" xr:uid="{9C3AFC6C-232A-4824-993D-0B4F9C3D3480}"/>
    <cellStyle name="Normal 4 5 2 3 2" xfId="42516" xr:uid="{CB84C2A4-807E-4C0C-9DB7-32F3BB3A59E7}"/>
    <cellStyle name="Normal 4 5 2 4" xfId="42517" xr:uid="{AB044C44-0389-4A2B-A70E-21E03D33508D}"/>
    <cellStyle name="Normal 4 5 3" xfId="17826" xr:uid="{E2ADBC70-C359-4348-A1CE-55F7EB6C8BBF}"/>
    <cellStyle name="Normal 4 5 3 2" xfId="42518" xr:uid="{EA352A49-8218-4EED-AF24-F7FEDD156FFB}"/>
    <cellStyle name="Normal 4 5 4" xfId="17827" xr:uid="{1E78ED15-E141-494B-8424-E04C172E1F5D}"/>
    <cellStyle name="Normal 4 5 4 2" xfId="42519" xr:uid="{C9F0C04E-9BFE-4734-B92B-2BC89EB5727E}"/>
    <cellStyle name="Normal 4 5 5" xfId="17828" xr:uid="{BAC85FF8-153D-49B8-AC69-6278C3B970EF}"/>
    <cellStyle name="Normal 4 5 6" xfId="42520" xr:uid="{6F88EA1A-90AE-4455-BD77-69A87AC4B14E}"/>
    <cellStyle name="Normal 4 6" xfId="17829" xr:uid="{EF96AAA6-95D8-4317-AD73-5C73285A6F2B}"/>
    <cellStyle name="Normal 4 6 2" xfId="17830" xr:uid="{88EFBF24-6D38-4A0E-9524-70814C169E95}"/>
    <cellStyle name="Normal 4 6 2 2" xfId="17831" xr:uid="{903D9E9D-E40B-4A12-A034-1747DA7F3977}"/>
    <cellStyle name="Normal 4 6 2 2 2" xfId="42521" xr:uid="{E7D1DCBD-8DAA-400B-A826-9B8EE205003A}"/>
    <cellStyle name="Normal 4 6 2 3" xfId="17832" xr:uid="{5B403C2E-E288-423F-BF3A-F9624A51FFC9}"/>
    <cellStyle name="Normal 4 6 2 3 2" xfId="42522" xr:uid="{0786E242-0698-465F-A473-04F4E8183EF3}"/>
    <cellStyle name="Normal 4 6 2 4" xfId="42523" xr:uid="{61BBC8AD-0B52-414A-879F-85FB9518EADD}"/>
    <cellStyle name="Normal 4 6 3" xfId="17833" xr:uid="{23095F28-B8C0-4E00-B300-486434F25941}"/>
    <cellStyle name="Normal 4 6 3 2" xfId="42524" xr:uid="{02285046-5274-40D2-9F60-F51B28BB7066}"/>
    <cellStyle name="Normal 4 6 4" xfId="17834" xr:uid="{A786B632-71ED-4A75-92F2-130E359437C1}"/>
    <cellStyle name="Normal 4 6 4 2" xfId="42525" xr:uid="{3A9ACD10-9694-4E3F-97AC-F20A41E60353}"/>
    <cellStyle name="Normal 4 6 5" xfId="17835" xr:uid="{9EB76F09-FF93-4410-B4A0-452278431907}"/>
    <cellStyle name="Normal 4 6 6" xfId="17836" xr:uid="{38BA12F8-62AD-409A-A3FF-6F89E65B6E52}"/>
    <cellStyle name="Normal 4 6 7" xfId="42526" xr:uid="{D94672A5-9706-4C56-88BA-56751C42F771}"/>
    <cellStyle name="Normal 4 7" xfId="17837" xr:uid="{9A7DA1AA-27F7-4FD7-82C6-D5E814A00275}"/>
    <cellStyle name="Normal 4 7 2" xfId="17838" xr:uid="{A90B1C01-3531-449E-8F8A-D65D8D178652}"/>
    <cellStyle name="Normal 4 7 2 2" xfId="17839" xr:uid="{795FB3C8-8E35-4146-AB27-075082259C6D}"/>
    <cellStyle name="Normal 4 7 2 2 2" xfId="42527" xr:uid="{0F53E23D-6B5D-4714-A421-883AA16D3C32}"/>
    <cellStyle name="Normal 4 7 2 3" xfId="17840" xr:uid="{5B4BFD81-F63C-4A8F-BD3C-5C6A122FAFDC}"/>
    <cellStyle name="Normal 4 7 2 3 2" xfId="42528" xr:uid="{CB52902D-47CD-4EC8-A0AD-4D611D60B901}"/>
    <cellStyle name="Normal 4 7 2 4" xfId="42529" xr:uid="{83A9FF35-997C-4422-AD5B-E5F45BD201C0}"/>
    <cellStyle name="Normal 4 7 3" xfId="17841" xr:uid="{5AFCC91F-1997-40D5-A4BB-6F61A1BB89F1}"/>
    <cellStyle name="Normal 4 7 3 2" xfId="42530" xr:uid="{42383037-30DB-4A49-98E9-90B5E42EE4A2}"/>
    <cellStyle name="Normal 4 7 4" xfId="17842" xr:uid="{4F4CDC6B-3D6A-4037-8618-7846B809F587}"/>
    <cellStyle name="Normal 4 7 4 2" xfId="42531" xr:uid="{8C9F5B25-FF3C-46FD-A02E-75831293BCE7}"/>
    <cellStyle name="Normal 4 7 5" xfId="17843" xr:uid="{F5FB0499-4382-4EB7-B91F-CF0A5589B369}"/>
    <cellStyle name="Normal 4 7 6" xfId="17844" xr:uid="{8C3711E1-F635-48AC-B562-C283E1BF9717}"/>
    <cellStyle name="Normal 4 7 7" xfId="42532" xr:uid="{A4BD6022-CF06-46B5-8F0A-EDB5636E4617}"/>
    <cellStyle name="Normal 4 8" xfId="17845" xr:uid="{01C236CF-5AD2-4810-8A3E-7552E1095D20}"/>
    <cellStyle name="Normal 4 8 2" xfId="17846" xr:uid="{6507C4E9-BC6C-4759-9A99-10B25ECE3E08}"/>
    <cellStyle name="Normal 4 8 2 2" xfId="17847" xr:uid="{E5484DB7-9F88-4DF0-A481-94424646652C}"/>
    <cellStyle name="Normal 4 8 2 2 2" xfId="42533" xr:uid="{E388A9C5-81F8-4BEE-9056-A670F155B334}"/>
    <cellStyle name="Normal 4 8 2 3" xfId="17848" xr:uid="{3B4BEBAF-C283-4E46-A70F-1991DE16EE45}"/>
    <cellStyle name="Normal 4 8 2 3 2" xfId="42534" xr:uid="{0B60D37B-0C54-4250-ACF1-10BE3353BBE0}"/>
    <cellStyle name="Normal 4 8 2 4" xfId="42535" xr:uid="{61F838AF-BC96-4D47-8CD7-A316664CCEAB}"/>
    <cellStyle name="Normal 4 8 3" xfId="17849" xr:uid="{2FC86428-A159-4CAF-83BD-5152EE91B43A}"/>
    <cellStyle name="Normal 4 8 3 2" xfId="42536" xr:uid="{36FAAF2A-A91F-4C29-AD8C-CBAACFF510F2}"/>
    <cellStyle name="Normal 4 8 4" xfId="17850" xr:uid="{ADCE26D3-B521-48EE-AAF7-9D8121E994D9}"/>
    <cellStyle name="Normal 4 8 4 2" xfId="42537" xr:uid="{3E17FBC0-2B30-45C3-81E7-1FB92DE01AB9}"/>
    <cellStyle name="Normal 4 8 5" xfId="17851" xr:uid="{44E4685B-BE53-4F9E-A854-8120D384939B}"/>
    <cellStyle name="Normal 4 9" xfId="17852" xr:uid="{3106AB7C-9C4D-4CB3-83EA-D1B3D15A2174}"/>
    <cellStyle name="Normal 4 9 2" xfId="17853" xr:uid="{F2D8B8D3-5A08-4B6B-B1F1-E55422C09F11}"/>
    <cellStyle name="Normal 4 9 2 2" xfId="17854" xr:uid="{225A38F3-9609-4FDA-A311-6F8CB4B171A0}"/>
    <cellStyle name="Normal 4 9 2 2 2" xfId="42538" xr:uid="{521530C8-8D3F-4721-9C70-CE2E8D85D3B7}"/>
    <cellStyle name="Normal 4 9 2 3" xfId="17855" xr:uid="{AAB5D17E-E74C-43A1-B89D-9B5B8E827465}"/>
    <cellStyle name="Normal 4 9 2 3 2" xfId="42539" xr:uid="{2E63A561-07EA-44EB-8E75-84ABC79A10D0}"/>
    <cellStyle name="Normal 4 9 2 4" xfId="42540" xr:uid="{810CC843-65F0-4504-BD3B-90C7CBF9A4A4}"/>
    <cellStyle name="Normal 4 9 3" xfId="17856" xr:uid="{DD37C0E3-D708-4D18-88F4-4CB4DA9169D5}"/>
    <cellStyle name="Normal 4 9 3 2" xfId="42541" xr:uid="{CCCC0495-473F-47D7-BE80-E8D4FED12B8C}"/>
    <cellStyle name="Normal 4 9 4" xfId="17857" xr:uid="{67A2E7F2-E747-4424-90E3-924F03E3C1EF}"/>
    <cellStyle name="Normal 4 9 4 2" xfId="42542" xr:uid="{D4F585A7-E2D8-4CBE-BC38-04BAF2A7C40E}"/>
    <cellStyle name="Normal 4 9 5" xfId="17858" xr:uid="{B7E710D3-A9C3-4669-AF1A-13786394E4C1}"/>
    <cellStyle name="Normal 4_12.31.2009 Sev TBBS # 82 (version 2)" xfId="17859" xr:uid="{1D8A3506-1F29-40AB-94E9-D31466652BA2}"/>
    <cellStyle name="Normal 40" xfId="17860" xr:uid="{BFD8F688-1E88-4CC7-96CD-D50A9CDC73A9}"/>
    <cellStyle name="Normal 40 2" xfId="17861" xr:uid="{5071B42F-F2E8-402A-933A-D8DCCB1A8811}"/>
    <cellStyle name="Normal 40 2 2" xfId="17862" xr:uid="{07C1EC1F-DCC9-468E-89C5-FF4AB45DE835}"/>
    <cellStyle name="Normal 40 2 2 2" xfId="42543" xr:uid="{F8AEA580-1467-4C85-A588-C71308174114}"/>
    <cellStyle name="Normal 40 2 3" xfId="42544" xr:uid="{440AE593-1475-45F4-8ABF-DC5A286A5B65}"/>
    <cellStyle name="Normal 40 2 4" xfId="42545" xr:uid="{5D90A7B1-4DD5-424B-A69A-62A2F680E58F}"/>
    <cellStyle name="Normal 40 3" xfId="17863" xr:uid="{49531182-825F-48AA-8BFE-AC299A5799A2}"/>
    <cellStyle name="Normal 40 3 2" xfId="42546" xr:uid="{A6FB0CC9-8AF2-4C5E-B487-C15A4106C2D5}"/>
    <cellStyle name="Normal 40 4" xfId="17864" xr:uid="{431F20E4-DF0B-44B5-B8AD-7A8F45A1A8A6}"/>
    <cellStyle name="Normal 40 5" xfId="17865" xr:uid="{7D73A3B7-932B-43E0-B01A-72FB97897A59}"/>
    <cellStyle name="Normal 40 6" xfId="17866" xr:uid="{F6B375B5-6AA8-4020-9FC9-A8FEED6BD470}"/>
    <cellStyle name="Normal 40 7" xfId="17867" xr:uid="{3FA641D4-50E8-440A-BF3C-929310938217}"/>
    <cellStyle name="Normal 41" xfId="17868" xr:uid="{2DB1FF51-BB04-453E-BEE0-EA8E4BFCD8D3}"/>
    <cellStyle name="Normal 41 2" xfId="17869" xr:uid="{953D9379-512B-409B-801B-26E5578A249B}"/>
    <cellStyle name="Normal 41 2 2" xfId="17870" xr:uid="{EA26BC90-197E-456C-860A-ED07EC1FC11E}"/>
    <cellStyle name="Normal 41 3" xfId="17871" xr:uid="{3BB7D927-C784-4F98-9E09-0C6E96C685CF}"/>
    <cellStyle name="Normal 41 4" xfId="42547" xr:uid="{DE496763-6294-4D07-8CD6-F51047750844}"/>
    <cellStyle name="Normal 42" xfId="17872" xr:uid="{F2BBFE45-D9ED-4C90-8CED-65BE74F573CB}"/>
    <cellStyle name="Normal 42 2" xfId="17873" xr:uid="{07EC7C58-8B13-4093-B55C-0A4467BA5486}"/>
    <cellStyle name="Normal 42 2 2" xfId="17874" xr:uid="{2F78DDEB-E347-40F2-B1D3-EC20025B3FAF}"/>
    <cellStyle name="Normal 42 2 2 2" xfId="17875" xr:uid="{CDDE76B5-BB97-4F59-BC51-9767377D4F23}"/>
    <cellStyle name="Normal 42 2 2 2 2" xfId="17876" xr:uid="{31A40B7A-8BCC-4235-B46F-A6E3F6455634}"/>
    <cellStyle name="Normal 42 2 2 2 3" xfId="17877" xr:uid="{A5E36E65-44B2-40FA-8DC1-AC772D67783E}"/>
    <cellStyle name="Normal 42 2 2 3" xfId="17878" xr:uid="{F69D9F24-3B48-4B0B-AE52-3A6B25CAE3D9}"/>
    <cellStyle name="Normal 42 2 2 3 2" xfId="42548" xr:uid="{B64B4DC7-2DF5-41F0-BE8B-D50F07EDB8D0}"/>
    <cellStyle name="Normal 42 2 2 4" xfId="17879" xr:uid="{66AB8796-A2B2-43A7-A328-90FEB5DD6D69}"/>
    <cellStyle name="Normal 42 2 3" xfId="17880" xr:uid="{8AB9F889-A0C5-4C2A-8E34-B5EFDF332D77}"/>
    <cellStyle name="Normal 42 2 3 2" xfId="17881" xr:uid="{AE083D6E-7643-47BD-AF6F-64DF4ADC8BBD}"/>
    <cellStyle name="Normal 42 2 3 3" xfId="17882" xr:uid="{BB310CE8-2803-4FE4-9705-C999369AE3F3}"/>
    <cellStyle name="Normal 42 2 4" xfId="17883" xr:uid="{46C00E75-7028-4F33-A022-D08FDC5B672D}"/>
    <cellStyle name="Normal 42 2 4 2" xfId="42549" xr:uid="{3A56BF61-CC61-44D2-AA08-099F4C392C09}"/>
    <cellStyle name="Normal 42 2 4 2 2" xfId="42550" xr:uid="{044073DB-75CC-43CE-B536-91135668FA47}"/>
    <cellStyle name="Normal 42 2 4 3" xfId="42551" xr:uid="{F31CD1B5-D3E9-449E-8A01-BECF3A35AB5D}"/>
    <cellStyle name="Normal 42 2 4 3 2" xfId="42552" xr:uid="{28158ACE-3E13-44F7-A063-66C13355A047}"/>
    <cellStyle name="Normal 42 2 4 4" xfId="42553" xr:uid="{B11AF2D8-64C2-419D-97A1-7F4E42040A3C}"/>
    <cellStyle name="Normal 42 2 5" xfId="17884" xr:uid="{B153E8D0-A047-476B-A42F-53B5537D89FB}"/>
    <cellStyle name="Normal 42 2 6" xfId="17885" xr:uid="{E8810D41-411E-42D5-B675-F40DD65B5FBA}"/>
    <cellStyle name="Normal 42 2 7" xfId="42554" xr:uid="{655DAC24-7CBD-4078-AAF3-038871961536}"/>
    <cellStyle name="Normal 42 3" xfId="17886" xr:uid="{2274F078-0926-430F-B8CD-42572E4D35FC}"/>
    <cellStyle name="Normal 42 3 2" xfId="17887" xr:uid="{0B844E78-D542-44FA-934E-72B7879C44C4}"/>
    <cellStyle name="Normal 42 3 2 2" xfId="17888" xr:uid="{506E1051-F635-4F2F-A873-5CAA938F030C}"/>
    <cellStyle name="Normal 42 3 2 3" xfId="17889" xr:uid="{FD709D25-A997-47F2-BF8C-BE43E7547EE4}"/>
    <cellStyle name="Normal 42 3 3" xfId="17890" xr:uid="{AED449D2-2966-448E-BC1D-5EFD9D850A05}"/>
    <cellStyle name="Normal 42 3 3 2" xfId="42555" xr:uid="{50DD0F5D-D814-41CD-BBD5-B591CB4CC9F4}"/>
    <cellStyle name="Normal 42 3 4" xfId="17891" xr:uid="{B93D1FE8-475D-4EE1-9167-FDED5BA7E724}"/>
    <cellStyle name="Normal 42 4" xfId="17892" xr:uid="{364D3501-CC3F-43A7-AC50-1474A75A19D5}"/>
    <cellStyle name="Normal 42 4 2" xfId="17893" xr:uid="{7220C8F6-2E1F-4A66-A5D6-8A6A75F26345}"/>
    <cellStyle name="Normal 42 4 3" xfId="17894" xr:uid="{D65885A0-B968-4F79-8733-D058CF0FB2DA}"/>
    <cellStyle name="Normal 42 5" xfId="17895" xr:uid="{CA172C97-BD51-4EFE-BAEE-D4E5D8D0D15B}"/>
    <cellStyle name="Normal 42 5 2" xfId="42556" xr:uid="{9B074542-1097-4BC5-A7DE-928680B3C9B2}"/>
    <cellStyle name="Normal 42 5 2 2" xfId="42557" xr:uid="{D08A80DF-CC48-4C3A-A8C5-C3EC64ED0826}"/>
    <cellStyle name="Normal 42 5 3" xfId="42558" xr:uid="{A68F9E86-0F02-4D14-A153-0AEF403D73E7}"/>
    <cellStyle name="Normal 42 5 3 2" xfId="42559" xr:uid="{30108F33-3D42-410C-9530-AC2482992F68}"/>
    <cellStyle name="Normal 42 5 4" xfId="42560" xr:uid="{66B2ED08-EA60-4B89-BE87-BB3D2F9CD96A}"/>
    <cellStyle name="Normal 42 6" xfId="42561" xr:uid="{E7BF624E-C59A-41C4-BC91-3BA3FEE10A0B}"/>
    <cellStyle name="Normal 43" xfId="17896" xr:uid="{79272C65-27C9-480D-92DF-E21353893260}"/>
    <cellStyle name="Normal 43 2" xfId="17897" xr:uid="{ACFB49F7-37BF-45EC-BD32-EDEDC43F0EC9}"/>
    <cellStyle name="Normal 43 2 2" xfId="17898" xr:uid="{89B9C273-59CC-4239-8A5D-90B82231A571}"/>
    <cellStyle name="Normal 43 2 2 2" xfId="17899" xr:uid="{D1FB6C5E-9A7F-4BDD-ABD8-6C78B6D33520}"/>
    <cellStyle name="Normal 43 2 2 2 2" xfId="42562" xr:uid="{D9F7F80C-9B0E-42D6-AFF9-2C7A3600E36D}"/>
    <cellStyle name="Normal 43 2 2 3" xfId="17900" xr:uid="{B70A0D27-2895-4498-ABFC-7DCD361A38C3}"/>
    <cellStyle name="Normal 43 2 2 3 2" xfId="42563" xr:uid="{8332D0F2-0288-42C1-8B82-7C6DD8019552}"/>
    <cellStyle name="Normal 43 2 2 4" xfId="42564" xr:uid="{CABF1D2D-3DB0-4F99-AF57-C88A071D22F7}"/>
    <cellStyle name="Normal 43 2 3" xfId="17901" xr:uid="{C1E8015F-C4ED-4CA9-AE07-2EAE8F0F367F}"/>
    <cellStyle name="Normal 43 2 3 2" xfId="42565" xr:uid="{727F8CDD-4703-4893-A22C-0662317C4C77}"/>
    <cellStyle name="Normal 43 2 4" xfId="42566" xr:uid="{FF3788AD-0B4A-4430-9C02-69E457569ADF}"/>
    <cellStyle name="Normal 43 2 4 2" xfId="42567" xr:uid="{B9802731-927D-4696-A109-79D8224E73CF}"/>
    <cellStyle name="Normal 43 2 4 2 2" xfId="42568" xr:uid="{FFE01B2E-EE8A-4F69-AA34-C5D83A29CA98}"/>
    <cellStyle name="Normal 43 2 4 3" xfId="42569" xr:uid="{EDF65CD0-6B37-42EE-B9B8-552DCF923C34}"/>
    <cellStyle name="Normal 43 2 4 3 2" xfId="42570" xr:uid="{22095A34-3CF9-4330-8402-9CD1CB95743F}"/>
    <cellStyle name="Normal 43 2 4 4" xfId="42571" xr:uid="{0BEF9BF5-5D1D-40D2-BB53-D15C86FB418B}"/>
    <cellStyle name="Normal 43 2 5" xfId="42572" xr:uid="{C27CCCF9-7608-460D-BAED-6D640AA0C84B}"/>
    <cellStyle name="Normal 43 3" xfId="17902" xr:uid="{EDA43CF6-BC49-47A6-9595-975C54AF6E4B}"/>
    <cellStyle name="Normal 43 3 2" xfId="17903" xr:uid="{FE3A0CB5-DCF3-446B-8F86-24DDF16ED697}"/>
    <cellStyle name="Normal 43 3 2 2" xfId="42573" xr:uid="{16A04AC7-87EF-40DB-AA42-2894C9C8EA33}"/>
    <cellStyle name="Normal 43 3 3" xfId="17904" xr:uid="{34B36332-21E8-4FC1-AEB5-E822A5B41B79}"/>
    <cellStyle name="Normal 43 3 3 2" xfId="42574" xr:uid="{0681404A-0055-4ADD-9FFA-9980ABDCA3A8}"/>
    <cellStyle name="Normal 43 3 4" xfId="42575" xr:uid="{502AB19A-1691-4031-9850-2EEBE3AD8931}"/>
    <cellStyle name="Normal 43 4" xfId="17905" xr:uid="{7D37835A-F98A-4F3D-B238-E69758688149}"/>
    <cellStyle name="Normal 43 4 2" xfId="42576" xr:uid="{38F33455-8B16-4631-A44A-4D75E8A07867}"/>
    <cellStyle name="Normal 43 5" xfId="42577" xr:uid="{12D64569-EBE9-46E4-A595-929EE17C1811}"/>
    <cellStyle name="Normal 43 5 2" xfId="42578" xr:uid="{7D6A1254-2E0B-4AAD-A2B5-E1E5F1055D26}"/>
    <cellStyle name="Normal 43 5 2 2" xfId="42579" xr:uid="{6FEDC40E-259F-4B77-9E3B-734EF6D4283E}"/>
    <cellStyle name="Normal 43 5 3" xfId="42580" xr:uid="{0169AE29-7FD8-4A76-A3A1-D63F31BE1CB5}"/>
    <cellStyle name="Normal 43 5 3 2" xfId="42581" xr:uid="{1ECDFDB0-5F0B-482D-9EA4-ADD5319173B4}"/>
    <cellStyle name="Normal 43 5 4" xfId="42582" xr:uid="{8DD5F9DE-8712-40E5-B477-03241EB5E643}"/>
    <cellStyle name="Normal 43 6" xfId="42583" xr:uid="{2F488F8F-EA88-430B-8DB1-1FBA64A1A8E1}"/>
    <cellStyle name="Normal 43 7" xfId="42584" xr:uid="{CBBE042B-A625-4D0C-B7D6-0DDB9756F0F8}"/>
    <cellStyle name="Normal 44" xfId="17906" xr:uid="{7BD293BB-252D-4B13-9FCA-4631843BDA18}"/>
    <cellStyle name="Normal 44 2" xfId="17907" xr:uid="{921D03D4-F477-49E4-9BAC-A7122B838FE1}"/>
    <cellStyle name="Normal 44 2 2" xfId="17908" xr:uid="{CDEDE724-9CC3-4803-98C8-264638ACE133}"/>
    <cellStyle name="Normal 44 3" xfId="17909" xr:uid="{98ACA8A1-B1E9-4D3C-9DD3-209D3434964B}"/>
    <cellStyle name="Normal 44 3 2" xfId="42585" xr:uid="{553B0293-278E-4947-90D2-52C05A3B2AE8}"/>
    <cellStyle name="Normal 44 3 2 2" xfId="42586" xr:uid="{480D96EE-E979-4383-999B-4B2CFE0776C7}"/>
    <cellStyle name="Normal 44 3 3" xfId="42587" xr:uid="{CAE1E759-7F77-481B-9B71-8F5CBF04624B}"/>
    <cellStyle name="Normal 44 3 3 2" xfId="42588" xr:uid="{B12DE14D-09E7-4FFE-8113-EF28AAD8E10C}"/>
    <cellStyle name="Normal 44 3 4" xfId="42589" xr:uid="{CF366FFC-145D-4DB5-B64B-9A7EB0D2C792}"/>
    <cellStyle name="Normal 44 4" xfId="42590" xr:uid="{1798262E-7724-4F0C-888D-14519349DB4F}"/>
    <cellStyle name="Normal 44 5" xfId="42591" xr:uid="{EA9930A1-ADE0-45FE-95EC-925069829AB8}"/>
    <cellStyle name="Normal 45" xfId="17910" xr:uid="{139AD308-992B-467E-BFB6-FCA5466500EA}"/>
    <cellStyle name="Normal 45 2" xfId="245" xr:uid="{13D39821-FD3F-4E2F-8845-EE42D4F27ADA}"/>
    <cellStyle name="Normal 45 2 2" xfId="17911" xr:uid="{A281CB5B-2E3D-47B3-8C50-36A6E9711FE1}"/>
    <cellStyle name="Normal 45 3" xfId="17912" xr:uid="{9E2C42EF-1AB9-4266-A8C6-A78AA2E9353D}"/>
    <cellStyle name="Normal 45 3 2" xfId="17913" xr:uid="{55764852-8250-4B2B-9B46-A7DA6F7A5570}"/>
    <cellStyle name="Normal 45 3 2 2" xfId="42592" xr:uid="{35EBEC36-FE61-4F65-96AF-2F5B154A4429}"/>
    <cellStyle name="Normal 45 3 3" xfId="17914" xr:uid="{647954E0-9A95-4669-9B75-F78C7E6DBC73}"/>
    <cellStyle name="Normal 45 3 3 2" xfId="42593" xr:uid="{9C822539-01AA-4067-A84B-BE76186C3D77}"/>
    <cellStyle name="Normal 45 3 4" xfId="42594" xr:uid="{844ACADD-066D-42A6-A2A0-E6CF79835E99}"/>
    <cellStyle name="Normal 45 4" xfId="17915" xr:uid="{B73C7624-D209-4423-AC43-73A0DE1E0964}"/>
    <cellStyle name="Normal 45 4 2" xfId="17916" xr:uid="{9666823B-7651-4AF1-B03F-97C96A494412}"/>
    <cellStyle name="Normal 45 4 2 2" xfId="42595" xr:uid="{AD81599D-A361-494A-AB67-73805532F398}"/>
    <cellStyle name="Normal 45 4 3" xfId="17917" xr:uid="{C569391C-42B5-4B9F-816B-57FBC073743A}"/>
    <cellStyle name="Normal 45 4 3 2" xfId="42596" xr:uid="{AF2DA84C-6487-4FC4-AD58-EF537D918FC6}"/>
    <cellStyle name="Normal 45 4 4" xfId="42597" xr:uid="{20B80683-3426-450A-BCBD-9A08C6C4C7BC}"/>
    <cellStyle name="Normal 45 5" xfId="17918" xr:uid="{88E8F5B6-41CF-45D8-9675-A5AFE51F54EB}"/>
    <cellStyle name="Normal 45 5 2" xfId="42598" xr:uid="{5E9B5D71-C215-4B97-8EB1-A6B9A4A94514}"/>
    <cellStyle name="Normal 45 5 2 2" xfId="42599" xr:uid="{244F5AD4-362C-4C83-89AB-314BE203CA5F}"/>
    <cellStyle name="Normal 45 5 3" xfId="42600" xr:uid="{39FB2683-6AE4-44E7-9406-9FD2D1C7558C}"/>
    <cellStyle name="Normal 45 5 3 2" xfId="42601" xr:uid="{8DEA2CFF-C55B-46BE-9292-DB8146211AA4}"/>
    <cellStyle name="Normal 45 5 4" xfId="42602" xr:uid="{680010EA-F299-45E6-A4B5-D4C932EDE489}"/>
    <cellStyle name="Normal 45 6" xfId="17919" xr:uid="{BAFA5C8A-F4DF-4679-A53F-4832B7593CE9}"/>
    <cellStyle name="Normal 45 6 2" xfId="42603" xr:uid="{34000466-1F39-4B7A-A16A-BF12D5060EBB}"/>
    <cellStyle name="Normal 45 7" xfId="42604" xr:uid="{A31B651B-F3A9-4BDD-8013-AAFDFF2889C3}"/>
    <cellStyle name="Normal 45 7 2" xfId="42605" xr:uid="{7F9A6419-FEA0-445B-A8EC-34D7F3619520}"/>
    <cellStyle name="Normal 45 8" xfId="42606" xr:uid="{DDABA8A6-C7E7-4A82-951E-74A6FC7C5D68}"/>
    <cellStyle name="Normal 46" xfId="17920" xr:uid="{8FED0EF5-4A50-41F4-B1CF-BE855B49BE37}"/>
    <cellStyle name="Normal 46 2" xfId="17921" xr:uid="{DDCEF7A4-ECA2-4654-931A-0F19784F17A1}"/>
    <cellStyle name="Normal 46 2 2" xfId="17922" xr:uid="{372B86E7-F5BB-4FBA-86FE-79CD0FF8C80E}"/>
    <cellStyle name="Normal 46 2 2 2" xfId="42607" xr:uid="{6674108D-AA1E-4E14-BBEA-7B341DE0D0F5}"/>
    <cellStyle name="Normal 46 2 3" xfId="17923" xr:uid="{C85BA11B-0BFD-4A4C-87B0-E97AE0A09445}"/>
    <cellStyle name="Normal 46 2 3 2" xfId="42608" xr:uid="{E6170B61-D650-4CAE-9368-3A4620A9520C}"/>
    <cellStyle name="Normal 46 2 4" xfId="42609" xr:uid="{E05B9EA3-2B3E-4718-9665-620C12569748}"/>
    <cellStyle name="Normal 46 3" xfId="17924" xr:uid="{5F089750-52C7-4842-BB44-4E89E8D7DBA8}"/>
    <cellStyle name="Normal 46 3 2" xfId="17925" xr:uid="{F1262403-4A54-442D-A042-98DB03C535C0}"/>
    <cellStyle name="Normal 46 3 2 2" xfId="42610" xr:uid="{C0971260-1FB7-4D0B-9460-421105F1B13F}"/>
    <cellStyle name="Normal 46 3 3" xfId="17926" xr:uid="{C575A06E-7AC8-4895-A0CD-B5CE441F9F0B}"/>
    <cellStyle name="Normal 46 3 3 2" xfId="42611" xr:uid="{639799BB-596C-41EE-A90D-5C13D3526B77}"/>
    <cellStyle name="Normal 46 3 4" xfId="42612" xr:uid="{A7526A5A-E4BB-4EF6-94A3-C9B4E77893FB}"/>
    <cellStyle name="Normal 46 4" xfId="17927" xr:uid="{5F31AF8F-9B88-43C4-B192-76A71CC22642}"/>
    <cellStyle name="Normal 46 4 2" xfId="42613" xr:uid="{695F5457-FD50-4B0B-AF11-4612276FD1D0}"/>
    <cellStyle name="Normal 46 4 2 2" xfId="42614" xr:uid="{1B44D121-AC53-4CA8-96C2-C6E7F3C4F371}"/>
    <cellStyle name="Normal 46 4 3" xfId="42615" xr:uid="{227D476E-1D97-4E9D-95E4-91F0B69FC715}"/>
    <cellStyle name="Normal 46 4 3 2" xfId="42616" xr:uid="{E2C432AE-C0E8-48B2-AEFB-5C453C0E7256}"/>
    <cellStyle name="Normal 46 4 4" xfId="42617" xr:uid="{3B1B8362-12DC-47CA-BF4D-93AD9A6388D5}"/>
    <cellStyle name="Normal 46 5" xfId="17928" xr:uid="{FE9D1729-745B-4950-80C7-8DEB831CC5AB}"/>
    <cellStyle name="Normal 46 5 2" xfId="42618" xr:uid="{80756EDD-DCB3-4C34-AF02-E68F5F26D94D}"/>
    <cellStyle name="Normal 46 6" xfId="17929" xr:uid="{B2C0FE1D-5013-4106-ADBF-EA831AF97BD4}"/>
    <cellStyle name="Normal 46 6 2" xfId="42619" xr:uid="{5CE60258-3F5D-4074-8F7A-D32E0B9D64D4}"/>
    <cellStyle name="Normal 46 7" xfId="17930" xr:uid="{D105A9C7-E5D4-464C-BEFF-71DF533A116D}"/>
    <cellStyle name="Normal 46 8" xfId="42620" xr:uid="{03831A0E-2DDC-4743-A70C-0D521A65E5AF}"/>
    <cellStyle name="Normal 47" xfId="17931" xr:uid="{04B69406-BBCB-4999-8389-7971A38DDD46}"/>
    <cellStyle name="Normal 47 2" xfId="17932" xr:uid="{0D57037B-1401-4B1E-98AB-7567FFD6D334}"/>
    <cellStyle name="Normal 47 2 2" xfId="17933" xr:uid="{E2754659-73F9-48D7-B1D1-FAA65F0C196F}"/>
    <cellStyle name="Normal 47 2 2 2" xfId="42621" xr:uid="{A3034B72-AEA3-4954-9FEE-C9F80667FC4C}"/>
    <cellStyle name="Normal 47 2 3" xfId="42622" xr:uid="{032FFEB2-F86A-4612-A228-E5FC37587006}"/>
    <cellStyle name="Normal 47 2 3 2" xfId="42623" xr:uid="{EE78B6B4-B9F5-4227-AAA4-BC47A5FC9E33}"/>
    <cellStyle name="Normal 47 2 4" xfId="42624" xr:uid="{0D2C69D6-CF34-4152-AAFD-5E2C4C2F8353}"/>
    <cellStyle name="Normal 47 3" xfId="17934" xr:uid="{53FB1FA2-4FA0-4983-9FA8-24A343605242}"/>
    <cellStyle name="Normal 47 3 2" xfId="42625" xr:uid="{8A0A26D3-EF90-4193-8248-6D71070BE9BE}"/>
    <cellStyle name="Normal 47 3 2 2" xfId="42626" xr:uid="{E11C7A5E-C414-4133-A98D-1039FE449DDD}"/>
    <cellStyle name="Normal 47 3 3" xfId="42627" xr:uid="{23C6EBF9-51CF-464C-85AE-6F9C945911C4}"/>
    <cellStyle name="Normal 47 3 3 2" xfId="42628" xr:uid="{A7F06B91-4CCD-4702-81B0-280F8D08B89E}"/>
    <cellStyle name="Normal 47 3 4" xfId="42629" xr:uid="{192A1AE7-6708-4F8A-BD16-8A986EA0EC06}"/>
    <cellStyle name="Normal 47 4" xfId="17935" xr:uid="{6FA8ADD7-00DD-4CE4-8A56-B4F88C8505B2}"/>
    <cellStyle name="Normal 47 4 2" xfId="42630" xr:uid="{42296FC0-8D49-4F14-9228-34262C4E37B1}"/>
    <cellStyle name="Normal 47 4 2 2" xfId="42631" xr:uid="{D2D9DC1E-A0BD-478C-ADE9-56E04C855FC3}"/>
    <cellStyle name="Normal 47 4 3" xfId="42632" xr:uid="{B33A2547-4948-4E55-B2CA-D5970B076885}"/>
    <cellStyle name="Normal 47 4 3 2" xfId="42633" xr:uid="{EAC33200-192C-466F-9C53-51C7FCA105EF}"/>
    <cellStyle name="Normal 47 4 4" xfId="42634" xr:uid="{763AD8A1-DBCE-4AE5-BB7F-36B7EEF17127}"/>
    <cellStyle name="Normal 47 5" xfId="42635" xr:uid="{D6C5AB52-1DDE-4F5B-9E2C-22C77DE4E8D0}"/>
    <cellStyle name="Normal 47 5 2" xfId="42636" xr:uid="{3BDFD22C-7FBC-47F6-9D2D-B1A6522B5368}"/>
    <cellStyle name="Normal 47 6" xfId="42637" xr:uid="{B50D5FB1-F803-451A-B9C6-5C0FC16F7C0B}"/>
    <cellStyle name="Normal 47 6 2" xfId="42638" xr:uid="{61D9D266-A806-4A60-B2B1-17747D0F53A0}"/>
    <cellStyle name="Normal 47 7" xfId="42639" xr:uid="{553AD42C-6241-4F62-ACC4-B070B3903E2F}"/>
    <cellStyle name="Normal 47 8" xfId="42640" xr:uid="{8CC26656-F156-4488-A41D-377210AD6BAD}"/>
    <cellStyle name="Normal 48" xfId="17936" xr:uid="{6B3792BF-3D1B-46AF-A316-41765CEC3E80}"/>
    <cellStyle name="Normal 48 2" xfId="17937" xr:uid="{7CC24390-2AD0-4DBE-A555-5BABC45A7371}"/>
    <cellStyle name="Normal 48 2 2" xfId="17938" xr:uid="{1879A15E-D9FD-4022-85E8-44A560C2CA4D}"/>
    <cellStyle name="Normal 48 2 2 2" xfId="42641" xr:uid="{27D87BAB-8DBC-460D-B88B-4C5CCAEA0143}"/>
    <cellStyle name="Normal 48 2 3" xfId="42642" xr:uid="{89A7AEDE-BC5D-4A73-B47E-6B2D35DC439E}"/>
    <cellStyle name="Normal 48 2 3 2" xfId="42643" xr:uid="{BD0DA9F6-E6A9-4860-A9CB-D3D1FE790B9F}"/>
    <cellStyle name="Normal 48 2 4" xfId="42644" xr:uid="{55E2BF27-7C3B-42DB-9983-75B89C1F44B8}"/>
    <cellStyle name="Normal 48 3" xfId="17939" xr:uid="{B4BD1E77-80EB-4A4A-A71A-2A4868199C5D}"/>
    <cellStyle name="Normal 48 3 2" xfId="42645" xr:uid="{F74039AB-1C83-4747-8A5B-3631E9A17505}"/>
    <cellStyle name="Normal 48 3 2 2" xfId="42646" xr:uid="{3E882126-DFBC-48C3-A60C-170938C5DCA1}"/>
    <cellStyle name="Normal 48 3 3" xfId="42647" xr:uid="{193BD74B-EA1B-4B19-92A3-02930DB44070}"/>
    <cellStyle name="Normal 48 3 3 2" xfId="42648" xr:uid="{2994D8C3-8ECE-494A-A620-156F8AE1C7B7}"/>
    <cellStyle name="Normal 48 3 4" xfId="42649" xr:uid="{F9A2E302-E997-497A-BD04-3BFACDD26B11}"/>
    <cellStyle name="Normal 48 4" xfId="17940" xr:uid="{3CC966FB-413F-4EB6-8FFE-F7F0858B36EC}"/>
    <cellStyle name="Normal 48 4 2" xfId="42650" xr:uid="{6668A73B-6557-4660-B05F-2D18D38480AF}"/>
    <cellStyle name="Normal 48 4 2 2" xfId="42651" xr:uid="{2F4B0E66-C06E-4024-B587-7C93886165A8}"/>
    <cellStyle name="Normal 48 4 3" xfId="42652" xr:uid="{331D9E1F-2598-4FC4-BAE2-AC99881CBCF7}"/>
    <cellStyle name="Normal 48 4 3 2" xfId="42653" xr:uid="{4525FB2B-6ED2-4E2C-ABED-C573A7AC4F94}"/>
    <cellStyle name="Normal 48 4 4" xfId="42654" xr:uid="{E645E7BC-E9D2-4D3D-93AF-3E6D3CEE08AF}"/>
    <cellStyle name="Normal 48 5" xfId="42655" xr:uid="{20288539-FA58-4060-B45C-9CA63D5D3E39}"/>
    <cellStyle name="Normal 48 5 2" xfId="42656" xr:uid="{0C50A41D-0C3A-4CC1-918E-B4E83D3D1DC1}"/>
    <cellStyle name="Normal 48 6" xfId="42657" xr:uid="{EBDD00EE-4E49-40A9-A053-EE38A885FCB4}"/>
    <cellStyle name="Normal 48 6 2" xfId="42658" xr:uid="{4E8D7B8A-CBCD-47AA-B75A-E59896837BDE}"/>
    <cellStyle name="Normal 48 7" xfId="42659" xr:uid="{B2DBF629-EF0E-4B01-9713-1D42B16E65B5}"/>
    <cellStyle name="Normal 48 8" xfId="42660" xr:uid="{67280A43-86E5-4252-8954-2A6D0129CC08}"/>
    <cellStyle name="Normal 49" xfId="17941" xr:uid="{82EC8EF8-5B41-46A8-A1AE-AB24A749034C}"/>
    <cellStyle name="Normal 49 2" xfId="17942" xr:uid="{078C9002-D79F-4109-8230-EC9A08F1D62E}"/>
    <cellStyle name="Normal 49 2 2" xfId="17943" xr:uid="{C9B4AB67-FABA-498B-8534-CBF05FFCCC09}"/>
    <cellStyle name="Normal 49 2 2 2" xfId="42661" xr:uid="{235BD2F9-7E87-472E-9567-B2F84D855F3E}"/>
    <cellStyle name="Normal 49 2 3" xfId="42662" xr:uid="{5050261B-24C6-48E0-BF26-0AADC9E2A16D}"/>
    <cellStyle name="Normal 49 2 3 2" xfId="42663" xr:uid="{0C9C6BE4-1465-4551-961D-CC2B3B576BC2}"/>
    <cellStyle name="Normal 49 2 4" xfId="42664" xr:uid="{01D22B53-0885-45EC-9A84-A07C1E114674}"/>
    <cellStyle name="Normal 49 2 5" xfId="42665" xr:uid="{4EC1E2D4-19BC-4011-8E01-577F6CF42E2A}"/>
    <cellStyle name="Normal 49 3" xfId="17944" xr:uid="{3CFC4E6A-E3FB-40F0-944E-8259BA6F0EF0}"/>
    <cellStyle name="Normal 49 3 2" xfId="42666" xr:uid="{31766C18-F3D4-4833-B2AF-3D199762C777}"/>
    <cellStyle name="Normal 49 3 2 2" xfId="42667" xr:uid="{B7F27397-ECC1-4810-98BB-88EBA49EB405}"/>
    <cellStyle name="Normal 49 3 3" xfId="42668" xr:uid="{E4FC447C-5B72-4106-80FF-C53FF6836950}"/>
    <cellStyle name="Normal 49 3 3 2" xfId="42669" xr:uid="{C31BB20C-E49A-4090-BABA-168FD294D1BE}"/>
    <cellStyle name="Normal 49 3 4" xfId="42670" xr:uid="{6CF72BA5-87C3-4C9D-84CF-2FC725369D1F}"/>
    <cellStyle name="Normal 49 4" xfId="17945" xr:uid="{A07FDF3A-D885-447F-A261-6DCA35A97A20}"/>
    <cellStyle name="Normal 49 4 2" xfId="42671" xr:uid="{7FDC4303-A335-4A80-B43B-894D588532C8}"/>
    <cellStyle name="Normal 49 4 2 2" xfId="42672" xr:uid="{328E4CE9-59D2-4359-BE6C-BD990DBA2D69}"/>
    <cellStyle name="Normal 49 4 3" xfId="42673" xr:uid="{51CA6B8F-FB42-4F65-B48A-CADB2034C1EA}"/>
    <cellStyle name="Normal 49 4 3 2" xfId="42674" xr:uid="{31F84F09-451C-488D-9DC3-10192259B79D}"/>
    <cellStyle name="Normal 49 4 4" xfId="42675" xr:uid="{49EB4DCC-2D0F-4CA6-8087-D29256E2DFFF}"/>
    <cellStyle name="Normal 49 5" xfId="42676" xr:uid="{1C49AC9C-7B6D-40CA-B65A-2EC6BF06A8F6}"/>
    <cellStyle name="Normal 49 5 2" xfId="42677" xr:uid="{9A10FFBE-27BF-4DDA-8218-14F2C29C6E88}"/>
    <cellStyle name="Normal 49 6" xfId="42678" xr:uid="{64E58561-63A3-40EE-BB7D-89D09779BC1F}"/>
    <cellStyle name="Normal 49 6 2" xfId="42679" xr:uid="{636053FE-20AE-401C-BC56-66594B26A374}"/>
    <cellStyle name="Normal 49 7" xfId="42680" xr:uid="{70ACEBED-1A74-4C1D-951F-3461BA479832}"/>
    <cellStyle name="Normal 49 8" xfId="42681" xr:uid="{313C5AB6-E94E-4902-AE82-1F43E9A6F8CB}"/>
    <cellStyle name="Normal 5" xfId="30" xr:uid="{ABEF3B4C-7566-4705-A3E6-4EE55CD213A7}"/>
    <cellStyle name="Normal 5 10" xfId="57" xr:uid="{0A548DCF-D9FB-4463-8728-E09F8AEC0420}"/>
    <cellStyle name="Normal 5 10 2" xfId="17946" xr:uid="{7DF273B5-170F-44EA-8287-497212641367}"/>
    <cellStyle name="Normal 5 10 2 2" xfId="42682" xr:uid="{16F48384-244A-4143-9F9E-C985245E9D74}"/>
    <cellStyle name="Normal 5 10 3" xfId="17947" xr:uid="{612CB806-710B-4322-A2AC-DB7F4E5822A9}"/>
    <cellStyle name="Normal 5 10 3 2" xfId="42683" xr:uid="{EA3BAAC1-D89D-40BC-8CAC-AD0244313AFB}"/>
    <cellStyle name="Normal 5 10 4" xfId="17948" xr:uid="{3CB3D8C9-9F0B-4EE6-9B58-7BEC19DE63E6}"/>
    <cellStyle name="Normal 5 10 5" xfId="42684" xr:uid="{58475C45-1B47-4A94-B648-6F440A5F89C7}"/>
    <cellStyle name="Normal 5 11" xfId="17949" xr:uid="{E872F0EF-A5F2-41B8-8AD2-8C9C33F19CEC}"/>
    <cellStyle name="Normal 5 11 2" xfId="17950" xr:uid="{20F5E044-C0DF-4D92-BCBA-6659779838F3}"/>
    <cellStyle name="Normal 5 11 3" xfId="17951" xr:uid="{EFE81D48-D3C0-4816-8AA8-FE17FA997B3B}"/>
    <cellStyle name="Normal 5 12" xfId="17952" xr:uid="{28401D03-D20C-48DC-B167-340FB3569E46}"/>
    <cellStyle name="Normal 5 12 2" xfId="17953" xr:uid="{6B979017-5290-4906-B6AD-06E8F75300BA}"/>
    <cellStyle name="Normal 5 12 3" xfId="42685" xr:uid="{E8DD9B8C-03B0-4CA7-98A6-BA08B05CA19C}"/>
    <cellStyle name="Normal 5 13" xfId="17954" xr:uid="{F71F1F9D-A69D-436F-9ED4-AE8836514CE5}"/>
    <cellStyle name="Normal 5 13 2" xfId="17955" xr:uid="{36FF410E-7EC2-4725-AD1E-434DD2EE6F82}"/>
    <cellStyle name="Normal 5 13 3" xfId="17956" xr:uid="{E0EBAEB4-6070-4FE7-96FA-8B806F040A7A}"/>
    <cellStyle name="Normal 5 14" xfId="17957" xr:uid="{0BED914D-C0EE-418A-8BB6-2268759B35DD}"/>
    <cellStyle name="Normal 5 14 2" xfId="17958" xr:uid="{D020E69E-AD3B-4ECF-A1E7-808AADDB9AFB}"/>
    <cellStyle name="Normal 5 15" xfId="17959" xr:uid="{492CF015-6AE0-465F-8F1B-C7344E8C7388}"/>
    <cellStyle name="Normal 5 16" xfId="17960" xr:uid="{A3C349B4-FC25-4541-8208-4682A5992D22}"/>
    <cellStyle name="Normal 5 17" xfId="17961" xr:uid="{6F336C15-6920-4B12-9719-B35337A4524E}"/>
    <cellStyle name="Normal 5 18" xfId="17962" xr:uid="{C48E9A1C-E85F-46EB-A6B0-7A907A68E762}"/>
    <cellStyle name="Normal 5 19" xfId="42686" xr:uid="{430C0171-03D7-414D-B7A9-E57239098C3D}"/>
    <cellStyle name="Normal 5 2" xfId="17963" xr:uid="{5427EF1D-D420-4C16-8216-FCA3AAA31981}"/>
    <cellStyle name="Normal 5 2 2" xfId="17964" xr:uid="{5219E1C7-AF91-4DBB-9C54-A2313A79BC63}"/>
    <cellStyle name="Normal 5 2 2 2" xfId="17965" xr:uid="{196A155C-D373-47E6-B47F-E71C9B96D639}"/>
    <cellStyle name="Normal 5 2 2 2 2" xfId="42687" xr:uid="{E372A29E-3303-46F0-9A3E-A1759B0F63C3}"/>
    <cellStyle name="Normal 5 2 2 3" xfId="17966" xr:uid="{E967F6F7-1F88-4B58-9359-B9FA42D84033}"/>
    <cellStyle name="Normal 5 2 2 3 2" xfId="42688" xr:uid="{8277BD85-B18B-42B6-BC24-94F8C413DD76}"/>
    <cellStyle name="Normal 5 2 2 4" xfId="42689" xr:uid="{6D9319D2-500A-4C14-8F04-3E04D75D5D1C}"/>
    <cellStyle name="Normal 5 2 3" xfId="17967" xr:uid="{DED92B8B-9D0C-4E0E-87B4-8008408E5FCC}"/>
    <cellStyle name="Normal 5 2 3 2" xfId="42690" xr:uid="{22425729-D52D-46D0-A737-76BD685AD93A}"/>
    <cellStyle name="Normal 5 2 4" xfId="17968" xr:uid="{00B023B5-A5DF-445A-8625-64D495651C6C}"/>
    <cellStyle name="Normal 5 2 4 2" xfId="42691" xr:uid="{7FA1CEE0-EB2C-43F7-BDC4-B99FB77BA581}"/>
    <cellStyle name="Normal 5 2 5" xfId="17969" xr:uid="{EF8C8AB6-9E85-48FA-8EEA-91AEE43649F1}"/>
    <cellStyle name="Normal 5 2 6" xfId="42692" xr:uid="{E9416971-B055-4EF7-A460-334237511C88}"/>
    <cellStyle name="Normal 5 2 7" xfId="43523" xr:uid="{111F1092-9CB8-42A7-A7AD-10B0A4333816}"/>
    <cellStyle name="Normal 5 20" xfId="246" xr:uid="{A832FC8C-C586-4F62-A86E-C6CC110939B9}"/>
    <cellStyle name="Normal 5 3" xfId="17970" xr:uid="{9D657AC0-E935-46F2-85B5-441A3F6341B5}"/>
    <cellStyle name="Normal 5 3 2" xfId="17971" xr:uid="{3A795FD9-4472-434E-AA9F-220F3323492F}"/>
    <cellStyle name="Normal 5 3 2 2" xfId="17972" xr:uid="{8054488F-526E-4632-B68B-79DA6EF5A471}"/>
    <cellStyle name="Normal 5 3 2 2 2" xfId="17973" xr:uid="{C20B79EE-050E-482F-8B8A-5B400DA6566B}"/>
    <cellStyle name="Normal 5 3 2 2 3" xfId="42693" xr:uid="{4279A125-98F2-4E3A-9985-7C38CDF0BDCD}"/>
    <cellStyle name="Normal 5 3 2 3" xfId="17974" xr:uid="{357BCC1E-0738-41FB-9636-CE3A8DCE3FE7}"/>
    <cellStyle name="Normal 5 3 2 3 2" xfId="42694" xr:uid="{5B6495AB-4208-4595-B533-27E1D2E773DE}"/>
    <cellStyle name="Normal 5 3 2 4" xfId="17975" xr:uid="{3B716D57-C015-42B9-8192-9FC864FB74CF}"/>
    <cellStyle name="Normal 5 3 2 5" xfId="42695" xr:uid="{43E53468-5730-47AC-9237-28C860D0E00A}"/>
    <cellStyle name="Normal 5 3 3" xfId="17976" xr:uid="{EB0654B1-E666-42EF-90E4-6F83EE414DCC}"/>
    <cellStyle name="Normal 5 3 3 2" xfId="42696" xr:uid="{82180265-009B-4C38-AB0E-13130DC6E6D8}"/>
    <cellStyle name="Normal 5 3 4" xfId="17977" xr:uid="{C02D20CB-2AAF-44E2-8FEC-AC71DA39FB12}"/>
    <cellStyle name="Normal 5 3 4 2" xfId="17978" xr:uid="{6CC9F051-90A5-4C89-8E31-CEAB3B1E7460}"/>
    <cellStyle name="Normal 5 3 4 3" xfId="42697" xr:uid="{32E9D4C4-08A2-43AB-BD18-3FD40A0EA7F6}"/>
    <cellStyle name="Normal 5 3 5" xfId="17979" xr:uid="{D7C34EA7-23C3-453E-BDA6-0E109EF68558}"/>
    <cellStyle name="Normal 5 3 6" xfId="17980" xr:uid="{34CA5F9A-E11A-4D87-AB78-71EBDF2BBD93}"/>
    <cellStyle name="Normal 5 3 7" xfId="42698" xr:uid="{D6F190FD-552B-468D-9250-517BB9A56C8E}"/>
    <cellStyle name="Normal 5 4" xfId="17981" xr:uid="{B02D727A-B8EC-44AC-AEE2-FC97CC89AB16}"/>
    <cellStyle name="Normal 5 4 2" xfId="17982" xr:uid="{ACDF10AF-76E3-4186-A6B9-0EBFB32A1732}"/>
    <cellStyle name="Normal 5 4 2 2" xfId="17983" xr:uid="{87454C33-E4CD-435C-8EC7-42DA154EE32A}"/>
    <cellStyle name="Normal 5 4 2 2 2" xfId="42699" xr:uid="{5EE43B0E-5615-4EBA-9B26-5D66A6CE326D}"/>
    <cellStyle name="Normal 5 4 2 3" xfId="17984" xr:uid="{D81334C8-635E-4678-93F0-BAF98B5B401B}"/>
    <cellStyle name="Normal 5 4 2 3 2" xfId="42700" xr:uid="{9A83C8B4-573C-4FDA-979C-B08D64B79482}"/>
    <cellStyle name="Normal 5 4 2 4" xfId="42701" xr:uid="{683F74D6-2252-45CE-BCCB-3100A19C370D}"/>
    <cellStyle name="Normal 5 4 3" xfId="17985" xr:uid="{8AD02AC9-BAEA-4566-9CF8-549510FD9B85}"/>
    <cellStyle name="Normal 5 4 3 2" xfId="42702" xr:uid="{5355A010-9FCC-4829-9980-65105F7B037C}"/>
    <cellStyle name="Normal 5 4 4" xfId="17986" xr:uid="{1A089DAF-4ED3-4095-B24E-DE6420CBD7BA}"/>
    <cellStyle name="Normal 5 4 4 2" xfId="42703" xr:uid="{45C960D5-D936-46AE-8CCF-79F801874FC5}"/>
    <cellStyle name="Normal 5 4 5" xfId="17987" xr:uid="{562B1AA7-8176-48E4-A16C-EFBA2314D3F5}"/>
    <cellStyle name="Normal 5 4 6" xfId="42704" xr:uid="{734913D3-F387-4195-996C-1015F3CE549D}"/>
    <cellStyle name="Normal 5 5" xfId="17988" xr:uid="{FEAD7C1B-5BE1-4A4A-B11C-1AC985E84EE5}"/>
    <cellStyle name="Normal 5 5 2" xfId="17989" xr:uid="{47F97B50-FAFE-4B15-953F-81D21604D0F9}"/>
    <cellStyle name="Normal 5 5 2 2" xfId="17990" xr:uid="{83846F1D-B605-4B99-80FE-DCC4E484FB01}"/>
    <cellStyle name="Normal 5 5 2 2 2" xfId="42705" xr:uid="{75895DA7-BACB-4D3F-815F-89173A53FE95}"/>
    <cellStyle name="Normal 5 5 2 3" xfId="17991" xr:uid="{253FF4F7-886C-4458-8647-8974B1F2CC7B}"/>
    <cellStyle name="Normal 5 5 2 3 2" xfId="42706" xr:uid="{1A5ADA6D-3F5A-46AB-956E-6ABC5CEC73F3}"/>
    <cellStyle name="Normal 5 5 2 4" xfId="42707" xr:uid="{709CEC9D-69C7-4C80-902E-B1BB37C45DE2}"/>
    <cellStyle name="Normal 5 5 3" xfId="17992" xr:uid="{1D212B0A-75F9-4319-8DCE-0FC229026817}"/>
    <cellStyle name="Normal 5 5 3 2" xfId="42708" xr:uid="{CCAD2CB6-A09C-4565-972A-4B1C2F6242EA}"/>
    <cellStyle name="Normal 5 5 4" xfId="17993" xr:uid="{4F55A6B4-F959-4469-ACDE-9A15E5214264}"/>
    <cellStyle name="Normal 5 5 4 2" xfId="42709" xr:uid="{AD8C0AB7-D15F-48FA-859C-41E9B88EE3F5}"/>
    <cellStyle name="Normal 5 5 5" xfId="17994" xr:uid="{BF679F79-7621-4E14-B12F-CF953C922DB6}"/>
    <cellStyle name="Normal 5 5 6" xfId="42710" xr:uid="{C15A38A9-0C8F-44A2-AE81-92AB7D1F6788}"/>
    <cellStyle name="Normal 5 6" xfId="17995" xr:uid="{8C3D7D35-4924-47E8-AD65-0442AD9619B0}"/>
    <cellStyle name="Normal 5 6 2" xfId="17996" xr:uid="{41F6331B-DCD4-4655-9DEE-3E402B667EAE}"/>
    <cellStyle name="Normal 5 6 2 2" xfId="17997" xr:uid="{D42341F5-0F33-4942-ACA7-2189425A7242}"/>
    <cellStyle name="Normal 5 6 2 2 2" xfId="42711" xr:uid="{9592A4F5-B829-4527-B6EF-1B03B4D29D39}"/>
    <cellStyle name="Normal 5 6 2 3" xfId="17998" xr:uid="{C8092B8B-3E2E-4763-89AA-E5948B5A24E1}"/>
    <cellStyle name="Normal 5 6 2 3 2" xfId="42712" xr:uid="{915137D7-A2CA-4C51-BFBA-EBDB3F97B693}"/>
    <cellStyle name="Normal 5 6 2 4" xfId="42713" xr:uid="{0B9774A0-5A36-4D15-A769-3B9A23C003F4}"/>
    <cellStyle name="Normal 5 6 3" xfId="17999" xr:uid="{EFE3E357-6DF3-4AE2-9257-66B849E62A9F}"/>
    <cellStyle name="Normal 5 6 3 2" xfId="42714" xr:uid="{88361CB6-7E09-4C47-A334-A3C4D75F72CC}"/>
    <cellStyle name="Normal 5 6 4" xfId="18000" xr:uid="{2FA60CD6-BED7-4B78-8B2C-A95860867B9A}"/>
    <cellStyle name="Normal 5 6 4 2" xfId="42715" xr:uid="{58A13AD1-C31C-448A-A439-B38811625770}"/>
    <cellStyle name="Normal 5 6 5" xfId="18001" xr:uid="{1E01CC99-C503-4929-AD17-394876ADC735}"/>
    <cellStyle name="Normal 5 6 6" xfId="42716" xr:uid="{5CBD1AB5-E6EA-4581-8E8B-FCB905D59FF4}"/>
    <cellStyle name="Normal 5 60" xfId="152" xr:uid="{B016BD67-61A2-4FBD-9ECB-7C4C20EC1C71}"/>
    <cellStyle name="Normal 5 60 2" xfId="42717" xr:uid="{CED9771E-BE91-4248-9D7E-E8CCB8A3290F}"/>
    <cellStyle name="Normal 5 60 3" xfId="42718" xr:uid="{D85FA711-A7F4-4F23-9965-2B29DAD67E60}"/>
    <cellStyle name="Normal 5 60 4" xfId="42719" xr:uid="{5B88B1D6-9E78-45B2-9A0A-42C0E08ADF09}"/>
    <cellStyle name="Normal 5 60 5" xfId="42720" xr:uid="{D46A52F2-3251-4118-908A-D54AC107989B}"/>
    <cellStyle name="Normal 5 7" xfId="18002" xr:uid="{AF790861-9B9D-481D-930B-AD9EBAA30C96}"/>
    <cellStyle name="Normal 5 7 2" xfId="18003" xr:uid="{85E4238C-9D17-4453-BA22-002963874F04}"/>
    <cellStyle name="Normal 5 7 2 2" xfId="18004" xr:uid="{3F67ACCD-E9A1-4BAA-B7DB-F287DBDFA9AC}"/>
    <cellStyle name="Normal 5 7 2 2 2" xfId="42721" xr:uid="{C7AFAFDB-78DE-4745-9CD3-590E56C29E02}"/>
    <cellStyle name="Normal 5 7 2 3" xfId="18005" xr:uid="{8AF53EB3-2281-46B1-9D06-07DA680F87F2}"/>
    <cellStyle name="Normal 5 7 2 3 2" xfId="42722" xr:uid="{E14549CF-95B4-4D1A-9F6F-D12DE3670C7C}"/>
    <cellStyle name="Normal 5 7 2 4" xfId="42723" xr:uid="{FDB342BD-2E0D-4A76-982E-010D060C0A49}"/>
    <cellStyle name="Normal 5 7 3" xfId="18006" xr:uid="{1AB99E24-D19E-4753-B642-ADD5FED83079}"/>
    <cellStyle name="Normal 5 7 3 2" xfId="42724" xr:uid="{B7445F20-1022-4937-8BA5-E51161EF0D8C}"/>
    <cellStyle name="Normal 5 7 4" xfId="18007" xr:uid="{50617AC0-85A1-41B2-AF89-D447D09ADA6C}"/>
    <cellStyle name="Normal 5 7 4 2" xfId="42725" xr:uid="{3C9BAED7-2EAB-469F-BF01-31E6C28BC0E0}"/>
    <cellStyle name="Normal 5 7 5" xfId="18008" xr:uid="{9A9BEC0B-87D7-40E8-84A3-F9585CC8A497}"/>
    <cellStyle name="Normal 5 8" xfId="18009" xr:uid="{0530D898-5AEB-4B05-84EB-53C98BF240C5}"/>
    <cellStyle name="Normal 5 8 2" xfId="18010" xr:uid="{DF682D87-86AA-416C-A59C-AA62DF4C3B93}"/>
    <cellStyle name="Normal 5 8 2 2" xfId="18011" xr:uid="{96AA62E4-9D68-4AB9-B32F-FE63623A6F6F}"/>
    <cellStyle name="Normal 5 8 2 2 2" xfId="42726" xr:uid="{0E53FB9B-9E5D-49CE-A5EF-96EC4D1E25F7}"/>
    <cellStyle name="Normal 5 8 2 3" xfId="18012" xr:uid="{7730FA42-DCBC-40D6-801C-DA05B5D14FD6}"/>
    <cellStyle name="Normal 5 8 2 3 2" xfId="42727" xr:uid="{6C1B6E8B-100D-4968-9099-80319F3EB890}"/>
    <cellStyle name="Normal 5 8 2 4" xfId="42728" xr:uid="{B832F382-DE80-4648-9DA9-60F13A56BED8}"/>
    <cellStyle name="Normal 5 8 3" xfId="18013" xr:uid="{9508F66C-FD1A-43D9-94BE-58EFC271BB62}"/>
    <cellStyle name="Normal 5 8 3 2" xfId="42729" xr:uid="{59D9807F-8A9B-492E-BBCA-4131946C34DD}"/>
    <cellStyle name="Normal 5 8 4" xfId="18014" xr:uid="{B6F37B4F-E84C-477E-92BC-B7E974752C4B}"/>
    <cellStyle name="Normal 5 8 4 2" xfId="42730" xr:uid="{8F0CBD94-35A3-412B-B7B9-AB442570393A}"/>
    <cellStyle name="Normal 5 8 5" xfId="18015" xr:uid="{F0959748-92CC-4FBC-9034-58CA3989F320}"/>
    <cellStyle name="Normal 5 9" xfId="18016" xr:uid="{EA3284D5-4649-4269-92D7-935FF8D5F86F}"/>
    <cellStyle name="Normal 5 9 2" xfId="18017" xr:uid="{4333C295-BBD5-42B4-AAF6-46D0AEC3A7E2}"/>
    <cellStyle name="Normal 5 9 2 2" xfId="18018" xr:uid="{C9C09A36-BFCA-47B0-901D-FB9D3958662E}"/>
    <cellStyle name="Normal 5 9 2 2 2" xfId="42731" xr:uid="{855EC99E-A089-4991-81A9-8A8DDF799BCD}"/>
    <cellStyle name="Normal 5 9 2 3" xfId="18019" xr:uid="{E3136323-2F56-4061-96CD-5635D4146A72}"/>
    <cellStyle name="Normal 5 9 2 3 2" xfId="42732" xr:uid="{0DC05F6E-0B93-4D01-B762-2F3D16DD1EFE}"/>
    <cellStyle name="Normal 5 9 2 4" xfId="42733" xr:uid="{D702E5D4-50BE-40EC-9B0D-106929C0E740}"/>
    <cellStyle name="Normal 5 9 3" xfId="18020" xr:uid="{98D269F6-F802-4D3F-A3D9-4AB67CC7F2AA}"/>
    <cellStyle name="Normal 5 9 3 2" xfId="42734" xr:uid="{8F0D7B00-02F1-447D-859E-013E05AF8AFC}"/>
    <cellStyle name="Normal 5 9 4" xfId="18021" xr:uid="{6E99E2B2-AD85-4188-9040-DB07D8BEDC19}"/>
    <cellStyle name="Normal 5 9 4 2" xfId="42735" xr:uid="{4770686A-403D-43B2-8C2C-F22EDD657966}"/>
    <cellStyle name="Normal 5 9 5" xfId="18022" xr:uid="{0FA0D48B-9E8D-4464-95AD-9CC6F1D397DB}"/>
    <cellStyle name="Normal 5_12-31-2009 ELEC C&amp;I TBBS(NEW)" xfId="18023" xr:uid="{F7B20225-D2E9-4D41-A6D1-9626839FBA7B}"/>
    <cellStyle name="Normal 50" xfId="18024" xr:uid="{D31512FA-C9A1-4A47-8303-69637356ECD0}"/>
    <cellStyle name="Normal 50 2" xfId="18025" xr:uid="{2D29CE5E-C67F-4DA2-9430-7631B377658B}"/>
    <cellStyle name="Normal 50 2 2" xfId="42736" xr:uid="{C668E2AD-05BD-4D52-82FF-F688A37F6B26}"/>
    <cellStyle name="Normal 50 2 2 2" xfId="42737" xr:uid="{02717BEA-9D91-43DC-800E-C6862B6F2321}"/>
    <cellStyle name="Normal 50 2 3" xfId="42738" xr:uid="{756EDE45-E1CD-47CD-A4E2-31BD3DC1A9B2}"/>
    <cellStyle name="Normal 50 2 3 2" xfId="42739" xr:uid="{2B9A5F98-7298-4B0E-A5A0-51E650D089B9}"/>
    <cellStyle name="Normal 50 2 4" xfId="42740" xr:uid="{AC59615D-4D38-4977-B25A-9D865AAC9659}"/>
    <cellStyle name="Normal 50 3" xfId="18026" xr:uid="{139110EC-560E-4151-ABB7-569901497F12}"/>
    <cellStyle name="Normal 50 3 2" xfId="42741" xr:uid="{601B6C7E-6FB3-4DC7-ADA6-24326BA22C60}"/>
    <cellStyle name="Normal 50 3 2 2" xfId="42742" xr:uid="{DD9A8F86-344C-4E67-9CF9-E8D7A841FCDB}"/>
    <cellStyle name="Normal 50 3 3" xfId="42743" xr:uid="{BB0E0AB8-9213-4318-9FDD-7346B607343D}"/>
    <cellStyle name="Normal 50 3 3 2" xfId="42744" xr:uid="{921263C1-6D8F-4C53-AA76-91F148888A44}"/>
    <cellStyle name="Normal 50 3 4" xfId="42745" xr:uid="{986D2CBC-AA1A-4484-98A9-7284CD97DFD9}"/>
    <cellStyle name="Normal 50 4" xfId="42746" xr:uid="{C3535C2D-72BD-4448-867D-6F639767C2F1}"/>
    <cellStyle name="Normal 50 4 2" xfId="42747" xr:uid="{6D7BFB5E-E493-488E-80D1-BA174756FD2D}"/>
    <cellStyle name="Normal 50 4 2 2" xfId="42748" xr:uid="{ED0152BF-14D7-4FF6-A346-69C9ABD2069F}"/>
    <cellStyle name="Normal 50 4 3" xfId="42749" xr:uid="{4FFF31D4-69C9-44E6-9101-20449FAFD51B}"/>
    <cellStyle name="Normal 50 4 3 2" xfId="42750" xr:uid="{F7BD1A19-0E4C-48D0-960C-B1B35979886E}"/>
    <cellStyle name="Normal 50 4 4" xfId="42751" xr:uid="{3788F1EA-0B9C-49EE-87FD-CB5B5985222D}"/>
    <cellStyle name="Normal 50 5" xfId="42752" xr:uid="{B87AF841-DD23-4620-8216-63666B4E475C}"/>
    <cellStyle name="Normal 50 5 2" xfId="42753" xr:uid="{E0C14F9B-C26C-4553-87AA-A1FCCF088887}"/>
    <cellStyle name="Normal 50 6" xfId="42754" xr:uid="{F5C84C90-0FA3-4BF6-864B-B95A6E366263}"/>
    <cellStyle name="Normal 50 6 2" xfId="42755" xr:uid="{7B0D8D20-6C02-437A-9391-637FAB883B4C}"/>
    <cellStyle name="Normal 50 7" xfId="42756" xr:uid="{BC08AEC9-BA93-4464-A70A-633BF227A390}"/>
    <cellStyle name="Normal 50 8" xfId="42757" xr:uid="{EDA38E2E-8B70-4146-8F4A-FB358DB47C8D}"/>
    <cellStyle name="Normal 51" xfId="18027" xr:uid="{35FD8D88-496B-4322-8458-FFBDAED4BEA8}"/>
    <cellStyle name="Normal 51 2" xfId="18028" xr:uid="{4E14D1A2-36AD-4A27-87F3-AFF9D49F8914}"/>
    <cellStyle name="Normal 51 3" xfId="18029" xr:uid="{9872962A-4DD3-48EE-8938-8AD183A803CD}"/>
    <cellStyle name="Normal 51 4" xfId="18030" xr:uid="{2F754E1B-7152-4668-9DC2-F68555991F7E}"/>
    <cellStyle name="Normal 51 5" xfId="42758" xr:uid="{8C389BAB-BA30-40DD-B863-16D981C41020}"/>
    <cellStyle name="Normal 52" xfId="18031" xr:uid="{38EE0867-C352-43D3-B7B9-FEEBB2A98595}"/>
    <cellStyle name="Normal 52 2" xfId="18032" xr:uid="{1EF29604-8BB1-48C7-A9E7-93D7E69F514F}"/>
    <cellStyle name="Normal 52 2 2" xfId="18033" xr:uid="{AC721718-3AB0-4061-866D-D190E787362F}"/>
    <cellStyle name="Normal 52 3" xfId="18034" xr:uid="{D795EC80-0716-440F-9F61-1597E1926F02}"/>
    <cellStyle name="Normal 52 4" xfId="42759" xr:uid="{F5F793C8-EE8F-430D-9F23-FBBF704D8D9F}"/>
    <cellStyle name="Normal 53" xfId="18035" xr:uid="{FD2C8277-104F-4335-9712-733334D1DBC2}"/>
    <cellStyle name="Normal 53 2" xfId="18036" xr:uid="{5A7421A8-7DA1-4D52-8F03-2FCB74277A79}"/>
    <cellStyle name="Normal 53 2 2" xfId="18037" xr:uid="{1DBA11F1-B79C-4E21-9500-16EFF8A73565}"/>
    <cellStyle name="Normal 53 3" xfId="18038" xr:uid="{41AFB461-B730-4817-888D-BC69C2349456}"/>
    <cellStyle name="Normal 53 4" xfId="42760" xr:uid="{A23A735A-6FC9-4C96-93DD-233BD4B6CFCB}"/>
    <cellStyle name="Normal 53 5" xfId="42761" xr:uid="{E63C5CC1-AC06-4CD0-98F6-A720AC76506D}"/>
    <cellStyle name="Normal 54" xfId="18039" xr:uid="{18DC6C47-8AF2-4399-85D0-AD129DF77C39}"/>
    <cellStyle name="Normal 54 2" xfId="18040" xr:uid="{B0B3E770-D7E0-40CB-BD5D-1BE3F1C02021}"/>
    <cellStyle name="Normal 54 2 2" xfId="18041" xr:uid="{8917BC1F-3724-41E0-B476-697357BDC539}"/>
    <cellStyle name="Normal 54 3" xfId="18042" xr:uid="{A3DF5B1E-2659-4534-8558-210E45909E6A}"/>
    <cellStyle name="Normal 54 4" xfId="42762" xr:uid="{D2A71A21-0D2D-49F4-8FC1-BFAED290E202}"/>
    <cellStyle name="Normal 54 5" xfId="42763" xr:uid="{8ADC78BF-A02C-49D7-A84B-60E21B1D9291}"/>
    <cellStyle name="Normal 55" xfId="18043" xr:uid="{D0B6F8AF-10FE-4AE5-84F4-9BC5558DA8CA}"/>
    <cellStyle name="Normal 55 2" xfId="18044" xr:uid="{8806539A-D130-434D-A3E5-4CCFF52033CA}"/>
    <cellStyle name="Normal 55 3" xfId="18045" xr:uid="{3E839407-6D12-4E7E-A7C0-5451C94D7CB4}"/>
    <cellStyle name="Normal 55 4" xfId="42764" xr:uid="{486B3816-5DA2-4CF0-B66D-A287FF35E02B}"/>
    <cellStyle name="Normal 55 5" xfId="42765" xr:uid="{1490F903-F026-4EED-987E-EC9631AA4E31}"/>
    <cellStyle name="Normal 56" xfId="18046" xr:uid="{0068F5E7-876B-426C-935F-BFD7D23599E0}"/>
    <cellStyle name="Normal 56 2" xfId="18047" xr:uid="{3CC9BDB6-C111-4BC9-9B8C-80642C564FEE}"/>
    <cellStyle name="Normal 56 3" xfId="18048" xr:uid="{C1719F8D-DCA7-4F26-B385-F433D7A47A25}"/>
    <cellStyle name="Normal 57" xfId="18049" xr:uid="{33EEC5DF-BB4E-43BF-BBE8-48A99CDA8E50}"/>
    <cellStyle name="Normal 57 2" xfId="18050" xr:uid="{2825AC35-56C2-43F0-AD21-57C31213DF6B}"/>
    <cellStyle name="Normal 57 3" xfId="18051" xr:uid="{1F432A5E-0A87-46B3-B453-BDB572133DF5}"/>
    <cellStyle name="Normal 58" xfId="18052" xr:uid="{00DCF921-C6BF-4386-9FF1-8F87243C67D4}"/>
    <cellStyle name="Normal 58 2" xfId="18053" xr:uid="{44678385-4F31-4D2B-B8C3-A0EF78A9CCA5}"/>
    <cellStyle name="Normal 58 3" xfId="18054" xr:uid="{87F149A5-80FB-4C7F-B321-EEFF6CB3568C}"/>
    <cellStyle name="Normal 59" xfId="18055" xr:uid="{B00076BE-86D8-4C9A-A6FC-6AB75E5CD953}"/>
    <cellStyle name="Normal 59 2" xfId="18056" xr:uid="{64315064-7AC1-4E2C-8146-0E79772F33C6}"/>
    <cellStyle name="Normal 59 3" xfId="18057" xr:uid="{3A35B892-4433-4A4E-9253-A8A78796AD44}"/>
    <cellStyle name="Normal 6" xfId="142" xr:uid="{D256F818-538F-4052-9CF8-E4428465FBAC}"/>
    <cellStyle name="Normal 6 10" xfId="18058" xr:uid="{4E23E71E-181F-4F8D-96D6-D7A28C46D869}"/>
    <cellStyle name="Normal 6 11" xfId="18059" xr:uid="{62D20F19-33FC-4C74-B1D4-BED8C8140972}"/>
    <cellStyle name="Normal 6 12" xfId="42766" xr:uid="{7EF95382-C6A4-4844-A41D-D93D48D53ADC}"/>
    <cellStyle name="Normal 6 2" xfId="18060" xr:uid="{76B1ED78-6187-4696-9966-B454C5807204}"/>
    <cellStyle name="Normal 6 2 2" xfId="18061" xr:uid="{C23D8EAB-35EB-4276-8FE2-A0F1FAF25F77}"/>
    <cellStyle name="Normal 6 2 2 2" xfId="18062" xr:uid="{73EA2C37-9705-4B09-B8E3-BA4E98E0A7DE}"/>
    <cellStyle name="Normal 6 2 2 2 2" xfId="42767" xr:uid="{62242431-DC8A-4CB6-AA97-8393BB357E33}"/>
    <cellStyle name="Normal 6 2 2 3" xfId="18063" xr:uid="{39EA2087-24A3-4101-8597-B01D69E628F4}"/>
    <cellStyle name="Normal 6 2 2 3 2" xfId="42768" xr:uid="{D74F4A76-6FD1-44DD-BC37-5955D77CAA43}"/>
    <cellStyle name="Normal 6 2 2 4" xfId="42769" xr:uid="{2D3BB9BB-8463-4A80-AB7F-DB642956C6AB}"/>
    <cellStyle name="Normal 6 2 3" xfId="18064" xr:uid="{A5CC32EC-7EDF-4EB4-A5BD-32A55D63F1F1}"/>
    <cellStyle name="Normal 6 2 3 2" xfId="42770" xr:uid="{0079E5C0-D99B-465E-AC95-7581B1FCB7ED}"/>
    <cellStyle name="Normal 6 2 4" xfId="18065" xr:uid="{81E233BA-A54E-4204-A092-B59059F2F6E1}"/>
    <cellStyle name="Normal 6 2 4 2" xfId="42771" xr:uid="{A05E1A4F-1A2F-498B-B3F1-7610E17BB16F}"/>
    <cellStyle name="Normal 6 2 5" xfId="42772" xr:uid="{519689AF-19C7-4A4C-A05E-B0FE502F0340}"/>
    <cellStyle name="Normal 6 3" xfId="18066" xr:uid="{B862D5CF-E66A-45AC-B7F2-F5EEEDCDF8BE}"/>
    <cellStyle name="Normal 6 3 2" xfId="18067" xr:uid="{ADDCECC0-1285-437F-8E3C-B4E6399C1EC2}"/>
    <cellStyle name="Normal 6 3 2 2" xfId="42773" xr:uid="{5305FF4B-B8B2-431D-87FA-8C8B12A646E4}"/>
    <cellStyle name="Normal 6 3 3" xfId="18068" xr:uid="{33883444-E9B7-43CF-BAB3-3B5004B8695F}"/>
    <cellStyle name="Normal 6 3 3 2" xfId="42774" xr:uid="{A89E1756-1591-4E63-8DBD-123CAF515EBB}"/>
    <cellStyle name="Normal 6 3 4" xfId="18069" xr:uid="{777576DF-1E1F-4F49-A9F5-D2C8D8449977}"/>
    <cellStyle name="Normal 6 3 5" xfId="43553" xr:uid="{CDE8E857-4CCC-47F7-9A8B-D35B56A9ABBC}"/>
    <cellStyle name="Normal 6 4" xfId="18070" xr:uid="{B2773CD8-D9D9-46C0-BE73-83C7B0EA46A0}"/>
    <cellStyle name="Normal 6 4 2" xfId="18071" xr:uid="{88C09688-5533-4E75-A03E-FA05F3E2D4DB}"/>
    <cellStyle name="Normal 6 4 3" xfId="42775" xr:uid="{CC9BA804-EAE1-4605-AB63-3D46FD96E7D5}"/>
    <cellStyle name="Normal 6 5" xfId="18072" xr:uid="{2F7DE781-FB45-41C8-8B63-58D081B7AA39}"/>
    <cellStyle name="Normal 6 5 2" xfId="18073" xr:uid="{992D01A0-561E-4AFE-B750-344026549CF0}"/>
    <cellStyle name="Normal 6 5 3" xfId="42776" xr:uid="{3D2DB649-FA7E-4EDD-A426-04EC7F0073CF}"/>
    <cellStyle name="Normal 6 6" xfId="18074" xr:uid="{78E06A65-631B-4CCB-ADF7-048AD5B5D2E3}"/>
    <cellStyle name="Normal 6 6 2" xfId="18075" xr:uid="{76F37306-7B86-4711-85CC-1F3CDBA8E8D8}"/>
    <cellStyle name="Normal 6 6 3" xfId="18076" xr:uid="{F1E4BFCD-1192-41E2-899E-B8D720BDB5E1}"/>
    <cellStyle name="Normal 6 7" xfId="18077" xr:uid="{6D50E309-B2EC-401D-967F-BB1124494415}"/>
    <cellStyle name="Normal 6 8" xfId="18078" xr:uid="{5A7B4049-999C-4D87-A682-F62CFA4423DC}"/>
    <cellStyle name="Normal 6 9" xfId="18079" xr:uid="{D04C2D33-6F87-4D7B-B1C3-E0561324AFD3}"/>
    <cellStyle name="Normal 60" xfId="18080" xr:uid="{5131ACBA-7B8C-4111-9462-E56644DC7103}"/>
    <cellStyle name="Normal 60 2" xfId="18081" xr:uid="{39203AD9-1278-453D-A079-963F4754B71B}"/>
    <cellStyle name="Normal 60 3" xfId="18082" xr:uid="{CF5BC758-41AB-44E8-A310-68AA944FBE29}"/>
    <cellStyle name="Normal 61" xfId="18083" xr:uid="{4D950723-3F1A-4808-8BBE-E7D1C1CB9E81}"/>
    <cellStyle name="Normal 61 2" xfId="18084" xr:uid="{89C9C3E1-AE4E-43C6-9566-3D566421F5B3}"/>
    <cellStyle name="Normal 61 3" xfId="18085" xr:uid="{7DAE5349-0873-4832-ADA8-C56742F94ADC}"/>
    <cellStyle name="Normal 62" xfId="18086" xr:uid="{5066E51B-7F61-4401-A232-E9383F1640EF}"/>
    <cellStyle name="Normal 62 2" xfId="18087" xr:uid="{A6B8BD56-72A5-4EA1-BFB1-19FBBDAC45F2}"/>
    <cellStyle name="Normal 62 3" xfId="18088" xr:uid="{9AAE1574-CE45-41D0-89DB-A852D9C96CCA}"/>
    <cellStyle name="Normal 63" xfId="18089" xr:uid="{E88A7127-DBC0-4E43-A97D-5BD019983157}"/>
    <cellStyle name="Normal 63 2" xfId="18090" xr:uid="{3CFCCBEC-BAE1-460C-8108-854CDBB646BA}"/>
    <cellStyle name="Normal 63 3" xfId="18091" xr:uid="{0900EB4E-365E-42C5-B6A1-59F56B4DA234}"/>
    <cellStyle name="Normal 64" xfId="18092" xr:uid="{CE8952D8-2597-41B9-BA83-8B35C2E45EAE}"/>
    <cellStyle name="Normal 64 2" xfId="18093" xr:uid="{7C6BB3FF-BD4B-4979-AE15-AA3D6B1D6A0E}"/>
    <cellStyle name="Normal 64 3" xfId="18094" xr:uid="{6EC70675-E1D4-4C66-84F2-4A0D56E77788}"/>
    <cellStyle name="Normal 65" xfId="18095" xr:uid="{316FE12C-0F3A-4F2B-8DB5-784986532E4B}"/>
    <cellStyle name="Normal 65 2" xfId="18096" xr:uid="{BF68B162-3CA6-4854-A72C-7DE91BC9EBC1}"/>
    <cellStyle name="Normal 65 2 2" xfId="42777" xr:uid="{CD9ACF95-66D1-4319-861D-FCF8281C93DF}"/>
    <cellStyle name="Normal 65 3" xfId="18097" xr:uid="{4F04D2F7-0A48-438D-BA82-87BC110EA8BB}"/>
    <cellStyle name="Normal 66" xfId="18098" xr:uid="{29AF603C-55DC-4D62-B70E-1E7A57D5BBFC}"/>
    <cellStyle name="Normal 66 2" xfId="18099" xr:uid="{D3A0DE18-589A-4380-93EB-28908FA1BE23}"/>
    <cellStyle name="Normal 66 3" xfId="18100" xr:uid="{C34FCF2E-BFC0-4829-8DEF-430656D8486A}"/>
    <cellStyle name="Normal 67" xfId="247" xr:uid="{5CDBC7CA-4EAD-439F-80D0-19B40E4448F0}"/>
    <cellStyle name="Normal 67 2" xfId="18101" xr:uid="{AB4E15D6-2282-412B-91B3-172939FE819E}"/>
    <cellStyle name="Normal 67 2 2" xfId="18102" xr:uid="{B0CD2264-CB04-4664-AA1B-147C88F2750D}"/>
    <cellStyle name="Normal 67 2 2 2" xfId="42778" xr:uid="{EE44CB68-16D2-492C-9592-ABF82A0EFB44}"/>
    <cellStyle name="Normal 67 2 3" xfId="42779" xr:uid="{84A48FA1-9925-4DC2-9264-032D58728898}"/>
    <cellStyle name="Normal 67 3" xfId="18103" xr:uid="{F8322706-F1B2-452A-BDE6-4A39F3579D0E}"/>
    <cellStyle name="Normal 67 3 2" xfId="18104" xr:uid="{7A129BB5-2453-4152-B1C6-CD4DE8B34B4A}"/>
    <cellStyle name="Normal 67 3 2 2" xfId="42780" xr:uid="{7F0D70D6-B78E-40B3-8924-FCEC9311EE79}"/>
    <cellStyle name="Normal 67 3 3" xfId="42781" xr:uid="{6CBE6EE1-8B43-4022-961B-7BF0DB9449A9}"/>
    <cellStyle name="Normal 67 4" xfId="18105" xr:uid="{98924747-A5B3-4434-BC12-FB51A706C608}"/>
    <cellStyle name="Normal 67 4 2" xfId="18106" xr:uid="{CC474684-8286-430D-8D7F-09A4B8AA1CAD}"/>
    <cellStyle name="Normal 67 4 2 2" xfId="42782" xr:uid="{B959FEAB-E6D4-49DB-A03F-03F54934463D}"/>
    <cellStyle name="Normal 67 4 3" xfId="42783" xr:uid="{260B3CF3-96AC-48F4-9379-5BABEB8AA77B}"/>
    <cellStyle name="Normal 67 5" xfId="18107" xr:uid="{4696A344-BC88-4DCC-B066-D173007FE6A4}"/>
    <cellStyle name="Normal 67 5 2" xfId="42784" xr:uid="{0260970B-50B9-457A-9754-C2D9F392CC3D}"/>
    <cellStyle name="Normal 67 6" xfId="42785" xr:uid="{B1E1B9B1-0226-4861-A9A3-59AEE218B001}"/>
    <cellStyle name="Normal 68" xfId="248" xr:uid="{9D32BAFA-8A6E-4915-99C4-521AB53DAABE}"/>
    <cellStyle name="Normal 68 2" xfId="18108" xr:uid="{15B0FE06-6025-4FF3-A4FC-1CB414442646}"/>
    <cellStyle name="Normal 68 2 2" xfId="18109" xr:uid="{25F82157-C60B-4851-9097-DC4C65A4E0BA}"/>
    <cellStyle name="Normal 68 2 2 2" xfId="42786" xr:uid="{8A438842-74A0-42E1-86E3-BD1283431C5C}"/>
    <cellStyle name="Normal 68 2 3" xfId="42787" xr:uid="{CE22A5DB-A2B7-4C91-ADAF-C749ABA0D9ED}"/>
    <cellStyle name="Normal 68 3" xfId="18110" xr:uid="{9AE67365-E06D-4ECB-AD65-1DA872A3162F}"/>
    <cellStyle name="Normal 68 3 2" xfId="18111" xr:uid="{B9096F98-7887-4249-83F0-A7B7B0238319}"/>
    <cellStyle name="Normal 68 3 2 2" xfId="42788" xr:uid="{47FA8F13-10E7-47FD-BE55-1E8AC9B6D08B}"/>
    <cellStyle name="Normal 68 3 3" xfId="42789" xr:uid="{D9685C56-A0EE-4954-A6FB-2AD6A2FDBE33}"/>
    <cellStyle name="Normal 68 4" xfId="18112" xr:uid="{F6F5938F-EFC5-4545-B2D4-31FEFBCCA213}"/>
    <cellStyle name="Normal 68 4 2" xfId="18113" xr:uid="{2720BC17-DC10-4966-8FF3-0EF76D8701FF}"/>
    <cellStyle name="Normal 68 4 2 2" xfId="42790" xr:uid="{2FB9632E-0BD5-4694-ADFB-87D37CEA6048}"/>
    <cellStyle name="Normal 68 4 3" xfId="42791" xr:uid="{78B6AF70-9A78-4FAA-A912-67C788B7448A}"/>
    <cellStyle name="Normal 68 5" xfId="18114" xr:uid="{E7D8EC67-CBF2-4884-A2BA-0DE97F332EAD}"/>
    <cellStyle name="Normal 68 5 2" xfId="42792" xr:uid="{B4FAB2EA-88EB-4B10-A279-0A388023FD2C}"/>
    <cellStyle name="Normal 68 6" xfId="42793" xr:uid="{BE24F014-E8B1-40FF-AD49-D64CCE8A8F07}"/>
    <cellStyle name="Normal 69" xfId="249" xr:uid="{EF37C2F7-5571-4B55-89AD-6FEE380F3229}"/>
    <cellStyle name="Normal 69 2" xfId="18115" xr:uid="{969DDED5-BDF8-4EEC-8C17-747C1EB1DE50}"/>
    <cellStyle name="Normal 69 2 2" xfId="18116" xr:uid="{486EFB17-64F8-4D41-AFCC-63AFAD3D5BD4}"/>
    <cellStyle name="Normal 69 2 2 2" xfId="42794" xr:uid="{8AE75489-BAE4-4B34-AD4C-4B08F1B5B121}"/>
    <cellStyle name="Normal 69 2 3" xfId="42795" xr:uid="{F82CBA10-A5A8-48C1-ADA5-00C0DFF9B893}"/>
    <cellStyle name="Normal 69 3" xfId="18117" xr:uid="{233AE72B-568A-48D2-902F-95C6EC6DA38F}"/>
    <cellStyle name="Normal 69 3 2" xfId="18118" xr:uid="{BBD0A26E-1DA1-459C-ACC2-C75BD4EF055A}"/>
    <cellStyle name="Normal 69 3 2 2" xfId="42796" xr:uid="{883A9491-7234-4DEA-97CF-BD6A8FCDA868}"/>
    <cellStyle name="Normal 69 3 3" xfId="42797" xr:uid="{59BD7199-4189-4693-9D7D-319F3A547943}"/>
    <cellStyle name="Normal 69 4" xfId="18119" xr:uid="{0341FF77-BF70-4B6A-8C46-9106CB01681B}"/>
    <cellStyle name="Normal 69 4 2" xfId="18120" xr:uid="{BAED8A11-F033-4ED1-96AB-410D53A86569}"/>
    <cellStyle name="Normal 69 4 2 2" xfId="42798" xr:uid="{9A4FA4C9-8662-4C81-8CEB-68FDDCFAC99C}"/>
    <cellStyle name="Normal 69 4 3" xfId="42799" xr:uid="{8EA3C885-7E7B-45DA-A91D-468230307A0A}"/>
    <cellStyle name="Normal 69 5" xfId="18121" xr:uid="{C4DA2B87-0897-4817-85C1-74743675C8D2}"/>
    <cellStyle name="Normal 69 5 2" xfId="42800" xr:uid="{C578F809-9576-41E5-B8C1-289211519DB5}"/>
    <cellStyle name="Normal 69 6" xfId="42801" xr:uid="{DA300F4C-0BFF-4A5C-A680-4611B9128E7F}"/>
    <cellStyle name="Normal 7" xfId="27" xr:uid="{D5B5E0E3-DC2B-44D9-8A11-A6C8C1AD539A}"/>
    <cellStyle name="Normal 7 10" xfId="18122" xr:uid="{76F0F4D6-0293-459D-8435-B659166D8FB1}"/>
    <cellStyle name="Normal 7 11" xfId="43619" xr:uid="{65664D0D-0575-4AAA-B5E8-86B4FDFB223B}"/>
    <cellStyle name="Normal 7 12" xfId="250" xr:uid="{24C94D75-0692-47D4-9F65-0C4BC0C0F4EE}"/>
    <cellStyle name="Normal 7 2" xfId="18123" xr:uid="{72722AF7-8CF6-438E-8E02-E06EA08B4307}"/>
    <cellStyle name="Normal 7 2 2" xfId="18124" xr:uid="{CB556447-1EAF-49D1-8F54-6CE1C41B68C4}"/>
    <cellStyle name="Normal 7 2 2 2" xfId="18125" xr:uid="{45DFBE21-F58C-4E25-B803-784FED283E61}"/>
    <cellStyle name="Normal 7 2 2 2 2" xfId="42802" xr:uid="{7EDAA902-9E11-4BBE-A411-3BDAA3493282}"/>
    <cellStyle name="Normal 7 2 2 3" xfId="18126" xr:uid="{890D2726-BD2E-4565-B98D-98C762825E0C}"/>
    <cellStyle name="Normal 7 2 2 3 2" xfId="42803" xr:uid="{224B8778-66F0-4159-88C7-67D3661EEC2A}"/>
    <cellStyle name="Normal 7 2 2 4" xfId="42804" xr:uid="{103EA1AD-0E61-485A-B6B0-0CA827259E3B}"/>
    <cellStyle name="Normal 7 2 3" xfId="18127" xr:uid="{BC7CDC10-6C4B-49B0-A006-B3BC9D36818F}"/>
    <cellStyle name="Normal 7 2 3 2" xfId="42805" xr:uid="{71ECC54A-5115-4B5A-B497-AEBE4286EB25}"/>
    <cellStyle name="Normal 7 2 4" xfId="18128" xr:uid="{F8D937EB-7EF9-4901-96E0-2D9731EDD4EF}"/>
    <cellStyle name="Normal 7 2 4 2" xfId="42806" xr:uid="{AA6AB159-3BF4-48A3-B2D2-ED0CC96B5814}"/>
    <cellStyle name="Normal 7 2 5" xfId="42807" xr:uid="{A92E6CE1-116A-4271-A5E3-8546BB4CF643}"/>
    <cellStyle name="Normal 7 3" xfId="18129" xr:uid="{069CEC77-079F-401E-AD97-C42A76263833}"/>
    <cellStyle name="Normal 7 3 2" xfId="18130" xr:uid="{BA27C01A-838D-4E1A-83E4-5AAB722CB7D9}"/>
    <cellStyle name="Normal 7 3 2 2" xfId="18131" xr:uid="{F4F583D8-46B1-427A-9A37-A8F82578D63E}"/>
    <cellStyle name="Normal 7 3 2 3" xfId="42808" xr:uid="{78D718D7-FCBF-46B2-ABF2-F7DD736FE94F}"/>
    <cellStyle name="Normal 7 3 3" xfId="18132" xr:uid="{BB8FA95B-99A1-4C11-96D4-FFEFB0A6EC0C}"/>
    <cellStyle name="Normal 7 3 3 2" xfId="42809" xr:uid="{D3129CCB-D45E-4E46-AAA4-0650E337BB58}"/>
    <cellStyle name="Normal 7 3 4" xfId="18133" xr:uid="{09902B38-C9A3-4631-8426-ECB6A2051151}"/>
    <cellStyle name="Normal 7 3 5" xfId="42810" xr:uid="{FC634319-F495-4244-B2C7-E3D73AC15298}"/>
    <cellStyle name="Normal 7 4" xfId="18134" xr:uid="{FDA94ACB-023D-495F-AAED-5F2F45865732}"/>
    <cellStyle name="Normal 7 4 2" xfId="18135" xr:uid="{B9972304-4CF3-4850-A5B0-BBFA02A19D98}"/>
    <cellStyle name="Normal 7 4 3" xfId="18136" xr:uid="{2E3E107D-7861-431F-BCF5-723A62317E88}"/>
    <cellStyle name="Normal 7 5" xfId="18137" xr:uid="{683B1513-0D45-4B6E-9A99-D920A6F84A48}"/>
    <cellStyle name="Normal 7 5 2" xfId="18138" xr:uid="{1676E0E6-2B00-4E12-8FA4-CFB986B8C096}"/>
    <cellStyle name="Normal 7 5 3" xfId="42811" xr:uid="{30C9B17C-D689-4C34-BC8D-63D1596FCBFC}"/>
    <cellStyle name="Normal 7 6" xfId="18139" xr:uid="{3F80EFD7-4543-482C-B814-6E53D3EF55FE}"/>
    <cellStyle name="Normal 7 6 2" xfId="18140" xr:uid="{6BA5823F-3A11-440F-A600-830EC240A9C1}"/>
    <cellStyle name="Normal 7 6 3" xfId="18141" xr:uid="{516793A3-3700-46A2-93C4-C177C5CA9D21}"/>
    <cellStyle name="Normal 7 7" xfId="18142" xr:uid="{7A16B281-BD7A-453D-B3CF-A63836C19F2F}"/>
    <cellStyle name="Normal 7 7 2" xfId="18143" xr:uid="{0CADAA84-F277-480D-8624-CAB8EB6E3EED}"/>
    <cellStyle name="Normal 7 8" xfId="18144" xr:uid="{BCD5E837-8DB6-4171-B552-F630214CE60B}"/>
    <cellStyle name="Normal 7 9" xfId="18145" xr:uid="{C45CF86F-F2FB-4B76-A500-33693CBFF5C5}"/>
    <cellStyle name="Normal 7_2010-12 Current Payable Netting Rpt - FINAL" xfId="18146" xr:uid="{77AF70F4-45F7-42B6-9CD6-FE5C6E557728}"/>
    <cellStyle name="Normal 70" xfId="251" xr:uid="{659400FC-405D-48E2-B04F-38224ACB0F0E}"/>
    <cellStyle name="Normal 70 2" xfId="18147" xr:uid="{E9C91C0D-EE65-40E9-8204-1833351C35E8}"/>
    <cellStyle name="Normal 70 2 2" xfId="18148" xr:uid="{EDFDFD36-085A-4126-B5EC-341BBEFC8877}"/>
    <cellStyle name="Normal 70 2 2 2" xfId="42812" xr:uid="{2E90FCE6-404D-46CD-BE2E-81ECA85AC2C4}"/>
    <cellStyle name="Normal 70 2 3" xfId="42813" xr:uid="{755EAEB3-DE70-4977-AF38-710DBD2AB44F}"/>
    <cellStyle name="Normal 70 3" xfId="18149" xr:uid="{6E9F498B-B069-4872-BE31-F9285CBD1B7B}"/>
    <cellStyle name="Normal 70 3 2" xfId="18150" xr:uid="{34A103FF-1582-4FC3-93EF-D4DFEC09D2C2}"/>
    <cellStyle name="Normal 70 3 2 2" xfId="42814" xr:uid="{7FCB53A9-2EAA-4A5D-917E-FA9EA0E14F89}"/>
    <cellStyle name="Normal 70 3 3" xfId="42815" xr:uid="{E7332CA1-FE72-4214-A462-E25FEE6C111E}"/>
    <cellStyle name="Normal 70 4" xfId="18151" xr:uid="{AB57CCA0-1DB4-40B9-95AB-6533BC0F63F2}"/>
    <cellStyle name="Normal 70 4 2" xfId="18152" xr:uid="{1F151632-CDAF-4009-B143-91200BF5CC79}"/>
    <cellStyle name="Normal 70 4 2 2" xfId="42816" xr:uid="{01086B3B-3CBC-47CF-9E35-8546D2C976BB}"/>
    <cellStyle name="Normal 70 4 3" xfId="42817" xr:uid="{AAC6FF3A-B264-470B-B874-9A5C1DF148F7}"/>
    <cellStyle name="Normal 70 5" xfId="18153" xr:uid="{E78038CF-8944-4CF8-8883-A4F6A3B3A7D8}"/>
    <cellStyle name="Normal 70 5 2" xfId="42818" xr:uid="{7EB84E8F-6B3B-4B43-9B9B-C504CB2601FD}"/>
    <cellStyle name="Normal 70 6" xfId="42819" xr:uid="{2857CE1D-F051-4FDA-B590-572BCF5298C1}"/>
    <cellStyle name="Normal 71" xfId="252" xr:uid="{95199420-1826-4CCF-81AF-8F37AC8A4991}"/>
    <cellStyle name="Normal 71 2" xfId="18154" xr:uid="{C962565D-69B9-4FF6-9C63-953EB46EF39F}"/>
    <cellStyle name="Normal 71 2 2" xfId="18155" xr:uid="{146282CA-A1CF-41FE-A637-1E48F5D32AAE}"/>
    <cellStyle name="Normal 71 2 2 2" xfId="42820" xr:uid="{A7F536AD-B0E6-435D-A928-66CC96380A71}"/>
    <cellStyle name="Normal 71 2 3" xfId="42821" xr:uid="{D57575E7-60D8-439C-8B11-91A4D4B2B60D}"/>
    <cellStyle name="Normal 71 3" xfId="18156" xr:uid="{FBFBE58D-1ECA-49B9-85EA-23D5709DB2F7}"/>
    <cellStyle name="Normal 71 3 2" xfId="18157" xr:uid="{773E3226-8194-4C33-95E7-6E6AD7097E8B}"/>
    <cellStyle name="Normal 71 3 2 2" xfId="42822" xr:uid="{F6B5DBE8-CAD8-4795-8ABB-58216898673A}"/>
    <cellStyle name="Normal 71 3 3" xfId="42823" xr:uid="{B0481AE7-0773-4D32-8938-FD118035C712}"/>
    <cellStyle name="Normal 71 4" xfId="18158" xr:uid="{1B130A5C-E283-453A-A13B-69F3A7EDF2C8}"/>
    <cellStyle name="Normal 71 4 2" xfId="18159" xr:uid="{D65D127B-21D5-477F-B44D-C1E52E6B7788}"/>
    <cellStyle name="Normal 71 4 2 2" xfId="42824" xr:uid="{E725233E-7D8B-441E-A23E-5E1F9443B540}"/>
    <cellStyle name="Normal 71 4 3" xfId="42825" xr:uid="{BCD329DF-4690-4728-9807-0E755A43AC3E}"/>
    <cellStyle name="Normal 71 5" xfId="18160" xr:uid="{812B85C7-A2F6-4FE2-B1E1-0A370D9260BD}"/>
    <cellStyle name="Normal 71 5 2" xfId="42826" xr:uid="{7922468B-2573-4FAF-BE4B-DFA224FC7807}"/>
    <cellStyle name="Normal 71 6" xfId="42827" xr:uid="{E9A7FFE7-1A07-4B61-8B96-23D61B1F6E0D}"/>
    <cellStyle name="Normal 72" xfId="253" xr:uid="{26BA1626-6C8A-4083-84DC-40E7603FA13D}"/>
    <cellStyle name="Normal 72 2" xfId="18161" xr:uid="{A0EBC341-2FCB-40DC-BBAB-303E6DF0170F}"/>
    <cellStyle name="Normal 72 2 2" xfId="18162" xr:uid="{68F622D5-8F31-46F7-8E5D-A03E2B92EF8A}"/>
    <cellStyle name="Normal 72 2 2 2" xfId="42828" xr:uid="{D45B88A3-BF45-4B39-84E4-98C87F532332}"/>
    <cellStyle name="Normal 72 2 3" xfId="42829" xr:uid="{7DB32CF2-DF5B-48E4-87EA-BBE5060877DA}"/>
    <cellStyle name="Normal 72 3" xfId="18163" xr:uid="{63706E73-BE2A-49E9-9599-8A070FFFB1F7}"/>
    <cellStyle name="Normal 72 3 2" xfId="18164" xr:uid="{BEA6C12F-DEA7-4CC0-A531-CF1B3834BC4C}"/>
    <cellStyle name="Normal 72 3 2 2" xfId="42830" xr:uid="{0C246764-5762-4590-BCEA-7169005370FD}"/>
    <cellStyle name="Normal 72 3 3" xfId="42831" xr:uid="{4853D161-7280-4013-A0B0-5486ABBB6626}"/>
    <cellStyle name="Normal 72 4" xfId="18165" xr:uid="{F3B67F87-22D5-4ECD-9B02-994AC40C535E}"/>
    <cellStyle name="Normal 72 4 2" xfId="18166" xr:uid="{D4A2F5BF-C8F0-4C8A-842D-1C1DD8F81CC8}"/>
    <cellStyle name="Normal 72 4 2 2" xfId="42832" xr:uid="{56F54510-5277-499D-8DC2-E42D02C13E7D}"/>
    <cellStyle name="Normal 72 4 3" xfId="42833" xr:uid="{86C8259A-2A31-422F-A2CF-9A5E56D96A9D}"/>
    <cellStyle name="Normal 72 5" xfId="18167" xr:uid="{33737AA0-18E0-4661-8539-2EDA1FAC8D8F}"/>
    <cellStyle name="Normal 72 5 2" xfId="42834" xr:uid="{E101DB8C-3FA3-4D14-849B-4976722980B5}"/>
    <cellStyle name="Normal 72 6" xfId="42835" xr:uid="{A0E3FF6F-669A-4912-90DE-F03EF9B078E8}"/>
    <cellStyle name="Normal 73" xfId="18168" xr:uid="{B1EBBA60-E94B-48A2-989A-27FB1CCC596B}"/>
    <cellStyle name="Normal 73 2" xfId="18169" xr:uid="{22FD53BC-DF15-46EB-AB36-01265C976458}"/>
    <cellStyle name="Normal 73 3" xfId="18170" xr:uid="{997EB607-30C3-45C3-89E3-DFF24D9CFA1D}"/>
    <cellStyle name="Normal 74" xfId="18171" xr:uid="{D662AFBD-841B-440E-AE5F-D78A98705533}"/>
    <cellStyle name="Normal 74 2" xfId="18172" xr:uid="{1D9822AF-7DA9-4D0C-98BB-34031C23C649}"/>
    <cellStyle name="Normal 74 3" xfId="18173" xr:uid="{C46C181C-3E44-4607-AAA9-369BB381E207}"/>
    <cellStyle name="Normal 75" xfId="18174" xr:uid="{84BBE053-A63B-42D7-A5EB-CF6CA11F21C9}"/>
    <cellStyle name="Normal 75 2" xfId="18175" xr:uid="{5F6D79AD-45FA-47B5-B79C-8719E4AADA46}"/>
    <cellStyle name="Normal 75 3" xfId="18176" xr:uid="{AC7A9114-04E7-4E65-8EB8-EC6714BFF159}"/>
    <cellStyle name="Normal 76" xfId="18177" xr:uid="{C4EAEB26-7034-4F1D-934D-B68676C2F6CD}"/>
    <cellStyle name="Normal 76 2" xfId="18178" xr:uid="{766599D5-2F9B-4E0F-8701-25C446409833}"/>
    <cellStyle name="Normal 76 3" xfId="18179" xr:uid="{1A50E236-F8B2-4D6C-B06F-09E6B262FACD}"/>
    <cellStyle name="Normal 77" xfId="18180" xr:uid="{592B455E-19F7-403B-ABF7-492799A18AE4}"/>
    <cellStyle name="Normal 77 2" xfId="18181" xr:uid="{85FACED7-0036-4492-9C2E-63E34C05F56A}"/>
    <cellStyle name="Normal 77 3" xfId="18182" xr:uid="{E17B3261-D56E-478E-835C-ABF2D5F1D30D}"/>
    <cellStyle name="Normal 78" xfId="18183" xr:uid="{07ADEC94-96F7-4B26-B44F-4C5B9ED55ABD}"/>
    <cellStyle name="Normal 78 2" xfId="18184" xr:uid="{7102B489-6DCD-4D23-B006-EED489F60666}"/>
    <cellStyle name="Normal 78 3" xfId="18185" xr:uid="{7C8C1278-5020-4F34-9727-10645470B4FE}"/>
    <cellStyle name="Normal 79" xfId="18186" xr:uid="{F06D4A6B-296E-4E04-AC5C-F908A4E09643}"/>
    <cellStyle name="Normal 79 2" xfId="18187" xr:uid="{CFF03F61-5DCD-4C58-89AB-9CA1007E9A14}"/>
    <cellStyle name="Normal 79 3" xfId="18188" xr:uid="{13340D7E-579D-4763-A84A-D0EF8DEAE441}"/>
    <cellStyle name="Normal 8" xfId="147" xr:uid="{56776621-D035-4D92-8F56-61856F74D484}"/>
    <cellStyle name="Normal 8 10" xfId="42836" xr:uid="{04535A3D-721E-4D09-9BFA-53B9D9B4FADB}"/>
    <cellStyle name="Normal 8 11" xfId="42837" xr:uid="{D1797DB5-6E4A-4672-A01E-840BE7D447C6}"/>
    <cellStyle name="Normal 8 12" xfId="42838" xr:uid="{47A42316-4BF8-4C25-8CC1-AE440896161B}"/>
    <cellStyle name="Normal 8 13" xfId="254" xr:uid="{B74376DC-7C1F-4FA8-BDAB-1B1EA02077BF}"/>
    <cellStyle name="Normal 8 2" xfId="159" xr:uid="{2190B85A-5122-4D8F-B5A7-5EB7846F139D}"/>
    <cellStyle name="Normal 8 2 2" xfId="255" xr:uid="{BA8A0A14-9221-4D08-A5A8-6BBA40AE5FBF}"/>
    <cellStyle name="Normal 8 2 2 2" xfId="18189" xr:uid="{4B2CCC02-A79B-47FB-9563-8A374B0499C6}"/>
    <cellStyle name="Normal 8 2 2 2 2" xfId="18190" xr:uid="{AB273BD3-7259-42D2-910A-00A5425491D2}"/>
    <cellStyle name="Normal 8 2 2 2 3" xfId="42839" xr:uid="{4B27F928-C2A9-4EF3-8DEF-533F49F164E5}"/>
    <cellStyle name="Normal 8 2 2 3" xfId="18191" xr:uid="{27B01F11-8599-4675-B857-A4791102B3EA}"/>
    <cellStyle name="Normal 8 2 2 3 2" xfId="18192" xr:uid="{6246EF74-126E-49FC-8D77-EA24C31D65B1}"/>
    <cellStyle name="Normal 8 2 2 4" xfId="18193" xr:uid="{48EB0563-BCE6-49CF-B41E-C6FBE25A6053}"/>
    <cellStyle name="Normal 8 2 2 5" xfId="18194" xr:uid="{82A1DE54-2C50-4755-880E-BE258420D71F}"/>
    <cellStyle name="Normal 8 2 2 6" xfId="42840" xr:uid="{CBA908A8-7E0A-4F8E-8D57-B7911443FE75}"/>
    <cellStyle name="Normal 8 2 2 7" xfId="43514" xr:uid="{D0E31782-D3A6-492A-84B9-C68C6E5877D5}"/>
    <cellStyle name="Normal 8 2 3" xfId="18195" xr:uid="{A6CEC990-6E0C-4E00-9280-72872F81D526}"/>
    <cellStyle name="Normal 8 2 3 2" xfId="42841" xr:uid="{22409E44-4EE1-4A85-8F19-E1814BB2E0EC}"/>
    <cellStyle name="Normal 8 2 4" xfId="18196" xr:uid="{591D98A6-51FE-4D02-B168-3A67E1453D50}"/>
    <cellStyle name="Normal 8 2 4 2" xfId="42842" xr:uid="{E2887D1F-7C8B-4B3C-8123-E9E50FA0D822}"/>
    <cellStyle name="Normal 8 2 5" xfId="42843" xr:uid="{0693A15B-3175-4AD8-9ADB-6A958C2216AE}"/>
    <cellStyle name="Normal 8 3" xfId="18197" xr:uid="{50C7C8EF-A7ED-46A2-8BF8-0342872C2B27}"/>
    <cellStyle name="Normal 8 3 2" xfId="18198" xr:uid="{25F416FC-DF0D-4182-8B24-FEB5A4B6265B}"/>
    <cellStyle name="Normal 8 3 2 2" xfId="18199" xr:uid="{268441B9-3C85-4241-A747-045EA2E0B56D}"/>
    <cellStyle name="Normal 8 3 2 3" xfId="18200" xr:uid="{074F86B0-CFAC-48A3-A5A3-E352EC1868F9}"/>
    <cellStyle name="Normal 8 3 2 4" xfId="42844" xr:uid="{25A99D01-2D60-4420-A051-E4216E8EDF8E}"/>
    <cellStyle name="Normal 8 3 3" xfId="18201" xr:uid="{517847FC-5853-44AF-BBE2-A00962199DCA}"/>
    <cellStyle name="Normal 8 3 3 2" xfId="18202" xr:uid="{F7CF4CA5-A4E2-4FC3-A5A8-1BF29E3C0FF2}"/>
    <cellStyle name="Normal 8 3 3 3" xfId="18203" xr:uid="{323DDD29-3F0D-4090-A42F-48DC832F7193}"/>
    <cellStyle name="Normal 8 3 3 4" xfId="42845" xr:uid="{34DF3500-9FC8-4C72-A921-0D9442B21099}"/>
    <cellStyle name="Normal 8 3 4" xfId="18204" xr:uid="{CFA89483-C413-427C-8469-288FCDEA1BB2}"/>
    <cellStyle name="Normal 8 3 5" xfId="18205" xr:uid="{4E428152-8FBD-45AE-AF60-C9B32D569C77}"/>
    <cellStyle name="Normal 8 3 6" xfId="18206" xr:uid="{A9BCBB35-DF6B-4EBB-A657-46B7B3848BE8}"/>
    <cellStyle name="Normal 8 3 7" xfId="42846" xr:uid="{1E6EC736-CEA0-4AEB-9053-53BA0FB0C0CD}"/>
    <cellStyle name="Normal 8 3 8" xfId="43498" xr:uid="{B45B1A2A-D76C-441C-8050-D4FE41E61980}"/>
    <cellStyle name="Normal 8 4" xfId="18207" xr:uid="{AEC594CC-8880-4F5E-BABF-B42754633F13}"/>
    <cellStyle name="Normal 8 4 2" xfId="18208" xr:uid="{F4F3D06B-6F18-4036-AC3D-B00E51019025}"/>
    <cellStyle name="Normal 8 4 3" xfId="42847" xr:uid="{424BB918-7984-45CF-9078-044639E47036}"/>
    <cellStyle name="Normal 8 5" xfId="18209" xr:uid="{992E618C-9834-4242-AA1A-7DFC714C0241}"/>
    <cellStyle name="Normal 8 5 2" xfId="42848" xr:uid="{A7100F44-F00E-49AA-9447-4CCA30681480}"/>
    <cellStyle name="Normal 8 5 3" xfId="42849" xr:uid="{307E4DA8-E87E-496B-A79E-F79EE50163E1}"/>
    <cellStyle name="Normal 8 6" xfId="18210" xr:uid="{D24A49AB-E288-4931-8A73-C310F36274C8}"/>
    <cellStyle name="Normal 8 6 2" xfId="18211" xr:uid="{93727682-1839-40E1-87A7-81B9F745CA9D}"/>
    <cellStyle name="Normal 8 6 3" xfId="42850" xr:uid="{B0C58394-A882-448A-B7AC-EB2D284791D7}"/>
    <cellStyle name="Normal 8 7" xfId="18212" xr:uid="{6B07272D-F559-4479-B28B-98CB21856FDB}"/>
    <cellStyle name="Normal 8 7 2" xfId="42851" xr:uid="{E427928F-B04E-4D0C-AA12-84D0C1FE2A69}"/>
    <cellStyle name="Normal 8 8" xfId="42852" xr:uid="{3B68C275-5DD1-4751-97B5-29186AB809D6}"/>
    <cellStyle name="Normal 8 8 2" xfId="42853" xr:uid="{33107D8F-7FC1-44F4-BB4A-77BF35427F89}"/>
    <cellStyle name="Normal 8 9" xfId="42854" xr:uid="{ACB2D85B-8959-46AF-9F43-85F950A8C692}"/>
    <cellStyle name="Normal 8_PwrTax 51040" xfId="18213" xr:uid="{01BC75D0-4063-4E4A-A130-03ED2A58D395}"/>
    <cellStyle name="Normal 80" xfId="18214" xr:uid="{7270CB8D-774D-408E-8C29-73251BC731F8}"/>
    <cellStyle name="Normal 80 2" xfId="18215" xr:uid="{972F3C9B-1FEA-4113-BF3C-42DDF996E28A}"/>
    <cellStyle name="Normal 80 3" xfId="18216" xr:uid="{D36DE42C-8B89-4199-B24C-90CDF0EAD42A}"/>
    <cellStyle name="Normal 81" xfId="18217" xr:uid="{094AE6F6-A100-4B27-B0F7-9448D92D0229}"/>
    <cellStyle name="Normal 81 2" xfId="18218" xr:uid="{F48F0447-12BB-4945-8FEA-51059CEDC3C2}"/>
    <cellStyle name="Normal 81 3" xfId="18219" xr:uid="{354196EA-90AC-4E68-B579-AFDAECAED680}"/>
    <cellStyle name="Normal 82" xfId="18220" xr:uid="{6B04E840-BDDF-41F9-B101-A363BA3B3FED}"/>
    <cellStyle name="Normal 82 2" xfId="18221" xr:uid="{3E787A4C-F301-40D3-834D-157761DEF9E6}"/>
    <cellStyle name="Normal 82 3" xfId="18222" xr:uid="{0053EE88-5A4F-436F-9E5C-2C6D06AD8C0B}"/>
    <cellStyle name="Normal 83" xfId="18223" xr:uid="{59FE389A-233E-483D-935B-CB33654E8C50}"/>
    <cellStyle name="Normal 83 2" xfId="18224" xr:uid="{0CF0D7AC-C645-4BCD-B8EE-8EB8D568FC40}"/>
    <cellStyle name="Normal 83 3" xfId="18225" xr:uid="{01000376-ACB3-4DB3-AA26-14FADF85C0E6}"/>
    <cellStyle name="Normal 84" xfId="18226" xr:uid="{12ECE45B-C07A-4ECB-9E7A-6FA8A808771F}"/>
    <cellStyle name="Normal 84 2" xfId="18227" xr:uid="{E9D53A91-D661-4070-BE56-3232178C03B3}"/>
    <cellStyle name="Normal 84 3" xfId="18228" xr:uid="{936220D8-56DB-452F-A4A2-E05BC2C91B50}"/>
    <cellStyle name="Normal 85" xfId="18229" xr:uid="{592C28A1-03F2-47D4-AEE8-F090F1B547BA}"/>
    <cellStyle name="Normal 85 2" xfId="18230" xr:uid="{732924FB-07AC-4A21-9D07-FE772AE92BDA}"/>
    <cellStyle name="Normal 85 3" xfId="18231" xr:uid="{735D514E-A600-4058-9B37-E5444BA023C7}"/>
    <cellStyle name="Normal 86" xfId="18232" xr:uid="{1F60149A-7211-4032-B79A-49D1455F1A48}"/>
    <cellStyle name="Normal 86 2" xfId="18233" xr:uid="{17386E71-43B1-4246-9DC2-AAE2DB431A0D}"/>
    <cellStyle name="Normal 86 3" xfId="18234" xr:uid="{3B16099B-7214-4D12-8A4F-A42740ADFF09}"/>
    <cellStyle name="Normal 87" xfId="18235" xr:uid="{ED981BD3-D16C-4A44-BF3E-DDADC63D0613}"/>
    <cellStyle name="Normal 87 2" xfId="18236" xr:uid="{E26E02A6-B0DD-4F28-AA40-0355E6FB6270}"/>
    <cellStyle name="Normal 87 3" xfId="18237" xr:uid="{7B9C5072-0522-4199-8C24-12750F959C17}"/>
    <cellStyle name="Normal 88" xfId="18238" xr:uid="{02268AD9-CE79-43D3-95A8-4E75A331473F}"/>
    <cellStyle name="Normal 88 2" xfId="18239" xr:uid="{262ED36D-0E79-4D13-B6A9-9354849A18BC}"/>
    <cellStyle name="Normal 88 3" xfId="18240" xr:uid="{FBCBEB4B-6CFC-4C69-83A7-2AAD357579AE}"/>
    <cellStyle name="Normal 89" xfId="18241" xr:uid="{78A99046-565D-4B88-AE2A-B57B447E278F}"/>
    <cellStyle name="Normal 89 2" xfId="18242" xr:uid="{90FBC81B-3E42-494C-A4A4-B7B35EFCE376}"/>
    <cellStyle name="Normal 89 3" xfId="18243" xr:uid="{E8A728F9-2218-4DE3-A44B-5C32EC1A3AF2}"/>
    <cellStyle name="Normal 9" xfId="155" xr:uid="{880F2C80-EE04-4EAB-ACEC-B8A30062EA2F}"/>
    <cellStyle name="Normal 9 10" xfId="310" xr:uid="{F6478209-BE4C-41B6-A9E9-CF02FEEEBC3C}"/>
    <cellStyle name="Normal 9 2" xfId="160" xr:uid="{556243C3-C495-4523-BEAB-524FC0878EAE}"/>
    <cellStyle name="Normal 9 2 2" xfId="18244" xr:uid="{BF7AC01F-F6A5-4903-9441-6F2866D925ED}"/>
    <cellStyle name="Normal 9 2 2 2" xfId="18245" xr:uid="{0F16C868-C41E-4339-B13E-D93F1A1B7DD3}"/>
    <cellStyle name="Normal 9 2 2 2 2" xfId="42855" xr:uid="{C665133F-D625-4BF0-BEA6-52FAAD6B3DBB}"/>
    <cellStyle name="Normal 9 2 2 3" xfId="18246" xr:uid="{2DBFCC7C-A62B-4F27-B8BA-4B46E01035B2}"/>
    <cellStyle name="Normal 9 2 2 3 2" xfId="42856" xr:uid="{24C23FA2-B764-4317-9A3E-9FC12A05FC87}"/>
    <cellStyle name="Normal 9 2 2 4" xfId="42857" xr:uid="{116FE6CD-2DDB-47CB-8CF7-0B2B2A4D16DA}"/>
    <cellStyle name="Normal 9 2 3" xfId="18247" xr:uid="{E6462EE6-3A49-4B4D-9AE1-AA65FE02ABA0}"/>
    <cellStyle name="Normal 9 2 3 2" xfId="42858" xr:uid="{36BCC0FA-EAC6-48BD-9626-06C2FD1667E5}"/>
    <cellStyle name="Normal 9 2 4" xfId="18248" xr:uid="{8FC4762D-2489-49B8-83EB-7943EF03FE02}"/>
    <cellStyle name="Normal 9 2 4 2" xfId="42859" xr:uid="{F3E86029-90FA-4033-86D8-8612F4D6EA45}"/>
    <cellStyle name="Normal 9 2 5" xfId="42860" xr:uid="{78C77B01-A96E-408B-8830-5C1BB14BF7AB}"/>
    <cellStyle name="Normal 9 3" xfId="18249" xr:uid="{6102810E-3B7A-4983-9C49-9332698D42BC}"/>
    <cellStyle name="Normal 9 3 2" xfId="18250" xr:uid="{AD705985-0CDC-4B8E-ADDC-DED58F59734F}"/>
    <cellStyle name="Normal 9 3 2 2" xfId="18251" xr:uid="{62E79ADA-6EEE-4814-9758-AC6783A066A4}"/>
    <cellStyle name="Normal 9 3 2 3" xfId="42861" xr:uid="{D8F66180-F109-4FF1-BB29-7BBB94467D0B}"/>
    <cellStyle name="Normal 9 3 3" xfId="18252" xr:uid="{3D7ECE32-5770-4F10-91D7-3647DE332164}"/>
    <cellStyle name="Normal 9 3 3 2" xfId="42862" xr:uid="{37C52D3D-4600-4090-ABAA-C93FEF1DA5CC}"/>
    <cellStyle name="Normal 9 3 4" xfId="18253" xr:uid="{61F68D89-9CF6-4D7A-BF9E-26B4E6549545}"/>
    <cellStyle name="Normal 9 3 5" xfId="18254" xr:uid="{886DAB8A-72F5-4A07-A07C-6C09AC4A4478}"/>
    <cellStyle name="Normal 9 3 6" xfId="42863" xr:uid="{EC45AF0F-0222-45C0-AEC2-CCD786E72392}"/>
    <cellStyle name="Normal 9 4" xfId="18255" xr:uid="{5F0388AC-D99E-4E69-BD40-2EAECB50550A}"/>
    <cellStyle name="Normal 9 4 2" xfId="18256" xr:uid="{2679A2BB-B131-470F-BC4C-5FA730FFF947}"/>
    <cellStyle name="Normal 9 4 3" xfId="18257" xr:uid="{61982852-E9D8-4861-B32A-78569D17597A}"/>
    <cellStyle name="Normal 9 4 3 2" xfId="18258" xr:uid="{59AEAB4E-04B6-43D2-84C9-D69CC9105A90}"/>
    <cellStyle name="Normal 9 4 3 3" xfId="18259" xr:uid="{8B92E89E-FD8F-4663-A778-905F2FDF5358}"/>
    <cellStyle name="Normal 9 4 4" xfId="18260" xr:uid="{A576FD11-72B7-410E-B699-AAAE332438FA}"/>
    <cellStyle name="Normal 9 4 5" xfId="42864" xr:uid="{518AE4A3-88D3-4A5F-ABC8-EAB52D07F3FF}"/>
    <cellStyle name="Normal 9 5" xfId="18261" xr:uid="{1B004525-08FA-42C8-99F6-F0F9F9D912F2}"/>
    <cellStyle name="Normal 9 5 2" xfId="42865" xr:uid="{1F1AB47D-AF0B-45E1-A09D-2E95928FBC30}"/>
    <cellStyle name="Normal 9 5 3" xfId="42866" xr:uid="{CBB0B462-07FD-4233-BB3E-607BBE1CF964}"/>
    <cellStyle name="Normal 9 6" xfId="18262" xr:uid="{F9515FA4-8E96-4953-B77E-458D4200FDD9}"/>
    <cellStyle name="Normal 9 6 2" xfId="18263" xr:uid="{B2616115-1AAF-419B-B40A-CE9A55F24685}"/>
    <cellStyle name="Normal 9 6 2 2" xfId="18264" xr:uid="{6556663D-CC3E-49E1-B4A2-EEF93DA7028E}"/>
    <cellStyle name="Normal 9 6 2 3" xfId="18265" xr:uid="{2009277D-54AB-49F6-A9CF-AC3B74E1352D}"/>
    <cellStyle name="Normal 9 6 3" xfId="18266" xr:uid="{C1B6FF88-DF68-49C2-9904-8ABDB1F98CEA}"/>
    <cellStyle name="Normal 9 6 4" xfId="18267" xr:uid="{A7EDDCA5-819E-4A52-AFCE-D8C33381CCEA}"/>
    <cellStyle name="Normal 9 6 5" xfId="42867" xr:uid="{AD2A46CD-9838-46E0-B81F-32C6F940AA3B}"/>
    <cellStyle name="Normal 9 7" xfId="18268" xr:uid="{A6744458-E92C-4154-A555-5C013A38DB54}"/>
    <cellStyle name="Normal 9 7 2" xfId="18269" xr:uid="{EBB37FDD-4F52-4ADD-897F-A3E6022DF928}"/>
    <cellStyle name="Normal 9 7 3" xfId="18270" xr:uid="{4A1D0BEA-7EBB-453E-B9E8-194C790D330C}"/>
    <cellStyle name="Normal 9 8" xfId="18271" xr:uid="{D5E4501B-283B-4848-9ECC-977C41A68B6F}"/>
    <cellStyle name="Normal 9 8 2" xfId="42868" xr:uid="{3A10FEE3-099F-4157-9392-6FCF1089105B}"/>
    <cellStyle name="Normal 9 9" xfId="42869" xr:uid="{9D630C54-1AFC-426E-BF6C-549385D5030B}"/>
    <cellStyle name="Normal 9_PwrTax 51040" xfId="18272" xr:uid="{2A3BB554-FD5D-4245-A3A2-253FACD66B5F}"/>
    <cellStyle name="Normal 90" xfId="18273" xr:uid="{86F1843C-F835-473C-987D-840FA5BEDFDB}"/>
    <cellStyle name="Normal 90 2" xfId="18274" xr:uid="{2B1BFAB5-7B20-4268-9D5B-0F80B6D6174A}"/>
    <cellStyle name="Normal 90 3" xfId="18275" xr:uid="{CD678656-1D2D-42EA-9B6D-AB402A2F78FF}"/>
    <cellStyle name="Normal 91" xfId="18276" xr:uid="{D1262218-2B8E-4D82-9CF6-6334B9BB85D4}"/>
    <cellStyle name="Normal 91 2" xfId="18277" xr:uid="{BECABCEB-770F-46E2-BCF9-B3E0A9D60F85}"/>
    <cellStyle name="Normal 91 2 2" xfId="42870" xr:uid="{3E1C84A8-1AA1-4782-96DF-8B2DFCFF9B20}"/>
    <cellStyle name="Normal 91 3" xfId="18278" xr:uid="{3E815E3C-E420-4508-929A-523A2FF7651D}"/>
    <cellStyle name="Normal 92" xfId="18279" xr:uid="{48F3EFD3-894B-43BA-B474-683167610A41}"/>
    <cellStyle name="Normal 92 2" xfId="18280" xr:uid="{4EFFB14B-B580-4795-B3C5-92D7266654D4}"/>
    <cellStyle name="Normal 92 3" xfId="18281" xr:uid="{B7E2609B-DEC4-486B-B809-ADAA14D187EA}"/>
    <cellStyle name="Normal 93" xfId="18282" xr:uid="{DA895606-2FC0-4A3A-A23A-C1ABD5D3F465}"/>
    <cellStyle name="Normal 93 2" xfId="18283" xr:uid="{E14CE377-4248-4208-9F68-5C4F6E9FFD21}"/>
    <cellStyle name="Normal 93 3" xfId="18284" xr:uid="{F01EC09D-792B-4466-9F09-51AF983D7130}"/>
    <cellStyle name="Normal 94" xfId="18285" xr:uid="{37CAAF19-66EE-4CB7-98F2-09D168100CE5}"/>
    <cellStyle name="Normal 94 2" xfId="18286" xr:uid="{692EEBAE-C5EF-49EE-8DCC-4B6CDB40D642}"/>
    <cellStyle name="Normal 94 3" xfId="18287" xr:uid="{FA654170-5D20-4192-BC60-B08132D20DF4}"/>
    <cellStyle name="Normal 94 4" xfId="18288" xr:uid="{8C6B7623-2368-460A-884C-2066B3B66704}"/>
    <cellStyle name="Normal 95" xfId="18289" xr:uid="{2C22B1D4-CFDA-4904-85A5-BE429161B7A6}"/>
    <cellStyle name="Normal 95 2" xfId="18290" xr:uid="{DDF33A73-3663-4935-B586-6A901314EAE3}"/>
    <cellStyle name="Normal 95 3" xfId="18291" xr:uid="{D385BF48-5506-4B21-A6BF-2E5B0AC241BB}"/>
    <cellStyle name="Normal 96" xfId="18292" xr:uid="{EF69E621-62C9-43CD-9F64-E5A876D50634}"/>
    <cellStyle name="Normal 96 2" xfId="18293" xr:uid="{DC9FB89E-00B8-463B-8DB7-776AE67BCFA8}"/>
    <cellStyle name="Normal 96 2 2" xfId="18294" xr:uid="{B8EA52F0-33E7-48E6-B8C3-E6E7B98DEB30}"/>
    <cellStyle name="Normal 96 2 3" xfId="18295" xr:uid="{0F02A717-8C9E-4B1D-ABD6-D74EA3765B4F}"/>
    <cellStyle name="Normal 96 3" xfId="18296" xr:uid="{FD15E660-B91A-46C6-BD0B-81A5716A8782}"/>
    <cellStyle name="Normal 96 3 2" xfId="18297" xr:uid="{83A6768E-24C0-4E5F-8A1E-B6CD60A4707B}"/>
    <cellStyle name="Normal 96 4" xfId="18298" xr:uid="{24176167-B286-41AF-80D8-294C2016A210}"/>
    <cellStyle name="Normal 97" xfId="18299" xr:uid="{58CF6C61-5C00-40B4-84EF-5C8618DA542A}"/>
    <cellStyle name="Normal 97 2" xfId="18300" xr:uid="{37125F9A-049D-4502-AFF6-06552FB6410A}"/>
    <cellStyle name="Normal 97 2 2" xfId="18301" xr:uid="{D52E15F5-37D9-40C8-BD9B-E0464F9789C0}"/>
    <cellStyle name="Normal 97 2 3" xfId="18302" xr:uid="{B52EE820-FB0D-489F-BEC9-137D9928259C}"/>
    <cellStyle name="Normal 97 3" xfId="18303" xr:uid="{932CD943-C23C-4D6F-82C8-E8E888A679A4}"/>
    <cellStyle name="Normal 97 4" xfId="18304" xr:uid="{916578CA-630D-41D8-8240-F3BBC763AA56}"/>
    <cellStyle name="Normal 98" xfId="18305" xr:uid="{23896EDA-3D0E-4C5B-B877-BA7E994DF776}"/>
    <cellStyle name="Normal 98 2" xfId="18306" xr:uid="{C9AAB5C8-6EBB-4F08-A192-68F4E9CC5E34}"/>
    <cellStyle name="Normal 98 2 2" xfId="18307" xr:uid="{ED07861E-7B1E-413B-9652-E44EBBE96565}"/>
    <cellStyle name="Normal 98 3" xfId="18308" xr:uid="{419CFABF-45F8-4074-9D14-438AE049FF04}"/>
    <cellStyle name="Normal 98 4" xfId="18309" xr:uid="{84179400-AD10-4754-83CF-7418CB745E06}"/>
    <cellStyle name="Normal 99" xfId="18310" xr:uid="{2BD6DB0D-2AA0-4BDD-A094-875865E0F936}"/>
    <cellStyle name="Normal 99 2" xfId="18311" xr:uid="{215AA399-BD39-4BDB-A753-78D16CD250FF}"/>
    <cellStyle name="Normal 99 3" xfId="18312" xr:uid="{EF77E500-751B-4F72-9D69-7C491D5DC508}"/>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Note 10" xfId="18313" xr:uid="{6032105C-9868-4EF8-B07B-2AF4FE482134}"/>
    <cellStyle name="Note 10 10" xfId="18314" xr:uid="{722C8046-C0CE-45C3-B101-D27C3188F521}"/>
    <cellStyle name="Note 10 11" xfId="18315" xr:uid="{46034C40-074F-4694-99A1-378614B8200F}"/>
    <cellStyle name="Note 10 12" xfId="42871" xr:uid="{FF184C46-B762-43C2-A927-BEBA878D7AF4}"/>
    <cellStyle name="Note 10 2" xfId="18316" xr:uid="{0B54F9C0-81C0-497A-BC22-1F5F3FD3EFC2}"/>
    <cellStyle name="Note 10 2 2" xfId="18317" xr:uid="{6765BC8E-F8C9-4F44-AD32-07C9B968BE91}"/>
    <cellStyle name="Note 10 2 2 2" xfId="18318" xr:uid="{B52C8323-627A-4137-9013-8DFA8763EE69}"/>
    <cellStyle name="Note 10 2 2 2 2" xfId="18319" xr:uid="{8E7CF5FD-3AB0-45DA-831B-EBE40F683D7C}"/>
    <cellStyle name="Note 10 2 2 2 3" xfId="18320" xr:uid="{508F97E1-D300-40A7-B334-83D507B6977D}"/>
    <cellStyle name="Note 10 2 2 3" xfId="18321" xr:uid="{5F17DEAD-758F-4D7D-9B64-8491E0C47C40}"/>
    <cellStyle name="Note 10 2 2 3 2" xfId="18322" xr:uid="{75AF82F3-BE8E-47DC-8C44-DA4ACCFE193D}"/>
    <cellStyle name="Note 10 2 2 3 3" xfId="18323" xr:uid="{1ED2C54F-0ED2-49D7-84F2-CC9B06E3F439}"/>
    <cellStyle name="Note 10 2 2 4" xfId="18324" xr:uid="{0143876B-8491-4062-86F6-8C0CC98DFE30}"/>
    <cellStyle name="Note 10 2 2 5" xfId="18325" xr:uid="{219AA0C1-2891-41E4-B369-2F8CF864A00D}"/>
    <cellStyle name="Note 10 2 3" xfId="18326" xr:uid="{40298511-4CAD-4873-929D-603AE4BE5131}"/>
    <cellStyle name="Note 10 2 3 2" xfId="18327" xr:uid="{E191E23D-4ECA-4839-BEC2-0C90E318E826}"/>
    <cellStyle name="Note 10 2 3 3" xfId="18328" xr:uid="{8AB5BC13-5747-43B9-9B69-3BF6988BCB36}"/>
    <cellStyle name="Note 10 2 3 4" xfId="18329" xr:uid="{E30E9A3F-A4FD-4686-A289-50CE3BA89A13}"/>
    <cellStyle name="Note 10 2 3 5" xfId="18330" xr:uid="{64CEFB3A-C712-4CAB-A567-56791B173162}"/>
    <cellStyle name="Note 10 2 4" xfId="18331" xr:uid="{190187C5-B011-448E-A520-E8112CA4751D}"/>
    <cellStyle name="Note 10 2 4 2" xfId="18332" xr:uid="{F2CD1C34-18BF-47A6-A947-D821B125EA36}"/>
    <cellStyle name="Note 10 2 4 3" xfId="18333" xr:uid="{6EA0D2F2-E1F5-4670-B208-5C989CFDD9C8}"/>
    <cellStyle name="Note 10 2 5" xfId="18334" xr:uid="{9BA9C3D7-28D5-42F5-A00E-6DCD590B2F0C}"/>
    <cellStyle name="Note 10 2 6" xfId="18335" xr:uid="{97C3869C-3156-4831-B9B8-AB59C938EFED}"/>
    <cellStyle name="Note 10 2 7" xfId="18336" xr:uid="{ADADA1D7-4124-441E-90BE-B1BAAA8B9A07}"/>
    <cellStyle name="Note 10 2_JE 5 2002.2 FED" xfId="18337" xr:uid="{C6317C36-7145-4522-BCAD-211306C3A00A}"/>
    <cellStyle name="Note 10 3" xfId="18338" xr:uid="{26B44AF3-9958-4C1B-930F-69D035B9F688}"/>
    <cellStyle name="Note 10 3 2" xfId="18339" xr:uid="{C12EF59E-E1A7-40EF-AB15-0CB2C166CEE4}"/>
    <cellStyle name="Note 10 3 2 2" xfId="18340" xr:uid="{6CF2A592-E3CF-4415-B6F7-1A8AE6B6D6AD}"/>
    <cellStyle name="Note 10 3 2 2 2" xfId="18341" xr:uid="{D0690D25-18EA-457E-B1BA-E2F4DCFC384F}"/>
    <cellStyle name="Note 10 3 2 2 3" xfId="18342" xr:uid="{6A0F4DEB-5B18-4BFB-903A-2D23231DA405}"/>
    <cellStyle name="Note 10 3 2 3" xfId="18343" xr:uid="{5E44E4C9-8A01-4642-808D-48C8A5707D97}"/>
    <cellStyle name="Note 10 3 2 3 2" xfId="18344" xr:uid="{0AC9C189-0E31-45C8-B575-938FF1F20E51}"/>
    <cellStyle name="Note 10 3 2 3 3" xfId="18345" xr:uid="{00B95AA7-8B19-4379-B9B3-FA792400421E}"/>
    <cellStyle name="Note 10 3 2 4" xfId="18346" xr:uid="{9C441CEF-8881-4170-A9E7-AF5A385893F8}"/>
    <cellStyle name="Note 10 3 2 5" xfId="18347" xr:uid="{61225272-5A05-490D-9BAB-85AF28391AD4}"/>
    <cellStyle name="Note 10 3 3" xfId="18348" xr:uid="{DC6BCE38-0AB8-443E-86C4-575B8B7ADD37}"/>
    <cellStyle name="Note 10 3 3 2" xfId="18349" xr:uid="{04B52C3D-77A2-4773-A05C-01E4F1449530}"/>
    <cellStyle name="Note 10 3 3 3" xfId="18350" xr:uid="{573A1B86-BB5B-43E5-A04D-BD5AA42D950F}"/>
    <cellStyle name="Note 10 3 3 4" xfId="18351" xr:uid="{950C9667-F3AA-47D1-A664-C576EB8C5A98}"/>
    <cellStyle name="Note 10 3 3 5" xfId="18352" xr:uid="{E94D6D78-7EEC-4E84-9D4F-7FDD40671F4C}"/>
    <cellStyle name="Note 10 3 4" xfId="18353" xr:uid="{E097A1F9-6952-41DF-89A9-EBED854C9817}"/>
    <cellStyle name="Note 10 3 4 2" xfId="18354" xr:uid="{45B8BB00-17AE-44D1-9D66-7175882062A1}"/>
    <cellStyle name="Note 10 3 4 3" xfId="18355" xr:uid="{C4F1B691-1F01-42A3-BB98-3BC29DA61AA6}"/>
    <cellStyle name="Note 10 3 5" xfId="18356" xr:uid="{1800C0C2-C43F-4225-9640-EB89C2647D70}"/>
    <cellStyle name="Note 10 3 6" xfId="18357" xr:uid="{884EC1DD-2C82-4A57-9919-DA8B4007A939}"/>
    <cellStyle name="Note 10 3 7" xfId="18358" xr:uid="{1464E608-2B9C-4D74-9628-A77E96827B6F}"/>
    <cellStyle name="Note 10 3_JE 5 2002.2 FED" xfId="18359" xr:uid="{F028A3BE-CE40-4645-99A4-C075777D1DB7}"/>
    <cellStyle name="Note 10 4" xfId="18360" xr:uid="{5450E821-24DD-498B-8B90-CCCF3F186B45}"/>
    <cellStyle name="Note 10 4 2" xfId="18361" xr:uid="{9FA8CB04-D29F-49F4-BD29-D592B7F6681F}"/>
    <cellStyle name="Note 10 4 2 2" xfId="18362" xr:uid="{3DEA4B15-CF53-4335-A6E2-26607B4B59EA}"/>
    <cellStyle name="Note 10 4 2 2 2" xfId="18363" xr:uid="{FE4135BF-F59F-4692-9A21-1FE6C075E3FD}"/>
    <cellStyle name="Note 10 4 2 2 3" xfId="18364" xr:uid="{DC6885BA-4770-4D00-BF85-14B152C2059E}"/>
    <cellStyle name="Note 10 4 2 3" xfId="18365" xr:uid="{ADD76D5E-FBB3-40D0-A431-B54DCFBE1F52}"/>
    <cellStyle name="Note 10 4 2 3 2" xfId="18366" xr:uid="{BF59E872-464F-4259-87EA-55AF206232F6}"/>
    <cellStyle name="Note 10 4 2 3 3" xfId="18367" xr:uid="{5E7BFF6B-1AC7-4C13-AC8B-0C4A7B52B5A3}"/>
    <cellStyle name="Note 10 4 2 4" xfId="18368" xr:uid="{B52000E8-34CC-488D-909E-C2A817E9D80C}"/>
    <cellStyle name="Note 10 4 2 5" xfId="18369" xr:uid="{B570FE84-F6C1-4E08-92F1-433E1A1213BF}"/>
    <cellStyle name="Note 10 4 3" xfId="18370" xr:uid="{1B0668AE-B8BB-4A78-B096-B2D66C7D350D}"/>
    <cellStyle name="Note 10 4 3 2" xfId="18371" xr:uid="{B43AE170-4EA5-421F-82C6-263064AC2898}"/>
    <cellStyle name="Note 10 4 3 3" xfId="18372" xr:uid="{A2A8DFFE-0B77-419B-8104-6E56C89167E7}"/>
    <cellStyle name="Note 10 4 4" xfId="18373" xr:uid="{B3DF8E5C-A0B3-4300-995E-0FBA50308BA2}"/>
    <cellStyle name="Note 10 4 4 2" xfId="18374" xr:uid="{3BFF4BAE-ACE2-45D1-BB25-7F81BC81D3CE}"/>
    <cellStyle name="Note 10 4 4 3" xfId="18375" xr:uid="{12C5D689-6A53-41DF-808B-DFCB0789BF52}"/>
    <cellStyle name="Note 10 4 5" xfId="18376" xr:uid="{80E318E8-F082-46F9-BC4D-07BE871F16D5}"/>
    <cellStyle name="Note 10 4 6" xfId="18377" xr:uid="{26041F08-66C3-42BA-86DC-E9C7A4B51EA3}"/>
    <cellStyle name="Note 10 4_JE 5 2002.2 FED" xfId="18378" xr:uid="{37872940-76E1-45C9-AA96-C988DBF40339}"/>
    <cellStyle name="Note 10 5" xfId="18379" xr:uid="{A5008215-FB19-4C71-8624-0B52DD143F20}"/>
    <cellStyle name="Note 10 5 2" xfId="18380" xr:uid="{FB54C880-8B34-4E3C-B0DF-EB8C7E98967E}"/>
    <cellStyle name="Note 10 5 2 2" xfId="18381" xr:uid="{69AB9B88-4356-4833-A14A-C478BD9BB8CC}"/>
    <cellStyle name="Note 10 5 2 2 2" xfId="18382" xr:uid="{6C0AF630-ED32-45D8-93D9-829B20157DC9}"/>
    <cellStyle name="Note 10 5 2 2 3" xfId="18383" xr:uid="{4D27B2EA-B650-4BEB-98AA-CD16DB719ABE}"/>
    <cellStyle name="Note 10 5 2 3" xfId="18384" xr:uid="{6A084D4D-3B9B-48A0-A706-B0718DDB660B}"/>
    <cellStyle name="Note 10 5 2 3 2" xfId="18385" xr:uid="{1A45B843-5B05-44A1-89BB-D5651414D69A}"/>
    <cellStyle name="Note 10 5 2 3 3" xfId="18386" xr:uid="{9C1CD3C6-C74A-48DE-9FD7-45C664F7B2DF}"/>
    <cellStyle name="Note 10 5 2 4" xfId="18387" xr:uid="{EA74DF1C-1306-4723-8C87-FA0D23603F64}"/>
    <cellStyle name="Note 10 5 2 5" xfId="18388" xr:uid="{F4C990DB-A529-475E-B72E-578C13DDC7D0}"/>
    <cellStyle name="Note 10 5 3" xfId="18389" xr:uid="{0BB9FAC6-A54B-4D7E-AE48-59AC3D270A2D}"/>
    <cellStyle name="Note 10 5 3 2" xfId="18390" xr:uid="{4FB16D50-0228-4D4D-8CE1-356926BCCFA6}"/>
    <cellStyle name="Note 10 5 3 3" xfId="18391" xr:uid="{05234047-8715-4BCE-9E3C-316EA65923A0}"/>
    <cellStyle name="Note 10 5 4" xfId="18392" xr:uid="{FE466D8D-A278-4503-A36F-2DC32F6418F2}"/>
    <cellStyle name="Note 10 5 4 2" xfId="18393" xr:uid="{01E53708-D76C-4271-8259-0E97A7C09A40}"/>
    <cellStyle name="Note 10 5 4 3" xfId="18394" xr:uid="{5CDB7045-CA32-4E21-B3B3-03D0129489E0}"/>
    <cellStyle name="Note 10 5 5" xfId="18395" xr:uid="{AA34B206-4042-4DAE-8699-2CFD341156DF}"/>
    <cellStyle name="Note 10 5 6" xfId="18396" xr:uid="{F9F497CA-9C2F-4585-A8B2-0009FB765AA1}"/>
    <cellStyle name="Note 10 5_JE 5 2002.2 FED" xfId="18397" xr:uid="{B7BD3B2D-3D1C-4006-9DBE-113850A10906}"/>
    <cellStyle name="Note 10 6" xfId="18398" xr:uid="{D106C9B6-CC2E-4B51-883A-EC62457BA863}"/>
    <cellStyle name="Note 10 6 2" xfId="18399" xr:uid="{43B7446A-523A-465A-A3C7-8A151F2C8A25}"/>
    <cellStyle name="Note 10 6 2 2" xfId="18400" xr:uid="{FE034FE6-8390-4C35-A5DD-BF926BFB897A}"/>
    <cellStyle name="Note 10 6 2 3" xfId="18401" xr:uid="{54C04AE0-F0F7-4C3B-A750-6A3D1C7B74BE}"/>
    <cellStyle name="Note 10 6 3" xfId="18402" xr:uid="{B0B6A038-C1E4-4066-BFD6-C1DB530B94A0}"/>
    <cellStyle name="Note 10 6 3 2" xfId="18403" xr:uid="{B6FED56E-657F-49C1-B461-88A82762E9D2}"/>
    <cellStyle name="Note 10 6 3 3" xfId="18404" xr:uid="{A7772BDE-1201-414D-A9AE-91BCC7703FD6}"/>
    <cellStyle name="Note 10 6 4" xfId="18405" xr:uid="{5047F382-2E46-492F-87DE-EB05842CD544}"/>
    <cellStyle name="Note 10 6 5" xfId="18406" xr:uid="{876FAF11-3319-46DA-8911-8F5AAADA173E}"/>
    <cellStyle name="Note 10 7" xfId="18407" xr:uid="{50720420-CA18-4363-87E0-CEA4303E5BAE}"/>
    <cellStyle name="Note 10 7 2" xfId="18408" xr:uid="{C41F7F79-927C-464F-A83C-B2429A405ED4}"/>
    <cellStyle name="Note 10 7 3" xfId="18409" xr:uid="{90F785F4-314D-40C7-A382-BC6EFB24E652}"/>
    <cellStyle name="Note 10 7 4" xfId="18410" xr:uid="{E97EBECD-FBC1-4FB4-BD07-A8B244712ABB}"/>
    <cellStyle name="Note 10 7 5" xfId="18411" xr:uid="{53F17DDB-D52B-4FDE-A245-E75BEFA66696}"/>
    <cellStyle name="Note 10 8" xfId="18412" xr:uid="{84F42853-4F94-4CD3-B4A7-4D863324B4E7}"/>
    <cellStyle name="Note 10 8 2" xfId="18413" xr:uid="{534CBE0A-4BEE-4E32-BA7D-DD5166CCF31D}"/>
    <cellStyle name="Note 10 8 3" xfId="18414" xr:uid="{C7CA1FC6-CCAE-4FCA-82CA-745C2B88892E}"/>
    <cellStyle name="Note 10 9" xfId="18415" xr:uid="{2D38C815-1EB5-4FBC-9655-589836BE5FCC}"/>
    <cellStyle name="Note 10_JE 5 2002.2 FED" xfId="18416" xr:uid="{BD415118-4593-4C19-B84D-7FAE66450CFB}"/>
    <cellStyle name="Note 100" xfId="42872" xr:uid="{2A57D6A8-2B31-42A7-940B-C14B4C46BE70}"/>
    <cellStyle name="Note 101" xfId="42873" xr:uid="{C51EF247-980C-47A2-9F9C-6E73D89235B3}"/>
    <cellStyle name="Note 102" xfId="42874" xr:uid="{E6CB0D20-4C1D-415E-AA8C-A1ADC1C56AC0}"/>
    <cellStyle name="Note 103" xfId="42875" xr:uid="{2CDB540F-03BC-42DD-9934-693E02C12AC3}"/>
    <cellStyle name="Note 104" xfId="42876" xr:uid="{21FBB23E-212C-41D6-A77A-A518CD2D6E52}"/>
    <cellStyle name="Note 105" xfId="42877" xr:uid="{2699416E-72A4-41C7-8D9A-11C2BCEB56CF}"/>
    <cellStyle name="Note 106" xfId="42878" xr:uid="{86F302C1-3F8F-46AB-A1A3-F8E84710100F}"/>
    <cellStyle name="Note 107" xfId="42879" xr:uid="{0D8471CB-B29F-4B71-837B-BEC96C9734B4}"/>
    <cellStyle name="Note 108" xfId="42880" xr:uid="{B2E81FDB-F672-4A05-83F8-17C7A9525CC3}"/>
    <cellStyle name="Note 109" xfId="42881" xr:uid="{B3AE3B2C-2FA4-4D39-8AB0-C556385CC7F7}"/>
    <cellStyle name="Note 11" xfId="18417" xr:uid="{79CD4E6A-8887-4DD7-B052-BE9D135B2CB4}"/>
    <cellStyle name="Note 11 10" xfId="18418" xr:uid="{32197819-8302-4BD8-B8F9-6E6A1312EE45}"/>
    <cellStyle name="Note 11 11" xfId="18419" xr:uid="{E7A29668-8375-41D3-BD6E-02AA3DADD536}"/>
    <cellStyle name="Note 11 2" xfId="18420" xr:uid="{FF2D534F-ADD8-423B-8D07-6F2E3BBEE78D}"/>
    <cellStyle name="Note 11 2 2" xfId="18421" xr:uid="{9502B450-22DF-4765-9F00-79EFDC94A7B8}"/>
    <cellStyle name="Note 11 2 2 2" xfId="18422" xr:uid="{B59CDAD9-B9F2-4953-98AF-F7508BE29668}"/>
    <cellStyle name="Note 11 2 2 2 2" xfId="18423" xr:uid="{0DC2FB65-5B52-4EC4-8C8D-DD8AA97C256A}"/>
    <cellStyle name="Note 11 2 2 2 3" xfId="18424" xr:uid="{806FBE96-2ACB-442F-A53F-F8618DB27749}"/>
    <cellStyle name="Note 11 2 2 3" xfId="18425" xr:uid="{8B1550FE-F462-4A05-9613-6B2B15C4C077}"/>
    <cellStyle name="Note 11 2 2 3 2" xfId="18426" xr:uid="{216F9418-E040-4224-9F6A-487F918582FE}"/>
    <cellStyle name="Note 11 2 2 3 3" xfId="18427" xr:uid="{9082CBEE-5801-40CB-84AD-BD1212B7473D}"/>
    <cellStyle name="Note 11 2 2 4" xfId="18428" xr:uid="{EE4BA49A-71C2-41F6-92D1-83E6ED7736C2}"/>
    <cellStyle name="Note 11 2 2 5" xfId="18429" xr:uid="{28B32D7B-F17B-4D3B-AA23-66E05E1DA666}"/>
    <cellStyle name="Note 11 2 3" xfId="18430" xr:uid="{B517064E-CD60-4F99-878D-013FBE0F81FA}"/>
    <cellStyle name="Note 11 2 3 2" xfId="18431" xr:uid="{7EACB9FC-8D2F-48B5-80BB-883ADAD75870}"/>
    <cellStyle name="Note 11 2 3 3" xfId="18432" xr:uid="{EF96D3B8-278D-4AAD-BEAC-D53002FA0FB8}"/>
    <cellStyle name="Note 11 2 3 4" xfId="18433" xr:uid="{5F959733-0297-4BA9-ACDA-CEEC30037E65}"/>
    <cellStyle name="Note 11 2 3 5" xfId="18434" xr:uid="{F3A47748-7B0F-44B2-954E-658172D6B942}"/>
    <cellStyle name="Note 11 2 4" xfId="18435" xr:uid="{28A89344-16E3-4C1E-B7D5-A0EC6606973D}"/>
    <cellStyle name="Note 11 2 4 2" xfId="18436" xr:uid="{6C44FDAB-5B25-4A1D-972B-41B5CFF3508E}"/>
    <cellStyle name="Note 11 2 4 3" xfId="18437" xr:uid="{DB09E40E-BBE5-4459-A20A-983C6C5E38F9}"/>
    <cellStyle name="Note 11 2 5" xfId="18438" xr:uid="{F123C42C-831F-40BC-BDFF-CC2A82FF4906}"/>
    <cellStyle name="Note 11 2 6" xfId="18439" xr:uid="{946F5C0D-07B1-4D14-9241-1BED547DB1EA}"/>
    <cellStyle name="Note 11 2 7" xfId="18440" xr:uid="{926BB55A-A99C-4982-9D4E-2EB93D39FB50}"/>
    <cellStyle name="Note 11 2_JE 5 2002.2 FED" xfId="18441" xr:uid="{4C6A323E-F955-41F4-A1D4-B0EDD12B2380}"/>
    <cellStyle name="Note 11 3" xfId="18442" xr:uid="{14D0ECC0-E746-4EFB-B9E2-211CF57CCC68}"/>
    <cellStyle name="Note 11 3 2" xfId="18443" xr:uid="{5561963A-FD78-4DD1-B708-9B2CB85B8C93}"/>
    <cellStyle name="Note 11 3 2 2" xfId="18444" xr:uid="{B7021504-5930-465E-AACA-115BE2C6F7B7}"/>
    <cellStyle name="Note 11 3 2 2 2" xfId="18445" xr:uid="{9C2D4E8A-8D3E-4E55-AD0A-D07599524B75}"/>
    <cellStyle name="Note 11 3 2 2 3" xfId="18446" xr:uid="{CFB149A7-224C-4BB1-82FC-40DC4FB0C366}"/>
    <cellStyle name="Note 11 3 2 3" xfId="18447" xr:uid="{73C85BF3-34B9-425C-BA47-F63FF2F15A31}"/>
    <cellStyle name="Note 11 3 2 3 2" xfId="18448" xr:uid="{AE6791D7-3F35-498F-A4B1-4D7C9BBEFDD2}"/>
    <cellStyle name="Note 11 3 2 3 3" xfId="18449" xr:uid="{1468DEF7-FCD9-4AA0-8F9F-ED3E64ECE0A0}"/>
    <cellStyle name="Note 11 3 2 4" xfId="18450" xr:uid="{D62FC10C-2178-4647-8886-105C40723C20}"/>
    <cellStyle name="Note 11 3 2 5" xfId="18451" xr:uid="{E60CAA73-876A-41DD-8C24-7926A5F2114D}"/>
    <cellStyle name="Note 11 3 3" xfId="18452" xr:uid="{BC5A068E-BD0B-4096-8573-45C5B825E42F}"/>
    <cellStyle name="Note 11 3 3 2" xfId="18453" xr:uid="{510B010C-DC27-4222-B01E-B0B761CF6E64}"/>
    <cellStyle name="Note 11 3 3 3" xfId="18454" xr:uid="{644918FD-0A5B-4311-AE0A-28F26A4BC163}"/>
    <cellStyle name="Note 11 3 3 4" xfId="18455" xr:uid="{752549A8-CB04-4FAB-91EF-A8D55F19C440}"/>
    <cellStyle name="Note 11 3 3 5" xfId="18456" xr:uid="{3E3C3211-47D0-453F-962B-6D6AF341F1DE}"/>
    <cellStyle name="Note 11 3 4" xfId="18457" xr:uid="{AF39B097-BE78-4A28-ADA8-992220458326}"/>
    <cellStyle name="Note 11 3 4 2" xfId="18458" xr:uid="{4F877CD5-F2A0-4E33-B4B6-4D7132C19E3C}"/>
    <cellStyle name="Note 11 3 4 3" xfId="18459" xr:uid="{F588D046-3FAA-49E7-9DA6-C5DDE48B36DC}"/>
    <cellStyle name="Note 11 3 5" xfId="18460" xr:uid="{0617FD85-7D7C-4687-B5C1-00C746C3489E}"/>
    <cellStyle name="Note 11 3 6" xfId="18461" xr:uid="{6C3462B4-213B-4642-B940-0AC9DEE21765}"/>
    <cellStyle name="Note 11 3 7" xfId="18462" xr:uid="{27A347FC-59E5-476C-B93C-F32546172CB8}"/>
    <cellStyle name="Note 11 3_JE 5 2002.2 FED" xfId="18463" xr:uid="{4C26CB98-8B22-49D2-88D1-AAC66DD8DC43}"/>
    <cellStyle name="Note 11 4" xfId="18464" xr:uid="{814A68D5-9504-4CA6-977C-02821031DFE3}"/>
    <cellStyle name="Note 11 4 2" xfId="18465" xr:uid="{37598D21-2E06-4E45-B910-948008D66068}"/>
    <cellStyle name="Note 11 4 2 2" xfId="18466" xr:uid="{7A404BFC-A90E-43B3-8BCA-A8B40977454C}"/>
    <cellStyle name="Note 11 4 2 2 2" xfId="18467" xr:uid="{AB75A373-209C-41F5-B167-B670969D1AE1}"/>
    <cellStyle name="Note 11 4 2 2 3" xfId="18468" xr:uid="{3803C110-BC99-4410-A614-50B40503B911}"/>
    <cellStyle name="Note 11 4 2 3" xfId="18469" xr:uid="{9AE967D3-7351-4839-91C4-46EA570F896D}"/>
    <cellStyle name="Note 11 4 2 3 2" xfId="18470" xr:uid="{D89734F0-F020-486E-8DED-6CFCBDED5388}"/>
    <cellStyle name="Note 11 4 2 3 3" xfId="18471" xr:uid="{37A10C34-F2BC-4D10-9A4D-8EFC7C75FF24}"/>
    <cellStyle name="Note 11 4 2 4" xfId="18472" xr:uid="{A08E5742-814E-4E1D-A90A-987F3AAB2BF0}"/>
    <cellStyle name="Note 11 4 2 5" xfId="18473" xr:uid="{E2210D86-0622-4B5F-AEB8-20DDAC48EEE1}"/>
    <cellStyle name="Note 11 4 3" xfId="18474" xr:uid="{CECF1535-3BB8-4EAA-85BB-91E386C3D169}"/>
    <cellStyle name="Note 11 4 3 2" xfId="18475" xr:uid="{3025BE9B-4EB6-4492-AC71-32C6CB163354}"/>
    <cellStyle name="Note 11 4 3 3" xfId="18476" xr:uid="{0A65C22F-1E6F-4ADD-93D7-97BF0ABF56EB}"/>
    <cellStyle name="Note 11 4 4" xfId="18477" xr:uid="{B65F8889-0BA9-46EF-9CE6-8C2DD4B5B4D9}"/>
    <cellStyle name="Note 11 4 4 2" xfId="18478" xr:uid="{A911635C-3FF2-40BD-97B7-590702089774}"/>
    <cellStyle name="Note 11 4 4 3" xfId="18479" xr:uid="{209F8591-495C-4D8E-8765-35E9220A316D}"/>
    <cellStyle name="Note 11 4 5" xfId="18480" xr:uid="{74AF16EE-5285-41BD-BBBC-436D1393A646}"/>
    <cellStyle name="Note 11 4 6" xfId="18481" xr:uid="{B94B9083-D877-4CE9-BD32-2B4A02AAA48F}"/>
    <cellStyle name="Note 11 4_JE 5 2002.2 FED" xfId="18482" xr:uid="{EC9A7CF2-A34F-40CE-983D-335FA0571661}"/>
    <cellStyle name="Note 11 5" xfId="18483" xr:uid="{F803B28F-347C-47E0-A35E-D21C00D69CC6}"/>
    <cellStyle name="Note 11 5 2" xfId="18484" xr:uid="{89B09D4D-5E6F-473D-8E1B-7EE5E29D87E2}"/>
    <cellStyle name="Note 11 5 2 2" xfId="18485" xr:uid="{91348346-8E51-4C12-AF0B-D309C1E0C725}"/>
    <cellStyle name="Note 11 5 2 2 2" xfId="18486" xr:uid="{3B0B83C5-D42D-4E9C-8A56-507551237508}"/>
    <cellStyle name="Note 11 5 2 2 3" xfId="18487" xr:uid="{7124356A-882D-4035-A526-95E800E15B0F}"/>
    <cellStyle name="Note 11 5 2 3" xfId="18488" xr:uid="{A0643292-4420-4C85-BD92-990CE446C0EA}"/>
    <cellStyle name="Note 11 5 2 3 2" xfId="18489" xr:uid="{86CFA199-2993-4C50-BECF-9851757F7093}"/>
    <cellStyle name="Note 11 5 2 3 3" xfId="18490" xr:uid="{B587D92B-B63A-426B-89AB-43DA053FB26F}"/>
    <cellStyle name="Note 11 5 2 4" xfId="18491" xr:uid="{0914C017-3B3F-4E09-886A-3E9A5AF87F7D}"/>
    <cellStyle name="Note 11 5 2 5" xfId="18492" xr:uid="{4B18DAB4-FF72-412A-A912-E59898F71139}"/>
    <cellStyle name="Note 11 5 3" xfId="18493" xr:uid="{396ABBED-7C55-485F-8FBB-0065305FF8A6}"/>
    <cellStyle name="Note 11 5 3 2" xfId="18494" xr:uid="{49F315EA-7177-4A28-AB30-1ADFE447FD3E}"/>
    <cellStyle name="Note 11 5 3 3" xfId="18495" xr:uid="{B32A5BF8-76A1-43F1-93AF-4DA38C3E3A2A}"/>
    <cellStyle name="Note 11 5 4" xfId="18496" xr:uid="{B5C9ABD0-39D4-47E4-B466-27EB941BF158}"/>
    <cellStyle name="Note 11 5 4 2" xfId="18497" xr:uid="{34EAF781-3A0C-4864-B4EA-03E3A4F67F73}"/>
    <cellStyle name="Note 11 5 4 3" xfId="18498" xr:uid="{8812B6FE-82FE-4845-B50D-ABAABEBF6664}"/>
    <cellStyle name="Note 11 5 5" xfId="18499" xr:uid="{79B20E24-299C-4A2A-97CF-BB49ED83E058}"/>
    <cellStyle name="Note 11 5 6" xfId="18500" xr:uid="{A099033C-49E5-477C-8B20-C4CF0A2697ED}"/>
    <cellStyle name="Note 11 5_JE 5 2002.2 FED" xfId="18501" xr:uid="{D73108AC-219A-40C1-9321-20538F2F9B1B}"/>
    <cellStyle name="Note 11 6" xfId="18502" xr:uid="{5B6AA98C-1740-486D-8162-1835BE377C01}"/>
    <cellStyle name="Note 11 6 2" xfId="18503" xr:uid="{DFDA04AC-543A-42F9-9DC4-11D8210F6F82}"/>
    <cellStyle name="Note 11 6 2 2" xfId="18504" xr:uid="{2283C2ED-6081-485C-B9BC-F2B661164354}"/>
    <cellStyle name="Note 11 6 2 3" xfId="18505" xr:uid="{163EB28C-14AA-4B59-B944-474DB1DF86EA}"/>
    <cellStyle name="Note 11 6 3" xfId="18506" xr:uid="{0ACBBAAD-82D9-41BA-8288-965EF4E8CA6A}"/>
    <cellStyle name="Note 11 6 3 2" xfId="18507" xr:uid="{EE516E91-5B58-4505-B0B8-D27B98095497}"/>
    <cellStyle name="Note 11 6 3 3" xfId="18508" xr:uid="{39FBD7CE-0617-4E21-B4F6-9F6E44E236AC}"/>
    <cellStyle name="Note 11 6 4" xfId="18509" xr:uid="{2F5DF745-0894-4F10-BEB0-EC138F10C8AE}"/>
    <cellStyle name="Note 11 6 5" xfId="18510" xr:uid="{1700EE57-F568-4876-B121-41B63498A9E2}"/>
    <cellStyle name="Note 11 7" xfId="18511" xr:uid="{DDF2D0C3-A158-4F58-B668-C7FE5A6BF73D}"/>
    <cellStyle name="Note 11 7 2" xfId="18512" xr:uid="{FA1BF4B2-9DF1-4D1E-BB22-D8DF7189DF94}"/>
    <cellStyle name="Note 11 7 3" xfId="18513" xr:uid="{C355AF8D-9836-4A6A-A089-E8897D01942B}"/>
    <cellStyle name="Note 11 7 4" xfId="18514" xr:uid="{7671DEA4-800C-4CA4-B295-E88834D42759}"/>
    <cellStyle name="Note 11 7 5" xfId="18515" xr:uid="{C024DD87-26F6-4DB3-B8B8-A774D8277722}"/>
    <cellStyle name="Note 11 8" xfId="18516" xr:uid="{F9579836-1905-4223-B677-8DBC0302F741}"/>
    <cellStyle name="Note 11 8 2" xfId="18517" xr:uid="{175447CD-54EC-450B-826C-7196761352FD}"/>
    <cellStyle name="Note 11 8 3" xfId="18518" xr:uid="{A9E0DB7E-8F46-4EF6-B3CD-E6BD8FB0FEFD}"/>
    <cellStyle name="Note 11 9" xfId="18519" xr:uid="{B61634D2-A4A5-4E33-BD7A-58DF196A396F}"/>
    <cellStyle name="Note 11_JE 5 2002.2 FED" xfId="18520" xr:uid="{C8976773-58AE-4683-9281-D78333D8EE66}"/>
    <cellStyle name="Note 110" xfId="42882" xr:uid="{114E8AD9-EAD0-48C7-83BB-5A23157F6630}"/>
    <cellStyle name="Note 111" xfId="42883" xr:uid="{F309331B-BC27-4176-AC4E-EE2281EE74A0}"/>
    <cellStyle name="Note 112" xfId="42884" xr:uid="{2892CF0D-6010-4550-8CFA-D9A84CA5E60B}"/>
    <cellStyle name="Note 113" xfId="42885" xr:uid="{812FC689-3D37-4403-903F-562F8CF1F5E7}"/>
    <cellStyle name="Note 114" xfId="42886" xr:uid="{AD3A928D-F287-4F0E-A11D-E815910FB2B3}"/>
    <cellStyle name="Note 115" xfId="42887" xr:uid="{258ED210-19AC-4BB0-A84C-F3723ACFBB24}"/>
    <cellStyle name="Note 116" xfId="42888" xr:uid="{986872A5-CF05-4899-B0E8-0C30E0E7AFB7}"/>
    <cellStyle name="Note 117" xfId="42889" xr:uid="{111168BD-79C6-4849-B4B5-49818397398D}"/>
    <cellStyle name="Note 118" xfId="42890" xr:uid="{6085440F-B2CC-4A54-8980-48C52A89C409}"/>
    <cellStyle name="Note 119" xfId="42891" xr:uid="{0B7E0F6C-107D-4AE5-A111-4BA2F1EB63A8}"/>
    <cellStyle name="Note 12" xfId="18521" xr:uid="{F4E32ECC-D507-47F3-875E-AF746A735C3D}"/>
    <cellStyle name="Note 12 10" xfId="18522" xr:uid="{AD738642-2654-4B8F-A076-C7066BBC80FD}"/>
    <cellStyle name="Note 12 11" xfId="18523" xr:uid="{98BD0C60-EE28-4F34-A53D-9AC84E1A87F9}"/>
    <cellStyle name="Note 12 2" xfId="18524" xr:uid="{92724337-33EC-40C2-A8A8-272203B0A578}"/>
    <cellStyle name="Note 12 2 2" xfId="18525" xr:uid="{07E8D0D5-4EEE-4651-83E6-2A05D53B1BC8}"/>
    <cellStyle name="Note 12 2 2 2" xfId="18526" xr:uid="{11275C3C-3B94-45AD-A1F3-FE16E4C417C3}"/>
    <cellStyle name="Note 12 2 2 2 2" xfId="18527" xr:uid="{3397E990-4FF3-4EEC-B5CE-DE1993F6949F}"/>
    <cellStyle name="Note 12 2 2 2 3" xfId="18528" xr:uid="{C3807F4E-E48F-45AD-9538-F86DBC67AE2F}"/>
    <cellStyle name="Note 12 2 2 3" xfId="18529" xr:uid="{EA1B2955-4C5F-4B00-A82C-E1ADD4F69064}"/>
    <cellStyle name="Note 12 2 2 3 2" xfId="18530" xr:uid="{C980C480-BBED-4AAB-9A6B-C9400DB8E4B9}"/>
    <cellStyle name="Note 12 2 2 3 3" xfId="18531" xr:uid="{4B65631A-0DEB-4DFE-96FC-54144ECE30FA}"/>
    <cellStyle name="Note 12 2 2 4" xfId="18532" xr:uid="{83BD5437-5078-47C4-84F2-4BE1D1DBB0C5}"/>
    <cellStyle name="Note 12 2 2 5" xfId="18533" xr:uid="{B9351EDC-6FB9-4E66-B8CB-5ADA6B6C3494}"/>
    <cellStyle name="Note 12 2 3" xfId="18534" xr:uid="{33CC3E84-62EA-4EC1-9BBE-35A4F8238D0C}"/>
    <cellStyle name="Note 12 2 3 2" xfId="18535" xr:uid="{7FA3ACEE-5DEB-4827-A4D2-5547465D4E48}"/>
    <cellStyle name="Note 12 2 3 3" xfId="18536" xr:uid="{FE20B103-DD84-4048-BA9E-4A60A5146D79}"/>
    <cellStyle name="Note 12 2 3 4" xfId="18537" xr:uid="{53382236-3C54-4183-9713-6869006152A2}"/>
    <cellStyle name="Note 12 2 3 5" xfId="18538" xr:uid="{EC53C88D-2E69-476B-8452-4DAD87CBFAE0}"/>
    <cellStyle name="Note 12 2 4" xfId="18539" xr:uid="{41C08728-C1A1-4C53-949D-741FE162F38C}"/>
    <cellStyle name="Note 12 2 4 2" xfId="18540" xr:uid="{A838CA53-02EB-4E26-B192-C47E0D80202D}"/>
    <cellStyle name="Note 12 2 4 3" xfId="18541" xr:uid="{C747FF7D-E75B-499D-8E91-BC83550C31BC}"/>
    <cellStyle name="Note 12 2 5" xfId="18542" xr:uid="{3FE3F12B-0C40-408E-893D-1C9127F1016E}"/>
    <cellStyle name="Note 12 2 6" xfId="18543" xr:uid="{DB506815-FF8A-4339-BEE4-3C40C50E623F}"/>
    <cellStyle name="Note 12 2 7" xfId="18544" xr:uid="{173BD842-CD3F-4E19-BB7A-E2E1674158CD}"/>
    <cellStyle name="Note 12 2_JE 5 2002.2 FED" xfId="18545" xr:uid="{9ECE4C3A-C2F1-409B-AAB9-39CBF259A76F}"/>
    <cellStyle name="Note 12 3" xfId="18546" xr:uid="{FA85A076-86A3-4640-B6D4-B1337BD68431}"/>
    <cellStyle name="Note 12 3 2" xfId="18547" xr:uid="{8316C468-B58F-4B7D-A491-0438BB64601C}"/>
    <cellStyle name="Note 12 3 2 2" xfId="18548" xr:uid="{733D0FA6-4511-410F-AB50-DB361C1C384F}"/>
    <cellStyle name="Note 12 3 2 2 2" xfId="18549" xr:uid="{3DF3B994-8FEE-438B-B89B-0399966BA583}"/>
    <cellStyle name="Note 12 3 2 2 3" xfId="18550" xr:uid="{A19668C3-BEF7-4E58-A265-AC7F5F719515}"/>
    <cellStyle name="Note 12 3 2 3" xfId="18551" xr:uid="{C929A3E6-0F19-4D36-99C7-DB5540969C51}"/>
    <cellStyle name="Note 12 3 2 3 2" xfId="18552" xr:uid="{B4B7BD2B-627F-4141-A291-4B7C82B20439}"/>
    <cellStyle name="Note 12 3 2 3 3" xfId="18553" xr:uid="{4DA65C22-53B3-4C15-97EC-0942103E39A6}"/>
    <cellStyle name="Note 12 3 2 4" xfId="18554" xr:uid="{3ACB9C11-A6FB-4F90-908B-F77C9CF67A42}"/>
    <cellStyle name="Note 12 3 2 5" xfId="18555" xr:uid="{E73FB078-0919-4824-97A9-6E93D85EADE7}"/>
    <cellStyle name="Note 12 3 3" xfId="18556" xr:uid="{CC1E97E4-F133-4AF4-92F9-83518B1178BB}"/>
    <cellStyle name="Note 12 3 3 2" xfId="18557" xr:uid="{87EB6516-CA70-4515-97D3-2D9B5421D985}"/>
    <cellStyle name="Note 12 3 3 3" xfId="18558" xr:uid="{C4BCD538-2FE3-4317-AD8E-5D1E6CA54971}"/>
    <cellStyle name="Note 12 3 4" xfId="18559" xr:uid="{3A564850-F4FF-4B00-B193-1A24C95E004A}"/>
    <cellStyle name="Note 12 3 4 2" xfId="18560" xr:uid="{8914F67C-E95B-4A57-B335-43DE5DD661D7}"/>
    <cellStyle name="Note 12 3 4 3" xfId="18561" xr:uid="{5FEDB568-E36D-4954-A804-4CBAD0BC40BA}"/>
    <cellStyle name="Note 12 3 5" xfId="18562" xr:uid="{E0DB7E0F-0034-4355-9E40-30B570C5C6EA}"/>
    <cellStyle name="Note 12 3 6" xfId="18563" xr:uid="{3F44D890-7991-417B-84AE-1133024839B3}"/>
    <cellStyle name="Note 12 3_JE 5 2002.2 FED" xfId="18564" xr:uid="{AECB6501-73ED-4A07-9239-C48CCD6128EB}"/>
    <cellStyle name="Note 12 4" xfId="18565" xr:uid="{177D7B14-E70F-475B-8C78-C0C22B416937}"/>
    <cellStyle name="Note 12 4 2" xfId="18566" xr:uid="{337A4395-D060-4635-BE7E-8F33E396E3B5}"/>
    <cellStyle name="Note 12 4 2 2" xfId="18567" xr:uid="{5A27A964-AF0F-4FEE-A3AA-BFA363F856F0}"/>
    <cellStyle name="Note 12 4 2 2 2" xfId="18568" xr:uid="{9EF688F7-C5C3-4B9C-8781-9943E9F3FA6E}"/>
    <cellStyle name="Note 12 4 2 2 3" xfId="18569" xr:uid="{F6C8D788-317B-435A-B533-E7A1BEC9E7F6}"/>
    <cellStyle name="Note 12 4 2 3" xfId="18570" xr:uid="{9B61420A-8BA4-4426-890E-0838CD1544A3}"/>
    <cellStyle name="Note 12 4 2 3 2" xfId="18571" xr:uid="{8C786A20-675D-4E72-9602-DC0E70D03846}"/>
    <cellStyle name="Note 12 4 2 3 3" xfId="18572" xr:uid="{0A35E255-693C-4B49-8479-8AC9777DA380}"/>
    <cellStyle name="Note 12 4 2 4" xfId="18573" xr:uid="{AFC589F5-2CBA-4A63-A363-7A0B9E75C1D6}"/>
    <cellStyle name="Note 12 4 2 5" xfId="18574" xr:uid="{F9A827C8-610C-4451-BF3A-A760A5D1A2AB}"/>
    <cellStyle name="Note 12 4 3" xfId="18575" xr:uid="{72F94478-9AF6-4DA0-80B9-082665DDBCB0}"/>
    <cellStyle name="Note 12 4 3 2" xfId="18576" xr:uid="{2736464C-FA64-41DE-8BC0-4352EB7FA293}"/>
    <cellStyle name="Note 12 4 3 3" xfId="18577" xr:uid="{05A46CF0-8389-42A4-8C40-EEA46354C5D0}"/>
    <cellStyle name="Note 12 4 4" xfId="18578" xr:uid="{BE1E8885-C879-417A-9841-B034B67C2882}"/>
    <cellStyle name="Note 12 4 4 2" xfId="18579" xr:uid="{2F7187E9-2492-4758-8F8C-7E898D236592}"/>
    <cellStyle name="Note 12 4 4 3" xfId="18580" xr:uid="{B1E88D0D-7220-471D-8040-8F82DC278C78}"/>
    <cellStyle name="Note 12 4 5" xfId="18581" xr:uid="{738F4EE3-0D51-4BFB-9F3B-CC7E64FC157B}"/>
    <cellStyle name="Note 12 4 6" xfId="18582" xr:uid="{91BBB08E-2D86-4C46-B65D-5F5D2C160513}"/>
    <cellStyle name="Note 12 4_JE 5 2002.2 FED" xfId="18583" xr:uid="{B943CCE8-78D5-46AA-9271-020AE68D4CC0}"/>
    <cellStyle name="Note 12 5" xfId="18584" xr:uid="{B41A697C-C5CD-4B61-801E-C19CE69A2E06}"/>
    <cellStyle name="Note 12 5 2" xfId="18585" xr:uid="{97F36D4C-B865-4136-8164-0F442029ED55}"/>
    <cellStyle name="Note 12 5 2 2" xfId="18586" xr:uid="{0B58AFA4-338E-4105-A2D8-99B51FD99F8D}"/>
    <cellStyle name="Note 12 5 2 2 2" xfId="18587" xr:uid="{5D5C6F36-5405-48C1-B1EE-6C5034E3FBCB}"/>
    <cellStyle name="Note 12 5 2 2 3" xfId="18588" xr:uid="{B7505B06-485D-461F-BDA1-316C90D92FDD}"/>
    <cellStyle name="Note 12 5 2 3" xfId="18589" xr:uid="{F27FFAF2-6E8A-49E4-A052-0212D92FC63C}"/>
    <cellStyle name="Note 12 5 2 3 2" xfId="18590" xr:uid="{BAEBCC80-4382-46E0-BDEF-FDDC7285E0BD}"/>
    <cellStyle name="Note 12 5 2 3 3" xfId="18591" xr:uid="{C6790982-9D97-4D56-8398-4C52E6AC96D0}"/>
    <cellStyle name="Note 12 5 2 4" xfId="18592" xr:uid="{637C206F-44DD-42A1-96CF-4307AA8A8D97}"/>
    <cellStyle name="Note 12 5 2 5" xfId="18593" xr:uid="{7ADD1635-A549-49F1-9889-9E61C36C980E}"/>
    <cellStyle name="Note 12 5 3" xfId="18594" xr:uid="{022D28D6-E232-4DAE-9EFD-F8ED1C2F6E52}"/>
    <cellStyle name="Note 12 5 3 2" xfId="18595" xr:uid="{24A750AB-8727-4810-96BA-BF93292EBE8A}"/>
    <cellStyle name="Note 12 5 3 3" xfId="18596" xr:uid="{FBADAA0C-A2E6-4391-9860-9C24EEA60755}"/>
    <cellStyle name="Note 12 5 4" xfId="18597" xr:uid="{AA460471-28D5-44EA-9B54-3D78D8225103}"/>
    <cellStyle name="Note 12 5 4 2" xfId="18598" xr:uid="{35C3DBB7-9A25-4F45-940D-F1D7DF534600}"/>
    <cellStyle name="Note 12 5 4 3" xfId="18599" xr:uid="{C1B614E7-5E54-4585-B5B4-43F9802F2C4E}"/>
    <cellStyle name="Note 12 5 5" xfId="18600" xr:uid="{0CA2FC6D-782B-4EB6-9B30-EE2824E3A91F}"/>
    <cellStyle name="Note 12 5 6" xfId="18601" xr:uid="{F32D037C-E55F-477E-9580-0FD150249A6B}"/>
    <cellStyle name="Note 12 5_JE 5 2002.2 FED" xfId="18602" xr:uid="{BFB0F7D1-B08F-40E1-BA1C-FB90B2568D92}"/>
    <cellStyle name="Note 12 6" xfId="18603" xr:uid="{E0FE1B9A-991A-4324-A3E8-ECCBA23D0A78}"/>
    <cellStyle name="Note 12 6 2" xfId="18604" xr:uid="{7AB7FD81-63A0-4CBC-9CBC-1CB47597ADCF}"/>
    <cellStyle name="Note 12 6 2 2" xfId="18605" xr:uid="{1D2340F0-AF11-499F-9D1A-E5C4E15763C8}"/>
    <cellStyle name="Note 12 6 2 3" xfId="18606" xr:uid="{00583195-263F-4858-AB04-F1EB2824A328}"/>
    <cellStyle name="Note 12 6 3" xfId="18607" xr:uid="{08C6BDCF-159C-4787-ACF7-C616C8C9077C}"/>
    <cellStyle name="Note 12 6 3 2" xfId="18608" xr:uid="{6DAE260B-BE04-439E-B752-2829DE6A4FA4}"/>
    <cellStyle name="Note 12 6 3 3" xfId="18609" xr:uid="{178D0803-51B5-44C2-9DFA-92286F640255}"/>
    <cellStyle name="Note 12 6 4" xfId="18610" xr:uid="{C2720206-66B7-48DA-9D93-62C3B7160494}"/>
    <cellStyle name="Note 12 6 5" xfId="18611" xr:uid="{B9CD8034-C6A0-4DFD-8243-30A6B5E7D9E4}"/>
    <cellStyle name="Note 12 7" xfId="18612" xr:uid="{8BD4D831-787D-472B-B738-1A8AE1BD24AB}"/>
    <cellStyle name="Note 12 7 2" xfId="18613" xr:uid="{C57BECE3-491C-4831-9A94-5DB071AC37B9}"/>
    <cellStyle name="Note 12 7 3" xfId="18614" xr:uid="{AD3E8BE8-322A-4DE4-8A89-9D87BBE22B4A}"/>
    <cellStyle name="Note 12 7 4" xfId="18615" xr:uid="{EF52AAD3-E5C5-41F1-A732-5030D07E8975}"/>
    <cellStyle name="Note 12 7 5" xfId="18616" xr:uid="{8A2C0739-5801-4FA1-B235-8DE8B7CAD73D}"/>
    <cellStyle name="Note 12 8" xfId="18617" xr:uid="{4455B527-C060-4CB5-AC2E-2E7531A40317}"/>
    <cellStyle name="Note 12 8 2" xfId="18618" xr:uid="{FDFF6BB4-3DB7-40CC-B77A-05C097B67724}"/>
    <cellStyle name="Note 12 8 3" xfId="18619" xr:uid="{D309125F-5E1A-4933-9EE4-CD59AF763B36}"/>
    <cellStyle name="Note 12 9" xfId="18620" xr:uid="{3D489EA8-B05C-4DC3-9205-0E0E29B3580A}"/>
    <cellStyle name="Note 12_JE 5 2002.2 FED" xfId="18621" xr:uid="{7A6AEF23-DB36-474D-9779-0513C91DE16F}"/>
    <cellStyle name="Note 120" xfId="42892" xr:uid="{1E012D32-631E-4638-AB13-EAB6206C278E}"/>
    <cellStyle name="Note 121" xfId="42893" xr:uid="{74F4BF1D-06C0-4F8F-8737-C99CD46C1FA4}"/>
    <cellStyle name="Note 122" xfId="42894" xr:uid="{DC3DCEC1-A692-481F-9C35-01005722F53F}"/>
    <cellStyle name="Note 123" xfId="42895" xr:uid="{12513D27-F201-4BA4-BA39-5D0E9B7016AF}"/>
    <cellStyle name="Note 124" xfId="42896" xr:uid="{7606CAFA-9311-4A31-B302-BDA9447B255C}"/>
    <cellStyle name="Note 125" xfId="42897" xr:uid="{E6D39EFF-BEC9-42F4-94FB-50F4B8BAD4E8}"/>
    <cellStyle name="Note 126" xfId="42898" xr:uid="{4E418442-2397-46E8-9BC6-899F976A76A0}"/>
    <cellStyle name="Note 127" xfId="42899" xr:uid="{7A0C64FD-AE6A-40BF-ADB8-D314C04A3BD9}"/>
    <cellStyle name="Note 128" xfId="42900" xr:uid="{2ACF2225-0E9C-48BF-B720-79995D783301}"/>
    <cellStyle name="Note 129" xfId="42901" xr:uid="{48F14AF3-47AA-4423-82DF-71486A9F750A}"/>
    <cellStyle name="Note 13" xfId="18622" xr:uid="{8BBC1E97-F761-4396-9F28-DE039D107DCF}"/>
    <cellStyle name="Note 13 10" xfId="18623" xr:uid="{EF6F73C8-CE7D-47B6-92FB-DD6BA51229BE}"/>
    <cellStyle name="Note 13 11" xfId="18624" xr:uid="{AE81E350-36F9-4DAD-96B5-54FFD930509B}"/>
    <cellStyle name="Note 13 2" xfId="18625" xr:uid="{6A76F5F6-26D4-4D2B-A406-6E1E3CA160FC}"/>
    <cellStyle name="Note 13 2 2" xfId="18626" xr:uid="{98497C85-2913-4650-925A-B2021A64204F}"/>
    <cellStyle name="Note 13 2 2 2" xfId="18627" xr:uid="{756D40F8-EF75-47FB-8791-936FE403B6BE}"/>
    <cellStyle name="Note 13 2 2 2 2" xfId="18628" xr:uid="{EDEF69C3-49B7-4DB7-BDC8-72F0062943E3}"/>
    <cellStyle name="Note 13 2 2 2 3" xfId="18629" xr:uid="{4B84A2E8-AFC6-49E5-ACAC-9A20DE4FF85C}"/>
    <cellStyle name="Note 13 2 2 3" xfId="18630" xr:uid="{E3BD9E59-88A1-46F6-9CCD-CEA976BBB2DC}"/>
    <cellStyle name="Note 13 2 2 3 2" xfId="18631" xr:uid="{5D573563-4B69-4758-BD46-7C1A45F5738A}"/>
    <cellStyle name="Note 13 2 2 3 3" xfId="18632" xr:uid="{A1043E06-E1BA-46B3-8912-C2A440327144}"/>
    <cellStyle name="Note 13 2 2 4" xfId="18633" xr:uid="{539D8576-98C1-4A8E-BC49-1C814508B4E2}"/>
    <cellStyle name="Note 13 2 2 5" xfId="18634" xr:uid="{04D065CF-4C93-4042-B650-71C5C89BB295}"/>
    <cellStyle name="Note 13 2 3" xfId="18635" xr:uid="{5D26E25A-0DD6-41EA-9D54-1E06C4148E00}"/>
    <cellStyle name="Note 13 2 3 2" xfId="18636" xr:uid="{8A7720F3-3CB4-4363-87E4-ECBDF5FA5722}"/>
    <cellStyle name="Note 13 2 3 3" xfId="18637" xr:uid="{AF8C289F-CB4D-4333-AA1F-EEC3A6A6404F}"/>
    <cellStyle name="Note 13 2 3 4" xfId="18638" xr:uid="{408D3E74-3C3F-46E4-BA61-11F82852868F}"/>
    <cellStyle name="Note 13 2 3 5" xfId="18639" xr:uid="{9EA3E3A9-1719-4519-AF82-3F245BED7C27}"/>
    <cellStyle name="Note 13 2 4" xfId="18640" xr:uid="{CBFF964D-97C1-43A6-9057-B340380394F2}"/>
    <cellStyle name="Note 13 2 4 2" xfId="18641" xr:uid="{D969676C-715C-40A3-8222-0B0CB16D3AB6}"/>
    <cellStyle name="Note 13 2 4 3" xfId="18642" xr:uid="{26080441-E5E9-4AAA-91E3-BA92752CD4C0}"/>
    <cellStyle name="Note 13 2 5" xfId="18643" xr:uid="{29853442-5E15-4FB0-BAE0-1EFC85B3FEF2}"/>
    <cellStyle name="Note 13 2 6" xfId="18644" xr:uid="{2FAB5109-DE7A-4772-833A-9747279A0BCB}"/>
    <cellStyle name="Note 13 2 7" xfId="18645" xr:uid="{7EEC19D4-7527-497E-89FE-D743F06DAD0A}"/>
    <cellStyle name="Note 13 2_JE 5 2002.2 FED" xfId="18646" xr:uid="{092BB344-63BC-4FC5-B90E-00A6B6E6AF83}"/>
    <cellStyle name="Note 13 3" xfId="18647" xr:uid="{236BF2ED-AB2F-4351-8D82-4FB416C517AE}"/>
    <cellStyle name="Note 13 3 2" xfId="18648" xr:uid="{9D3909AC-614A-4DED-BE11-ED30EF6E6F35}"/>
    <cellStyle name="Note 13 3 2 2" xfId="18649" xr:uid="{B38B5ACA-CD68-4739-8C73-BE25B57C302C}"/>
    <cellStyle name="Note 13 3 2 2 2" xfId="18650" xr:uid="{71CAA6F1-9B4A-4D66-B061-763C8D4D9BAB}"/>
    <cellStyle name="Note 13 3 2 2 3" xfId="18651" xr:uid="{A9836948-B271-4C92-88ED-2B53164D7499}"/>
    <cellStyle name="Note 13 3 2 3" xfId="18652" xr:uid="{25EF2357-D330-4D92-B63E-3845E73BB087}"/>
    <cellStyle name="Note 13 3 2 3 2" xfId="18653" xr:uid="{C188F5A1-BCC9-4049-BC70-B16A18533669}"/>
    <cellStyle name="Note 13 3 2 3 3" xfId="18654" xr:uid="{AC64EF3C-7D7F-4C76-99E9-49207A8DDEF6}"/>
    <cellStyle name="Note 13 3 2 4" xfId="18655" xr:uid="{8EE91C63-FD61-4934-A225-C26E80B2F3BE}"/>
    <cellStyle name="Note 13 3 2 5" xfId="18656" xr:uid="{25225FFD-8F7D-4620-B07E-93C54F96B38D}"/>
    <cellStyle name="Note 13 3 3" xfId="18657" xr:uid="{D64C22DD-EC57-4301-A925-F80ECCB897CD}"/>
    <cellStyle name="Note 13 3 3 2" xfId="18658" xr:uid="{FEEE4033-4BDD-4D69-A843-4F74C8C0FBCA}"/>
    <cellStyle name="Note 13 3 3 3" xfId="18659" xr:uid="{112606AC-E34A-4399-9D35-601F5910147E}"/>
    <cellStyle name="Note 13 3 4" xfId="18660" xr:uid="{61D546B3-79CA-464F-8F7B-4B20DAA00D5F}"/>
    <cellStyle name="Note 13 3 4 2" xfId="18661" xr:uid="{3D8325B9-3123-4260-B8DC-522A549246B1}"/>
    <cellStyle name="Note 13 3 4 3" xfId="18662" xr:uid="{B72A7254-BFD3-4BA8-80CE-BEC8954B771A}"/>
    <cellStyle name="Note 13 3 5" xfId="18663" xr:uid="{28C8E1F8-1115-4D08-AED8-1DAB2D500C85}"/>
    <cellStyle name="Note 13 3 6" xfId="18664" xr:uid="{B39DD7F9-41B1-4A37-977E-7E31B4F94E70}"/>
    <cellStyle name="Note 13 3_JE 5 2002.2 FED" xfId="18665" xr:uid="{9BDA1D46-6A28-478E-BEC9-BBF0EFD2BDCB}"/>
    <cellStyle name="Note 13 4" xfId="18666" xr:uid="{AA2138A9-027F-41C0-B670-B7172F8B799B}"/>
    <cellStyle name="Note 13 4 2" xfId="18667" xr:uid="{67685D60-9F5D-439B-A31D-67AFC282E38D}"/>
    <cellStyle name="Note 13 4 2 2" xfId="18668" xr:uid="{87E82F90-ADEB-468A-89C6-962818BE1011}"/>
    <cellStyle name="Note 13 4 2 2 2" xfId="18669" xr:uid="{D7469628-D8CB-46FE-8CDD-4EC440091FBC}"/>
    <cellStyle name="Note 13 4 2 2 3" xfId="18670" xr:uid="{C7133A8F-C111-4BF1-9643-BB97097D2F72}"/>
    <cellStyle name="Note 13 4 2 3" xfId="18671" xr:uid="{1DB7D971-54AF-405F-BC3E-974C3213BAA9}"/>
    <cellStyle name="Note 13 4 2 3 2" xfId="18672" xr:uid="{701424C6-CD0F-49BC-8972-D5C14C8D1734}"/>
    <cellStyle name="Note 13 4 2 3 3" xfId="18673" xr:uid="{0C282D97-280E-4204-8FE3-CC1DA6E8DFD3}"/>
    <cellStyle name="Note 13 4 2 4" xfId="18674" xr:uid="{BAFFE0A4-675A-4E3C-8E18-7D997C3816C6}"/>
    <cellStyle name="Note 13 4 2 5" xfId="18675" xr:uid="{096E9308-9A0E-4B0B-B903-03085F7F260B}"/>
    <cellStyle name="Note 13 4 3" xfId="18676" xr:uid="{D2DDE93B-196A-42E5-B0DB-B026BE31B67B}"/>
    <cellStyle name="Note 13 4 3 2" xfId="18677" xr:uid="{32127E39-9535-4736-8B77-1267A836790E}"/>
    <cellStyle name="Note 13 4 3 3" xfId="18678" xr:uid="{E3B216AD-6FD7-4F2F-85EF-CF61D35C910A}"/>
    <cellStyle name="Note 13 4 4" xfId="18679" xr:uid="{5134EC3B-3DC1-460E-9622-2E5961D13D64}"/>
    <cellStyle name="Note 13 4 4 2" xfId="18680" xr:uid="{1CBECCBF-9347-4071-AA59-E90A374E3807}"/>
    <cellStyle name="Note 13 4 4 3" xfId="18681" xr:uid="{3259ED8D-81F2-47A7-8F87-1431B748E98E}"/>
    <cellStyle name="Note 13 4 5" xfId="18682" xr:uid="{A3797739-EAAE-4E3E-9A37-104005FA5957}"/>
    <cellStyle name="Note 13 4 6" xfId="18683" xr:uid="{9BE6D321-AEFA-48A5-932D-0CC8FB668787}"/>
    <cellStyle name="Note 13 4_JE 5 2002.2 FED" xfId="18684" xr:uid="{B7E05595-ADB3-4E66-9F5E-A1FE25CDF4F7}"/>
    <cellStyle name="Note 13 5" xfId="18685" xr:uid="{5F69AFE8-3C2F-47EB-A2BD-7CBDC131D43A}"/>
    <cellStyle name="Note 13 5 2" xfId="18686" xr:uid="{F4D53AE7-7758-404F-BA72-42EBAB539C1B}"/>
    <cellStyle name="Note 13 5 2 2" xfId="18687" xr:uid="{6B74E2D4-3157-47F1-9683-06ABB40BB877}"/>
    <cellStyle name="Note 13 5 2 2 2" xfId="18688" xr:uid="{1564D194-1DD0-49FE-BE45-67CCBE5FCD72}"/>
    <cellStyle name="Note 13 5 2 2 3" xfId="18689" xr:uid="{35FC40E6-33EA-40FA-AE35-4118686B9798}"/>
    <cellStyle name="Note 13 5 2 3" xfId="18690" xr:uid="{37C1986B-45A4-48FE-894F-BF4733F8BDCC}"/>
    <cellStyle name="Note 13 5 2 3 2" xfId="18691" xr:uid="{9BCCF4A2-A957-43C5-9B20-4C8ED2A1F250}"/>
    <cellStyle name="Note 13 5 2 3 3" xfId="18692" xr:uid="{B48F37A3-5D13-4913-8B14-1BDD1CFAFAB6}"/>
    <cellStyle name="Note 13 5 2 4" xfId="18693" xr:uid="{72A5C817-0D04-4151-AE0F-CE6098DBBA7C}"/>
    <cellStyle name="Note 13 5 2 5" xfId="18694" xr:uid="{0740EFAA-50F0-4860-95E1-C3BEC43CA0C5}"/>
    <cellStyle name="Note 13 5 3" xfId="18695" xr:uid="{BA0E1E94-0927-42BE-8A69-49FDE3D77F58}"/>
    <cellStyle name="Note 13 5 3 2" xfId="18696" xr:uid="{359A01C0-EC1E-480E-99C7-60AA446D6C49}"/>
    <cellStyle name="Note 13 5 3 3" xfId="18697" xr:uid="{9ECF63AC-8094-4E9D-8ACC-5FA3BE9C3656}"/>
    <cellStyle name="Note 13 5 4" xfId="18698" xr:uid="{187BEF3F-AF65-4B01-9820-FE48200AE9FF}"/>
    <cellStyle name="Note 13 5 4 2" xfId="18699" xr:uid="{0CF072FC-3A6C-4EBF-B679-F5528F5B3252}"/>
    <cellStyle name="Note 13 5 4 3" xfId="18700" xr:uid="{685BCBEA-48DC-4603-A803-16982BCFFCA4}"/>
    <cellStyle name="Note 13 5 5" xfId="18701" xr:uid="{BB4C14D6-EBD0-4E56-938B-A8EEAD14D336}"/>
    <cellStyle name="Note 13 5 6" xfId="18702" xr:uid="{5490DE2E-8A02-4ED2-9FB1-ABD57C8632D2}"/>
    <cellStyle name="Note 13 5_JE 5 2002.2 FED" xfId="18703" xr:uid="{46AD75F7-0898-457F-BE4D-34A45F2ABD37}"/>
    <cellStyle name="Note 13 6" xfId="18704" xr:uid="{FA7D8BC5-D057-4FEC-A187-201A219669FF}"/>
    <cellStyle name="Note 13 6 2" xfId="18705" xr:uid="{7DEE6601-F83A-4CD2-92D3-C77E975B1EF7}"/>
    <cellStyle name="Note 13 6 2 2" xfId="18706" xr:uid="{4896810E-4C0C-4630-8AFC-1DCF5AB09740}"/>
    <cellStyle name="Note 13 6 2 3" xfId="18707" xr:uid="{A1C4AA87-001F-43D0-BD23-C753C0571CA6}"/>
    <cellStyle name="Note 13 6 3" xfId="18708" xr:uid="{556A2E70-91B2-4980-BE32-D5E6903FBEB8}"/>
    <cellStyle name="Note 13 6 3 2" xfId="18709" xr:uid="{3ADFDE90-9EC0-49DB-A9E4-DF67F4C9AE9A}"/>
    <cellStyle name="Note 13 6 3 3" xfId="18710" xr:uid="{1507D302-16B3-4140-8B9D-4CBC04C1F360}"/>
    <cellStyle name="Note 13 6 4" xfId="18711" xr:uid="{2103860F-96BC-49F8-A825-B12D2E1E89F2}"/>
    <cellStyle name="Note 13 6 5" xfId="18712" xr:uid="{3FCFB31A-AA7A-48E3-9C41-6131D3278E42}"/>
    <cellStyle name="Note 13 7" xfId="18713" xr:uid="{B89581D6-A980-424D-93D1-E08264DCA01D}"/>
    <cellStyle name="Note 13 7 2" xfId="18714" xr:uid="{9F5A1467-3659-48DE-8711-EC9828F64C97}"/>
    <cellStyle name="Note 13 7 3" xfId="18715" xr:uid="{DF029F51-4841-4D4E-831C-FB228E4FF42E}"/>
    <cellStyle name="Note 13 7 4" xfId="18716" xr:uid="{7088478D-14F4-4FC2-8819-816E621A8B2B}"/>
    <cellStyle name="Note 13 7 5" xfId="18717" xr:uid="{0E4A9C33-6BE6-42CA-9291-2DA638A61211}"/>
    <cellStyle name="Note 13 8" xfId="18718" xr:uid="{B5F32257-F440-4306-8BAE-7BF7C4DD8849}"/>
    <cellStyle name="Note 13 8 2" xfId="18719" xr:uid="{3B7CA4DC-45C2-4EA2-8B2B-627A0580453B}"/>
    <cellStyle name="Note 13 8 3" xfId="18720" xr:uid="{124B4599-1514-4D65-B9FD-5C529EA6E16D}"/>
    <cellStyle name="Note 13 9" xfId="18721" xr:uid="{4370FC7A-0C19-4B2D-90DD-767D569B11CD}"/>
    <cellStyle name="Note 13_JE 5 2002.2 FED" xfId="18722" xr:uid="{A9548694-AA88-4ED2-9897-B0640087DC73}"/>
    <cellStyle name="Note 130" xfId="42902" xr:uid="{2738D650-E928-46B9-AF93-28150D431CF0}"/>
    <cellStyle name="Note 131" xfId="42903" xr:uid="{6CBE9D56-3ACF-46A9-AE43-77E71EBAAF25}"/>
    <cellStyle name="Note 132" xfId="42904" xr:uid="{8A1E27B5-E21B-4E2D-BD89-F49092194F97}"/>
    <cellStyle name="Note 133" xfId="42905" xr:uid="{77027170-EF4E-464E-9AA5-0F1337D345C3}"/>
    <cellStyle name="Note 134" xfId="42906" xr:uid="{28C88380-DFFE-49DC-BA7B-6DCCBCAA6624}"/>
    <cellStyle name="Note 135" xfId="42907" xr:uid="{A4F22A24-CDB6-48FC-B25E-ACC64131CF3C}"/>
    <cellStyle name="Note 136" xfId="43464" xr:uid="{505479EC-647C-41BA-BABE-B76BCF8E0F08}"/>
    <cellStyle name="Note 137" xfId="43485" xr:uid="{08E261AB-5EDB-4055-AB2B-87A37D9FD16D}"/>
    <cellStyle name="Note 138" xfId="43489" xr:uid="{203798C6-9958-444F-BD2A-3E0FA9439CA0}"/>
    <cellStyle name="Note 139" xfId="43497" xr:uid="{67F44418-BCFA-44D9-919D-6455802E0B2F}"/>
    <cellStyle name="Note 14" xfId="18723" xr:uid="{8C0925C8-FB39-4D91-9D60-BD53D6F2FDBB}"/>
    <cellStyle name="Note 14 10" xfId="18724" xr:uid="{097532E1-8236-4FB1-AABA-BB118200DE21}"/>
    <cellStyle name="Note 14 11" xfId="18725" xr:uid="{36085E23-E331-49E7-ACC0-31FE7862324E}"/>
    <cellStyle name="Note 14 2" xfId="18726" xr:uid="{94FBFA53-8EDD-4C6D-BFC6-24E7A35224C6}"/>
    <cellStyle name="Note 14 2 2" xfId="18727" xr:uid="{06F74C04-6CBA-4482-89D1-AACAD277F120}"/>
    <cellStyle name="Note 14 2 2 2" xfId="18728" xr:uid="{6B49EAC1-C568-4EB5-A56E-FBFEF62B978E}"/>
    <cellStyle name="Note 14 2 2 2 2" xfId="18729" xr:uid="{7FF67B70-2262-44E5-8BFD-60BA3F1E17D9}"/>
    <cellStyle name="Note 14 2 2 2 3" xfId="18730" xr:uid="{F64A14F8-E73C-43E1-B44C-70CE8603BFEB}"/>
    <cellStyle name="Note 14 2 2 3" xfId="18731" xr:uid="{6D5A2DDD-4C40-4AE5-AB0D-1F542498C40B}"/>
    <cellStyle name="Note 14 2 2 3 2" xfId="18732" xr:uid="{AE266E8A-508C-40B1-8F5D-F14CF55D87C2}"/>
    <cellStyle name="Note 14 2 2 3 3" xfId="18733" xr:uid="{A93752C2-2C4A-4D98-9431-6FC9133C6221}"/>
    <cellStyle name="Note 14 2 2 4" xfId="18734" xr:uid="{85F0066A-5F28-41D3-A872-49B88C3E6622}"/>
    <cellStyle name="Note 14 2 2 5" xfId="18735" xr:uid="{3A0D2AB3-386E-47A7-A659-F20B3D93CDD1}"/>
    <cellStyle name="Note 14 2 3" xfId="18736" xr:uid="{D53C4C3B-E92F-4DA6-9C71-BCA6B874CCFE}"/>
    <cellStyle name="Note 14 2 3 2" xfId="18737" xr:uid="{A8B8E70A-F920-42E3-B385-313F5FD610DD}"/>
    <cellStyle name="Note 14 2 3 3" xfId="18738" xr:uid="{6EF4003B-6091-482F-9AB9-A64AAD09A5C5}"/>
    <cellStyle name="Note 14 2 3 4" xfId="18739" xr:uid="{95FDFC7E-B7E2-4627-8CF3-3E23F8EF486C}"/>
    <cellStyle name="Note 14 2 3 5" xfId="18740" xr:uid="{37A3D340-979B-4A02-9724-2C3111887792}"/>
    <cellStyle name="Note 14 2 4" xfId="18741" xr:uid="{DC99651E-D2B9-4E09-861A-02BEE70F85E8}"/>
    <cellStyle name="Note 14 2 4 2" xfId="18742" xr:uid="{3FE1FBA4-A683-4C69-A9E9-E1C9C2571E9C}"/>
    <cellStyle name="Note 14 2 4 3" xfId="18743" xr:uid="{56470688-AD78-451B-9B20-64184FE87711}"/>
    <cellStyle name="Note 14 2 5" xfId="18744" xr:uid="{070F8479-83B7-490F-970F-2A7F5E4908FC}"/>
    <cellStyle name="Note 14 2 6" xfId="18745" xr:uid="{FCD6E42C-CCB3-48CC-9F6F-64ED83F637DB}"/>
    <cellStyle name="Note 14 2 7" xfId="18746" xr:uid="{6306B608-6F3B-4AE0-80A8-BB57334422F6}"/>
    <cellStyle name="Note 14 2_JE 5 2002.2 FED" xfId="18747" xr:uid="{32206EEF-6E17-4B73-BD8D-0BDE512337BD}"/>
    <cellStyle name="Note 14 3" xfId="18748" xr:uid="{B2A6838F-FED1-4625-A800-462DD2814226}"/>
    <cellStyle name="Note 14 3 2" xfId="18749" xr:uid="{3A0DF901-9767-4E56-BB5E-0ED14F806033}"/>
    <cellStyle name="Note 14 3 2 2" xfId="18750" xr:uid="{6BC047E5-3BEF-48E5-9084-56032E145AB4}"/>
    <cellStyle name="Note 14 3 2 2 2" xfId="18751" xr:uid="{5F41CB9D-E39B-4511-ACBF-EBEC030E446B}"/>
    <cellStyle name="Note 14 3 2 2 3" xfId="18752" xr:uid="{0AA19E62-C228-4867-B6EF-969159BE91B4}"/>
    <cellStyle name="Note 14 3 2 3" xfId="18753" xr:uid="{E72F6426-816D-4F09-8B3B-ACE530C637A0}"/>
    <cellStyle name="Note 14 3 2 3 2" xfId="18754" xr:uid="{5B908F25-360A-4925-9371-CBC94F3079F5}"/>
    <cellStyle name="Note 14 3 2 3 3" xfId="18755" xr:uid="{055D3795-A29E-49C0-B753-834D4C2D7573}"/>
    <cellStyle name="Note 14 3 2 4" xfId="18756" xr:uid="{DD73426D-FCDC-4A49-BCF0-D34765BE15BD}"/>
    <cellStyle name="Note 14 3 2 5" xfId="18757" xr:uid="{95588E11-6410-43C7-873E-89177A5D054B}"/>
    <cellStyle name="Note 14 3 3" xfId="18758" xr:uid="{48829871-4D1E-4E01-A751-7AC3FCF5AA70}"/>
    <cellStyle name="Note 14 3 3 2" xfId="18759" xr:uid="{2459978D-42F9-4A3B-A6CE-2E48E6D842AB}"/>
    <cellStyle name="Note 14 3 3 3" xfId="18760" xr:uid="{11002B0F-18EA-4C9E-9274-55234FC25F41}"/>
    <cellStyle name="Note 14 3 4" xfId="18761" xr:uid="{74A506BF-7534-43D3-879C-04263F3B8C58}"/>
    <cellStyle name="Note 14 3 4 2" xfId="18762" xr:uid="{8886AD09-5265-4C2F-B920-55F254308321}"/>
    <cellStyle name="Note 14 3 4 3" xfId="18763" xr:uid="{453199E3-BDE9-44BA-8B39-CF5816AC40B8}"/>
    <cellStyle name="Note 14 3 5" xfId="18764" xr:uid="{4DBB7135-B462-4EB6-953C-A335D8493B0B}"/>
    <cellStyle name="Note 14 3 6" xfId="18765" xr:uid="{2689D851-B878-47B4-BBFC-E9F7ABE94F98}"/>
    <cellStyle name="Note 14 3_JE 5 2002.2 FED" xfId="18766" xr:uid="{785F041F-6745-4D99-ADFE-BFF4DFEBE19F}"/>
    <cellStyle name="Note 14 4" xfId="18767" xr:uid="{673CEB3F-CD59-46A5-BFCF-A4FE4D8DC012}"/>
    <cellStyle name="Note 14 4 2" xfId="18768" xr:uid="{9E246E7D-F4DD-4CC9-8119-05FDA8CA11F3}"/>
    <cellStyle name="Note 14 4 2 2" xfId="18769" xr:uid="{ABF4712F-56BF-425E-86F8-EAB603962283}"/>
    <cellStyle name="Note 14 4 2 2 2" xfId="18770" xr:uid="{AB734463-040B-457A-9201-F380BB0D4956}"/>
    <cellStyle name="Note 14 4 2 2 3" xfId="18771" xr:uid="{5536E600-2C01-4F3C-8F7F-2F3DD80F32E9}"/>
    <cellStyle name="Note 14 4 2 3" xfId="18772" xr:uid="{963D27FC-427D-483A-9DFF-4FB8872F3D70}"/>
    <cellStyle name="Note 14 4 2 3 2" xfId="18773" xr:uid="{37E2EAFB-1B30-4447-B567-F812564A2C55}"/>
    <cellStyle name="Note 14 4 2 3 3" xfId="18774" xr:uid="{1167FCEB-7EE4-4D88-BA62-22644F1883F6}"/>
    <cellStyle name="Note 14 4 2 4" xfId="18775" xr:uid="{6CAF4AF3-470E-4E23-AB04-7F569DB16FA0}"/>
    <cellStyle name="Note 14 4 2 5" xfId="18776" xr:uid="{E24ABCE5-A3F8-4BDA-ABE5-48005BC87A3F}"/>
    <cellStyle name="Note 14 4 3" xfId="18777" xr:uid="{675FB156-7CE6-4F68-AD8E-C0D3F9C112A5}"/>
    <cellStyle name="Note 14 4 3 2" xfId="18778" xr:uid="{F03D309E-0741-4576-BE62-2BB16678EB26}"/>
    <cellStyle name="Note 14 4 3 3" xfId="18779" xr:uid="{042394A4-8EBF-440C-85ED-0669A77BB6F1}"/>
    <cellStyle name="Note 14 4 4" xfId="18780" xr:uid="{FAA91D11-15C5-4939-8BDC-EC28A6AB162A}"/>
    <cellStyle name="Note 14 4 4 2" xfId="18781" xr:uid="{13144C1C-D1FB-4183-9A4A-8E2B40E2FA78}"/>
    <cellStyle name="Note 14 4 4 3" xfId="18782" xr:uid="{E52E4CD2-1F2F-4F0F-82DB-009369A66057}"/>
    <cellStyle name="Note 14 4 5" xfId="18783" xr:uid="{BABB6B08-3CAA-4690-A57F-0C7C7298F851}"/>
    <cellStyle name="Note 14 4 6" xfId="18784" xr:uid="{F2BD99C9-0C88-44B0-BEBA-6C7E8C9C03D9}"/>
    <cellStyle name="Note 14 4_JE 5 2002.2 FED" xfId="18785" xr:uid="{F3306597-D563-48EE-B169-E4A45BDA4587}"/>
    <cellStyle name="Note 14 5" xfId="18786" xr:uid="{7903352E-8EE0-481D-BAEA-9D72D3D67DCE}"/>
    <cellStyle name="Note 14 5 2" xfId="18787" xr:uid="{9D6F1327-6FAD-4E5A-9E54-20CC45097448}"/>
    <cellStyle name="Note 14 5 2 2" xfId="18788" xr:uid="{796B8A1D-93AD-402A-AEF8-A5360D564DFE}"/>
    <cellStyle name="Note 14 5 2 2 2" xfId="18789" xr:uid="{F8DE5AB5-BBA9-4D35-8131-02AEEF6790CA}"/>
    <cellStyle name="Note 14 5 2 2 3" xfId="18790" xr:uid="{BFF48C43-D5D0-4C09-B955-BC8584510C0F}"/>
    <cellStyle name="Note 14 5 2 3" xfId="18791" xr:uid="{63C1905E-6C5D-4C8C-B726-30DBE7596B8A}"/>
    <cellStyle name="Note 14 5 2 3 2" xfId="18792" xr:uid="{4D01232A-BEFB-49E0-8C0A-756521C1CD42}"/>
    <cellStyle name="Note 14 5 2 3 3" xfId="18793" xr:uid="{147F2274-9E53-4F4D-AA3A-43D4136560AC}"/>
    <cellStyle name="Note 14 5 2 4" xfId="18794" xr:uid="{84554FD6-84B7-40AF-8535-203E40042E4B}"/>
    <cellStyle name="Note 14 5 2 5" xfId="18795" xr:uid="{E2DD2868-4C75-4ED6-BF62-8226BB31E248}"/>
    <cellStyle name="Note 14 5 3" xfId="18796" xr:uid="{5E0CD629-038E-40F3-9285-1099325D88A8}"/>
    <cellStyle name="Note 14 5 3 2" xfId="18797" xr:uid="{3D5C90D7-221F-462E-A959-7F6F36378B6B}"/>
    <cellStyle name="Note 14 5 3 3" xfId="18798" xr:uid="{8899E150-BBD1-4DA5-8594-3EE1B2E5E2A7}"/>
    <cellStyle name="Note 14 5 4" xfId="18799" xr:uid="{6CA9E710-3A64-467D-97FB-A9501DEF31AA}"/>
    <cellStyle name="Note 14 5 4 2" xfId="18800" xr:uid="{51E0973D-EAB0-4086-A462-0997E8D5F44B}"/>
    <cellStyle name="Note 14 5 4 3" xfId="18801" xr:uid="{05E1DF28-8C61-4AC7-A856-0A6FA40ECA2C}"/>
    <cellStyle name="Note 14 5 5" xfId="18802" xr:uid="{EB5BFF50-2EEA-49EF-941E-3725F1214D5C}"/>
    <cellStyle name="Note 14 5 6" xfId="18803" xr:uid="{8318B0F4-E777-4F2F-B7EC-799FE2C63E3E}"/>
    <cellStyle name="Note 14 5_JE 5 2002.2 FED" xfId="18804" xr:uid="{0D11BA44-28F4-409A-AB5E-177034332C08}"/>
    <cellStyle name="Note 14 6" xfId="18805" xr:uid="{7AF0282C-89C3-409D-BB43-7BD3B469D8F4}"/>
    <cellStyle name="Note 14 6 2" xfId="18806" xr:uid="{103B86CF-DBD5-464F-9895-41ECC23D6327}"/>
    <cellStyle name="Note 14 6 2 2" xfId="18807" xr:uid="{7791337C-0B9A-4423-BD07-BD319432CBC2}"/>
    <cellStyle name="Note 14 6 2 3" xfId="18808" xr:uid="{05A34952-95F6-4893-A0D0-2EEFAD445957}"/>
    <cellStyle name="Note 14 6 3" xfId="18809" xr:uid="{FCF251F3-62CD-4C86-BA6C-E08D24FD18A9}"/>
    <cellStyle name="Note 14 6 3 2" xfId="18810" xr:uid="{6AD58B7F-DBC7-4876-B916-8035894E9121}"/>
    <cellStyle name="Note 14 6 3 3" xfId="18811" xr:uid="{6D8E8F82-5587-4914-BF04-8D192B334C21}"/>
    <cellStyle name="Note 14 6 4" xfId="18812" xr:uid="{64EB4A47-D2C4-4940-8BE5-0BD2B4735C00}"/>
    <cellStyle name="Note 14 6 5" xfId="18813" xr:uid="{BA87DB16-FA35-480E-AB82-72725FD3121F}"/>
    <cellStyle name="Note 14 7" xfId="18814" xr:uid="{3281B44D-23CD-4092-8905-1B3183AE61FE}"/>
    <cellStyle name="Note 14 7 2" xfId="18815" xr:uid="{E797C0CA-47A7-4A60-81E0-CFFDD6866F59}"/>
    <cellStyle name="Note 14 7 3" xfId="18816" xr:uid="{710BD0B7-3039-431F-A856-D9CB040ABAEB}"/>
    <cellStyle name="Note 14 7 4" xfId="18817" xr:uid="{F6A75904-5A33-4DFF-B887-F60842CF723B}"/>
    <cellStyle name="Note 14 7 5" xfId="18818" xr:uid="{88F0D186-5009-4AC9-9024-56EABC2C1302}"/>
    <cellStyle name="Note 14 8" xfId="18819" xr:uid="{F811B1AE-B1A9-482D-AABE-5CDC685C8F64}"/>
    <cellStyle name="Note 14 8 2" xfId="18820" xr:uid="{784C825D-7095-4785-B172-374630041600}"/>
    <cellStyle name="Note 14 8 3" xfId="18821" xr:uid="{FB8653A1-C596-4A64-BB2C-0B853FBE88BD}"/>
    <cellStyle name="Note 14 9" xfId="18822" xr:uid="{54EF81A4-612D-4C3A-97C4-FAA57C195953}"/>
    <cellStyle name="Note 14_JE 5 2002.2 FED" xfId="18823" xr:uid="{0A908BBF-EE8E-441A-BEAC-5900316B8366}"/>
    <cellStyle name="Note 140" xfId="43584" xr:uid="{56E62621-1A92-45C7-9F0F-5A92D064FC63}"/>
    <cellStyle name="Note 141" xfId="200" xr:uid="{9785746B-E371-4D35-9227-C55FA4537C62}"/>
    <cellStyle name="Note 15" xfId="18824" xr:uid="{8454EDC0-E597-41B0-B972-B4CD506ECE9F}"/>
    <cellStyle name="Note 15 10" xfId="18825" xr:uid="{4EE6E043-2E69-40E1-AC7D-6796C6A74F52}"/>
    <cellStyle name="Note 15 11" xfId="18826" xr:uid="{620057D8-12C3-4CC4-A76E-0A867337F253}"/>
    <cellStyle name="Note 15 2" xfId="18827" xr:uid="{EAEDE51B-DD9F-47ED-9EBB-A359317C198D}"/>
    <cellStyle name="Note 15 2 2" xfId="18828" xr:uid="{2D1D8363-0055-4742-8E13-F3D51BFF6936}"/>
    <cellStyle name="Note 15 2 2 2" xfId="18829" xr:uid="{EC2B2023-330F-4163-A295-1EA9A89E3585}"/>
    <cellStyle name="Note 15 2 2 2 2" xfId="18830" xr:uid="{824FD362-8E41-4F89-96AE-14732D257CDF}"/>
    <cellStyle name="Note 15 2 2 2 3" xfId="18831" xr:uid="{DA8F78C5-746F-46D6-A53F-1729F085F611}"/>
    <cellStyle name="Note 15 2 2 3" xfId="18832" xr:uid="{0316E165-9F26-45F9-BDCB-F09835A563AA}"/>
    <cellStyle name="Note 15 2 2 3 2" xfId="18833" xr:uid="{D87FA2C8-67D1-4124-BE54-E7D3F09A4F94}"/>
    <cellStyle name="Note 15 2 2 3 3" xfId="18834" xr:uid="{6EB03C51-0E3C-4490-AB58-F1B75DC0EE0D}"/>
    <cellStyle name="Note 15 2 2 4" xfId="18835" xr:uid="{6547A6D8-3B18-4F23-86FA-6184AC7E99B0}"/>
    <cellStyle name="Note 15 2 2 5" xfId="18836" xr:uid="{9CB7DC66-ED8D-451E-ACA0-242A7EA100E8}"/>
    <cellStyle name="Note 15 2 3" xfId="18837" xr:uid="{09DCFDA4-E2EA-480F-AFA7-F26D0D97462C}"/>
    <cellStyle name="Note 15 2 3 2" xfId="18838" xr:uid="{2732A609-054B-4FF3-864A-D1FAB1F8DBFC}"/>
    <cellStyle name="Note 15 2 3 3" xfId="18839" xr:uid="{3AAB0A73-5D79-42B9-8A3C-4AC5183897AA}"/>
    <cellStyle name="Note 15 2 3 4" xfId="18840" xr:uid="{72B02F25-3AA0-4665-8B9D-C71F5AF9CFB0}"/>
    <cellStyle name="Note 15 2 3 5" xfId="18841" xr:uid="{CEC0CD97-523B-42AA-8E44-201FAD412441}"/>
    <cellStyle name="Note 15 2 4" xfId="18842" xr:uid="{F4E98A43-D96F-4848-9147-486417799EFA}"/>
    <cellStyle name="Note 15 2 4 2" xfId="18843" xr:uid="{31FB99AB-A620-4049-A9C2-AC67DF32A0C9}"/>
    <cellStyle name="Note 15 2 4 3" xfId="18844" xr:uid="{C92CC58B-AFB1-43C2-85E0-ADED8A41C9E4}"/>
    <cellStyle name="Note 15 2 5" xfId="18845" xr:uid="{6126D9B9-4441-451A-95B8-100A8F22EE3A}"/>
    <cellStyle name="Note 15 2 6" xfId="18846" xr:uid="{9F1275E9-F1C2-467E-B7F5-B48FC69680F8}"/>
    <cellStyle name="Note 15 2 7" xfId="18847" xr:uid="{0652B69C-D762-4629-8EB5-C451FEF784B3}"/>
    <cellStyle name="Note 15 2_JE 5 2002.2 FED" xfId="18848" xr:uid="{F90A2F66-8671-4DFA-BF10-52CD6B322BB5}"/>
    <cellStyle name="Note 15 3" xfId="18849" xr:uid="{C560E7D5-899C-4990-895B-B6EA901EDF40}"/>
    <cellStyle name="Note 15 3 2" xfId="18850" xr:uid="{0BD94B57-4704-4FCD-A30A-2F3B6153FCE2}"/>
    <cellStyle name="Note 15 3 2 2" xfId="18851" xr:uid="{3A8017C2-DD99-4CB4-B747-342C11786B60}"/>
    <cellStyle name="Note 15 3 2 2 2" xfId="18852" xr:uid="{4BAB6A97-297D-4DF7-897F-2CF4430003C3}"/>
    <cellStyle name="Note 15 3 2 2 3" xfId="18853" xr:uid="{2551E5FC-E2FC-4764-B2D4-7C86D48956F5}"/>
    <cellStyle name="Note 15 3 2 3" xfId="18854" xr:uid="{60F66BCB-05E3-4446-8529-1746BFD2F912}"/>
    <cellStyle name="Note 15 3 2 3 2" xfId="18855" xr:uid="{063047BC-080B-4790-B1C4-C05D03071068}"/>
    <cellStyle name="Note 15 3 2 3 3" xfId="18856" xr:uid="{A129B491-DDDF-4ECE-A7CB-445060ABA39C}"/>
    <cellStyle name="Note 15 3 2 4" xfId="18857" xr:uid="{C55A5CAF-D15A-4D26-966B-7F8523D09C1A}"/>
    <cellStyle name="Note 15 3 2 5" xfId="18858" xr:uid="{A9BF51CE-F9C4-4709-9388-C59FAC2B529D}"/>
    <cellStyle name="Note 15 3 3" xfId="18859" xr:uid="{9FB7A69D-3106-4655-BB05-A457F317F1FD}"/>
    <cellStyle name="Note 15 3 3 2" xfId="18860" xr:uid="{530F0878-49F4-432D-B60C-9BDFA6E198FE}"/>
    <cellStyle name="Note 15 3 3 3" xfId="18861" xr:uid="{4EA84A65-1D1E-4F4D-98D2-62B080EE8888}"/>
    <cellStyle name="Note 15 3 4" xfId="18862" xr:uid="{FD8A8AE2-2910-4FC9-B640-BCB529AB29A2}"/>
    <cellStyle name="Note 15 3 4 2" xfId="18863" xr:uid="{3BAD6DB7-83F9-478C-8BE6-9A81C19C9B6A}"/>
    <cellStyle name="Note 15 3 4 3" xfId="18864" xr:uid="{74C0392A-76A0-4F12-98A8-9810199B5C8A}"/>
    <cellStyle name="Note 15 3 5" xfId="18865" xr:uid="{92EDF89F-12A6-42C1-A514-DCE71F42DCFA}"/>
    <cellStyle name="Note 15 3 6" xfId="18866" xr:uid="{98E285A1-FB60-4A36-9D5B-F270F27DF9F3}"/>
    <cellStyle name="Note 15 3_JE 5 2002.2 FED" xfId="18867" xr:uid="{49D8514B-5E54-4C3B-91AD-01A27544E25B}"/>
    <cellStyle name="Note 15 4" xfId="18868" xr:uid="{88D19D16-6DA6-4287-9B44-C094825532F6}"/>
    <cellStyle name="Note 15 4 2" xfId="18869" xr:uid="{D5490C95-86BE-44C0-B8C5-8F070C9E8B89}"/>
    <cellStyle name="Note 15 4 2 2" xfId="18870" xr:uid="{696B9187-184E-432A-B067-34274A109B15}"/>
    <cellStyle name="Note 15 4 2 2 2" xfId="18871" xr:uid="{77B03E51-7177-45AC-BADB-1B8431533A1B}"/>
    <cellStyle name="Note 15 4 2 2 3" xfId="18872" xr:uid="{D9CFC52F-D62E-4BCD-8541-ED6B216A3687}"/>
    <cellStyle name="Note 15 4 2 3" xfId="18873" xr:uid="{1F971403-003D-4C0A-9C9D-8B3CC3E20971}"/>
    <cellStyle name="Note 15 4 2 3 2" xfId="18874" xr:uid="{A1D08CF4-652D-446D-8BB9-171D48476445}"/>
    <cellStyle name="Note 15 4 2 3 3" xfId="18875" xr:uid="{F10D1D59-20CD-44EA-8450-A6C7BA86FCD1}"/>
    <cellStyle name="Note 15 4 2 4" xfId="18876" xr:uid="{7C1A5B13-D4AF-44E4-B0BB-DD0E0589A205}"/>
    <cellStyle name="Note 15 4 2 5" xfId="18877" xr:uid="{9CAEC3EA-A956-4908-BBF1-9AC7A0DA5BF0}"/>
    <cellStyle name="Note 15 4 3" xfId="18878" xr:uid="{2BA6D4FA-AA70-4FD7-954B-26E7C3E767DD}"/>
    <cellStyle name="Note 15 4 3 2" xfId="18879" xr:uid="{0F98E4EF-92E7-41D7-A695-C8872F01B0A1}"/>
    <cellStyle name="Note 15 4 3 3" xfId="18880" xr:uid="{167015B3-927D-449C-BBA5-3851F20891A9}"/>
    <cellStyle name="Note 15 4 4" xfId="18881" xr:uid="{C3A20D81-6657-429A-806C-9A76EC324F95}"/>
    <cellStyle name="Note 15 4 4 2" xfId="18882" xr:uid="{3777752A-DD03-4331-9DD7-0DE5ACD4D5FB}"/>
    <cellStyle name="Note 15 4 4 3" xfId="18883" xr:uid="{CBDB20F6-4DE0-4730-9C41-C8683DAB058D}"/>
    <cellStyle name="Note 15 4 5" xfId="18884" xr:uid="{0F088DEB-B1A0-45FB-965D-0B55FE562F2F}"/>
    <cellStyle name="Note 15 4 6" xfId="18885" xr:uid="{4AD2A55E-53D1-499F-94BA-2BE7CC258714}"/>
    <cellStyle name="Note 15 4_JE 5 2002.2 FED" xfId="18886" xr:uid="{44A2C92E-A72E-4E5A-9B97-10A1493770AE}"/>
    <cellStyle name="Note 15 5" xfId="18887" xr:uid="{413BD370-31C7-41CC-9182-99D71A9C30B1}"/>
    <cellStyle name="Note 15 5 2" xfId="18888" xr:uid="{817E5B2F-3055-4514-8E46-822AE8C971CD}"/>
    <cellStyle name="Note 15 5 2 2" xfId="18889" xr:uid="{44FB0383-76D4-4390-97BD-25E587FED33C}"/>
    <cellStyle name="Note 15 5 2 2 2" xfId="18890" xr:uid="{C7CB6402-022D-403E-9AE0-A9CBB75DA986}"/>
    <cellStyle name="Note 15 5 2 2 3" xfId="18891" xr:uid="{8E7D7476-64E9-4D56-920D-F1DA0DEE6FFB}"/>
    <cellStyle name="Note 15 5 2 3" xfId="18892" xr:uid="{229DB895-F55F-40A3-97C1-DABFAB84BBFF}"/>
    <cellStyle name="Note 15 5 2 3 2" xfId="18893" xr:uid="{A514252B-3CC4-456D-A544-E76BA87DB09E}"/>
    <cellStyle name="Note 15 5 2 3 3" xfId="18894" xr:uid="{F7F82202-E79F-447E-BA0C-2358548E2AB9}"/>
    <cellStyle name="Note 15 5 2 4" xfId="18895" xr:uid="{3420AA36-91AB-4A6C-82EA-B193B3E5E887}"/>
    <cellStyle name="Note 15 5 2 5" xfId="18896" xr:uid="{FBFD96E5-649B-4B64-95D3-A548A815735C}"/>
    <cellStyle name="Note 15 5 3" xfId="18897" xr:uid="{5BC28BC4-2A14-47DF-B81E-1BD73EA0206F}"/>
    <cellStyle name="Note 15 5 3 2" xfId="18898" xr:uid="{5124F7A2-C33D-44CD-8107-C63D163A62D0}"/>
    <cellStyle name="Note 15 5 3 3" xfId="18899" xr:uid="{8BADE484-6AC4-4996-A01D-A701B99517DE}"/>
    <cellStyle name="Note 15 5 4" xfId="18900" xr:uid="{63D17151-BB47-4EDE-9588-214A01EFBCC8}"/>
    <cellStyle name="Note 15 5 4 2" xfId="18901" xr:uid="{AF26A5C3-EB80-4F13-AFD2-87E7837F6AC6}"/>
    <cellStyle name="Note 15 5 4 3" xfId="18902" xr:uid="{CAD391B7-5C34-4B65-80B7-B65345FE0C9E}"/>
    <cellStyle name="Note 15 5 5" xfId="18903" xr:uid="{DCBCC81D-C590-4986-927B-67718B61851A}"/>
    <cellStyle name="Note 15 5 6" xfId="18904" xr:uid="{D579D7D6-D4E2-48C6-9E2F-040BEAEA4013}"/>
    <cellStyle name="Note 15 5_JE 5 2002.2 FED" xfId="18905" xr:uid="{92D00C45-D5C8-43A0-ADB7-5806507DBE44}"/>
    <cellStyle name="Note 15 6" xfId="18906" xr:uid="{1A91F9A4-D4A9-492C-BB2E-8E58773AFF11}"/>
    <cellStyle name="Note 15 6 2" xfId="18907" xr:uid="{C654AEC1-245D-431A-A91B-A225F6FE5A68}"/>
    <cellStyle name="Note 15 6 2 2" xfId="18908" xr:uid="{C16141D9-7093-4F7F-ACF3-19C724DBD735}"/>
    <cellStyle name="Note 15 6 2 3" xfId="18909" xr:uid="{61E6BFB9-C524-48B7-809C-DBA55A253B88}"/>
    <cellStyle name="Note 15 6 3" xfId="18910" xr:uid="{00A5C6DC-A5B5-4D09-AE35-D0342C884F81}"/>
    <cellStyle name="Note 15 6 3 2" xfId="18911" xr:uid="{A34A3B6D-BE14-4440-BCA6-C1CF496319F1}"/>
    <cellStyle name="Note 15 6 3 3" xfId="18912" xr:uid="{8D80DDC9-64B3-4F36-945E-88850E8E7679}"/>
    <cellStyle name="Note 15 6 4" xfId="18913" xr:uid="{F8424605-C73E-4629-B7D5-1AE17B9F5082}"/>
    <cellStyle name="Note 15 6 5" xfId="18914" xr:uid="{4EB0FFD0-F2D2-4A31-8C3B-DC48FC4A1D31}"/>
    <cellStyle name="Note 15 7" xfId="18915" xr:uid="{F3E38F71-9653-4BDF-B3C3-1B9945DB0D16}"/>
    <cellStyle name="Note 15 7 2" xfId="18916" xr:uid="{33EF9EB5-07BD-4826-B416-0BAD6D0CDBD7}"/>
    <cellStyle name="Note 15 7 3" xfId="18917" xr:uid="{CE8E80E1-8F19-44E0-929A-311AA5608CF8}"/>
    <cellStyle name="Note 15 7 4" xfId="18918" xr:uid="{2B29A3F1-E2CC-4D11-9B5E-4F6F21A4DFD8}"/>
    <cellStyle name="Note 15 7 5" xfId="18919" xr:uid="{BDA30973-93AF-4C87-96AF-0BADDC3E38AF}"/>
    <cellStyle name="Note 15 8" xfId="18920" xr:uid="{C3BCD9EC-D9A4-4E98-93AF-ABF3786BE153}"/>
    <cellStyle name="Note 15 8 2" xfId="18921" xr:uid="{9AF0EE5E-848F-40B3-AD53-065808A59FE8}"/>
    <cellStyle name="Note 15 8 3" xfId="18922" xr:uid="{FE86E826-D7D0-4D87-A50E-B330E30E72CD}"/>
    <cellStyle name="Note 15 9" xfId="18923" xr:uid="{07B621E8-6B95-44E6-90C4-31C24AA1CA11}"/>
    <cellStyle name="Note 15_JE 5 2002.2 FED" xfId="18924" xr:uid="{5311A564-A024-4807-843D-DFE20E4CC068}"/>
    <cellStyle name="Note 16" xfId="18925" xr:uid="{2B770613-A8BE-4FB4-AF04-6955E9CD9174}"/>
    <cellStyle name="Note 16 2" xfId="18926" xr:uid="{8610DCD6-B015-460C-A7BA-7143C8621AAF}"/>
    <cellStyle name="Note 16 2 2" xfId="18927" xr:uid="{E9ACD0AC-0D43-46AA-B148-E9826F7875AA}"/>
    <cellStyle name="Note 16 2 2 2" xfId="18928" xr:uid="{9B0D9500-93D1-42A9-BB9C-2D2195EDF2AD}"/>
    <cellStyle name="Note 16 2 2 3" xfId="18929" xr:uid="{E8B95AE4-5ED8-4B18-9DDC-1214EF4B030D}"/>
    <cellStyle name="Note 16 2 2 4" xfId="18930" xr:uid="{13D2DD25-ED4C-4F44-8F09-60488CCE0A10}"/>
    <cellStyle name="Note 16 2 2 5" xfId="18931" xr:uid="{5AF9424E-7235-42A7-A9A5-4495A6C67300}"/>
    <cellStyle name="Note 16 2 3" xfId="18932" xr:uid="{BC595542-53E4-4398-9E6E-06DA5D9F7FBC}"/>
    <cellStyle name="Note 16 2 3 2" xfId="18933" xr:uid="{FD02034B-A8BC-444D-89AD-8C942D39719A}"/>
    <cellStyle name="Note 16 2 3 3" xfId="18934" xr:uid="{A7D7891C-DE49-472A-9965-9A3FC5200843}"/>
    <cellStyle name="Note 16 2 3 4" xfId="18935" xr:uid="{66C66DA4-D86A-401B-A7B4-959D547A4D4B}"/>
    <cellStyle name="Note 16 2 3 5" xfId="18936" xr:uid="{CC53667A-A580-4750-8CE5-726BFEF1D058}"/>
    <cellStyle name="Note 16 2 4" xfId="18937" xr:uid="{56ED9090-E7FA-4075-9D75-4744AD8195E0}"/>
    <cellStyle name="Note 16 2 5" xfId="18938" xr:uid="{7D0B9E19-1177-4E43-8EA8-61597BF8A3C2}"/>
    <cellStyle name="Note 16 2 6" xfId="18939" xr:uid="{1D83CF64-2F4D-4EF0-8F60-7AC6B2BC5897}"/>
    <cellStyle name="Note 16 2 7" xfId="18940" xr:uid="{67C13F37-C332-41ED-ACBC-E82AC5C17B82}"/>
    <cellStyle name="Note 16 3" xfId="18941" xr:uid="{F762C769-F38F-4263-BC18-E3F6FF939A20}"/>
    <cellStyle name="Note 16 3 2" xfId="18942" xr:uid="{D80F074A-9CB4-457E-A4A0-E8174A23CC2A}"/>
    <cellStyle name="Note 16 3 3" xfId="18943" xr:uid="{9B77D02D-69F4-4E50-9FA0-CE57FF59C7AF}"/>
    <cellStyle name="Note 16 3 4" xfId="18944" xr:uid="{D581D1D7-99C5-4CDA-A9C7-C6BF3B55CE57}"/>
    <cellStyle name="Note 16 3 5" xfId="18945" xr:uid="{9D46DE28-4861-4F25-98D0-A068FFFA157E}"/>
    <cellStyle name="Note 16 4" xfId="18946" xr:uid="{CCB7D7E5-9629-4B8B-9BA0-65799B8D596F}"/>
    <cellStyle name="Note 16 4 2" xfId="18947" xr:uid="{B219E428-DB7A-4120-9813-4F0BBF3D1573}"/>
    <cellStyle name="Note 16 4 3" xfId="18948" xr:uid="{6D76EB78-352F-4B58-93C2-488F5898A026}"/>
    <cellStyle name="Note 16 4 4" xfId="18949" xr:uid="{6CC02FCA-A16D-4AC3-8D3D-5EF77075D327}"/>
    <cellStyle name="Note 16 4 5" xfId="18950" xr:uid="{ABBB9931-451B-45A7-976C-BF43B7B89A54}"/>
    <cellStyle name="Note 16 5" xfId="18951" xr:uid="{D0CD7770-8DF4-482D-81A7-C9386F5C28E1}"/>
    <cellStyle name="Note 16 6" xfId="18952" xr:uid="{9C6552B3-9FDE-4037-95B4-815BC867412A}"/>
    <cellStyle name="Note 16 7" xfId="18953" xr:uid="{FE18F0A8-5D1A-46A5-88EA-9084320ADC53}"/>
    <cellStyle name="Note 16 8" xfId="18954" xr:uid="{139CFD29-726B-4C96-ACCA-18E5647F01F2}"/>
    <cellStyle name="Note 16_JE 5 2002.2 FED" xfId="18955" xr:uid="{AD964A74-CACB-45CD-90CB-1F24A2A0B18B}"/>
    <cellStyle name="Note 17" xfId="18956" xr:uid="{9A5D2CA7-89A4-42AD-824D-7EB33E658D05}"/>
    <cellStyle name="Note 17 2" xfId="18957" xr:uid="{A5A9C1A8-7E28-4949-BCE7-DA4A907FCFEA}"/>
    <cellStyle name="Note 17 2 2" xfId="18958" xr:uid="{B25BECB2-C5EF-4C9C-A255-2517C210C79E}"/>
    <cellStyle name="Note 17 2 2 2" xfId="18959" xr:uid="{A31267AE-B1B0-48E6-B2DD-C80DE2BF174B}"/>
    <cellStyle name="Note 17 2 2 3" xfId="18960" xr:uid="{E34AA9D1-D563-4472-9B58-0336343E83F5}"/>
    <cellStyle name="Note 17 2 2 4" xfId="18961" xr:uid="{0CB47F88-2AE0-4931-8C92-7CFF7FBB1741}"/>
    <cellStyle name="Note 17 2 2 5" xfId="18962" xr:uid="{205B6509-66D7-4E55-99F9-243377041AF5}"/>
    <cellStyle name="Note 17 2 3" xfId="18963" xr:uid="{299C18BB-E95D-47FB-B0D1-2E593E1AB7A4}"/>
    <cellStyle name="Note 17 2 3 2" xfId="18964" xr:uid="{9DC647A0-B6FA-4CDA-820C-524ABABEEB3E}"/>
    <cellStyle name="Note 17 2 3 3" xfId="18965" xr:uid="{70B794DE-9C1C-41BF-AAD8-23FA36A3F383}"/>
    <cellStyle name="Note 17 2 3 4" xfId="18966" xr:uid="{AAAD8451-E44A-4A21-AA2E-0885817802E4}"/>
    <cellStyle name="Note 17 2 3 5" xfId="18967" xr:uid="{691772F1-7261-4009-99D5-B9745BC990B5}"/>
    <cellStyle name="Note 17 2 4" xfId="18968" xr:uid="{5D85EB2E-C270-481B-A09A-3479B6BD116B}"/>
    <cellStyle name="Note 17 2 5" xfId="18969" xr:uid="{8B47E9A1-681E-489A-A550-4FD647E55E07}"/>
    <cellStyle name="Note 17 2 6" xfId="18970" xr:uid="{D0339DE8-A182-4BE4-81D0-D0206AD8A9F7}"/>
    <cellStyle name="Note 17 2 7" xfId="18971" xr:uid="{C13A7286-CEE5-4046-91CD-2E84F4435BF6}"/>
    <cellStyle name="Note 17 3" xfId="18972" xr:uid="{43FB3D28-1CE4-48A7-A01B-2E3AF922ED97}"/>
    <cellStyle name="Note 17 3 2" xfId="18973" xr:uid="{324C8309-39B4-4866-8811-058DE3F55E6E}"/>
    <cellStyle name="Note 17 3 3" xfId="18974" xr:uid="{1BDEF70C-F888-4421-B73C-1B5BCA58B5E2}"/>
    <cellStyle name="Note 17 3 4" xfId="18975" xr:uid="{050C16A2-B252-4DFC-B7AC-092BD68D71CA}"/>
    <cellStyle name="Note 17 3 5" xfId="18976" xr:uid="{9002993D-1840-4CB5-A905-BAF7858ED771}"/>
    <cellStyle name="Note 17 4" xfId="18977" xr:uid="{C8B214EB-2580-4CB1-A784-B447EB5144A8}"/>
    <cellStyle name="Note 17 4 2" xfId="18978" xr:uid="{A357FA6A-EF41-4AA4-BE28-F3C6AFBFFC5A}"/>
    <cellStyle name="Note 17 4 3" xfId="18979" xr:uid="{4CF00AF5-8376-4636-A154-8C3BFC845264}"/>
    <cellStyle name="Note 17 4 4" xfId="18980" xr:uid="{366A8276-87BB-4663-93AF-957C251B73E5}"/>
    <cellStyle name="Note 17 4 5" xfId="18981" xr:uid="{AFC93686-0581-40C8-9D58-34B73DB9F09E}"/>
    <cellStyle name="Note 17 5" xfId="18982" xr:uid="{88A777D6-A56D-430A-A08A-1D3FFA27ABA6}"/>
    <cellStyle name="Note 17 6" xfId="18983" xr:uid="{D5BEA0EA-5DB1-4358-863E-F3249CD0B731}"/>
    <cellStyle name="Note 17 7" xfId="18984" xr:uid="{F62C3DAE-7610-4827-BEFD-4C420520C83D}"/>
    <cellStyle name="Note 17 8" xfId="18985" xr:uid="{9C898E1A-7E12-4F32-87A6-E782CFD18001}"/>
    <cellStyle name="Note 17_JE 5 2002.2 FED" xfId="18986" xr:uid="{4EE8E1B3-44DB-42D0-8992-6C16E67B75DD}"/>
    <cellStyle name="Note 18" xfId="18987" xr:uid="{72BADAEA-E1FF-4E45-883C-06B60F26A0FC}"/>
    <cellStyle name="Note 18 2" xfId="18988" xr:uid="{8EE21518-9A43-4DF4-8BFF-05A2E409ECD8}"/>
    <cellStyle name="Note 18 2 2" xfId="18989" xr:uid="{E8CDC8ED-5FB5-4291-8828-CF4AF11AD05B}"/>
    <cellStyle name="Note 18 2 2 2" xfId="18990" xr:uid="{DC64EA00-E983-4F33-89BF-ABA2F2A8DF46}"/>
    <cellStyle name="Note 18 2 2 3" xfId="18991" xr:uid="{C4533A47-26CE-4E49-91E0-2EEA5433A932}"/>
    <cellStyle name="Note 18 2 2 4" xfId="18992" xr:uid="{CD21B17E-558B-47AC-8279-603A6BB25AFF}"/>
    <cellStyle name="Note 18 2 3" xfId="18993" xr:uid="{9847B441-2FBC-4785-8577-D1EC22FFAFFD}"/>
    <cellStyle name="Note 18 2 3 2" xfId="18994" xr:uid="{F68F6F4F-5AE8-4C63-9E66-EE57F431B182}"/>
    <cellStyle name="Note 18 2 3 3" xfId="18995" xr:uid="{A8820100-E174-4C49-BB70-77A3C506BCB2}"/>
    <cellStyle name="Note 18 2 4" xfId="18996" xr:uid="{E099DF82-5E8C-424C-9DEE-16C567AD8E15}"/>
    <cellStyle name="Note 18 2 5" xfId="18997" xr:uid="{676EDA5D-57B6-4855-AA02-D3C8A283D72A}"/>
    <cellStyle name="Note 18 2 6" xfId="18998" xr:uid="{056F9503-343F-4F21-BB95-8B90E4800754}"/>
    <cellStyle name="Note 18 2 7" xfId="18999" xr:uid="{326ADC99-7A6A-4C57-9EA7-94FF72391A75}"/>
    <cellStyle name="Note 18 3" xfId="19000" xr:uid="{9B24B257-8D51-4350-BD85-EE3A296A4C97}"/>
    <cellStyle name="Note 18 3 2" xfId="19001" xr:uid="{DD1EA529-07C2-4779-9BC5-AABC896FF92B}"/>
    <cellStyle name="Note 18 3 3" xfId="19002" xr:uid="{60B916B9-DC73-4898-AE21-4AC8A5936D26}"/>
    <cellStyle name="Note 18 3 4" xfId="19003" xr:uid="{3C49CFD8-C18F-47CE-9409-8AF6F2446A50}"/>
    <cellStyle name="Note 18 3 5" xfId="19004" xr:uid="{FE9C72A4-12B0-4094-AD9B-4BCE50B66C5B}"/>
    <cellStyle name="Note 18 4" xfId="19005" xr:uid="{48EA106F-DFC0-40CD-B790-86ADFC1DE8CB}"/>
    <cellStyle name="Note 18 4 2" xfId="19006" xr:uid="{A103CDBC-EC8F-4554-AD56-F1166D7A4BF6}"/>
    <cellStyle name="Note 18 4 3" xfId="19007" xr:uid="{334E1C06-EEC6-471F-B148-1869DC909919}"/>
    <cellStyle name="Note 18 5" xfId="19008" xr:uid="{47249FF2-5157-45D6-9398-672262BFB6B2}"/>
    <cellStyle name="Note 18 6" xfId="19009" xr:uid="{A3618BAC-9B73-4974-AAC4-867D679C11FC}"/>
    <cellStyle name="Note 18 7" xfId="19010" xr:uid="{FE3D6702-AE8C-4B8D-AB02-35FA0E7D475E}"/>
    <cellStyle name="Note 18 8" xfId="19011" xr:uid="{3ADE842E-A6E7-427A-8B37-E63BEA8F2E1E}"/>
    <cellStyle name="Note 19" xfId="19012" xr:uid="{B2274987-49C2-44E0-BF7B-426583BEF9AC}"/>
    <cellStyle name="Note 19 2" xfId="19013" xr:uid="{13E2C2BA-D89D-4C98-A810-49DD1C81524C}"/>
    <cellStyle name="Note 19 2 2" xfId="19014" xr:uid="{069A7287-A01F-4BD8-8C83-F9E9B03D19A0}"/>
    <cellStyle name="Note 19 2 2 2" xfId="19015" xr:uid="{7B1C4D1A-A459-44A0-8F1E-781D926DB080}"/>
    <cellStyle name="Note 19 2 2 3" xfId="19016" xr:uid="{347BBDCC-953F-45DB-95D7-0BFFEAB8AF04}"/>
    <cellStyle name="Note 19 2 2 4" xfId="19017" xr:uid="{33E5C785-36D0-4765-8BDD-D34BB7961D50}"/>
    <cellStyle name="Note 19 2 3" xfId="19018" xr:uid="{A13911CA-FBB1-4859-A90B-051AD20AFEDC}"/>
    <cellStyle name="Note 19 2 3 2" xfId="19019" xr:uid="{B93CF7A9-47A7-4166-82C8-96CF728EB39B}"/>
    <cellStyle name="Note 19 2 3 3" xfId="19020" xr:uid="{41124A1A-4818-4158-B60B-10F534DFCCA1}"/>
    <cellStyle name="Note 19 2 4" xfId="19021" xr:uid="{FD9D137B-588A-4762-B280-49E71A7B5F83}"/>
    <cellStyle name="Note 19 2 5" xfId="19022" xr:uid="{C0E1A37B-F2C3-4586-8482-279DA70DA9D7}"/>
    <cellStyle name="Note 19 2 6" xfId="19023" xr:uid="{DF39C214-0A3E-4DBF-851C-851A28312B36}"/>
    <cellStyle name="Note 19 2 7" xfId="19024" xr:uid="{910863A6-C6A8-4BF4-BAF5-F22DF9EC3A9F}"/>
    <cellStyle name="Note 19 3" xfId="19025" xr:uid="{32E827E3-17D1-438D-9FF9-67ABA6087B14}"/>
    <cellStyle name="Note 19 3 2" xfId="19026" xr:uid="{140CE775-4398-447D-9462-55F45A4F18CA}"/>
    <cellStyle name="Note 19 3 3" xfId="19027" xr:uid="{83F6AAF3-4F46-42E5-8638-009D052E5295}"/>
    <cellStyle name="Note 19 3 4" xfId="19028" xr:uid="{AEAC04A8-AE53-4587-A186-4428888D84E6}"/>
    <cellStyle name="Note 19 3 5" xfId="19029" xr:uid="{160733B5-4A98-44B4-9456-C879304CA9EF}"/>
    <cellStyle name="Note 19 4" xfId="19030" xr:uid="{1EE78338-CA54-4D1D-AFAD-2F50E93A2FA9}"/>
    <cellStyle name="Note 19 4 2" xfId="19031" xr:uid="{600BAF05-4CF8-4801-A3BF-D9225E4FA4BA}"/>
    <cellStyle name="Note 19 4 3" xfId="19032" xr:uid="{C6C306D9-F4D1-41A0-A177-5706205F701F}"/>
    <cellStyle name="Note 19 5" xfId="19033" xr:uid="{1C3EEC17-B49F-4407-8C47-82634D686607}"/>
    <cellStyle name="Note 19 6" xfId="19034" xr:uid="{F8293F74-1817-4712-8521-6DA458F486FE}"/>
    <cellStyle name="Note 19 7" xfId="19035" xr:uid="{797504CA-1252-4D9C-85EF-3C5B83F25CFF}"/>
    <cellStyle name="Note 19 8" xfId="19036" xr:uid="{C4B6F7A0-772D-4928-9099-CF680012F128}"/>
    <cellStyle name="Note 2" xfId="19037" xr:uid="{A6F8B7AE-6D97-4C85-BAAE-26B5DAB7B4E6}"/>
    <cellStyle name="Note 2 10" xfId="19038" xr:uid="{6180B5BB-4B0C-4D7E-BEAF-ED27F1E0063E}"/>
    <cellStyle name="Note 2 10 2" xfId="19039" xr:uid="{5B868646-5AE2-4F7A-999D-D86E9BE181F5}"/>
    <cellStyle name="Note 2 10 2 2" xfId="19040" xr:uid="{20AA20A2-29C9-4E2D-8F1C-925C7A649405}"/>
    <cellStyle name="Note 2 10 2 2 2" xfId="19041" xr:uid="{EDD86792-F28A-441F-B46C-A18694175E2B}"/>
    <cellStyle name="Note 2 10 2 2 3" xfId="19042" xr:uid="{A77F9589-9014-4812-BD96-2605F2FEAFCD}"/>
    <cellStyle name="Note 2 10 2 3" xfId="19043" xr:uid="{BB4F13E6-7D82-41F3-BA7A-9925D4ECE09A}"/>
    <cellStyle name="Note 2 10 2 3 2" xfId="19044" xr:uid="{9C97A884-408E-418A-8EC0-6C63F3F166ED}"/>
    <cellStyle name="Note 2 10 2 3 3" xfId="19045" xr:uid="{039CD914-428E-4377-A5FA-413E2ACB090F}"/>
    <cellStyle name="Note 2 10 2 4" xfId="19046" xr:uid="{E8A82959-7C56-401D-A41A-577CAB80A7AF}"/>
    <cellStyle name="Note 2 10 2 5" xfId="19047" xr:uid="{F376458B-C533-4B5C-8A5B-8F600A0107F1}"/>
    <cellStyle name="Note 2 10 2 6" xfId="19048" xr:uid="{BB5E3665-94E4-423C-8549-6F4266017B23}"/>
    <cellStyle name="Note 2 10 2 7" xfId="19049" xr:uid="{33F17713-07A3-4AA5-A5D1-013EBE996EB2}"/>
    <cellStyle name="Note 2 10 3" xfId="19050" xr:uid="{0EFBABAC-A0A6-4497-8BF5-C0F93DBE30EE}"/>
    <cellStyle name="Note 2 10 3 2" xfId="19051" xr:uid="{5622B7F8-D8AA-4584-A328-6EC44166623F}"/>
    <cellStyle name="Note 2 10 3 2 2" xfId="19052" xr:uid="{9A94B38A-6096-4BF8-8CC4-B1B72E3B14F8}"/>
    <cellStyle name="Note 2 10 3 2 3" xfId="19053" xr:uid="{3E3EAB95-9D7C-4763-B2A9-A103889E959D}"/>
    <cellStyle name="Note 2 10 3 3" xfId="19054" xr:uid="{9252C869-8090-46FE-B5F4-935B374673BD}"/>
    <cellStyle name="Note 2 10 3 4" xfId="19055" xr:uid="{F289FC00-16DC-43E1-B092-A4C853299397}"/>
    <cellStyle name="Note 2 10 3 5" xfId="19056" xr:uid="{983BD0DB-FC45-41AD-85E6-17E87C1585CD}"/>
    <cellStyle name="Note 2 10 3 6" xfId="19057" xr:uid="{85BD9DB9-C6FF-4F64-85DA-A8FCFB4126AF}"/>
    <cellStyle name="Note 2 10 4" xfId="19058" xr:uid="{EC61033A-E5AA-4287-9BAC-3C5ABDE11FC3}"/>
    <cellStyle name="Note 2 10 4 2" xfId="19059" xr:uid="{58857382-7AD2-43EA-98DA-21D2313899C2}"/>
    <cellStyle name="Note 2 10 4 3" xfId="19060" xr:uid="{A9D205DD-017F-4671-98D9-660F62F867CE}"/>
    <cellStyle name="Note 2 10 5" xfId="19061" xr:uid="{7C23066C-93AE-47B1-9E00-CE1BF7652D86}"/>
    <cellStyle name="Note 2 10 6" xfId="19062" xr:uid="{DDE61DC1-2F47-4C19-B5C3-696049DE76BA}"/>
    <cellStyle name="Note 2 10 7" xfId="19063" xr:uid="{A69BB538-727E-45FB-80C4-A4D419D81D0F}"/>
    <cellStyle name="Note 2 10 8" xfId="19064" xr:uid="{FE3196B4-0BCD-46D1-B6B1-C157A95576FB}"/>
    <cellStyle name="Note 2 11" xfId="19065" xr:uid="{95B0CBC8-0DA2-4B15-BA59-A44A124A3A5A}"/>
    <cellStyle name="Note 2 11 2" xfId="19066" xr:uid="{FFD10100-393D-4C22-86DC-E4CC9F428B56}"/>
    <cellStyle name="Note 2 11 2 2" xfId="19067" xr:uid="{CEBAD875-0C87-4B98-B621-BD53C7F1496D}"/>
    <cellStyle name="Note 2 11 2 2 2" xfId="19068" xr:uid="{730ED22C-22E2-4C7A-9A84-97FB4E685290}"/>
    <cellStyle name="Note 2 11 2 2 3" xfId="19069" xr:uid="{D31EC6B7-BE91-4F01-9C2A-74C5136FBC73}"/>
    <cellStyle name="Note 2 11 2 3" xfId="19070" xr:uid="{086757FD-68AE-466C-809D-405FB816251C}"/>
    <cellStyle name="Note 2 11 2 3 2" xfId="19071" xr:uid="{B1842016-0D69-4D4B-B058-85B9B2B0754B}"/>
    <cellStyle name="Note 2 11 2 3 3" xfId="19072" xr:uid="{F89CE9CB-04D0-4479-BC03-1550DE02AA84}"/>
    <cellStyle name="Note 2 11 2 4" xfId="19073" xr:uid="{9175E31C-05B5-4BDF-8769-42441749B90F}"/>
    <cellStyle name="Note 2 11 2 5" xfId="19074" xr:uid="{9777155A-F3E8-4C11-96A5-7B71965D0D97}"/>
    <cellStyle name="Note 2 11 2 6" xfId="19075" xr:uid="{59DF0CB4-1567-4A08-9EA8-79EA1FA5C02B}"/>
    <cellStyle name="Note 2 11 2 7" xfId="19076" xr:uid="{01F6F226-832B-4EE4-B5BD-1D2F5C165303}"/>
    <cellStyle name="Note 2 11 3" xfId="19077" xr:uid="{F2048A01-68CA-4FB7-9F74-ADA62E8F38DA}"/>
    <cellStyle name="Note 2 11 3 2" xfId="19078" xr:uid="{9C46406D-ED3C-4040-BB55-511A7ED00EEE}"/>
    <cellStyle name="Note 2 11 3 2 2" xfId="19079" xr:uid="{A768ACC6-9538-43EE-88F9-DDFA1CBB96CC}"/>
    <cellStyle name="Note 2 11 3 2 3" xfId="19080" xr:uid="{B930C62F-D057-4320-A1BB-DC61EE6BA7ED}"/>
    <cellStyle name="Note 2 11 3 3" xfId="19081" xr:uid="{F9C2643A-06AF-4387-850A-65739617588D}"/>
    <cellStyle name="Note 2 11 3 4" xfId="19082" xr:uid="{7159D05D-C563-4E97-9004-AA0F1A7B0FEF}"/>
    <cellStyle name="Note 2 11 3 5" xfId="19083" xr:uid="{5F99C6CB-0118-4148-AF66-AB5CB900FD57}"/>
    <cellStyle name="Note 2 11 3 6" xfId="19084" xr:uid="{A3940235-EEE4-4457-9F85-1148BE5C2D4F}"/>
    <cellStyle name="Note 2 11 4" xfId="19085" xr:uid="{99E5C476-906F-4CF6-86E3-A92AD4B6D37B}"/>
    <cellStyle name="Note 2 11 4 2" xfId="19086" xr:uid="{C55B1664-8A4C-47DA-A8CB-E73125A2BF59}"/>
    <cellStyle name="Note 2 11 4 3" xfId="19087" xr:uid="{8EBADF01-DC13-4DE8-BF63-53B5FF3D3475}"/>
    <cellStyle name="Note 2 11 5" xfId="19088" xr:uid="{8C1FF808-F461-4E13-98EB-0F5F04BA5859}"/>
    <cellStyle name="Note 2 11 6" xfId="19089" xr:uid="{F1EEB6D8-DE41-493B-BB35-9BA014E1A27B}"/>
    <cellStyle name="Note 2 11 7" xfId="19090" xr:uid="{1BE79EDE-C49A-4F91-9BAF-6A7F6C1D0170}"/>
    <cellStyle name="Note 2 11 8" xfId="19091" xr:uid="{DB7EA092-EB2A-4F6F-AA8B-03034450CB97}"/>
    <cellStyle name="Note 2 12" xfId="19092" xr:uid="{99C87A06-907F-4AD9-852B-A6D5E091EADD}"/>
    <cellStyle name="Note 2 12 2" xfId="19093" xr:uid="{2C135994-C461-42B9-9201-0CCCBB991DD5}"/>
    <cellStyle name="Note 2 12 2 2" xfId="19094" xr:uid="{80DE8CC6-DCB2-4FBE-B275-33DAEB03FBB5}"/>
    <cellStyle name="Note 2 12 2 2 2" xfId="19095" xr:uid="{E2B2C0C5-C905-4DD5-B9E6-27960A71B20A}"/>
    <cellStyle name="Note 2 12 2 2 3" xfId="19096" xr:uid="{193BB5A5-7CB5-4807-BEB8-BA4BE4D20549}"/>
    <cellStyle name="Note 2 12 2 3" xfId="19097" xr:uid="{AC1C62D6-32D5-429E-AC5E-D450F7694E2F}"/>
    <cellStyle name="Note 2 12 2 3 2" xfId="19098" xr:uid="{FF56AD65-0E4F-413F-918D-13BA41C2BDA6}"/>
    <cellStyle name="Note 2 12 2 3 3" xfId="19099" xr:uid="{DF142697-5E0D-49B2-9F8A-423A1895FAEF}"/>
    <cellStyle name="Note 2 12 2 4" xfId="19100" xr:uid="{F376AAEC-E16E-4FDF-AB38-070669C74471}"/>
    <cellStyle name="Note 2 12 2 5" xfId="19101" xr:uid="{2A87D664-45D0-4187-8C1C-4555E5DF8B8E}"/>
    <cellStyle name="Note 2 12 2 6" xfId="19102" xr:uid="{81CACDDF-1ABF-4DC4-B75F-8EF114E2F7E7}"/>
    <cellStyle name="Note 2 12 2 7" xfId="19103" xr:uid="{3BF99418-1F6F-49B2-9C88-902A1F46C261}"/>
    <cellStyle name="Note 2 12 3" xfId="19104" xr:uid="{3F5EC509-20A3-4501-93E3-EC22A0B0A7DD}"/>
    <cellStyle name="Note 2 12 3 2" xfId="19105" xr:uid="{BB15A4B5-54CB-4583-A006-C4BA86BBA950}"/>
    <cellStyle name="Note 2 12 3 2 2" xfId="19106" xr:uid="{822A4717-9CD1-4BB8-99B9-C00D979A532F}"/>
    <cellStyle name="Note 2 12 3 2 3" xfId="19107" xr:uid="{B69C8D59-8632-4FBD-9B16-5BFFF913DB3A}"/>
    <cellStyle name="Note 2 12 3 3" xfId="19108" xr:uid="{08DFEA9C-0C57-474D-A659-8E6D657A0FE3}"/>
    <cellStyle name="Note 2 12 3 4" xfId="19109" xr:uid="{99804FFA-7C9B-45DD-81CB-0EB852AAC8C6}"/>
    <cellStyle name="Note 2 12 3 5" xfId="19110" xr:uid="{E7F56236-42C1-437C-9A90-849D5B9EAFAB}"/>
    <cellStyle name="Note 2 12 3 6" xfId="19111" xr:uid="{779FFC1C-A150-46B4-A1AD-41CFE99C9DCC}"/>
    <cellStyle name="Note 2 12 4" xfId="19112" xr:uid="{416A31D9-537C-4B07-BF9F-A82881EDBB8D}"/>
    <cellStyle name="Note 2 12 4 2" xfId="19113" xr:uid="{A3AC42A3-A66F-40DF-827C-8AB98E6C4DDF}"/>
    <cellStyle name="Note 2 12 4 3" xfId="19114" xr:uid="{52734206-9938-4931-9AD5-36DDDFDF6FDB}"/>
    <cellStyle name="Note 2 12 5" xfId="19115" xr:uid="{BB354CAC-52CE-4724-B73F-A589782D2F91}"/>
    <cellStyle name="Note 2 12 6" xfId="19116" xr:uid="{4730E1EE-170D-449A-B027-400BED2EDD46}"/>
    <cellStyle name="Note 2 12 7" xfId="19117" xr:uid="{1F8D8E0F-3011-4E96-BC80-6E03F1C84031}"/>
    <cellStyle name="Note 2 12 8" xfId="19118" xr:uid="{55FEB66F-446C-4CAE-97F4-6C0C4301B89F}"/>
    <cellStyle name="Note 2 13" xfId="19119" xr:uid="{0401D9D6-452C-4155-BA70-5DDFD17F8B79}"/>
    <cellStyle name="Note 2 13 2" xfId="19120" xr:uid="{1CBD614E-CA59-442A-BCD3-8919ED73D263}"/>
    <cellStyle name="Note 2 13 2 2" xfId="19121" xr:uid="{58A399C9-DC4D-4D23-A163-4521B4331CEF}"/>
    <cellStyle name="Note 2 13 2 2 2" xfId="19122" xr:uid="{46692116-10CF-48C5-A311-8844FF91CE53}"/>
    <cellStyle name="Note 2 13 2 2 3" xfId="19123" xr:uid="{D77BAAEC-5E03-4710-800B-8E1B75499F5F}"/>
    <cellStyle name="Note 2 13 2 3" xfId="19124" xr:uid="{1521D31C-4BB3-470D-AFD1-3644F18752F7}"/>
    <cellStyle name="Note 2 13 2 3 2" xfId="19125" xr:uid="{EA029B07-E762-42E3-8160-012616FE2BA2}"/>
    <cellStyle name="Note 2 13 2 3 3" xfId="19126" xr:uid="{EBCC3746-8A0F-4D61-818B-FF1E16640556}"/>
    <cellStyle name="Note 2 13 2 4" xfId="19127" xr:uid="{A935E1C8-AF3F-4E24-ADEC-DBF16DBC3DD8}"/>
    <cellStyle name="Note 2 13 2 5" xfId="19128" xr:uid="{3504CA32-6726-450F-AC24-FEFF08529E43}"/>
    <cellStyle name="Note 2 13 2 6" xfId="19129" xr:uid="{BE0FDC60-71DC-4400-A9B4-E407C270A283}"/>
    <cellStyle name="Note 2 13 2 7" xfId="19130" xr:uid="{81DC12BD-0735-49B5-B619-71B24E5BE16A}"/>
    <cellStyle name="Note 2 13 3" xfId="19131" xr:uid="{AA90EF9C-A906-4996-A3A6-DFF9458FA0DA}"/>
    <cellStyle name="Note 2 13 3 2" xfId="19132" xr:uid="{A2631E2B-B041-4E3A-8CF2-08BD88D1D112}"/>
    <cellStyle name="Note 2 13 3 2 2" xfId="19133" xr:uid="{4B0F7862-12EA-4839-BD33-607D0CF44E75}"/>
    <cellStyle name="Note 2 13 3 2 3" xfId="19134" xr:uid="{F44796D2-2A51-417B-9891-2246DC96B834}"/>
    <cellStyle name="Note 2 13 3 3" xfId="19135" xr:uid="{3884CE3E-87B9-45D5-A9EB-EEF388EB96A8}"/>
    <cellStyle name="Note 2 13 3 4" xfId="19136" xr:uid="{B7E73296-7E4C-4696-B374-D534BF0C1F0E}"/>
    <cellStyle name="Note 2 13 3 5" xfId="19137" xr:uid="{A77D9AAD-3639-466E-927D-380C1D6B028D}"/>
    <cellStyle name="Note 2 13 3 6" xfId="19138" xr:uid="{C15E9FB4-F936-4F21-8D1D-26E7468EDEB7}"/>
    <cellStyle name="Note 2 13 4" xfId="19139" xr:uid="{5D8F6FAB-26B9-417B-888A-199B81EBF39F}"/>
    <cellStyle name="Note 2 13 4 2" xfId="19140" xr:uid="{99848C51-9FEE-4BEE-9B58-78A335ABB24A}"/>
    <cellStyle name="Note 2 13 4 3" xfId="19141" xr:uid="{40A32022-59B6-4593-AEA1-078E3DBE024C}"/>
    <cellStyle name="Note 2 13 5" xfId="19142" xr:uid="{9FA882CE-6861-4CF4-B1E6-015F14210770}"/>
    <cellStyle name="Note 2 13 6" xfId="19143" xr:uid="{037BE666-9D66-4F7B-BAB8-A3DE23CC9645}"/>
    <cellStyle name="Note 2 13 7" xfId="19144" xr:uid="{3860DFC9-7A01-4AA7-BCF1-95A2677DDA60}"/>
    <cellStyle name="Note 2 13 8" xfId="19145" xr:uid="{C110C2D1-D26D-4407-BF41-07A3F8F3A09D}"/>
    <cellStyle name="Note 2 14" xfId="19146" xr:uid="{51F566A3-6C80-4EB8-9A55-E4508C750B02}"/>
    <cellStyle name="Note 2 14 2" xfId="19147" xr:uid="{7C93AFCB-F45E-4C1D-A494-637B0B3CD686}"/>
    <cellStyle name="Note 2 14 2 2" xfId="19148" xr:uid="{56C222B4-36AA-48C2-A256-065FB3765FD7}"/>
    <cellStyle name="Note 2 14 2 3" xfId="19149" xr:uid="{913A81CD-BF4C-4F25-AD13-EE5E389BB3C8}"/>
    <cellStyle name="Note 2 14 3" xfId="19150" xr:uid="{E959332A-3F52-461E-B425-BB75A1F8E83A}"/>
    <cellStyle name="Note 2 14 3 2" xfId="19151" xr:uid="{2A390D75-D895-4E3A-A280-464AB91F8433}"/>
    <cellStyle name="Note 2 14 3 3" xfId="19152" xr:uid="{3B503AD0-01C5-4ADE-93E8-4CDCAB3DD5F1}"/>
    <cellStyle name="Note 2 14 3 4" xfId="19153" xr:uid="{6C3E72E4-20A0-43A8-B668-3372EA3B0CD3}"/>
    <cellStyle name="Note 2 14 3 5" xfId="19154" xr:uid="{010100B6-9999-4A43-ACFF-2F226ABEC17F}"/>
    <cellStyle name="Note 2 14 4" xfId="19155" xr:uid="{AF4DD6A9-3D0C-4E86-B658-951CFA3FAC32}"/>
    <cellStyle name="Note 2 14 5" xfId="19156" xr:uid="{B7580C2E-C6D0-4CC6-A2AD-F3B14DF1E38A}"/>
    <cellStyle name="Note 2 14 5 2" xfId="19157" xr:uid="{44560D0A-7A7F-4FE0-92EE-740C3C83ED4C}"/>
    <cellStyle name="Note 2 14 5 3" xfId="19158" xr:uid="{85B21080-9226-4C7B-A2C6-3FB21167D2F5}"/>
    <cellStyle name="Note 2 14 6" xfId="19159" xr:uid="{D467F3BE-F194-4F21-A408-CE033CDDF963}"/>
    <cellStyle name="Note 2 15" xfId="19160" xr:uid="{E0895D87-4DE5-40F8-9DA1-912C32D36889}"/>
    <cellStyle name="Note 2 15 2" xfId="19161" xr:uid="{53BFF113-9F2E-4E02-B2FA-3DEDABAD84A2}"/>
    <cellStyle name="Note 2 15 2 2" xfId="19162" xr:uid="{71FB32D1-8436-4533-B62D-42CECA47A98F}"/>
    <cellStyle name="Note 2 15 2 3" xfId="19163" xr:uid="{55C89457-F743-4A9D-A0B3-F40041B748E6}"/>
    <cellStyle name="Note 2 15 3" xfId="19164" xr:uid="{ADB06DFA-D0E1-40CD-9AA6-B8798ED9FFF7}"/>
    <cellStyle name="Note 2 15 3 2" xfId="19165" xr:uid="{22E88524-B08D-4D47-8118-73145D4F62B5}"/>
    <cellStyle name="Note 2 15 3 3" xfId="19166" xr:uid="{97ED7A7E-C2E6-494F-9861-E48646E05B05}"/>
    <cellStyle name="Note 2 15 4" xfId="19167" xr:uid="{C805760A-CA0F-4FEB-9A39-A7AF9C7C8DE4}"/>
    <cellStyle name="Note 2 15 5" xfId="19168" xr:uid="{17C1A85A-5EEE-47EF-8D6E-27A8D4DB54D2}"/>
    <cellStyle name="Note 2 16" xfId="19169" xr:uid="{20E2240C-9B07-4FD0-BC5E-BE2A47577FF9}"/>
    <cellStyle name="Note 2 16 2" xfId="19170" xr:uid="{9F568E5A-E0E5-4018-AE96-77D938CA2D31}"/>
    <cellStyle name="Note 2 16 3" xfId="19171" xr:uid="{A5248CD8-879F-4DEC-8403-2597EE3F0421}"/>
    <cellStyle name="Note 2 17" xfId="19172" xr:uid="{D501BDB9-67DC-4457-94C8-02410644B77E}"/>
    <cellStyle name="Note 2 17 2" xfId="19173" xr:uid="{47D8CA86-F935-4A27-A574-3B8FB86C9F2A}"/>
    <cellStyle name="Note 2 17 3" xfId="19174" xr:uid="{1DB6115C-194F-42DA-8957-A030D80DC5F0}"/>
    <cellStyle name="Note 2 17 4" xfId="19175" xr:uid="{BBB4FEA5-6F11-4158-BC22-DD97766659F1}"/>
    <cellStyle name="Note 2 17 5" xfId="19176" xr:uid="{02668F89-39C9-43D8-AF6B-92EFAFAF46EA}"/>
    <cellStyle name="Note 2 18" xfId="19177" xr:uid="{6E5DA88E-878F-4198-910D-3C8FF1F07CCC}"/>
    <cellStyle name="Note 2 18 2" xfId="19178" xr:uid="{BA7D89C4-F94C-4FB5-81F5-161DC9651D82}"/>
    <cellStyle name="Note 2 19" xfId="19179" xr:uid="{357FE0DF-4576-4713-9354-3AA5C78F4BC8}"/>
    <cellStyle name="Note 2 2" xfId="19180" xr:uid="{08845F04-BD5F-4457-B206-C4BC9AB27F2D}"/>
    <cellStyle name="Note 2 2 10" xfId="19181" xr:uid="{B4CA57D8-5819-4223-B09A-ED5831D8C3F8}"/>
    <cellStyle name="Note 2 2 11" xfId="19182" xr:uid="{6B8EA4CF-FAA8-4B27-A43E-EE6F90C13531}"/>
    <cellStyle name="Note 2 2 12" xfId="42908" xr:uid="{5372CE9A-63FD-487B-B478-AFE6F10E1014}"/>
    <cellStyle name="Note 2 2 13" xfId="43517" xr:uid="{4BEDC0E4-CD7A-4FAF-8880-F4B7A7E43FC5}"/>
    <cellStyle name="Note 2 2 2" xfId="19183" xr:uid="{5575DAA1-50D0-4368-847B-A99C0AAA4888}"/>
    <cellStyle name="Note 2 2 2 10" xfId="42909" xr:uid="{DC365E7F-9ADC-4DDF-B025-AC5FDE76F012}"/>
    <cellStyle name="Note 2 2 2 2" xfId="19184" xr:uid="{086F9689-036E-4BA5-AA50-4972380A4CF1}"/>
    <cellStyle name="Note 2 2 2 2 2" xfId="19185" xr:uid="{D85E31FE-6848-4467-98A0-E2F1ADD38EB9}"/>
    <cellStyle name="Note 2 2 2 2 3" xfId="19186" xr:uid="{B1E0D803-D83A-4DAC-83FD-C5B91E469C22}"/>
    <cellStyle name="Note 2 2 2 2 4" xfId="19187" xr:uid="{58E8E346-BD84-4F1A-A976-513A642A9B5E}"/>
    <cellStyle name="Note 2 2 2 2 5" xfId="19188" xr:uid="{D63541FC-D0CF-4004-9E09-235BFFC18367}"/>
    <cellStyle name="Note 2 2 2 3" xfId="19189" xr:uid="{530FFDF1-78CD-426A-9A13-97E3822843E6}"/>
    <cellStyle name="Note 2 2 2 3 2" xfId="19190" xr:uid="{21F3DA73-72BF-482B-8479-C6E6E6C545B0}"/>
    <cellStyle name="Note 2 2 2 3 3" xfId="19191" xr:uid="{9894449E-168E-4814-9B5B-4BC6585487CE}"/>
    <cellStyle name="Note 2 2 2 3 4" xfId="19192" xr:uid="{DF6F26D2-AF05-4022-BE3D-4C3D40A7B51B}"/>
    <cellStyle name="Note 2 2 2 3 5" xfId="19193" xr:uid="{B2386366-F991-49BA-9D60-CF63E9DFF55C}"/>
    <cellStyle name="Note 2 2 2 4" xfId="19194" xr:uid="{D2D15CBD-ACB8-4846-98C8-2D78730430BE}"/>
    <cellStyle name="Note 2 2 2 4 2" xfId="19195" xr:uid="{AAC1EBB2-740C-4D2B-9649-AF1FAE2295C0}"/>
    <cellStyle name="Note 2 2 2 4 3" xfId="19196" xr:uid="{FA041084-1EBE-4A1B-9C2C-249CE76454D3}"/>
    <cellStyle name="Note 2 2 2 5" xfId="19197" xr:uid="{02371658-0F82-45FA-B701-A56BB22CBAE3}"/>
    <cellStyle name="Note 2 2 2 6" xfId="19198" xr:uid="{5B356B14-CA22-44EE-8174-1679ADA66414}"/>
    <cellStyle name="Note 2 2 2 7" xfId="19199" xr:uid="{8B9A89E3-FC1E-4019-A96D-0A4088F41D76}"/>
    <cellStyle name="Note 2 2 2 8" xfId="19200" xr:uid="{FEFB75F6-F490-46B3-AA23-E22087B86F67}"/>
    <cellStyle name="Note 2 2 2 9" xfId="19201" xr:uid="{0CD31F95-EAD8-405A-928B-291F41A24B85}"/>
    <cellStyle name="Note 2 2 3" xfId="19202" xr:uid="{D3AA392C-B6F1-443A-A077-77FE49A162C1}"/>
    <cellStyle name="Note 2 2 3 2" xfId="19203" xr:uid="{C29DE84A-A514-4F9C-A53F-5713AC957F58}"/>
    <cellStyle name="Note 2 2 3 3" xfId="19204" xr:uid="{C99CAFCA-BEAC-40EF-BFAF-24D77EDBD0FE}"/>
    <cellStyle name="Note 2 2 3 4" xfId="19205" xr:uid="{5967FB3A-762B-4CE7-B67C-865FEB561F38}"/>
    <cellStyle name="Note 2 2 4" xfId="19206" xr:uid="{BF4C78D7-8635-45D9-A84C-00CD22C39C21}"/>
    <cellStyle name="Note 2 2 4 2" xfId="19207" xr:uid="{9F1F6DCB-0C0B-4F62-9648-D1F99932F99B}"/>
    <cellStyle name="Note 2 2 4 2 2" xfId="19208" xr:uid="{2DB305F8-C7AB-49BF-8F41-F97B4A428389}"/>
    <cellStyle name="Note 2 2 4 2 3" xfId="19209" xr:uid="{1663F550-7A61-4AB5-8A4E-2F3C4DF6D5AD}"/>
    <cellStyle name="Note 2 2 4 3" xfId="19210" xr:uid="{180BCD07-FA81-449F-BB1B-D6BBCA41BCE8}"/>
    <cellStyle name="Note 2 2 4 4" xfId="19211" xr:uid="{39F606DC-C258-4EEF-8DC5-237EE4E7D770}"/>
    <cellStyle name="Note 2 2 4 5" xfId="19212" xr:uid="{7260D8BB-2943-41F0-9769-7C2033C97D63}"/>
    <cellStyle name="Note 2 2 4 6" xfId="19213" xr:uid="{3E2DE32D-01F4-4A6E-AEB7-1F7B59B819A2}"/>
    <cellStyle name="Note 2 2 5" xfId="19214" xr:uid="{C31A8801-5EC7-4EA4-B12D-169368AAF26F}"/>
    <cellStyle name="Note 2 2 5 2" xfId="19215" xr:uid="{F34267D6-4707-4F93-9721-BD50EA6E221F}"/>
    <cellStyle name="Note 2 2 5 2 2" xfId="19216" xr:uid="{81D6D38C-D25F-4638-801D-A07ABFACB9FA}"/>
    <cellStyle name="Note 2 2 5 2 3" xfId="19217" xr:uid="{3A00AD70-9912-40A9-BCE7-9125A11BDFCC}"/>
    <cellStyle name="Note 2 2 5 3" xfId="19218" xr:uid="{B1C003CF-9C93-465F-8827-2FADC13FD5FF}"/>
    <cellStyle name="Note 2 2 5 4" xfId="19219" xr:uid="{CDEE6CBF-3D85-477D-A921-6BA586C8D2CD}"/>
    <cellStyle name="Note 2 2 6" xfId="19220" xr:uid="{4F26C88E-7C60-436B-BFAA-A61F04B3FC0B}"/>
    <cellStyle name="Note 2 2 6 2" xfId="19221" xr:uid="{3D51298E-4698-4821-8541-FF2E37AA60D0}"/>
    <cellStyle name="Note 2 2 6 2 2" xfId="19222" xr:uid="{E27A0587-42D2-4C11-82D7-5FCA9BF7F7F7}"/>
    <cellStyle name="Note 2 2 6 2 3" xfId="19223" xr:uid="{9CE16864-6535-4A98-9A86-4BEF94BF41AC}"/>
    <cellStyle name="Note 2 2 6 3" xfId="19224" xr:uid="{FB89C6FB-0E04-4952-8EB1-9BEB16B2C52C}"/>
    <cellStyle name="Note 2 2 6 4" xfId="19225" xr:uid="{05DD9128-6A06-40D4-92A0-FE40F3B84F7E}"/>
    <cellStyle name="Note 2 2 7" xfId="19226" xr:uid="{B766823D-9970-4165-842B-8C1B1D33A52F}"/>
    <cellStyle name="Note 2 2 8" xfId="19227" xr:uid="{525BAA10-7A45-457B-B426-C03460AE4FF4}"/>
    <cellStyle name="Note 2 2 9" xfId="19228" xr:uid="{E23922B6-5846-4DC2-AA22-274F2971B8D9}"/>
    <cellStyle name="Note 2 2_JE 5 2002.2 FED" xfId="19229" xr:uid="{D8EABED2-02DB-44BE-BD13-B48DDF7EBF5A}"/>
    <cellStyle name="Note 2 20" xfId="19230" xr:uid="{E03A9F58-1ACF-45BA-8833-73A5A7559F87}"/>
    <cellStyle name="Note 2 21" xfId="42910" xr:uid="{4B1AC816-544A-474C-942A-EE47238912B4}"/>
    <cellStyle name="Note 2 22" xfId="42911" xr:uid="{C429376E-39D3-4C0B-908A-B05BC47E3849}"/>
    <cellStyle name="Note 2 23" xfId="42912" xr:uid="{8D84C106-B8D6-4719-8689-E7CABF8EC85B}"/>
    <cellStyle name="Note 2 24" xfId="42913" xr:uid="{2675BAC3-8363-45AD-8C4C-A4567B321D0A}"/>
    <cellStyle name="Note 2 25" xfId="42914" xr:uid="{53556961-B367-426A-A2C0-074243359638}"/>
    <cellStyle name="Note 2 26" xfId="42915" xr:uid="{EC7736EE-1B4A-44CC-9FE3-BBD45009EC42}"/>
    <cellStyle name="Note 2 27" xfId="42916" xr:uid="{55B40EF3-45F6-41BC-A6CB-9587276EF535}"/>
    <cellStyle name="Note 2 28" xfId="42917" xr:uid="{2CF614E6-80EE-4D3F-80A6-A042CA60CAB0}"/>
    <cellStyle name="Note 2 29" xfId="42918" xr:uid="{0913FC16-7342-4F3B-BFDB-809B1CB6911C}"/>
    <cellStyle name="Note 2 3" xfId="19231" xr:uid="{371359A4-D74B-493C-9C1C-B2DFDD3EB687}"/>
    <cellStyle name="Note 2 3 10" xfId="19232" xr:uid="{BC645FF3-E841-460B-BE87-2B9F885234BE}"/>
    <cellStyle name="Note 2 3 11" xfId="19233" xr:uid="{349D0A86-FB9B-4EC1-91B2-E3F56859A8AB}"/>
    <cellStyle name="Note 2 3 12" xfId="42919" xr:uid="{6C5BF428-1C79-45B3-A9A7-779795CB323B}"/>
    <cellStyle name="Note 2 3 2" xfId="19234" xr:uid="{6A94EA8C-21AE-42C2-8CD8-8B9D9B8DD18C}"/>
    <cellStyle name="Note 2 3 2 2" xfId="19235" xr:uid="{A1A7AEB6-6BAE-427F-BF74-AF5EB385989A}"/>
    <cellStyle name="Note 2 3 2 2 2" xfId="19236" xr:uid="{81D6FB05-FF82-4831-8FBD-A917AFA23A45}"/>
    <cellStyle name="Note 2 3 2 2 3" xfId="19237" xr:uid="{73243F00-12EC-4EBC-BC42-11DFB564148E}"/>
    <cellStyle name="Note 2 3 2 2 4" xfId="19238" xr:uid="{BB59129B-91F7-4F85-87AD-E0BDD967F128}"/>
    <cellStyle name="Note 2 3 2 2 5" xfId="19239" xr:uid="{65B9DD7C-6D24-4CD1-BCA7-1491BFA3C00C}"/>
    <cellStyle name="Note 2 3 2 3" xfId="19240" xr:uid="{AC582947-AE86-477F-BC3B-8C46FF51514B}"/>
    <cellStyle name="Note 2 3 2 3 2" xfId="19241" xr:uid="{4D470C8B-A05A-469A-8B42-1673055D33D6}"/>
    <cellStyle name="Note 2 3 2 3 3" xfId="19242" xr:uid="{E40777DB-AFD7-4B82-B38E-7983AFE7798A}"/>
    <cellStyle name="Note 2 3 2 3 4" xfId="19243" xr:uid="{79509511-A708-4EC1-8292-F011F56184E8}"/>
    <cellStyle name="Note 2 3 2 3 5" xfId="19244" xr:uid="{FB461D3A-9387-4AE5-A15D-AD2557605CB1}"/>
    <cellStyle name="Note 2 3 2 4" xfId="19245" xr:uid="{7215ECD4-E86B-40D0-9893-AE347C8D8308}"/>
    <cellStyle name="Note 2 3 2 5" xfId="19246" xr:uid="{A2D68B23-0E95-4F9E-833D-912D59436B74}"/>
    <cellStyle name="Note 2 3 2 6" xfId="19247" xr:uid="{6AFDA4EF-5066-4988-9662-6F4204345AA5}"/>
    <cellStyle name="Note 2 3 2 7" xfId="19248" xr:uid="{B6834446-957A-4109-B2CD-0420849B291C}"/>
    <cellStyle name="Note 2 3 2 8" xfId="42920" xr:uid="{6DD39831-C555-4B0A-A07C-9480CAD710CD}"/>
    <cellStyle name="Note 2 3 3" xfId="19249" xr:uid="{12CD6AAF-0E4F-42C3-849A-41C4EA7E1DCA}"/>
    <cellStyle name="Note 2 3 3 2" xfId="19250" xr:uid="{76A58716-549B-466B-9E79-F16B5D7C7C4A}"/>
    <cellStyle name="Note 2 3 3 2 2" xfId="19251" xr:uid="{56BC7CEA-C8EE-4F1B-BB96-5D99A415B1B6}"/>
    <cellStyle name="Note 2 3 3 2 3" xfId="19252" xr:uid="{622A6E5F-55F6-492D-9DAA-EFA53D9D8743}"/>
    <cellStyle name="Note 2 3 3 3" xfId="19253" xr:uid="{92CB3209-3A80-4B7A-A7BF-F5A19E88EB29}"/>
    <cellStyle name="Note 2 3 3 4" xfId="19254" xr:uid="{0803273E-65E0-45D2-A356-0AD002739BC0}"/>
    <cellStyle name="Note 2 3 3 5" xfId="19255" xr:uid="{7A57C95B-50DF-4004-B2B7-20178F624A75}"/>
    <cellStyle name="Note 2 3 3 6" xfId="19256" xr:uid="{268325C4-1346-4F4D-B0A1-C78B3370DE8C}"/>
    <cellStyle name="Note 2 3 4" xfId="19257" xr:uid="{193BC0E4-814C-41EF-BDE4-3A62EE8EA06F}"/>
    <cellStyle name="Note 2 3 4 2" xfId="19258" xr:uid="{07F99228-22FE-44BE-9886-7011719F39AE}"/>
    <cellStyle name="Note 2 3 4 2 2" xfId="19259" xr:uid="{4F2AB013-8663-4B4B-BCF2-0954EF684C0A}"/>
    <cellStyle name="Note 2 3 4 2 3" xfId="19260" xr:uid="{C04BF675-7732-4CEE-8F96-A91411647D83}"/>
    <cellStyle name="Note 2 3 4 3" xfId="19261" xr:uid="{7C463A2C-711C-47E1-832B-E21FB33F00C2}"/>
    <cellStyle name="Note 2 3 4 4" xfId="19262" xr:uid="{B49FB0D1-2891-4460-82C2-F52F119BEA54}"/>
    <cellStyle name="Note 2 3 4 5" xfId="19263" xr:uid="{EC653439-9E22-4F8D-A98D-682243B436F8}"/>
    <cellStyle name="Note 2 3 4 6" xfId="19264" xr:uid="{FD9CD9C6-C145-439A-B7E5-472DEDA9E039}"/>
    <cellStyle name="Note 2 3 5" xfId="19265" xr:uid="{A7E1AC79-6C02-4B2B-A014-34E3D8F04CE5}"/>
    <cellStyle name="Note 2 3 5 2" xfId="19266" xr:uid="{B3211ECE-0CCD-442B-A2A6-F99E9532141B}"/>
    <cellStyle name="Note 2 3 5 2 2" xfId="19267" xr:uid="{8578E36F-3E98-45A5-9088-4C20E03E01B0}"/>
    <cellStyle name="Note 2 3 5 2 3" xfId="19268" xr:uid="{AE445234-4635-46FB-8C5D-70A2D7FB24F9}"/>
    <cellStyle name="Note 2 3 5 3" xfId="19269" xr:uid="{6F53C13F-88C0-44C3-8AC0-4AA71A749FC3}"/>
    <cellStyle name="Note 2 3 5 4" xfId="19270" xr:uid="{742397CC-96F4-4172-8A50-F1E0E9461740}"/>
    <cellStyle name="Note 2 3 5 5" xfId="19271" xr:uid="{1BA1DFD3-B3BF-46BA-8810-6E0EF5BAC1A6}"/>
    <cellStyle name="Note 2 3 6" xfId="19272" xr:uid="{B4D13C95-2C8E-47EA-8E5C-9FFF722CD5F6}"/>
    <cellStyle name="Note 2 3 6 2" xfId="19273" xr:uid="{12497D7D-5280-4FB5-8FF0-59593521EE6E}"/>
    <cellStyle name="Note 2 3 6 3" xfId="19274" xr:uid="{7A062123-880E-41A4-A41D-223A62DF7426}"/>
    <cellStyle name="Note 2 3 7" xfId="19275" xr:uid="{9AC83104-D923-44B0-82DD-11816F74CF68}"/>
    <cellStyle name="Note 2 3 8" xfId="19276" xr:uid="{0B6C8F90-92C8-4A6F-97F2-129C9E996CE3}"/>
    <cellStyle name="Note 2 3 9" xfId="19277" xr:uid="{1CA13D0B-6A81-4862-807C-EEA7D5F83A8D}"/>
    <cellStyle name="Note 2 3_JE 5 2002.2 FED" xfId="19278" xr:uid="{16291487-89A2-4DEF-BAE5-FA7D1386BC7F}"/>
    <cellStyle name="Note 2 30" xfId="42921" xr:uid="{FD3B2856-9F08-4358-8CF1-6BD374912F2E}"/>
    <cellStyle name="Note 2 31" xfId="42922" xr:uid="{DB152DAD-746F-43CB-9857-9C4D3D7B623D}"/>
    <cellStyle name="Note 2 32" xfId="42923" xr:uid="{1D313D76-FC08-4E38-9F36-0A9F4EA6A63C}"/>
    <cellStyle name="Note 2 33" xfId="42924" xr:uid="{8A6E755B-1C71-4765-B1F9-F9973D62BC46}"/>
    <cellStyle name="Note 2 34" xfId="42925" xr:uid="{E546434B-1362-4460-AB45-DB24C0E2937F}"/>
    <cellStyle name="Note 2 35" xfId="42926" xr:uid="{1EBC4BE0-FDCC-4EEE-9CC8-4C9096DEA03F}"/>
    <cellStyle name="Note 2 36" xfId="43493" xr:uid="{88A9CF8B-85E7-491B-958E-823CF83A1529}"/>
    <cellStyle name="Note 2 4" xfId="19279" xr:uid="{ADCBAF72-2BBB-4DC0-9F2B-75273F855878}"/>
    <cellStyle name="Note 2 4 10" xfId="42927" xr:uid="{0EF0CD8B-9076-42AB-843A-93C3F0FE97B2}"/>
    <cellStyle name="Note 2 4 2" xfId="19280" xr:uid="{4FF976CE-1B99-4BDA-A40E-EB16BB989A08}"/>
    <cellStyle name="Note 2 4 2 2" xfId="19281" xr:uid="{C7DE9C11-5C2F-4E4A-BF38-59C6A090D79B}"/>
    <cellStyle name="Note 2 4 2 2 2" xfId="19282" xr:uid="{0B6223CA-75C9-49E0-BCA6-48B478F53840}"/>
    <cellStyle name="Note 2 4 2 2 3" xfId="19283" xr:uid="{299BC153-B513-4DF5-AB3E-09A0391F62E3}"/>
    <cellStyle name="Note 2 4 2 2 4" xfId="19284" xr:uid="{D3077A99-7B24-440C-8BC5-1A0B9782DA43}"/>
    <cellStyle name="Note 2 4 2 2 5" xfId="19285" xr:uid="{297BA478-73FC-4A18-A5D0-A87B7CF6EE6F}"/>
    <cellStyle name="Note 2 4 2 3" xfId="19286" xr:uid="{4F8B2092-118F-4AA8-9534-619A0B92CF63}"/>
    <cellStyle name="Note 2 4 2 3 2" xfId="19287" xr:uid="{0ED8C62A-B521-4319-9F57-872D5A5D6557}"/>
    <cellStyle name="Note 2 4 2 3 3" xfId="19288" xr:uid="{655A2258-6A2B-45D0-960C-D26D1430DC36}"/>
    <cellStyle name="Note 2 4 2 3 4" xfId="19289" xr:uid="{4D0ABABF-4A0C-4C0E-9A80-E40B2E00279B}"/>
    <cellStyle name="Note 2 4 2 3 5" xfId="19290" xr:uid="{3231C3A6-A3C9-4568-9998-D9603FC9FA15}"/>
    <cellStyle name="Note 2 4 2 4" xfId="19291" xr:uid="{3ADB3C75-F313-4459-A38D-78C67532F907}"/>
    <cellStyle name="Note 2 4 2 5" xfId="19292" xr:uid="{54305BA9-7CFF-404E-95CF-10CC22F09FD1}"/>
    <cellStyle name="Note 2 4 2 6" xfId="19293" xr:uid="{A63B1ACC-189C-4BFB-ADA9-6CC8002DFF8B}"/>
    <cellStyle name="Note 2 4 2 7" xfId="19294" xr:uid="{EC7D6D8F-80B5-4721-B531-F31977B03771}"/>
    <cellStyle name="Note 2 4 3" xfId="19295" xr:uid="{E22AB39A-0B64-44A5-AD61-825823023EFD}"/>
    <cellStyle name="Note 2 4 3 2" xfId="19296" xr:uid="{DDBAEA03-9DEB-46AE-8761-7EFC7584AD4F}"/>
    <cellStyle name="Note 2 4 3 2 2" xfId="19297" xr:uid="{AA23F26F-AAAC-4B51-A835-CC376C17F316}"/>
    <cellStyle name="Note 2 4 3 2 3" xfId="19298" xr:uid="{32FFC3F7-722C-495D-8C21-D5949DC46848}"/>
    <cellStyle name="Note 2 4 3 3" xfId="19299" xr:uid="{16E9F7F3-AC87-4D9F-B292-99F6064E70A2}"/>
    <cellStyle name="Note 2 4 3 4" xfId="19300" xr:uid="{1807F2A6-6B90-40AE-81AB-F3DFBEBDD03C}"/>
    <cellStyle name="Note 2 4 3 5" xfId="19301" xr:uid="{886E9E4B-9373-4082-B3C4-1B9EF22BAB73}"/>
    <cellStyle name="Note 2 4 3 6" xfId="19302" xr:uid="{D0E653B8-A456-4563-8FA0-1C758B8F0A45}"/>
    <cellStyle name="Note 2 4 4" xfId="19303" xr:uid="{62C1344D-0BBF-47F5-8E3E-F2CB1A8F7AF7}"/>
    <cellStyle name="Note 2 4 4 2" xfId="19304" xr:uid="{3CC2EBC4-3EFF-407F-825C-9FB8527B83C8}"/>
    <cellStyle name="Note 2 4 4 3" xfId="19305" xr:uid="{CDC68C7C-B215-4A9B-877F-7B49BB992651}"/>
    <cellStyle name="Note 2 4 4 4" xfId="19306" xr:uid="{43FC41D0-A1D8-4862-B2FF-7406BFF4C7D4}"/>
    <cellStyle name="Note 2 4 4 5" xfId="19307" xr:uid="{50161B6A-99EC-450C-9246-B2ABF56CA579}"/>
    <cellStyle name="Note 2 4 5" xfId="19308" xr:uid="{DAC43475-1D1F-454D-AEED-92FE6C1AAD28}"/>
    <cellStyle name="Note 2 4 5 2" xfId="19309" xr:uid="{F08A6CAD-E2DE-4288-892C-03A543061EB3}"/>
    <cellStyle name="Note 2 4 6" xfId="19310" xr:uid="{87225733-0763-4607-9440-4DAE04BA8F4B}"/>
    <cellStyle name="Note 2 4 7" xfId="19311" xr:uid="{15E1FAC3-45A1-4257-818C-E05D19FBFD76}"/>
    <cellStyle name="Note 2 4 8" xfId="19312" xr:uid="{5175501C-19DE-4516-BE53-00C1CD077A34}"/>
    <cellStyle name="Note 2 4 9" xfId="19313" xr:uid="{5A3EDEF4-DCFA-44E8-BBDB-066722776109}"/>
    <cellStyle name="Note 2 4_JE 5 2002.2 FED" xfId="19314" xr:uid="{E2A87BE1-9701-4989-99B8-69398315A8D0}"/>
    <cellStyle name="Note 2 5" xfId="19315" xr:uid="{15F5FD74-53F1-4BD1-B6D3-B084FD52AFD9}"/>
    <cellStyle name="Note 2 5 10" xfId="42928" xr:uid="{60FF1638-23B1-4440-853E-AF6262EEBD5F}"/>
    <cellStyle name="Note 2 5 2" xfId="19316" xr:uid="{FB3509EE-3EF5-4A49-8FFD-92C3A1D8D967}"/>
    <cellStyle name="Note 2 5 2 2" xfId="19317" xr:uid="{81921819-A98E-4C74-A6DD-EB55B2822FED}"/>
    <cellStyle name="Note 2 5 2 2 2" xfId="19318" xr:uid="{10ED86F8-DB44-4284-8008-A9846FB29005}"/>
    <cellStyle name="Note 2 5 2 2 3" xfId="19319" xr:uid="{EF4FCFFE-807E-445A-A8B0-2D1CD40C3F4C}"/>
    <cellStyle name="Note 2 5 2 2 4" xfId="19320" xr:uid="{CC2F256C-0678-4012-9B5F-354B9495C9D0}"/>
    <cellStyle name="Note 2 5 2 2 5" xfId="19321" xr:uid="{F9BF99C6-E344-45A9-8BE7-AAEB48E84E70}"/>
    <cellStyle name="Note 2 5 2 3" xfId="19322" xr:uid="{38FC33E7-8167-42E1-853C-BEB71417B054}"/>
    <cellStyle name="Note 2 5 2 3 2" xfId="19323" xr:uid="{2A7DB424-1807-4276-8DFF-5F38D1D4E573}"/>
    <cellStyle name="Note 2 5 2 3 3" xfId="19324" xr:uid="{74FD5898-3E2C-4B2C-9B8A-D70148040598}"/>
    <cellStyle name="Note 2 5 2 3 4" xfId="19325" xr:uid="{63729247-CC78-4C97-8FB6-7254DFE237B7}"/>
    <cellStyle name="Note 2 5 2 3 5" xfId="19326" xr:uid="{E2B7BD40-FE54-4FFF-A503-9988AED5D9A5}"/>
    <cellStyle name="Note 2 5 2 4" xfId="19327" xr:uid="{88A2184E-D46F-4D64-9624-9498419F9571}"/>
    <cellStyle name="Note 2 5 2 5" xfId="19328" xr:uid="{F50AD5CE-5B0E-49C0-8C88-9921892B0548}"/>
    <cellStyle name="Note 2 5 2 6" xfId="19329" xr:uid="{3037608C-594C-4C42-A9E4-8EE8E5CEE61D}"/>
    <cellStyle name="Note 2 5 2 7" xfId="19330" xr:uid="{9930D8A4-BD07-4CD6-891E-CED27AE6A4AE}"/>
    <cellStyle name="Note 2 5 3" xfId="19331" xr:uid="{30E4E269-92B7-4736-BD66-7343C264B040}"/>
    <cellStyle name="Note 2 5 3 2" xfId="19332" xr:uid="{DD47D7B0-4A26-4EED-ACF2-DE485E6C2159}"/>
    <cellStyle name="Note 2 5 3 2 2" xfId="19333" xr:uid="{3AF67A7D-4D6B-4B3F-BBCF-51D9A4793DD6}"/>
    <cellStyle name="Note 2 5 3 2 3" xfId="19334" xr:uid="{9116ED9D-50B8-4292-B02D-34658C3BC7D2}"/>
    <cellStyle name="Note 2 5 3 3" xfId="19335" xr:uid="{B6BEF5B6-0027-4ECD-9CEC-4E3D642B0BD7}"/>
    <cellStyle name="Note 2 5 3 4" xfId="19336" xr:uid="{E1150DE5-401A-4BFA-9562-5C80A8D5DBDD}"/>
    <cellStyle name="Note 2 5 3 5" xfId="19337" xr:uid="{12D9D66C-CBC8-4B34-AA6A-756C8DCF0F3D}"/>
    <cellStyle name="Note 2 5 3 6" xfId="19338" xr:uid="{9D607DCF-B560-4016-B1C8-CCE9835DFC4D}"/>
    <cellStyle name="Note 2 5 4" xfId="19339" xr:uid="{FFB20566-7B21-464F-8090-DB0BB76FB921}"/>
    <cellStyle name="Note 2 5 4 2" xfId="19340" xr:uid="{EE45716B-052B-44A8-9B93-A716F42899B8}"/>
    <cellStyle name="Note 2 5 4 3" xfId="19341" xr:uid="{3EBECC5A-304A-4CE5-9271-E21FA8F4F893}"/>
    <cellStyle name="Note 2 5 4 4" xfId="19342" xr:uid="{A6E74185-066E-4DF0-BDB3-15CB4208ABBF}"/>
    <cellStyle name="Note 2 5 4 5" xfId="19343" xr:uid="{88F34D07-EC80-4156-8A01-76FCA1CA0421}"/>
    <cellStyle name="Note 2 5 5" xfId="19344" xr:uid="{498C8CE9-3766-4C1F-A09B-E99B80F3DA64}"/>
    <cellStyle name="Note 2 5 6" xfId="19345" xr:uid="{ACBF9993-68B0-4CCF-AFFE-0C76A74129CB}"/>
    <cellStyle name="Note 2 5 7" xfId="19346" xr:uid="{68BE1D79-C176-4027-BFB9-6494CA53337D}"/>
    <cellStyle name="Note 2 5 8" xfId="19347" xr:uid="{CEFB79EF-ABC2-4A2E-BAB3-E4F10CDF075B}"/>
    <cellStyle name="Note 2 5 9" xfId="19348" xr:uid="{FD5D4C1E-4EB5-43BB-9C75-D103E738D3D8}"/>
    <cellStyle name="Note 2 5_JE 5 2002.2 FED" xfId="19349" xr:uid="{F5B35D0B-5A97-4DD8-8518-CFDEA7C8B0DE}"/>
    <cellStyle name="Note 2 6" xfId="19350" xr:uid="{137ED508-AAF2-475D-A15E-0B0F1E6BAAF2}"/>
    <cellStyle name="Note 2 6 10" xfId="42929" xr:uid="{D82CFE5F-AA8C-477D-9BC9-A9A790BFADE9}"/>
    <cellStyle name="Note 2 6 2" xfId="19351" xr:uid="{E53FFAFB-25A9-4EE8-9906-0ACF490FEF94}"/>
    <cellStyle name="Note 2 6 2 2" xfId="19352" xr:uid="{C5BDDCBA-BB82-4048-B5AF-97FAA1B313A5}"/>
    <cellStyle name="Note 2 6 2 2 2" xfId="19353" xr:uid="{CF39C8E2-0A45-45A3-A90F-A8F73CD56692}"/>
    <cellStyle name="Note 2 6 2 2 3" xfId="19354" xr:uid="{A8D8B945-5E0F-456C-97CB-1EFA408FFB99}"/>
    <cellStyle name="Note 2 6 2 2 4" xfId="19355" xr:uid="{64FB5C10-6C6D-47A7-BE49-3D86A060C5C8}"/>
    <cellStyle name="Note 2 6 2 2 5" xfId="19356" xr:uid="{80C89BB0-F55C-4E66-BF80-782CC682544C}"/>
    <cellStyle name="Note 2 6 2 3" xfId="19357" xr:uid="{8CBEA7A3-4CD9-422C-A4C3-EA0E6EC43FEC}"/>
    <cellStyle name="Note 2 6 2 3 2" xfId="19358" xr:uid="{7F71764E-B01B-4F89-B153-486850E816DF}"/>
    <cellStyle name="Note 2 6 2 3 3" xfId="19359" xr:uid="{0DFD6690-F259-4769-975E-A905327AE644}"/>
    <cellStyle name="Note 2 6 2 3 4" xfId="19360" xr:uid="{0A130825-CC0D-492A-88F5-DCB9BD85D54C}"/>
    <cellStyle name="Note 2 6 2 3 5" xfId="19361" xr:uid="{E0140747-7D9C-4166-8DD8-CAAECA09FCF9}"/>
    <cellStyle name="Note 2 6 2 4" xfId="19362" xr:uid="{4AA4010F-F4EA-448D-9DCB-1D3E7DD52CFF}"/>
    <cellStyle name="Note 2 6 2 5" xfId="19363" xr:uid="{3F41F69E-F650-4E96-83CE-19B570EB58B5}"/>
    <cellStyle name="Note 2 6 2 6" xfId="19364" xr:uid="{0430AE49-701E-45E4-A9A4-015FDB6CF99E}"/>
    <cellStyle name="Note 2 6 2 7" xfId="19365" xr:uid="{3BFAC572-A531-4456-83AE-83B83CF42F15}"/>
    <cellStyle name="Note 2 6 3" xfId="19366" xr:uid="{911E959E-224F-4530-AD03-29EB215DD523}"/>
    <cellStyle name="Note 2 6 3 2" xfId="19367" xr:uid="{BFA5D0FE-FCE5-4C4A-8DB2-4BD59E93F633}"/>
    <cellStyle name="Note 2 6 3 2 2" xfId="19368" xr:uid="{F000E236-F89F-42AE-ACC0-8C9B7BC2EAFC}"/>
    <cellStyle name="Note 2 6 3 2 3" xfId="19369" xr:uid="{719F50A3-5290-491A-8999-142BF42872F7}"/>
    <cellStyle name="Note 2 6 3 3" xfId="19370" xr:uid="{88B37115-6F7B-4F02-9ED7-757F29CA3474}"/>
    <cellStyle name="Note 2 6 3 4" xfId="19371" xr:uid="{34346A91-319D-4F28-B07E-0F2C761413EF}"/>
    <cellStyle name="Note 2 6 3 5" xfId="19372" xr:uid="{7777693F-4377-4334-8360-51CAF22FDCD0}"/>
    <cellStyle name="Note 2 6 3 6" xfId="19373" xr:uid="{209AD293-28E0-4CF5-B8F6-6EE9E67FBDA4}"/>
    <cellStyle name="Note 2 6 4" xfId="19374" xr:uid="{AE9ADCB4-B9A4-46B4-95B6-45449F24F69A}"/>
    <cellStyle name="Note 2 6 4 2" xfId="19375" xr:uid="{0DF2EFED-2FEB-4706-8F7C-34C96E0A4CB7}"/>
    <cellStyle name="Note 2 6 4 3" xfId="19376" xr:uid="{BE9B5BB9-21B4-4E1C-AB85-621E57CE5DD8}"/>
    <cellStyle name="Note 2 6 4 4" xfId="19377" xr:uid="{3AB2368C-43CB-47C0-86E9-A36B7B1F8435}"/>
    <cellStyle name="Note 2 6 4 5" xfId="19378" xr:uid="{2B859D68-2881-4ECC-95BA-87E48BA635BE}"/>
    <cellStyle name="Note 2 6 5" xfId="19379" xr:uid="{8327AC43-D5D9-4196-9F7D-39AA1653D970}"/>
    <cellStyle name="Note 2 6 6" xfId="19380" xr:uid="{3FBBB7E3-7A38-42DC-84C9-A6AC46352D06}"/>
    <cellStyle name="Note 2 6 7" xfId="19381" xr:uid="{E79CD14E-68AA-48C2-9F13-1BAB78A33604}"/>
    <cellStyle name="Note 2 6 8" xfId="19382" xr:uid="{A2FB160B-3B77-4C8C-9FD5-A7571C534B20}"/>
    <cellStyle name="Note 2 6 9" xfId="19383" xr:uid="{879FD6FA-3E4C-48EC-AD03-2ABED6F6A2F5}"/>
    <cellStyle name="Note 2 6_JE 5 2002.2 FED" xfId="19384" xr:uid="{4624752F-A9A2-4093-BA2E-DFB94A1C42B3}"/>
    <cellStyle name="Note 2 7" xfId="19385" xr:uid="{14736A29-1A13-4E85-B189-F148D2B4C4E4}"/>
    <cellStyle name="Note 2 7 2" xfId="19386" xr:uid="{01DF7C50-4BB5-4439-A624-3BDDC82B3A88}"/>
    <cellStyle name="Note 2 7 2 2" xfId="19387" xr:uid="{F22D5359-4510-4420-AF5F-9EC4A31DE713}"/>
    <cellStyle name="Note 2 7 2 2 2" xfId="19388" xr:uid="{29E446D0-4355-4182-9F00-6F7239C234BC}"/>
    <cellStyle name="Note 2 7 2 2 3" xfId="19389" xr:uid="{78F3EFAE-C7A3-4DF1-974E-05FB35E17D44}"/>
    <cellStyle name="Note 2 7 2 2 4" xfId="19390" xr:uid="{B0768149-8E64-49DE-9A96-A32CC8560BB4}"/>
    <cellStyle name="Note 2 7 2 2 5" xfId="19391" xr:uid="{9A840E28-BDDA-4DD1-B613-15E966F05E8E}"/>
    <cellStyle name="Note 2 7 2 3" xfId="19392" xr:uid="{ED9C57BE-F9F7-411A-9145-A5A7A940EAB9}"/>
    <cellStyle name="Note 2 7 2 3 2" xfId="19393" xr:uid="{DDE70D09-1820-4EDC-B755-8EA43E5FDB34}"/>
    <cellStyle name="Note 2 7 2 3 3" xfId="19394" xr:uid="{9CD4A764-CFAC-434C-A12E-2ACBFA21112D}"/>
    <cellStyle name="Note 2 7 2 3 4" xfId="19395" xr:uid="{1E6D11A1-6AA5-433F-B601-BF3E87266E20}"/>
    <cellStyle name="Note 2 7 2 3 5" xfId="19396" xr:uid="{985E8843-1B7B-46A7-BD61-598938F36CEF}"/>
    <cellStyle name="Note 2 7 2 4" xfId="19397" xr:uid="{CF63C15C-CB86-4B63-AFC3-190456AEF8B1}"/>
    <cellStyle name="Note 2 7 2 5" xfId="19398" xr:uid="{A38785D6-8254-45E0-AF32-80780A54537C}"/>
    <cellStyle name="Note 2 7 2 6" xfId="19399" xr:uid="{5874CE11-890F-4598-BD1D-47AA3583AB12}"/>
    <cellStyle name="Note 2 7 2 7" xfId="19400" xr:uid="{53C5B58D-3342-4D2E-8246-0A82CD45955B}"/>
    <cellStyle name="Note 2 7 3" xfId="19401" xr:uid="{BADAAB78-4B6F-4FE9-89F7-B4D3C847A45E}"/>
    <cellStyle name="Note 2 7 3 2" xfId="19402" xr:uid="{F747352C-1368-4FB6-A596-9E54124A33CE}"/>
    <cellStyle name="Note 2 7 3 2 2" xfId="19403" xr:uid="{67496AE2-696B-48E4-9206-C6B196FF109B}"/>
    <cellStyle name="Note 2 7 3 2 3" xfId="19404" xr:uid="{6367A3E3-7772-4CD7-9770-BC7E0D3AD67F}"/>
    <cellStyle name="Note 2 7 3 3" xfId="19405" xr:uid="{F24C0083-A81B-4BDC-B707-64D15D5D1EBD}"/>
    <cellStyle name="Note 2 7 3 4" xfId="19406" xr:uid="{746D264A-1A3D-4A30-97C5-55E8D971C6B0}"/>
    <cellStyle name="Note 2 7 3 5" xfId="19407" xr:uid="{C4E47FCC-6B63-45B2-A103-C9B4841B9694}"/>
    <cellStyle name="Note 2 7 3 6" xfId="19408" xr:uid="{CD1B37AC-8D46-4390-B4F8-69054A02D91A}"/>
    <cellStyle name="Note 2 7 4" xfId="19409" xr:uid="{DF4D1D08-8CE4-4B9E-A638-00EEFE3A5D7A}"/>
    <cellStyle name="Note 2 7 4 2" xfId="19410" xr:uid="{DBD576F0-1833-4112-AC67-00FB7BB56AB3}"/>
    <cellStyle name="Note 2 7 4 3" xfId="19411" xr:uid="{DBB57A21-1FD3-4116-A08A-DBED193AAC0C}"/>
    <cellStyle name="Note 2 7 4 4" xfId="19412" xr:uid="{57D8C970-EC73-4CAA-BB27-1239059C6446}"/>
    <cellStyle name="Note 2 7 4 5" xfId="19413" xr:uid="{8FF012E3-9724-4F03-8269-2B7DA6EA66BE}"/>
    <cellStyle name="Note 2 7 5" xfId="19414" xr:uid="{9EAE59BD-671B-4366-BBB7-F213A6E55F44}"/>
    <cellStyle name="Note 2 7 6" xfId="19415" xr:uid="{F9A7668C-D679-4A0E-8E4D-6CEC3180A53B}"/>
    <cellStyle name="Note 2 7 7" xfId="19416" xr:uid="{42E1CC55-77A1-4E66-85DC-12AD631719DE}"/>
    <cellStyle name="Note 2 7 8" xfId="19417" xr:uid="{8D128C68-7057-4429-8C3B-7B9043653823}"/>
    <cellStyle name="Note 2 7 9" xfId="19418" xr:uid="{0A53017B-DDA6-49B6-9654-4CD6D7146077}"/>
    <cellStyle name="Note 2 7_JE 5 2002.2 FED" xfId="19419" xr:uid="{7772C4BA-4939-45E8-B348-08B6CC72A3EC}"/>
    <cellStyle name="Note 2 8" xfId="19420" xr:uid="{92BE41AE-7F50-4337-B39B-EE5A73203CDA}"/>
    <cellStyle name="Note 2 8 2" xfId="19421" xr:uid="{E5E5247D-EE5F-48CC-B6D2-9B45B83672C0}"/>
    <cellStyle name="Note 2 8 2 2" xfId="19422" xr:uid="{B49F40D3-F6E1-4390-A28F-976680636A9D}"/>
    <cellStyle name="Note 2 8 2 2 2" xfId="19423" xr:uid="{7C1DBC7D-6DC9-4124-8509-80FE44DF6487}"/>
    <cellStyle name="Note 2 8 2 2 3" xfId="19424" xr:uid="{015B06A8-0F05-47C8-A5B4-7DE9827D308A}"/>
    <cellStyle name="Note 2 8 2 2 4" xfId="19425" xr:uid="{F3B6E466-688E-4891-89B3-583F6807408D}"/>
    <cellStyle name="Note 2 8 2 2 5" xfId="19426" xr:uid="{B254D564-CF75-4AB8-BA74-261B2CE041AB}"/>
    <cellStyle name="Note 2 8 2 3" xfId="19427" xr:uid="{C132C570-5691-46A3-8113-960AD3C1291C}"/>
    <cellStyle name="Note 2 8 2 3 2" xfId="19428" xr:uid="{6B1DC502-6A2E-45E9-90A4-E621529FAAF1}"/>
    <cellStyle name="Note 2 8 2 3 3" xfId="19429" xr:uid="{25F45EEC-D5BF-4EAF-844B-F80151DFC71F}"/>
    <cellStyle name="Note 2 8 2 3 4" xfId="19430" xr:uid="{2273F08E-95C8-432A-B67E-800D161ACC7A}"/>
    <cellStyle name="Note 2 8 2 3 5" xfId="19431" xr:uid="{DBA4D580-8C7A-433C-BE31-9ABC02F67506}"/>
    <cellStyle name="Note 2 8 2 4" xfId="19432" xr:uid="{88444700-1138-4D91-A58F-EC3463315988}"/>
    <cellStyle name="Note 2 8 2 5" xfId="19433" xr:uid="{CE52F7B0-D982-4DA5-8A45-88257B1173D8}"/>
    <cellStyle name="Note 2 8 2 6" xfId="19434" xr:uid="{9E143AD1-D9DD-4E71-9E39-6CEDB629925B}"/>
    <cellStyle name="Note 2 8 2 7" xfId="19435" xr:uid="{D14E0C94-BC35-4A10-8DB9-14792055A798}"/>
    <cellStyle name="Note 2 8 3" xfId="19436" xr:uid="{8E3F6849-7095-487B-BF87-C1FBD59D01D3}"/>
    <cellStyle name="Note 2 8 3 2" xfId="19437" xr:uid="{01006805-3FB0-47D0-83EB-2AE065C6EDB8}"/>
    <cellStyle name="Note 2 8 3 2 2" xfId="19438" xr:uid="{E18DAF91-C987-426B-A8CD-8B1639115817}"/>
    <cellStyle name="Note 2 8 3 2 3" xfId="19439" xr:uid="{C6C952B6-6770-4DA4-8329-5565F87E4FA4}"/>
    <cellStyle name="Note 2 8 3 3" xfId="19440" xr:uid="{F59811E8-9F44-48CC-8C8D-E57CD5FA7156}"/>
    <cellStyle name="Note 2 8 3 4" xfId="19441" xr:uid="{51E3C31B-0673-4BB9-B93B-CF6778664267}"/>
    <cellStyle name="Note 2 8 3 5" xfId="19442" xr:uid="{879BD3F0-0F1F-42BE-8BE4-4185B83D4DFA}"/>
    <cellStyle name="Note 2 8 3 6" xfId="19443" xr:uid="{D6760828-0227-4C8F-B92D-7EB361149FD2}"/>
    <cellStyle name="Note 2 8 4" xfId="19444" xr:uid="{DAD5B132-8FF7-4D0B-9B21-D9E397EB8134}"/>
    <cellStyle name="Note 2 8 4 2" xfId="19445" xr:uid="{3B2F7706-465F-44AC-AA73-32C2AF303EB3}"/>
    <cellStyle name="Note 2 8 4 3" xfId="19446" xr:uid="{10DC2A76-402D-44D6-AA36-77B00C0AB18C}"/>
    <cellStyle name="Note 2 8 4 4" xfId="19447" xr:uid="{C12728AA-CB97-4A27-97F4-045982486B88}"/>
    <cellStyle name="Note 2 8 4 5" xfId="19448" xr:uid="{92A55818-19AE-4B89-AC35-208BCE220AA2}"/>
    <cellStyle name="Note 2 8 5" xfId="19449" xr:uid="{3D56F47D-C100-48C3-A07F-B6988C8A9B3E}"/>
    <cellStyle name="Note 2 8 6" xfId="19450" xr:uid="{3AD2CCF3-D224-4064-9CAF-D96D7F357DDE}"/>
    <cellStyle name="Note 2 8 7" xfId="19451" xr:uid="{8390F813-5EA0-4B1C-8946-A986A3EC2417}"/>
    <cellStyle name="Note 2 8 8" xfId="19452" xr:uid="{8769F3F3-C9E9-4F2A-AD7C-57DCB490CF30}"/>
    <cellStyle name="Note 2 8 9" xfId="19453" xr:uid="{9B3E3C40-6F30-4734-8AE3-5A284AFEE285}"/>
    <cellStyle name="Note 2 8_JE 5 2002.2 FED" xfId="19454" xr:uid="{0BC07E30-2CF0-4984-A2B0-E8C3CC4A6E26}"/>
    <cellStyle name="Note 2 9" xfId="19455" xr:uid="{6C6912F0-C930-4EA3-AC07-48B561508855}"/>
    <cellStyle name="Note 2 9 2" xfId="19456" xr:uid="{DBD2282C-C5E6-496C-83E0-D731DC1A4761}"/>
    <cellStyle name="Note 2 9 2 2" xfId="19457" xr:uid="{C394BF43-D4E5-4814-980C-0BADB62F34AC}"/>
    <cellStyle name="Note 2 9 2 2 2" xfId="19458" xr:uid="{D9B7C9D9-1F27-44C1-91B0-4D528AF85EFA}"/>
    <cellStyle name="Note 2 9 2 2 3" xfId="19459" xr:uid="{EA4167DF-2268-4BE2-9185-4A799C4BFCDC}"/>
    <cellStyle name="Note 2 9 2 2 4" xfId="19460" xr:uid="{FEF9D12C-98F4-4526-BD60-B8B388E55A81}"/>
    <cellStyle name="Note 2 9 2 2 5" xfId="19461" xr:uid="{A245EDE4-86B8-41A1-83E8-3BEAA9AD99D1}"/>
    <cellStyle name="Note 2 9 2 3" xfId="19462" xr:uid="{6E3ABFBD-9197-4F78-BBFE-A15A0B692A37}"/>
    <cellStyle name="Note 2 9 2 3 2" xfId="19463" xr:uid="{01CD008F-D3E4-47F8-BF91-3DE51BDBDD72}"/>
    <cellStyle name="Note 2 9 2 3 3" xfId="19464" xr:uid="{1BD9C1DB-FBC4-4692-978A-1C8551535A2E}"/>
    <cellStyle name="Note 2 9 2 3 4" xfId="19465" xr:uid="{01AFD943-5CB3-4567-8A09-8C4A76E14657}"/>
    <cellStyle name="Note 2 9 2 3 5" xfId="19466" xr:uid="{0E03AC0D-A9CF-4CC6-91CC-4DF65C9A6BA0}"/>
    <cellStyle name="Note 2 9 2 4" xfId="19467" xr:uid="{A51EC908-A8BD-4350-A072-F0B638E307AF}"/>
    <cellStyle name="Note 2 9 2 5" xfId="19468" xr:uid="{A30E8467-6F4D-46EE-B71B-87F7FE5D445C}"/>
    <cellStyle name="Note 2 9 2 6" xfId="19469" xr:uid="{DA0560F3-CE21-4205-823D-A5A6066437A4}"/>
    <cellStyle name="Note 2 9 2 7" xfId="19470" xr:uid="{AED735D8-7863-4C15-A944-BCE068972DF6}"/>
    <cellStyle name="Note 2 9 3" xfId="19471" xr:uid="{D6F25340-C554-4E74-B693-78C7968F6A2C}"/>
    <cellStyle name="Note 2 9 3 2" xfId="19472" xr:uid="{9B32EEF8-CD30-412F-9D47-5F8B638F2091}"/>
    <cellStyle name="Note 2 9 3 2 2" xfId="19473" xr:uid="{CF67D0D9-5478-4676-AE3E-E26A86948F40}"/>
    <cellStyle name="Note 2 9 3 2 3" xfId="19474" xr:uid="{DE9A1E13-1027-4D6A-B7C4-86E83EB3CD74}"/>
    <cellStyle name="Note 2 9 3 3" xfId="19475" xr:uid="{498764DC-C7E9-4B50-A8D1-E02159DF049C}"/>
    <cellStyle name="Note 2 9 3 4" xfId="19476" xr:uid="{F6B242D9-DD74-4F5C-815A-5AFA6C6F293C}"/>
    <cellStyle name="Note 2 9 3 5" xfId="19477" xr:uid="{B6B633C8-F6BE-4A03-9532-0CB7574C2357}"/>
    <cellStyle name="Note 2 9 3 6" xfId="19478" xr:uid="{B7924A34-8459-40E0-83D9-519F96AB898F}"/>
    <cellStyle name="Note 2 9 4" xfId="19479" xr:uid="{4BB23DE5-1C76-49E0-A273-692D648F9C31}"/>
    <cellStyle name="Note 2 9 4 2" xfId="19480" xr:uid="{F1EF5FEC-6B3A-430C-AD17-72F0BFE670BB}"/>
    <cellStyle name="Note 2 9 4 3" xfId="19481" xr:uid="{15CA0729-3A67-43C0-9F6C-D3133BC8C046}"/>
    <cellStyle name="Note 2 9 4 4" xfId="19482" xr:uid="{7D4BC45F-8D30-42E1-A90B-C43B08C86F55}"/>
    <cellStyle name="Note 2 9 4 5" xfId="19483" xr:uid="{F269144F-713C-4872-8034-BD04BB83E9E2}"/>
    <cellStyle name="Note 2 9 5" xfId="19484" xr:uid="{8B9A12B6-545F-45F2-8DF8-31864426E1B4}"/>
    <cellStyle name="Note 2 9 6" xfId="19485" xr:uid="{F95E559D-1A69-4B72-BE62-68DDF7DB7D87}"/>
    <cellStyle name="Note 2 9 7" xfId="19486" xr:uid="{C3FBB280-A0B0-41B4-B7D1-8AC5685AF969}"/>
    <cellStyle name="Note 2 9 8" xfId="19487" xr:uid="{D94BE73C-FE87-412A-B7ED-AD478A06082B}"/>
    <cellStyle name="Note 2 9_JE 5 2002.2 FED" xfId="19488" xr:uid="{2405B56B-7944-4C2C-A1BB-5BA7A71E1089}"/>
    <cellStyle name="Note 2_JE 5 2002.2 FED" xfId="19489" xr:uid="{182062D1-EF81-4FCA-A944-B4852F91BC22}"/>
    <cellStyle name="Note 20" xfId="19490" xr:uid="{EC8117EC-5D9D-42D8-B681-D21B1D8C05CF}"/>
    <cellStyle name="Note 20 2" xfId="19491" xr:uid="{A56B9222-683B-4E47-90E2-6EC14A136E62}"/>
    <cellStyle name="Note 20 2 2" xfId="19492" xr:uid="{EE372542-C053-4403-BDB7-22E801781026}"/>
    <cellStyle name="Note 20 2 3" xfId="19493" xr:uid="{5679E7ED-53B9-422F-BD70-CCA5EE081A3B}"/>
    <cellStyle name="Note 20 2 4" xfId="19494" xr:uid="{534A3452-383A-44FA-A7B4-95E156281529}"/>
    <cellStyle name="Note 20 2 5" xfId="19495" xr:uid="{8D5B4B97-E3CC-44BE-9E10-08E01BC830E5}"/>
    <cellStyle name="Note 20 3" xfId="19496" xr:uid="{6F147B1E-1522-4305-9AB3-4F6A194861F2}"/>
    <cellStyle name="Note 20 3 2" xfId="19497" xr:uid="{FA5E9942-966B-4FF2-8E8B-D0A92AA1D241}"/>
    <cellStyle name="Note 20 3 3" xfId="19498" xr:uid="{A763745B-20A5-4B8F-A06A-9A52BAFA9517}"/>
    <cellStyle name="Note 20 3 4" xfId="19499" xr:uid="{51EAFFD5-0EB1-4933-930C-BABBC7506814}"/>
    <cellStyle name="Note 20 3 5" xfId="19500" xr:uid="{D05B40F6-B156-4BEC-91B7-25218A02C563}"/>
    <cellStyle name="Note 20 4" xfId="19501" xr:uid="{667866FA-5375-4038-B3C8-4ABCB52F2CF0}"/>
    <cellStyle name="Note 20 5" xfId="19502" xr:uid="{B7BBB1B4-2A88-40AD-8C60-9629E8852751}"/>
    <cellStyle name="Note 20 6" xfId="19503" xr:uid="{F6791A60-C8BB-4ACE-A285-ED5A02FF9770}"/>
    <cellStyle name="Note 20 7" xfId="19504" xr:uid="{6ADBE404-90FE-4036-B220-0FC759A7FE9A}"/>
    <cellStyle name="Note 21" xfId="19505" xr:uid="{57A50CA1-A1C0-4589-8409-BE336638DFA6}"/>
    <cellStyle name="Note 21 2" xfId="19506" xr:uid="{84BA8290-51F2-45E5-8D5E-19C80D1D5A94}"/>
    <cellStyle name="Note 21 2 2" xfId="19507" xr:uid="{7B9D5BDC-0236-4DB0-93B8-C4236603CADE}"/>
    <cellStyle name="Note 21 2 3" xfId="19508" xr:uid="{19E95939-8407-47CA-B0BB-1ED66ED889DE}"/>
    <cellStyle name="Note 21 2 4" xfId="19509" xr:uid="{7F2EE140-A19E-41F2-A005-9DD92935AECA}"/>
    <cellStyle name="Note 21 2 5" xfId="19510" xr:uid="{2E757217-636F-4811-8F7E-8BFBCCEBEFBB}"/>
    <cellStyle name="Note 21 3" xfId="19511" xr:uid="{E95C901A-DB6D-4C0D-91CF-280E7601AE7F}"/>
    <cellStyle name="Note 21 3 2" xfId="19512" xr:uid="{29546EB6-839C-4049-9AAF-6F061332CE9A}"/>
    <cellStyle name="Note 21 3 3" xfId="19513" xr:uid="{80622E52-0D46-4C38-A7D6-809B3C0A507A}"/>
    <cellStyle name="Note 21 3 4" xfId="19514" xr:uid="{22F7CD79-C927-4954-A918-13378A6168F8}"/>
    <cellStyle name="Note 21 3 5" xfId="19515" xr:uid="{455A53C8-A24D-4DE0-A2F5-6C4B539CAE01}"/>
    <cellStyle name="Note 21 4" xfId="19516" xr:uid="{F2E001B7-05F8-4CEF-9D7A-335162B5203D}"/>
    <cellStyle name="Note 21 5" xfId="19517" xr:uid="{7AB31115-D016-4002-87F4-6B5BB3D4ECE6}"/>
    <cellStyle name="Note 21 6" xfId="19518" xr:uid="{9CBB0FBD-EA3A-4424-8E64-902444EBAA7A}"/>
    <cellStyle name="Note 21 7" xfId="19519" xr:uid="{EB076002-426B-41E9-80AD-31B69133E120}"/>
    <cellStyle name="Note 22" xfId="19520" xr:uid="{D5B7E0C4-948D-4669-9D99-7C850C3F3D81}"/>
    <cellStyle name="Note 22 2" xfId="19521" xr:uid="{ABAB6540-86D6-4A45-BD33-C952ED633649}"/>
    <cellStyle name="Note 22 2 2" xfId="19522" xr:uid="{B0064A7C-1C7E-4FB3-9768-DD1DEE82A6A1}"/>
    <cellStyle name="Note 22 2 3" xfId="19523" xr:uid="{64E47D11-E779-4026-86A5-6647A21266A0}"/>
    <cellStyle name="Note 22 2 4" xfId="19524" xr:uid="{B079EED1-AE46-40C8-91FF-3DC78A9C0C51}"/>
    <cellStyle name="Note 22 2 5" xfId="19525" xr:uid="{2BC0A74B-23B4-49BE-9E0F-3120BD9071A1}"/>
    <cellStyle name="Note 22 3" xfId="19526" xr:uid="{45B2C6A1-A545-4F28-88FA-97A5EE1DE8C9}"/>
    <cellStyle name="Note 22 3 2" xfId="19527" xr:uid="{4A10D9DA-7170-4A50-9458-C7A2D93FEB7A}"/>
    <cellStyle name="Note 22 3 3" xfId="19528" xr:uid="{668DFC8C-13A5-4D25-90DD-FBDBBFF1D780}"/>
    <cellStyle name="Note 22 3 4" xfId="19529" xr:uid="{06C563A8-2C6A-4101-AEA2-8EB4B6037D5E}"/>
    <cellStyle name="Note 22 3 5" xfId="19530" xr:uid="{1F4B2896-FA95-4F19-A089-26358071D2C7}"/>
    <cellStyle name="Note 22 4" xfId="19531" xr:uid="{6E5B842F-E516-4699-8D38-DD0D0DD0F93E}"/>
    <cellStyle name="Note 22 5" xfId="19532" xr:uid="{81B146E4-1D03-40F6-A13E-A33AA549FA5B}"/>
    <cellStyle name="Note 22 6" xfId="19533" xr:uid="{1EF58F91-037D-4A50-8F4A-52718AE335A3}"/>
    <cellStyle name="Note 22 7" xfId="19534" xr:uid="{E2B9AA2C-801C-4692-890B-DBFE45668D77}"/>
    <cellStyle name="Note 23" xfId="19535" xr:uid="{728B1242-C0E8-4DB3-B21D-29B0EECEEDA5}"/>
    <cellStyle name="Note 23 2" xfId="19536" xr:uid="{041DA147-040E-4060-86F5-2844997B6584}"/>
    <cellStyle name="Note 23 2 2" xfId="19537" xr:uid="{A97FE44A-F274-4823-9DF7-B1131488195F}"/>
    <cellStyle name="Note 23 2 3" xfId="19538" xr:uid="{529C221D-7087-498A-83F6-61F325187B0D}"/>
    <cellStyle name="Note 23 2 4" xfId="19539" xr:uid="{CAF62A84-D3EA-4BC8-A797-308F797C5B24}"/>
    <cellStyle name="Note 23 2 5" xfId="19540" xr:uid="{A3C9DBC9-D423-4743-B325-101EFE16525E}"/>
    <cellStyle name="Note 23 3" xfId="19541" xr:uid="{E3055137-9A16-443E-BBCA-F15421FC55A8}"/>
    <cellStyle name="Note 23 3 2" xfId="19542" xr:uid="{3636BAEE-AF5A-4ADB-BA0C-943EBCA4F3CF}"/>
    <cellStyle name="Note 23 3 3" xfId="19543" xr:uid="{7E9390AC-6117-494A-BB40-AB9958B80B0E}"/>
    <cellStyle name="Note 23 3 4" xfId="19544" xr:uid="{DB2028DC-DE84-433B-822F-991B9A2802BA}"/>
    <cellStyle name="Note 23 3 5" xfId="19545" xr:uid="{CE2452E1-951B-4A51-A9A4-45591290D195}"/>
    <cellStyle name="Note 23 4" xfId="19546" xr:uid="{FE9F0060-C1F8-4018-B120-0E6656F3DDAC}"/>
    <cellStyle name="Note 23 5" xfId="19547" xr:uid="{C9CFE6B0-EDE1-4039-8074-5136DE82546C}"/>
    <cellStyle name="Note 23 6" xfId="19548" xr:uid="{63D83095-D038-41B8-BE7B-DF8CAA3FC2DC}"/>
    <cellStyle name="Note 23 7" xfId="19549" xr:uid="{ED450B6E-8E10-4368-8331-71FEF18429F0}"/>
    <cellStyle name="Note 24" xfId="19550" xr:uid="{5F3BBB1C-365B-4343-92B4-47C7C95D8564}"/>
    <cellStyle name="Note 24 2" xfId="19551" xr:uid="{3809F512-EE56-47D5-A837-5F9A296DB99E}"/>
    <cellStyle name="Note 24 2 2" xfId="19552" xr:uid="{9345D439-5E01-4DAB-8FC0-83D8E2A82EA5}"/>
    <cellStyle name="Note 24 2 3" xfId="19553" xr:uid="{4A628EC0-B635-4254-A395-F99780A64A79}"/>
    <cellStyle name="Note 24 2 4" xfId="19554" xr:uid="{A8C51A32-955D-4933-BAF7-9F2A9B293D22}"/>
    <cellStyle name="Note 24 2 5" xfId="19555" xr:uid="{AA4CF303-8EE0-41C0-A023-93465A20D9A8}"/>
    <cellStyle name="Note 24 3" xfId="19556" xr:uid="{F2691870-12FE-4294-AF3E-A2F7FA8CA843}"/>
    <cellStyle name="Note 24 3 2" xfId="19557" xr:uid="{9E604D22-BCE1-4C87-B2BE-47C30207411C}"/>
    <cellStyle name="Note 24 3 3" xfId="19558" xr:uid="{1CA0031B-79FE-4BA2-B952-14DA0A5CF57B}"/>
    <cellStyle name="Note 24 3 4" xfId="19559" xr:uid="{982EEEC7-C540-4490-9094-1542CA75184E}"/>
    <cellStyle name="Note 24 4" xfId="19560" xr:uid="{53EC51C1-7FB5-4E99-8ED2-87D123102F5B}"/>
    <cellStyle name="Note 24 5" xfId="19561" xr:uid="{2F3A09BD-E1D7-43D3-A22E-8ECB646CB3D7}"/>
    <cellStyle name="Note 24 6" xfId="19562" xr:uid="{108B7448-DD18-45EA-8F27-DD3278F77E17}"/>
    <cellStyle name="Note 24 7" xfId="19563" xr:uid="{5694B770-8454-4151-BD32-0B7DFD90DE6C}"/>
    <cellStyle name="Note 25" xfId="19564" xr:uid="{BD4EDD09-9842-4549-B0EF-2DB35DD8A933}"/>
    <cellStyle name="Note 25 2" xfId="19565" xr:uid="{6F1A8F04-E998-4B23-BA81-02C5894C3E47}"/>
    <cellStyle name="Note 25 2 2" xfId="19566" xr:uid="{64E9DF94-1F71-4148-B0E5-2E36BBB3BB7A}"/>
    <cellStyle name="Note 25 2 3" xfId="19567" xr:uid="{01D2FF3D-1E4C-41C5-AA5E-15EC555D3A96}"/>
    <cellStyle name="Note 25 2 4" xfId="19568" xr:uid="{EEA2EBF3-75FE-4F41-ABA5-709D024E1AD5}"/>
    <cellStyle name="Note 25 2 5" xfId="19569" xr:uid="{3057D2DA-FE89-4F5B-92FA-74CE4A89CFE6}"/>
    <cellStyle name="Note 25 3" xfId="19570" xr:uid="{7E1A1ED5-94CB-4D0F-AE86-A5571E40B0CB}"/>
    <cellStyle name="Note 25 3 2" xfId="19571" xr:uid="{3447761D-AD55-4035-8D36-8B20C705B92F}"/>
    <cellStyle name="Note 25 3 3" xfId="19572" xr:uid="{85FA9D6B-317E-4660-B274-EE11D4E6B415}"/>
    <cellStyle name="Note 25 4" xfId="19573" xr:uid="{1E59D9B4-45D0-43E6-A7C0-ED625904B992}"/>
    <cellStyle name="Note 25 5" xfId="19574" xr:uid="{EB1B7887-109F-4B7E-BAB9-8713A8AF04AA}"/>
    <cellStyle name="Note 25 6" xfId="19575" xr:uid="{6F3395A4-8040-457B-BBA5-5975E7C13DE8}"/>
    <cellStyle name="Note 25 7" xfId="19576" xr:uid="{FB2A2FDC-E05B-43B0-B043-21FBB81D6CC8}"/>
    <cellStyle name="Note 26" xfId="19577" xr:uid="{F405DAAF-F74C-4955-B2C4-5B5A910FA5DA}"/>
    <cellStyle name="Note 26 2" xfId="19578" xr:uid="{335DAA6E-8AB4-4218-9DDF-7141B0668AEB}"/>
    <cellStyle name="Note 26 2 2" xfId="19579" xr:uid="{3ADA842D-9CE9-4B3E-A29D-6BA0B76BA9BD}"/>
    <cellStyle name="Note 26 2 3" xfId="19580" xr:uid="{A254A4E5-E861-4EF4-BB6A-34239583A250}"/>
    <cellStyle name="Note 26 2 4" xfId="19581" xr:uid="{0A60D4EE-FFFC-4FBF-8770-4A557C80851F}"/>
    <cellStyle name="Note 26 2 5" xfId="19582" xr:uid="{311C127B-D1B2-4651-B91A-4331D255EDB1}"/>
    <cellStyle name="Note 26 3" xfId="19583" xr:uid="{B76D7BD0-4B5B-4A04-A491-61C3AB91BFE8}"/>
    <cellStyle name="Note 26 3 2" xfId="19584" xr:uid="{21938143-A534-4CFF-B5DE-8153D64FF9C4}"/>
    <cellStyle name="Note 26 3 3" xfId="19585" xr:uid="{1389A985-5D70-4C59-88D2-293E82CD76BD}"/>
    <cellStyle name="Note 26 4" xfId="19586" xr:uid="{269D80E3-87AD-461B-8AD2-1994AA2522E9}"/>
    <cellStyle name="Note 26 5" xfId="19587" xr:uid="{DF62CE94-F852-4381-BF87-29186CFCF704}"/>
    <cellStyle name="Note 26 6" xfId="19588" xr:uid="{784A246F-DA96-4FB4-8014-6BEB139BC2A5}"/>
    <cellStyle name="Note 26 7" xfId="19589" xr:uid="{4CACDC96-D94B-43E0-ACF9-3BB01F29083F}"/>
    <cellStyle name="Note 27" xfId="19590" xr:uid="{4A2A0307-A90E-472F-806E-CCFD27B2F270}"/>
    <cellStyle name="Note 27 2" xfId="19591" xr:uid="{FB005E41-3705-4F2A-9707-5CF5F91AED17}"/>
    <cellStyle name="Note 27 2 2" xfId="19592" xr:uid="{0838D532-05D2-4B9E-ADBF-DE2E36B30228}"/>
    <cellStyle name="Note 27 2 3" xfId="19593" xr:uid="{2216CF16-610A-4463-A461-9A2F6DAED3C0}"/>
    <cellStyle name="Note 27 2 4" xfId="19594" xr:uid="{B47D64AE-E8CE-4529-9D39-8B7DBD9DE91B}"/>
    <cellStyle name="Note 27 2 5" xfId="19595" xr:uid="{515D8687-A9D8-4FE8-BF74-17F3D1A466C4}"/>
    <cellStyle name="Note 27 3" xfId="19596" xr:uid="{2E5C5340-60E7-4024-9534-5E99750A0861}"/>
    <cellStyle name="Note 27 3 2" xfId="19597" xr:uid="{33FABF06-78E6-4ED7-AC99-755A3BC24069}"/>
    <cellStyle name="Note 27 3 3" xfId="19598" xr:uid="{9A22BEBF-7E9D-4C58-8A6B-BA3D87C415FE}"/>
    <cellStyle name="Note 27 4" xfId="19599" xr:uid="{D086E69C-480E-46F5-B5C4-4489BABA1CDA}"/>
    <cellStyle name="Note 27 5" xfId="19600" xr:uid="{426E5DC2-C95B-473C-9F1A-231CD6180C1C}"/>
    <cellStyle name="Note 27 6" xfId="19601" xr:uid="{41A17305-FB37-4ED6-BAC8-B5422C228D26}"/>
    <cellStyle name="Note 27 7" xfId="19602" xr:uid="{280B4AC0-9241-4B2E-A877-6537449E04F5}"/>
    <cellStyle name="Note 28" xfId="19603" xr:uid="{ADC172D6-E441-4827-9E60-0B5899C3608F}"/>
    <cellStyle name="Note 28 2" xfId="19604" xr:uid="{C3DB797D-904E-425D-9291-76C842F186EB}"/>
    <cellStyle name="Note 28 2 2" xfId="19605" xr:uid="{9BC18BE6-3AD3-455F-A5B8-51EB677C056B}"/>
    <cellStyle name="Note 28 2 3" xfId="19606" xr:uid="{182F282E-CA03-44F3-ABF1-B44780C8FA7E}"/>
    <cellStyle name="Note 28 2 4" xfId="19607" xr:uid="{D8223869-FC91-40B3-85E5-7C58FD0FA52D}"/>
    <cellStyle name="Note 28 3" xfId="19608" xr:uid="{FF80C96F-DE3E-4708-9B20-90AF4A86F43B}"/>
    <cellStyle name="Note 28 3 2" xfId="19609" xr:uid="{4D46D229-1CA7-48F3-9393-2801F397A973}"/>
    <cellStyle name="Note 28 3 3" xfId="19610" xr:uid="{F273274A-CCFD-4AE8-AA8D-6550FBBE51E1}"/>
    <cellStyle name="Note 28 4" xfId="19611" xr:uid="{229CFD12-861F-4F05-8ADE-1EB7B21F75FC}"/>
    <cellStyle name="Note 28 5" xfId="19612" xr:uid="{08E22A93-C977-474F-99D7-615813314BBC}"/>
    <cellStyle name="Note 28 6" xfId="19613" xr:uid="{C98DFC5A-98CE-4A3E-8B51-8439D0BB4CF6}"/>
    <cellStyle name="Note 28 7" xfId="19614" xr:uid="{9D988CD6-32BF-4FBF-91EA-A15EDC24B583}"/>
    <cellStyle name="Note 29" xfId="19615" xr:uid="{AB4B463E-C5E3-4627-A9FD-DD9CAA1E506F}"/>
    <cellStyle name="Note 29 2" xfId="19616" xr:uid="{9FAFB283-99DA-4C27-BD3F-F8354ED9C3B4}"/>
    <cellStyle name="Note 29 2 2" xfId="19617" xr:uid="{C8550491-61D7-4474-8A12-CF5C962E9366}"/>
    <cellStyle name="Note 29 2 3" xfId="19618" xr:uid="{4424678F-7B07-4DE2-848F-189BA7106CF0}"/>
    <cellStyle name="Note 29 2 4" xfId="19619" xr:uid="{A3CDAD5F-FC64-44F0-A6EA-C669BF75D6AD}"/>
    <cellStyle name="Note 29 3" xfId="19620" xr:uid="{90DF8066-76B8-466A-A7FA-1C927DCB0ACD}"/>
    <cellStyle name="Note 29 3 2" xfId="19621" xr:uid="{80A8A579-C216-445D-9C09-1E3478EA910E}"/>
    <cellStyle name="Note 29 3 3" xfId="19622" xr:uid="{AB116820-7384-4F30-8299-521E217F4AEB}"/>
    <cellStyle name="Note 29 4" xfId="19623" xr:uid="{26EF2FC6-0E9B-44B0-9279-17E3323C0EDA}"/>
    <cellStyle name="Note 29 5" xfId="19624" xr:uid="{106FF538-C3CF-4345-ACF2-2278552E2CDF}"/>
    <cellStyle name="Note 29 6" xfId="19625" xr:uid="{5B9DAB0C-CFCE-428A-BE2E-260CFE81777C}"/>
    <cellStyle name="Note 29 7" xfId="19626" xr:uid="{8F5CD70B-5C91-46E6-B4E5-22C48BBABFD4}"/>
    <cellStyle name="Note 3" xfId="19627" xr:uid="{F2C003BF-8039-4085-84BD-2722AF042D61}"/>
    <cellStyle name="Note 3 10" xfId="19628" xr:uid="{E11D64A6-DBA8-4E4E-B7FA-0D6916444409}"/>
    <cellStyle name="Note 3 10 2" xfId="19629" xr:uid="{BD64EB65-51BC-41BB-AA0E-DE205F3D4430}"/>
    <cellStyle name="Note 3 10 2 2" xfId="19630" xr:uid="{2C4095B7-5C66-4A4A-A1CD-C506C95C151D}"/>
    <cellStyle name="Note 3 10 2 3" xfId="19631" xr:uid="{35089E02-DFF9-4FDE-8932-931D03A0DFA1}"/>
    <cellStyle name="Note 3 10 2 4" xfId="19632" xr:uid="{F4657104-F9C2-4E2F-AF64-A70BA1257A29}"/>
    <cellStyle name="Note 3 10 2 5" xfId="19633" xr:uid="{F7A8D6F6-BC87-4AED-BBC8-A3E32C5B87D5}"/>
    <cellStyle name="Note 3 10 3" xfId="19634" xr:uid="{663973AF-D608-4278-95C0-9B642A02D4C8}"/>
    <cellStyle name="Note 3 10 3 2" xfId="19635" xr:uid="{6F9448E5-78C6-477D-8782-3067D30C3D35}"/>
    <cellStyle name="Note 3 10 3 3" xfId="19636" xr:uid="{9D5A8724-FFF8-4BBF-AC37-5A4E866DB3FE}"/>
    <cellStyle name="Note 3 10 3 4" xfId="19637" xr:uid="{B18B2CC0-BACA-4E8C-8813-85A57765B35B}"/>
    <cellStyle name="Note 3 10 3 5" xfId="19638" xr:uid="{F615E536-C67B-4DD4-9AB3-912A907EB4E3}"/>
    <cellStyle name="Note 3 10 4" xfId="19639" xr:uid="{33FF895E-D83E-4F3E-9AA5-761D675B8BED}"/>
    <cellStyle name="Note 3 10 5" xfId="19640" xr:uid="{85404CE0-58BC-491A-9486-E7411A5C20BF}"/>
    <cellStyle name="Note 3 10 6" xfId="19641" xr:uid="{8F6CFFE1-05F0-4BBD-8789-0505A30542E1}"/>
    <cellStyle name="Note 3 10 7" xfId="19642" xr:uid="{22D9B26A-7EB7-410B-A074-A39DBEDD47D5}"/>
    <cellStyle name="Note 3 11" xfId="19643" xr:uid="{7487D8E9-8E30-4C11-97E2-34C49D8E3CE7}"/>
    <cellStyle name="Note 3 11 2" xfId="19644" xr:uid="{43256D9C-C7D9-4D23-9AAF-C8201E986B4D}"/>
    <cellStyle name="Note 3 11 2 2" xfId="19645" xr:uid="{002AFC26-937D-44AD-AC5C-D4D2518D4C28}"/>
    <cellStyle name="Note 3 11 2 3" xfId="19646" xr:uid="{20B8FFD2-5B7F-4A42-996D-4FF9FC9902C5}"/>
    <cellStyle name="Note 3 11 2 4" xfId="19647" xr:uid="{1B071D30-5F55-4CFD-8BB2-AC4AA4737E88}"/>
    <cellStyle name="Note 3 11 3" xfId="19648" xr:uid="{E3241D36-67F5-4C46-9D99-9D115C71C51A}"/>
    <cellStyle name="Note 3 11 3 2" xfId="19649" xr:uid="{B99B250E-CFC9-4921-A3D8-705C4BC4A125}"/>
    <cellStyle name="Note 3 11 3 3" xfId="19650" xr:uid="{A6C200D6-896F-4B1E-80C3-EB69233D807F}"/>
    <cellStyle name="Note 3 11 4" xfId="19651" xr:uid="{17A1A1C6-9F33-4AB8-B0DD-6C554C8E792C}"/>
    <cellStyle name="Note 3 11 5" xfId="19652" xr:uid="{C0A626CC-8DB5-4B97-A0B4-62B99A43AED3}"/>
    <cellStyle name="Note 3 11 6" xfId="19653" xr:uid="{5D2D2117-DC65-4D60-A7F4-44643577DDA4}"/>
    <cellStyle name="Note 3 11 7" xfId="19654" xr:uid="{CE9C8C4E-E90E-44D5-86C0-18B8E573D90B}"/>
    <cellStyle name="Note 3 12" xfId="19655" xr:uid="{D30545F4-6554-4CBE-8030-E0C2C1A4BE9E}"/>
    <cellStyle name="Note 3 12 2" xfId="19656" xr:uid="{CFFA0398-ED94-49F6-8957-A014436532F0}"/>
    <cellStyle name="Note 3 12 2 2" xfId="19657" xr:uid="{7231452D-449A-4D92-AE4E-0CA4125B9AA8}"/>
    <cellStyle name="Note 3 12 2 3" xfId="19658" xr:uid="{26E5829C-FF19-4029-A089-C97F7D5172D0}"/>
    <cellStyle name="Note 3 12 2 4" xfId="19659" xr:uid="{2292A244-252D-438D-B090-270A7B508446}"/>
    <cellStyle name="Note 3 12 3" xfId="19660" xr:uid="{6A98AEB9-15C3-400F-9D2D-845EA76E9736}"/>
    <cellStyle name="Note 3 12 3 2" xfId="19661" xr:uid="{AD0DADB7-FF8D-4A51-9437-15E5E61F393B}"/>
    <cellStyle name="Note 3 12 3 3" xfId="19662" xr:uid="{214363C2-D9E4-4BAB-8F71-9F91F95F85A1}"/>
    <cellStyle name="Note 3 12 4" xfId="19663" xr:uid="{E038B5F4-4C85-4366-83B3-23624E6787E2}"/>
    <cellStyle name="Note 3 12 5" xfId="19664" xr:uid="{92E26999-CEBC-4362-BCEC-58C369C1EF92}"/>
    <cellStyle name="Note 3 12 6" xfId="19665" xr:uid="{946ACEAB-553F-4708-B4C8-0045C02614CE}"/>
    <cellStyle name="Note 3 12 7" xfId="19666" xr:uid="{D0B4B870-2E6D-41E2-9835-24609CCECEB4}"/>
    <cellStyle name="Note 3 13" xfId="19667" xr:uid="{FD8637A4-3848-4A09-88AA-D4F23BC70AC8}"/>
    <cellStyle name="Note 3 13 2" xfId="19668" xr:uid="{A01B7BB4-F040-483F-9E91-A1395853BE76}"/>
    <cellStyle name="Note 3 13 2 2" xfId="19669" xr:uid="{32D56473-1C18-43D3-ADBF-34E287C6F1F6}"/>
    <cellStyle name="Note 3 13 2 3" xfId="19670" xr:uid="{57EB62A4-8232-40F7-BC1D-7800A2E7BC79}"/>
    <cellStyle name="Note 3 13 2 4" xfId="19671" xr:uid="{21A594A5-5D4D-4142-9AFF-6A8524C5003D}"/>
    <cellStyle name="Note 3 13 3" xfId="19672" xr:uid="{4060656B-270A-423E-A35E-F819561F818E}"/>
    <cellStyle name="Note 3 13 3 2" xfId="19673" xr:uid="{A2777D82-A97E-4B36-B018-0C63B55DC4EF}"/>
    <cellStyle name="Note 3 13 3 3" xfId="19674" xr:uid="{1C50A0C9-03EF-4EB6-AC38-509F7F550D97}"/>
    <cellStyle name="Note 3 13 4" xfId="19675" xr:uid="{20321D9C-8BF8-47BF-AE7A-D0E729702530}"/>
    <cellStyle name="Note 3 13 5" xfId="19676" xr:uid="{7D7DFAB8-9195-4638-8469-D1CD24C0CA55}"/>
    <cellStyle name="Note 3 13 6" xfId="19677" xr:uid="{231810D0-F281-4789-8D37-7917F9A5BDC3}"/>
    <cellStyle name="Note 3 13 7" xfId="19678" xr:uid="{E0FE5092-E5CD-481C-9B9F-B02B55ECCBD4}"/>
    <cellStyle name="Note 3 14" xfId="19679" xr:uid="{22F233E6-6282-4DDF-A634-D5D5F21B9C43}"/>
    <cellStyle name="Note 3 14 2" xfId="19680" xr:uid="{AFD04F14-24D8-4178-B767-E93E77F033A5}"/>
    <cellStyle name="Note 3 14 3" xfId="19681" xr:uid="{2A72027E-981A-4F88-8008-B41BE88B7596}"/>
    <cellStyle name="Note 3 15" xfId="19682" xr:uid="{C8AD2A45-7A91-4086-8CAA-DCA89148E445}"/>
    <cellStyle name="Note 3 15 2" xfId="19683" xr:uid="{5189B358-5A5E-4605-9E38-22494798A20F}"/>
    <cellStyle name="Note 3 15 3" xfId="19684" xr:uid="{A5CBC9AF-3C8D-4C5A-AF9A-5869002C3C74}"/>
    <cellStyle name="Note 3 16" xfId="19685" xr:uid="{016C8A07-1F81-442E-8AF1-DA8A78FD0D04}"/>
    <cellStyle name="Note 3 17" xfId="19686" xr:uid="{DA7BDB06-0770-47B7-8D17-4622E2D98E60}"/>
    <cellStyle name="Note 3 18" xfId="19687" xr:uid="{E5DAF546-AE40-413B-8E1E-B44217A0056E}"/>
    <cellStyle name="Note 3 19" xfId="19688" xr:uid="{813C8ED7-687A-4EB5-B020-55D0BF6690B8}"/>
    <cellStyle name="Note 3 2" xfId="19689" xr:uid="{7FCE356B-2EA1-49CB-8B0E-8691FC1A7BA7}"/>
    <cellStyle name="Note 3 2 2" xfId="19690" xr:uid="{C3AF5B03-C1E5-4DEC-B512-BFCA321E8CC5}"/>
    <cellStyle name="Note 3 2 2 2" xfId="19691" xr:uid="{721EFBD9-E0A6-429A-A833-E235D34FE5A3}"/>
    <cellStyle name="Note 3 2 2 2 2" xfId="19692" xr:uid="{69F47328-6386-4CC6-AB0E-7FAE16BB014C}"/>
    <cellStyle name="Note 3 2 2 2 3" xfId="19693" xr:uid="{95228A82-9C06-49B3-8CD7-FA2C66ACCDB3}"/>
    <cellStyle name="Note 3 2 2 3" xfId="19694" xr:uid="{5F045B3C-5720-477A-8BF0-10A9AC6A24E5}"/>
    <cellStyle name="Note 3 2 2 3 2" xfId="19695" xr:uid="{58E79CA3-11B5-4A30-BE3C-13E86B2AF81F}"/>
    <cellStyle name="Note 3 2 2 3 3" xfId="19696" xr:uid="{6E736347-8638-4682-B3E0-B12707FF9763}"/>
    <cellStyle name="Note 3 2 2 4" xfId="19697" xr:uid="{909FF3BB-8A5D-40DE-A3DC-251A2243693B}"/>
    <cellStyle name="Note 3 2 2 5" xfId="19698" xr:uid="{88E87F11-1C69-419D-B6DA-EE34358E83E3}"/>
    <cellStyle name="Note 3 2 2 6" xfId="42930" xr:uid="{B37B02E5-0780-4727-BCA3-E5EDFBE4BB4D}"/>
    <cellStyle name="Note 3 2 3" xfId="19699" xr:uid="{4960FC9A-35CD-405C-A154-9DC53039F910}"/>
    <cellStyle name="Note 3 2 3 2" xfId="19700" xr:uid="{10D6C5CD-2044-4745-93FF-2F4B3AE840CF}"/>
    <cellStyle name="Note 3 2 3 3" xfId="19701" xr:uid="{FC738903-2D6A-481F-8143-E10C01FB7F80}"/>
    <cellStyle name="Note 3 2 3 4" xfId="19702" xr:uid="{5C1D7A07-F4DF-4EF8-8231-75127DF8F78F}"/>
    <cellStyle name="Note 3 2 3 5" xfId="19703" xr:uid="{F5292AD8-A718-4E3F-99DC-D144341114AB}"/>
    <cellStyle name="Note 3 2 4" xfId="19704" xr:uid="{9DA9B3DF-A812-40AC-BC28-C048A4534237}"/>
    <cellStyle name="Note 3 2 4 2" xfId="19705" xr:uid="{F3B5AAA7-F5BD-4BB1-A843-3A601E7FEE28}"/>
    <cellStyle name="Note 3 2 4 3" xfId="19706" xr:uid="{C2AC67B2-D0E8-4CCC-96EC-2812A67AD03A}"/>
    <cellStyle name="Note 3 2 5" xfId="19707" xr:uid="{9BA79B67-3CA8-40EC-BD92-5D64BD074F8B}"/>
    <cellStyle name="Note 3 2 6" xfId="19708" xr:uid="{E113FA8B-EA6F-49FB-805C-D1F82C5F11B4}"/>
    <cellStyle name="Note 3 2 7" xfId="19709" xr:uid="{619FFD1E-E4EE-4B5D-ACF3-3A5544A907EE}"/>
    <cellStyle name="Note 3 2 8" xfId="19710" xr:uid="{BAD3F557-B17E-409F-9A86-0B14F5573C09}"/>
    <cellStyle name="Note 3 2 9" xfId="42931" xr:uid="{FA96B4FE-2F50-4FE9-9D3C-0218B855FF3B}"/>
    <cellStyle name="Note 3 2_JE 5 2002.2 FED" xfId="19711" xr:uid="{37BB7B5B-1542-491F-80F8-10D1BF168BAD}"/>
    <cellStyle name="Note 3 20" xfId="19712" xr:uid="{318BB2C4-FA1B-431A-BEDB-C139B0A0E452}"/>
    <cellStyle name="Note 3 21" xfId="42932" xr:uid="{69A27932-92D1-441F-B8DE-61B84E919B62}"/>
    <cellStyle name="Note 3 22" xfId="43524" xr:uid="{6C9675F7-5E61-4C62-9990-EF2A9C9BF99F}"/>
    <cellStyle name="Note 3 23" xfId="43574" xr:uid="{4E999FC7-5104-46AF-8F7C-E8CEC8C92E1C}"/>
    <cellStyle name="Note 3 24" xfId="43576" xr:uid="{5399037F-CD4B-4D85-954E-1D1B708E98DF}"/>
    <cellStyle name="Note 3 25" xfId="43521" xr:uid="{93483D98-655C-4648-9518-BF0263AC4A43}"/>
    <cellStyle name="Note 3 3" xfId="19713" xr:uid="{9EF618BC-A648-4F24-8419-42C069073DFD}"/>
    <cellStyle name="Note 3 3 2" xfId="19714" xr:uid="{B7C62507-D518-49B2-9143-158427765414}"/>
    <cellStyle name="Note 3 3 2 2" xfId="19715" xr:uid="{145F258E-A392-4DB1-91DF-9E6B85D5D4DA}"/>
    <cellStyle name="Note 3 3 2 2 2" xfId="19716" xr:uid="{0DC1467A-1627-4092-8FAF-7D1D4B28C4CF}"/>
    <cellStyle name="Note 3 3 2 2 3" xfId="19717" xr:uid="{C3A4947D-2FB2-40B4-9CB6-C2EB0072C29C}"/>
    <cellStyle name="Note 3 3 2 3" xfId="19718" xr:uid="{1FFAE808-1D42-4107-AF1D-9A5E883E1C3F}"/>
    <cellStyle name="Note 3 3 2 3 2" xfId="19719" xr:uid="{DF613753-6AB9-4983-9789-F69367818947}"/>
    <cellStyle name="Note 3 3 2 3 3" xfId="19720" xr:uid="{D4CA6745-4FAD-46B1-94CD-8E6992FA4A3E}"/>
    <cellStyle name="Note 3 3 2 4" xfId="19721" xr:uid="{A7E9E445-9C23-4C40-9017-A7038501E37C}"/>
    <cellStyle name="Note 3 3 2 5" xfId="19722" xr:uid="{3D65CCB7-DE0D-408A-B51D-5342355B4246}"/>
    <cellStyle name="Note 3 3 2 6" xfId="42933" xr:uid="{2F3EB356-AAB8-4D8D-8A1A-79AFF47BE6FA}"/>
    <cellStyle name="Note 3 3 3" xfId="19723" xr:uid="{575808AE-0F26-4087-9015-3B461AEAE16C}"/>
    <cellStyle name="Note 3 3 3 2" xfId="19724" xr:uid="{9D907C9D-9F94-4F5D-A84E-DD8120A11D3B}"/>
    <cellStyle name="Note 3 3 3 3" xfId="19725" xr:uid="{8F5B6BA0-E5D0-4ED4-A71F-ADE543F40A43}"/>
    <cellStyle name="Note 3 3 3 4" xfId="19726" xr:uid="{8A51DF27-60A9-43DD-98B8-009D2120F6DD}"/>
    <cellStyle name="Note 3 3 3 5" xfId="19727" xr:uid="{42FEDB1A-538E-4B81-8A24-A4E049385A67}"/>
    <cellStyle name="Note 3 3 4" xfId="19728" xr:uid="{B2905299-42A2-4EB3-8929-F9B12AC7EE62}"/>
    <cellStyle name="Note 3 3 4 2" xfId="19729" xr:uid="{3AB54BFF-1E99-41EB-AFBD-C3F097A08CFB}"/>
    <cellStyle name="Note 3 3 4 3" xfId="19730" xr:uid="{8D3CEE45-C6F9-4314-A0CD-FEC846575206}"/>
    <cellStyle name="Note 3 3 5" xfId="19731" xr:uid="{35D7DC79-4E76-48E6-97BD-37BCDE59A17E}"/>
    <cellStyle name="Note 3 3 5 2" xfId="19732" xr:uid="{6CFB6E8D-5749-4043-BE1E-8C623B5096CD}"/>
    <cellStyle name="Note 3 3 6" xfId="19733" xr:uid="{E5B525B0-578F-4436-A985-08F3C1FCA358}"/>
    <cellStyle name="Note 3 3 7" xfId="19734" xr:uid="{76548F7D-0C14-4D6E-90DC-7C26E95DABC5}"/>
    <cellStyle name="Note 3 3 8" xfId="19735" xr:uid="{1E7B6A4C-B94B-40AE-8B23-31D8D172F749}"/>
    <cellStyle name="Note 3 3 9" xfId="42934" xr:uid="{E85207FE-198F-475A-902B-AF6136851030}"/>
    <cellStyle name="Note 3 3_JE 5 2002.2 FED" xfId="19736" xr:uid="{17E8C8E3-D0F6-4A95-8761-978C3091EBBD}"/>
    <cellStyle name="Note 3 4" xfId="19737" xr:uid="{AA2A461C-23C6-4A23-9645-67BBB92CBD00}"/>
    <cellStyle name="Note 3 4 2" xfId="19738" xr:uid="{2AE1E6D7-6FBF-4358-8F30-BC54D3D0E7A8}"/>
    <cellStyle name="Note 3 4 2 2" xfId="19739" xr:uid="{A5EBF4FB-CBD7-47CC-8C71-A4553ED39696}"/>
    <cellStyle name="Note 3 4 2 2 2" xfId="19740" xr:uid="{D0D07FB2-AC95-4766-B994-39E620545EE7}"/>
    <cellStyle name="Note 3 4 2 2 3" xfId="19741" xr:uid="{3DE37C63-A88F-4C7C-ADA7-7C7771E85989}"/>
    <cellStyle name="Note 3 4 2 3" xfId="19742" xr:uid="{124948E8-77B7-4FF7-9C9B-9025BD83751D}"/>
    <cellStyle name="Note 3 4 2 3 2" xfId="19743" xr:uid="{FC601D3C-F116-4F6B-A2DF-0E66A220B516}"/>
    <cellStyle name="Note 3 4 2 3 3" xfId="19744" xr:uid="{66C183D7-DDCE-49A3-B666-7FB8F7271EBE}"/>
    <cellStyle name="Note 3 4 2 4" xfId="19745" xr:uid="{BD9571A8-6977-45B0-BBC1-8F1168D7B9FC}"/>
    <cellStyle name="Note 3 4 2 5" xfId="19746" xr:uid="{00C62B3D-BE22-4C75-B57E-59A457CB5D89}"/>
    <cellStyle name="Note 3 4 3" xfId="19747" xr:uid="{8C712365-2760-4871-9F0E-6F65C9C8A304}"/>
    <cellStyle name="Note 3 4 3 2" xfId="19748" xr:uid="{06986894-2A91-4893-A558-4B182EB47332}"/>
    <cellStyle name="Note 3 4 3 3" xfId="19749" xr:uid="{B26320E5-12BC-4A83-A1C0-49264B05986A}"/>
    <cellStyle name="Note 3 4 3 4" xfId="19750" xr:uid="{FE3E9819-6157-406B-AE9A-3797813E4C87}"/>
    <cellStyle name="Note 3 4 3 5" xfId="19751" xr:uid="{07D0E37C-ED90-4937-81A9-97F0EF9163F3}"/>
    <cellStyle name="Note 3 4 4" xfId="19752" xr:uid="{4C0CF12B-621A-4EF6-8721-757BEB5951D9}"/>
    <cellStyle name="Note 3 4 4 2" xfId="19753" xr:uid="{09943775-2BDF-4408-BCED-B0A8752B6FC9}"/>
    <cellStyle name="Note 3 4 4 3" xfId="19754" xr:uid="{B89C8A87-5495-4094-99A6-345CCEFEB180}"/>
    <cellStyle name="Note 3 4 5" xfId="19755" xr:uid="{7CF62082-CA6D-42AC-BDE8-7A759EE28738}"/>
    <cellStyle name="Note 3 4 6" xfId="19756" xr:uid="{1BA0B0CB-DEC4-4259-B8B9-31D701AE4B15}"/>
    <cellStyle name="Note 3 4 7" xfId="19757" xr:uid="{82E4657B-DD2C-44C0-B578-ECE511B521E6}"/>
    <cellStyle name="Note 3 4 8" xfId="19758" xr:uid="{81F5DAAD-C23C-41C1-A4F8-1E6ED48C02F6}"/>
    <cellStyle name="Note 3 4 9" xfId="42935" xr:uid="{8045DEAD-AEC6-462C-8B88-197F53648C94}"/>
    <cellStyle name="Note 3 4_JE 5 2002.2 FED" xfId="19759" xr:uid="{856C5F99-69C8-486C-8D52-55A3BE527449}"/>
    <cellStyle name="Note 3 5" xfId="19760" xr:uid="{5FEE4639-A877-4981-A76F-A7B9B400624A}"/>
    <cellStyle name="Note 3 5 2" xfId="19761" xr:uid="{4CE69B6E-06CC-49C6-840B-5DD23655E7C1}"/>
    <cellStyle name="Note 3 5 2 2" xfId="19762" xr:uid="{4183C187-F4A3-4E30-BDDF-3E1029AF52E9}"/>
    <cellStyle name="Note 3 5 2 2 2" xfId="19763" xr:uid="{776F0D55-5556-4B6F-9099-04F0078F8288}"/>
    <cellStyle name="Note 3 5 2 2 3" xfId="19764" xr:uid="{4E9C1D06-A76A-4782-8DB0-09281CE546F9}"/>
    <cellStyle name="Note 3 5 2 3" xfId="19765" xr:uid="{59864A28-452D-4D51-9485-C94522C01F7E}"/>
    <cellStyle name="Note 3 5 2 3 2" xfId="19766" xr:uid="{0C3FD6E0-5570-4B60-B903-3823C1943D47}"/>
    <cellStyle name="Note 3 5 2 3 3" xfId="19767" xr:uid="{C5F228F6-4895-4AAE-B80C-18CF06E26978}"/>
    <cellStyle name="Note 3 5 2 4" xfId="19768" xr:uid="{ED074C10-E51D-408F-BCA7-9C7261D4AABD}"/>
    <cellStyle name="Note 3 5 2 5" xfId="19769" xr:uid="{4CAD22BF-D753-4ED3-8D0B-BC6A75D07206}"/>
    <cellStyle name="Note 3 5 3" xfId="19770" xr:uid="{D12B2D5A-412C-45F3-B932-81BDCF981024}"/>
    <cellStyle name="Note 3 5 3 2" xfId="19771" xr:uid="{5FB92F40-4AF0-416F-9428-B9A82BFE270B}"/>
    <cellStyle name="Note 3 5 3 3" xfId="19772" xr:uid="{4CE1267F-D239-4734-A208-15E43A51CCD2}"/>
    <cellStyle name="Note 3 5 3 4" xfId="19773" xr:uid="{F610E4F4-93F0-49AA-AE5F-D6C105509665}"/>
    <cellStyle name="Note 3 5 3 5" xfId="19774" xr:uid="{8C5A137C-E622-4A51-8FAA-278CEE150FFA}"/>
    <cellStyle name="Note 3 5 4" xfId="19775" xr:uid="{01654D53-6B5A-4029-A0E7-B4C7DFB62811}"/>
    <cellStyle name="Note 3 5 4 2" xfId="19776" xr:uid="{A2575C45-73E9-4384-8181-93409B8100A1}"/>
    <cellStyle name="Note 3 5 4 3" xfId="19777" xr:uid="{7B4617FF-B155-44FA-AAB5-AF6DFD659FD8}"/>
    <cellStyle name="Note 3 5 5" xfId="19778" xr:uid="{D60278BB-33D3-4B9F-BB1F-5C31632FE1E5}"/>
    <cellStyle name="Note 3 5 6" xfId="19779" xr:uid="{23390170-FDD6-462C-A652-925EE532233C}"/>
    <cellStyle name="Note 3 5 7" xfId="19780" xr:uid="{A156A45B-F451-46EE-B716-2D12C1ECCE3E}"/>
    <cellStyle name="Note 3 5 8" xfId="19781" xr:uid="{B62FF626-D61E-43AC-9074-0EB3BA402ADD}"/>
    <cellStyle name="Note 3 5 9" xfId="42936" xr:uid="{B5005AB7-9B1D-4B2C-8DC3-E49E59E5EDB2}"/>
    <cellStyle name="Note 3 5_JE 5 2002.2 FED" xfId="19782" xr:uid="{38AB669C-E6C0-4B78-83A4-115FFCDEABCF}"/>
    <cellStyle name="Note 3 6" xfId="19783" xr:uid="{6918A584-2B10-49BE-A3AF-8C57428304A5}"/>
    <cellStyle name="Note 3 6 2" xfId="19784" xr:uid="{36EBB7D5-B1F8-435F-9E6E-D248340EA00F}"/>
    <cellStyle name="Note 3 6 2 2" xfId="19785" xr:uid="{DFB657BD-8DA0-4EE0-B642-892E7E024977}"/>
    <cellStyle name="Note 3 6 2 2 2" xfId="19786" xr:uid="{E99D90F3-07CF-4C21-A467-3012EE10644D}"/>
    <cellStyle name="Note 3 6 2 2 3" xfId="19787" xr:uid="{19EF27A1-ABA7-49F1-971A-B298495C199D}"/>
    <cellStyle name="Note 3 6 2 3" xfId="19788" xr:uid="{0A3E533C-CF65-4ABF-9842-38718AAFA5E6}"/>
    <cellStyle name="Note 3 6 2 3 2" xfId="19789" xr:uid="{7C0BC742-B870-4242-827B-DDD775DA03E8}"/>
    <cellStyle name="Note 3 6 2 3 3" xfId="19790" xr:uid="{08CA692C-7BD8-4F81-85AA-59E9E3A95C09}"/>
    <cellStyle name="Note 3 6 2 4" xfId="19791" xr:uid="{A5BB78A8-3DCC-4EA9-A7D8-0EA0D18D264E}"/>
    <cellStyle name="Note 3 6 2 5" xfId="19792" xr:uid="{474916EA-26B1-430D-887E-2BA6C569D417}"/>
    <cellStyle name="Note 3 6 3" xfId="19793" xr:uid="{03697C9E-EB72-4213-9414-CCB2536648FD}"/>
    <cellStyle name="Note 3 6 3 2" xfId="19794" xr:uid="{3F35A329-F991-450C-AB43-E9B0F5F4AB8A}"/>
    <cellStyle name="Note 3 6 3 3" xfId="19795" xr:uid="{20A84F8F-EF0B-4C83-98FC-E71E5BFBA894}"/>
    <cellStyle name="Note 3 6 3 4" xfId="19796" xr:uid="{3EFA112E-5B9C-44CF-9957-0314E91E12C1}"/>
    <cellStyle name="Note 3 6 3 5" xfId="19797" xr:uid="{B68E2248-F340-4565-956B-77DA6AD52E5A}"/>
    <cellStyle name="Note 3 6 4" xfId="19798" xr:uid="{0017EDBB-7BE0-4D3B-93E9-E3F3E3131B22}"/>
    <cellStyle name="Note 3 6 4 2" xfId="19799" xr:uid="{34AEBE04-6B1E-479E-8BE8-1EBA6632690F}"/>
    <cellStyle name="Note 3 6 4 3" xfId="19800" xr:uid="{7B220BFF-3284-403F-AA73-D603CC852F69}"/>
    <cellStyle name="Note 3 6 5" xfId="19801" xr:uid="{95D040E7-4795-4999-A83D-577BBC1C16B4}"/>
    <cellStyle name="Note 3 6 6" xfId="19802" xr:uid="{BA9E580D-CD8F-49FF-B83E-5FC3F35650A4}"/>
    <cellStyle name="Note 3 6 7" xfId="19803" xr:uid="{574C659C-AFDC-40DD-BD8E-D1A6B4E44A64}"/>
    <cellStyle name="Note 3 6 8" xfId="19804" xr:uid="{1FC64D69-682B-4BAC-9EDF-33723748240C}"/>
    <cellStyle name="Note 3 6 9" xfId="42937" xr:uid="{36738480-2B65-4702-951A-79EDB90B65EF}"/>
    <cellStyle name="Note 3 6_JE 5 2002.2 FED" xfId="19805" xr:uid="{D2A024D0-8A84-4FB1-96AB-07792E2A9FAE}"/>
    <cellStyle name="Note 3 7" xfId="19806" xr:uid="{7F26FFD7-A2D7-462E-86D5-6821A836FB04}"/>
    <cellStyle name="Note 3 7 2" xfId="19807" xr:uid="{0ED3CD92-A4C6-4559-8DCD-D7C8942E32CC}"/>
    <cellStyle name="Note 3 7 2 2" xfId="19808" xr:uid="{8A14EF01-65CA-41BF-85E0-A9E4CBD98283}"/>
    <cellStyle name="Note 3 7 2 2 2" xfId="19809" xr:uid="{06C74212-A57A-42C6-8C9C-50FCBFF2739F}"/>
    <cellStyle name="Note 3 7 2 2 3" xfId="19810" xr:uid="{5B7CFE6C-1B90-47EA-B785-9ADB92FA7C36}"/>
    <cellStyle name="Note 3 7 2 3" xfId="19811" xr:uid="{B12621B9-78C9-4E42-BBF8-95D9A4489504}"/>
    <cellStyle name="Note 3 7 2 3 2" xfId="19812" xr:uid="{116D137B-A4AB-4A78-B60B-7ADE2D716A83}"/>
    <cellStyle name="Note 3 7 2 3 3" xfId="19813" xr:uid="{44246603-BFB0-4FBA-A685-E7235AED4B18}"/>
    <cellStyle name="Note 3 7 2 4" xfId="19814" xr:uid="{041E117F-52E8-4077-BA2B-2BF18AAC8B21}"/>
    <cellStyle name="Note 3 7 2 5" xfId="19815" xr:uid="{45876785-43B4-42B6-90CC-19588B74F67A}"/>
    <cellStyle name="Note 3 7 3" xfId="19816" xr:uid="{1F4C3713-3CAF-473E-96CA-89E9A17EBA6F}"/>
    <cellStyle name="Note 3 7 3 2" xfId="19817" xr:uid="{136AD806-2372-4EC5-8F12-3306B8E3E62E}"/>
    <cellStyle name="Note 3 7 3 3" xfId="19818" xr:uid="{39BE22CB-101B-459E-A571-E934EA06BAF6}"/>
    <cellStyle name="Note 3 7 3 4" xfId="19819" xr:uid="{586861CB-7003-4076-9740-040E0D329FAB}"/>
    <cellStyle name="Note 3 7 3 5" xfId="19820" xr:uid="{8AB5492E-58A8-40FB-9ED0-EF38AEB7E792}"/>
    <cellStyle name="Note 3 7 4" xfId="19821" xr:uid="{258424EB-EF4A-4F07-8566-8C9394813FF2}"/>
    <cellStyle name="Note 3 7 4 2" xfId="19822" xr:uid="{4C549963-6222-41F2-992B-309C5E7EBFE7}"/>
    <cellStyle name="Note 3 7 4 3" xfId="19823" xr:uid="{F73BAF84-C9D7-42ED-834C-27E28E4180DA}"/>
    <cellStyle name="Note 3 7 5" xfId="19824" xr:uid="{1801285F-6A34-4C6C-B6A0-2892DB89F552}"/>
    <cellStyle name="Note 3 7 6" xfId="19825" xr:uid="{0683FBE1-CE70-4026-A5CA-5C79472C1557}"/>
    <cellStyle name="Note 3 7 7" xfId="19826" xr:uid="{3300A44C-69F5-4A84-85BA-76625CE184C1}"/>
    <cellStyle name="Note 3 7 8" xfId="19827" xr:uid="{8340E450-F46A-48D3-B4C2-BB6FD86C2D7A}"/>
    <cellStyle name="Note 3 7_JE 5 2002.2 FED" xfId="19828" xr:uid="{45D07340-E20A-45B7-BD3F-971F17BB0FD2}"/>
    <cellStyle name="Note 3 8" xfId="19829" xr:uid="{B60298A0-9A30-4193-B590-3FC5CC427807}"/>
    <cellStyle name="Note 3 8 2" xfId="19830" xr:uid="{51E7DD9D-8D9D-4250-A7E3-1E3FA5931ED8}"/>
    <cellStyle name="Note 3 8 2 2" xfId="19831" xr:uid="{9E79D997-CC4D-4FC2-99E6-E5ADCB6FCC21}"/>
    <cellStyle name="Note 3 8 2 2 2" xfId="19832" xr:uid="{B24DE19F-A078-4E98-AB4D-623C65331BE4}"/>
    <cellStyle name="Note 3 8 2 2 3" xfId="19833" xr:uid="{00F86BD4-FA23-44FB-BD02-5C158AB89469}"/>
    <cellStyle name="Note 3 8 2 3" xfId="19834" xr:uid="{AFB1E6CA-4017-4963-8070-D895E21B6F49}"/>
    <cellStyle name="Note 3 8 2 3 2" xfId="19835" xr:uid="{FDD887F0-9AF2-4034-807A-64D5F47A29FF}"/>
    <cellStyle name="Note 3 8 2 3 3" xfId="19836" xr:uid="{DD2A8888-54AC-4D74-8EF1-E84A88AA3994}"/>
    <cellStyle name="Note 3 8 2 4" xfId="19837" xr:uid="{6DA31BE4-4CAE-4039-AA4D-8A7CB0D113CB}"/>
    <cellStyle name="Note 3 8 2 5" xfId="19838" xr:uid="{E56FA5B0-FE7B-44CD-8C44-E497CCC8F95B}"/>
    <cellStyle name="Note 3 8 3" xfId="19839" xr:uid="{46CDC525-5AF4-484E-B047-4831A6CD904F}"/>
    <cellStyle name="Note 3 8 3 2" xfId="19840" xr:uid="{30803337-948D-417C-A698-ADD416337D0C}"/>
    <cellStyle name="Note 3 8 3 3" xfId="19841" xr:uid="{DB6F43C2-A013-4CD5-8959-A3E2DDF341F3}"/>
    <cellStyle name="Note 3 8 3 4" xfId="19842" xr:uid="{2B1B579E-5444-44C8-9F76-583828E6058A}"/>
    <cellStyle name="Note 3 8 3 5" xfId="19843" xr:uid="{CD108B12-F50B-4022-8022-3A4F0E0FBFE7}"/>
    <cellStyle name="Note 3 8 4" xfId="19844" xr:uid="{7C4E13FC-6B01-4DDF-9D58-229BA4CF3FBF}"/>
    <cellStyle name="Note 3 8 4 2" xfId="19845" xr:uid="{0E9CA747-10FA-4DFE-825A-C1F60AC671DD}"/>
    <cellStyle name="Note 3 8 4 3" xfId="19846" xr:uid="{817B1135-CB40-487D-B8ED-6D8A71DB4AD2}"/>
    <cellStyle name="Note 3 8 5" xfId="19847" xr:uid="{623903A1-12D1-468C-B9ED-C24D04844D49}"/>
    <cellStyle name="Note 3 8 6" xfId="19848" xr:uid="{10577583-0215-4B52-8287-2902E3F954FA}"/>
    <cellStyle name="Note 3 8 7" xfId="19849" xr:uid="{D33FE682-3217-4626-B85A-312CD0FA0EF7}"/>
    <cellStyle name="Note 3 8 8" xfId="19850" xr:uid="{480896F4-8208-4F8A-933D-68033A0A802D}"/>
    <cellStyle name="Note 3 8_JE 5 2002.2 FED" xfId="19851" xr:uid="{4148774D-E252-4868-91C7-38A6748FB183}"/>
    <cellStyle name="Note 3 9" xfId="19852" xr:uid="{4A14169B-9DB8-4B4D-8D42-FD3ED8A7AAF4}"/>
    <cellStyle name="Note 3 9 2" xfId="19853" xr:uid="{21809213-8DC0-4D38-A7F7-C39D36CA930B}"/>
    <cellStyle name="Note 3 9 2 2" xfId="19854" xr:uid="{3AB57343-895E-40F8-B067-BD34031E8576}"/>
    <cellStyle name="Note 3 9 2 2 2" xfId="19855" xr:uid="{07C4109F-6B13-4E35-AF3A-0B60C5911F15}"/>
    <cellStyle name="Note 3 9 2 2 3" xfId="19856" xr:uid="{7FDD9040-A4F3-4FD2-A25F-85B346F16299}"/>
    <cellStyle name="Note 3 9 2 3" xfId="19857" xr:uid="{81A70244-5A5B-4F04-8C11-72D080D6BACB}"/>
    <cellStyle name="Note 3 9 2 3 2" xfId="19858" xr:uid="{4FEACF8C-77BE-4388-8E0C-EE9FAB018336}"/>
    <cellStyle name="Note 3 9 2 3 3" xfId="19859" xr:uid="{E00F378D-3BE4-4A9E-BC63-BAD38B360804}"/>
    <cellStyle name="Note 3 9 2 4" xfId="19860" xr:uid="{DCABD573-F771-4FC3-8A37-2B88C25A5438}"/>
    <cellStyle name="Note 3 9 2 5" xfId="19861" xr:uid="{F111D588-0329-41AE-A9D3-6830D4BCA64D}"/>
    <cellStyle name="Note 3 9 3" xfId="19862" xr:uid="{C75AEEFF-C6D2-4A25-8C67-BE75B1C799AA}"/>
    <cellStyle name="Note 3 9 3 2" xfId="19863" xr:uid="{048DB8E7-16AC-4D56-A7C2-EA93C3BA74BE}"/>
    <cellStyle name="Note 3 9 3 3" xfId="19864" xr:uid="{A2AB7AB3-C9B3-4C4B-ABEB-9FE3DD59BBC9}"/>
    <cellStyle name="Note 3 9 3 4" xfId="19865" xr:uid="{D8D46678-71AE-4F11-9188-EAE14B8FC3AF}"/>
    <cellStyle name="Note 3 9 3 5" xfId="19866" xr:uid="{8452243F-A8E2-4F2D-B30B-22E93C0F2A7D}"/>
    <cellStyle name="Note 3 9 4" xfId="19867" xr:uid="{90818475-DCBB-4969-8416-29F9EDFD2B94}"/>
    <cellStyle name="Note 3 9 4 2" xfId="19868" xr:uid="{13C8FBEE-B745-41C5-B0A9-B5E557F79C43}"/>
    <cellStyle name="Note 3 9 4 3" xfId="19869" xr:uid="{F519CFA3-1CFD-46C3-986E-C57294DE71B3}"/>
    <cellStyle name="Note 3 9 5" xfId="19870" xr:uid="{58CB1A67-9634-47BB-923A-2FA92E7CEBBB}"/>
    <cellStyle name="Note 3 9 6" xfId="19871" xr:uid="{64B3EA24-1374-4C28-82B8-206495918C96}"/>
    <cellStyle name="Note 3 9 7" xfId="19872" xr:uid="{A1845F79-029B-435F-9415-3AC9BF2D9F43}"/>
    <cellStyle name="Note 3 9_JE 5 2002.2 FED" xfId="19873" xr:uid="{499F9797-6340-4969-A34B-6C173136BEB7}"/>
    <cellStyle name="Note 3_JE 5 2002.2 FED" xfId="19874" xr:uid="{197874EF-C28D-4690-82DE-6D0AE0A307B6}"/>
    <cellStyle name="Note 30" xfId="19875" xr:uid="{E73B7C97-B1B1-4FFB-9A6A-5634EE594A5C}"/>
    <cellStyle name="Note 30 2" xfId="19876" xr:uid="{B74AF1D3-D8DA-43F0-B83D-3AAF91481BB0}"/>
    <cellStyle name="Note 30 2 2" xfId="19877" xr:uid="{9325A233-134C-4A7A-B2FA-6C1EA559EAD7}"/>
    <cellStyle name="Note 30 2 3" xfId="19878" xr:uid="{B9695449-8CA2-466E-A454-7DA2118A1EF5}"/>
    <cellStyle name="Note 30 2 4" xfId="19879" xr:uid="{489EE7CA-B7C4-4D31-872A-866533B4CEDA}"/>
    <cellStyle name="Note 30 3" xfId="19880" xr:uid="{B1CC1E99-A514-4CDD-9C5A-676F6C38299A}"/>
    <cellStyle name="Note 30 3 2" xfId="19881" xr:uid="{2130D1DA-B887-4BB9-B003-BDA7FCF53A84}"/>
    <cellStyle name="Note 30 3 3" xfId="19882" xr:uid="{0C90E1E2-35B0-4179-92FF-065ECE22064B}"/>
    <cellStyle name="Note 30 4" xfId="19883" xr:uid="{0B3D159E-2033-4E2C-8C4E-2DB1274B158D}"/>
    <cellStyle name="Note 30 5" xfId="19884" xr:uid="{67C8E635-CE20-4348-938D-C513C98AA199}"/>
    <cellStyle name="Note 30 6" xfId="19885" xr:uid="{C4E8BEBF-3B02-4E45-9A1E-5B36A19FE26F}"/>
    <cellStyle name="Note 30 7" xfId="19886" xr:uid="{46904E8F-1BEB-4332-9A24-B110A89FBBD4}"/>
    <cellStyle name="Note 31" xfId="19887" xr:uid="{AB427A1E-E4A7-4956-B3A0-15B5BA668321}"/>
    <cellStyle name="Note 31 2" xfId="19888" xr:uid="{D52CAFC9-5508-49CF-9E00-780687AB0975}"/>
    <cellStyle name="Note 31 2 2" xfId="19889" xr:uid="{19A59FB6-9110-4007-999C-6D78DB167CA4}"/>
    <cellStyle name="Note 31 2 3" xfId="19890" xr:uid="{3AB2559D-3783-4729-ADE8-678218859123}"/>
    <cellStyle name="Note 31 2 4" xfId="19891" xr:uid="{8E8E17E0-C97B-4E3F-AAE8-E2AF30B3BA67}"/>
    <cellStyle name="Note 31 3" xfId="19892" xr:uid="{99ECB64D-3039-4E2F-A153-AAE23C911C9E}"/>
    <cellStyle name="Note 31 3 2" xfId="19893" xr:uid="{5BB2D383-A836-4B9F-A3F7-45EB6D27D3C5}"/>
    <cellStyle name="Note 31 3 3" xfId="19894" xr:uid="{AF68ACE4-2268-4148-809E-E7570088B19C}"/>
    <cellStyle name="Note 31 4" xfId="19895" xr:uid="{3F186AB0-745E-436E-8E5A-2D3124DBC6E5}"/>
    <cellStyle name="Note 31 5" xfId="19896" xr:uid="{DDCA953F-8510-4492-B83E-87E7E0CBAEFF}"/>
    <cellStyle name="Note 31 6" xfId="19897" xr:uid="{8AFC3D9D-328C-427A-957A-0A125A8BACBF}"/>
    <cellStyle name="Note 31 7" xfId="19898" xr:uid="{01682809-5E0E-4F8C-936C-E5393CA30599}"/>
    <cellStyle name="Note 32" xfId="19899" xr:uid="{F730AB6D-B974-4DDB-AC0E-0A0D0BEDFFF3}"/>
    <cellStyle name="Note 32 2" xfId="19900" xr:uid="{27A6AED5-DFB0-46D6-8D01-D0502CA630E0}"/>
    <cellStyle name="Note 32 2 2" xfId="19901" xr:uid="{1A47F7D9-2B94-43A1-8154-BB760EF5531C}"/>
    <cellStyle name="Note 32 2 3" xfId="19902" xr:uid="{17C6DB68-7158-4CFC-BEF3-4A427D195D0C}"/>
    <cellStyle name="Note 32 2 4" xfId="19903" xr:uid="{03A53534-5C23-4C05-987A-63D2D7E80EB3}"/>
    <cellStyle name="Note 32 3" xfId="19904" xr:uid="{C412AFB7-EF48-4AE9-B633-CC5811E1B80B}"/>
    <cellStyle name="Note 32 3 2" xfId="19905" xr:uid="{320EF896-F0B2-4573-AFB2-A631D1328CA7}"/>
    <cellStyle name="Note 32 3 3" xfId="19906" xr:uid="{EC646A07-E428-4CB5-BE2E-59CC0760512C}"/>
    <cellStyle name="Note 32 4" xfId="19907" xr:uid="{03756675-1895-46AA-A114-E2C1BEB68020}"/>
    <cellStyle name="Note 32 5" xfId="19908" xr:uid="{83E2DEC6-104E-4566-8B97-C6B7BB11DE3F}"/>
    <cellStyle name="Note 32 6" xfId="19909" xr:uid="{B2F41A5E-613C-4A3B-92EF-C455AF0DF0D1}"/>
    <cellStyle name="Note 32 7" xfId="19910" xr:uid="{A003688A-C517-497C-83FC-7254CD8BADEA}"/>
    <cellStyle name="Note 33" xfId="19911" xr:uid="{AD8EE71F-4305-4683-B491-EE4F4D7757DC}"/>
    <cellStyle name="Note 33 2" xfId="19912" xr:uid="{495A9A93-9CBD-4DF0-9754-084E21E2632D}"/>
    <cellStyle name="Note 33 2 2" xfId="19913" xr:uid="{98986F71-2163-4297-B7BF-B178EA659FE1}"/>
    <cellStyle name="Note 33 2 3" xfId="19914" xr:uid="{98EB5A72-9902-4A46-AA83-F294326C3CDD}"/>
    <cellStyle name="Note 33 2 4" xfId="19915" xr:uid="{E2852940-C2D2-4708-87E9-48F250428D7A}"/>
    <cellStyle name="Note 33 3" xfId="19916" xr:uid="{0DEDE129-33D6-4AE7-8AD4-88ED8DC7CCA6}"/>
    <cellStyle name="Note 33 3 2" xfId="19917" xr:uid="{AE7A55DC-C655-4CCC-8031-DA5015002093}"/>
    <cellStyle name="Note 33 3 3" xfId="19918" xr:uid="{85F68EA4-66EF-4321-89F9-26262F4DF185}"/>
    <cellStyle name="Note 33 4" xfId="19919" xr:uid="{7500C29B-9338-4752-BAC7-99BD1EF2DF7F}"/>
    <cellStyle name="Note 33 5" xfId="19920" xr:uid="{36EA382C-7FE8-4D15-80B9-A46E928CB575}"/>
    <cellStyle name="Note 33 6" xfId="19921" xr:uid="{A20F886E-14D9-4ECA-AF9E-3A42943558B7}"/>
    <cellStyle name="Note 33 7" xfId="19922" xr:uid="{5A760AF3-F53F-46A5-8E8D-8761491ABF3F}"/>
    <cellStyle name="Note 34" xfId="19923" xr:uid="{38A43881-078C-4F08-867F-B692E2F5B304}"/>
    <cellStyle name="Note 34 2" xfId="19924" xr:uid="{84776602-56D0-4D69-B09A-B642B5ABA5FF}"/>
    <cellStyle name="Note 34 2 2" xfId="19925" xr:uid="{3733D723-1339-4D2A-867E-C3ADB6F778E0}"/>
    <cellStyle name="Note 34 2 3" xfId="19926" xr:uid="{020B773F-3165-4846-A5DE-C5892A72F6F1}"/>
    <cellStyle name="Note 34 2 4" xfId="19927" xr:uid="{7BCE7E91-4E83-43E8-AF3C-137416DADD34}"/>
    <cellStyle name="Note 34 3" xfId="19928" xr:uid="{A51001FD-8F8B-4003-B9D3-A581E0E5BDA2}"/>
    <cellStyle name="Note 34 3 2" xfId="19929" xr:uid="{3E2D6D45-DB41-4ED7-B94B-3C55D081EC95}"/>
    <cellStyle name="Note 34 3 3" xfId="19930" xr:uid="{D2A75E18-5C57-418B-B1CB-AC0DEB458993}"/>
    <cellStyle name="Note 34 4" xfId="19931" xr:uid="{CC0C84E4-EDF3-462C-99AB-7C40F620B9CE}"/>
    <cellStyle name="Note 34 5" xfId="19932" xr:uid="{58524475-ACA2-4F6A-9A19-B31769DA1363}"/>
    <cellStyle name="Note 34 6" xfId="19933" xr:uid="{C32977CE-CDD8-4CF0-A098-9AF446C4E29E}"/>
    <cellStyle name="Note 34 7" xfId="19934" xr:uid="{2A00ECE5-AB62-4EE3-A60D-75B460A8549A}"/>
    <cellStyle name="Note 35" xfId="19935" xr:uid="{FDAAA1E9-143B-46EF-9575-2564CAFBCDA1}"/>
    <cellStyle name="Note 35 2" xfId="19936" xr:uid="{B3CD9310-4937-4A24-8586-BAD218118924}"/>
    <cellStyle name="Note 35 2 2" xfId="19937" xr:uid="{F0186D85-22DE-4CF2-B484-FB2EE141CE09}"/>
    <cellStyle name="Note 35 2 3" xfId="19938" xr:uid="{358838CD-853B-4C89-B07F-CBFA84F957C9}"/>
    <cellStyle name="Note 35 2 4" xfId="19939" xr:uid="{E16BF61C-C078-4D39-9316-7EFD2ED62C98}"/>
    <cellStyle name="Note 35 3" xfId="19940" xr:uid="{227CA869-2782-43CD-85A8-14A0F0BFB9A1}"/>
    <cellStyle name="Note 35 3 2" xfId="19941" xr:uid="{DB896327-BA61-401B-A920-B3F3129DBA79}"/>
    <cellStyle name="Note 35 3 3" xfId="19942" xr:uid="{3B0DEB14-6E43-4189-9573-8F9051FFAA9F}"/>
    <cellStyle name="Note 35 4" xfId="19943" xr:uid="{E1A8F5C2-86D0-4B1D-9676-CF82CEEB8C02}"/>
    <cellStyle name="Note 35 5" xfId="19944" xr:uid="{02610C8B-820A-4FD5-8B4E-D08D3F81A2B5}"/>
    <cellStyle name="Note 35 6" xfId="19945" xr:uid="{0DD30AE6-6609-49A2-B6FD-523605F5F50F}"/>
    <cellStyle name="Note 35 7" xfId="19946" xr:uid="{AD91797E-7C18-4C57-AA11-E3D58B316960}"/>
    <cellStyle name="Note 36" xfId="19947" xr:uid="{3577325B-5A22-4DB5-B3E8-2A6CB2578C0F}"/>
    <cellStyle name="Note 36 10" xfId="19948" xr:uid="{5FF55C68-90FD-4817-B25F-AC2BCF66E95F}"/>
    <cellStyle name="Note 36 11" xfId="19949" xr:uid="{A3313B8F-1B69-4F24-87CA-CFF2BF851367}"/>
    <cellStyle name="Note 36 12" xfId="19950" xr:uid="{BEEFB626-6C64-4ACC-A40D-8DF6C25894E4}"/>
    <cellStyle name="Note 36 2" xfId="19951" xr:uid="{EA8F2DC7-3F47-485E-A956-200C202314DA}"/>
    <cellStyle name="Note 36 2 2" xfId="19952" xr:uid="{3452731B-AE23-4545-8B31-754C4FB51AA8}"/>
    <cellStyle name="Note 36 2 2 2" xfId="19953" xr:uid="{1D86FBA6-D006-4456-8691-D73FB22FE228}"/>
    <cellStyle name="Note 36 2 2 3" xfId="19954" xr:uid="{65E7CD5E-D7E4-4EDC-B60D-E51BBB2F376D}"/>
    <cellStyle name="Note 36 2 3" xfId="19955" xr:uid="{4F72FCC5-6A01-41E6-B500-AB8C9737A5ED}"/>
    <cellStyle name="Note 36 2 4" xfId="19956" xr:uid="{85647A9F-76BF-4B3A-AFAD-9932138B5E26}"/>
    <cellStyle name="Note 36 2 5" xfId="19957" xr:uid="{B6BA75B4-68AE-4EFA-A494-EDD59E680349}"/>
    <cellStyle name="Note 36 2 6" xfId="19958" xr:uid="{5B2F615C-2E84-4AF3-AEFC-41E588F23786}"/>
    <cellStyle name="Note 36 3" xfId="19959" xr:uid="{EFC370A4-D77F-451A-B09B-3C77C88AC0D1}"/>
    <cellStyle name="Note 36 3 2" xfId="19960" xr:uid="{700C9B8B-8E74-4B5F-88C0-6F3D2F6F06E7}"/>
    <cellStyle name="Note 36 3 2 2" xfId="19961" xr:uid="{F0069AAC-D288-4759-90EB-EEA580E47D36}"/>
    <cellStyle name="Note 36 3 2 3" xfId="19962" xr:uid="{237ACEE4-69ED-40C0-B963-49A06CC94CFE}"/>
    <cellStyle name="Note 36 3 3" xfId="19963" xr:uid="{F90B20A7-28E1-428E-B17A-67E464E9B94A}"/>
    <cellStyle name="Note 36 3 4" xfId="19964" xr:uid="{1A6E88BB-4B79-4C52-86D3-D589897BB40D}"/>
    <cellStyle name="Note 36 3 5" xfId="19965" xr:uid="{73DFA931-2ED0-4D77-8EDD-9CA25C02232C}"/>
    <cellStyle name="Note 36 3 6" xfId="19966" xr:uid="{882410EC-C2CA-4DE3-B20F-F72DCCC0BFEE}"/>
    <cellStyle name="Note 36 4" xfId="19967" xr:uid="{26B6090E-6210-4BE3-8302-4A2AD0A8CC09}"/>
    <cellStyle name="Note 36 4 2" xfId="19968" xr:uid="{179822A4-2979-4113-BECE-73A949E7B1A9}"/>
    <cellStyle name="Note 36 4 2 2" xfId="19969" xr:uid="{BBE2B2DC-AF5F-4C3C-B805-BF81EC3279F3}"/>
    <cellStyle name="Note 36 4 2 3" xfId="19970" xr:uid="{606B2C5C-5EF6-4A51-8E45-F4D86CBE3041}"/>
    <cellStyle name="Note 36 4 3" xfId="19971" xr:uid="{198B39D4-07FB-44DA-BA21-EC7D1F1F2B8D}"/>
    <cellStyle name="Note 36 4 4" xfId="19972" xr:uid="{206C3967-9C49-4EF1-8BE9-2C0BB9751DE5}"/>
    <cellStyle name="Note 36 4 5" xfId="19973" xr:uid="{DD34C681-8A82-430B-A374-95849146DA6D}"/>
    <cellStyle name="Note 36 4 6" xfId="19974" xr:uid="{28455838-63D2-4293-B848-6A313C89BBCB}"/>
    <cellStyle name="Note 36 5" xfId="19975" xr:uid="{EBCBC164-924F-41E6-A9F1-131833A5A615}"/>
    <cellStyle name="Note 36 5 2" xfId="19976" xr:uid="{34950954-8FD3-46EE-B170-8952FD847991}"/>
    <cellStyle name="Note 36 5 2 2" xfId="19977" xr:uid="{252FA6A1-1CFA-45BC-A352-89AD1A091A67}"/>
    <cellStyle name="Note 36 5 2 3" xfId="19978" xr:uid="{986FD9C2-8720-40A5-A2A6-37D30757F5F8}"/>
    <cellStyle name="Note 36 5 3" xfId="19979" xr:uid="{08A26892-E3ED-4255-933A-2D37BEB30D5D}"/>
    <cellStyle name="Note 36 5 4" xfId="19980" xr:uid="{9CB0C649-A89D-426F-A0D3-79F5BA2728E9}"/>
    <cellStyle name="Note 36 5 5" xfId="19981" xr:uid="{DAE340DD-09EC-42C8-AD55-3DB88B2CCA85}"/>
    <cellStyle name="Note 36 5 6" xfId="19982" xr:uid="{AF53863A-5949-4DF0-80B7-63C6120CF1F6}"/>
    <cellStyle name="Note 36 6" xfId="19983" xr:uid="{122F6874-3497-493E-854C-12E9DEEB5414}"/>
    <cellStyle name="Note 36 6 2" xfId="19984" xr:uid="{2AB7C6BC-04A8-4822-91B5-BFEC68146E82}"/>
    <cellStyle name="Note 36 6 2 2" xfId="19985" xr:uid="{FDC92185-F337-437E-8930-76964189D5D7}"/>
    <cellStyle name="Note 36 6 2 3" xfId="19986" xr:uid="{9F14E8C5-CA74-463E-8B96-4AC887812DA3}"/>
    <cellStyle name="Note 36 6 3" xfId="19987" xr:uid="{F4F0FE6D-9886-4824-8747-23572AC0E2D2}"/>
    <cellStyle name="Note 36 6 4" xfId="19988" xr:uid="{AC9F1696-8EC2-4F24-A9D6-338FDF4856F7}"/>
    <cellStyle name="Note 36 6 5" xfId="19989" xr:uid="{59C719D6-3215-4FDF-9A69-FC20D481B87E}"/>
    <cellStyle name="Note 36 6 6" xfId="19990" xr:uid="{8B841B29-38B2-42C9-8F18-934C90FB9564}"/>
    <cellStyle name="Note 36 7" xfId="19991" xr:uid="{964F0A7E-FC02-428B-A4EE-D96647B6EC01}"/>
    <cellStyle name="Note 36 7 2" xfId="19992" xr:uid="{4D312898-EE36-40DD-BD97-BE1E32836A64}"/>
    <cellStyle name="Note 36 7 2 2" xfId="19993" xr:uid="{2D5E0B43-A2CA-48BD-971C-F420061CE34C}"/>
    <cellStyle name="Note 36 7 2 3" xfId="19994" xr:uid="{EAB1A8F6-A729-405F-AC18-037B78671450}"/>
    <cellStyle name="Note 36 7 3" xfId="19995" xr:uid="{11FDCF31-98CC-4EC6-AC01-C4CC2EAFD96C}"/>
    <cellStyle name="Note 36 7 4" xfId="19996" xr:uid="{767EDDCD-4E02-4334-9C25-768841B2255C}"/>
    <cellStyle name="Note 36 8" xfId="19997" xr:uid="{7E842CF6-6FB6-433C-BBAF-E460F2F41DAB}"/>
    <cellStyle name="Note 36 8 2" xfId="19998" xr:uid="{443841FF-AA22-46B0-A616-92C57E14752E}"/>
    <cellStyle name="Note 36 8 3" xfId="19999" xr:uid="{86A5604A-8133-4B32-BE68-B6560AE6CEAF}"/>
    <cellStyle name="Note 36 9" xfId="20000" xr:uid="{7272FA2C-6071-4BD3-80B6-EAD07F2C881B}"/>
    <cellStyle name="Note 37" xfId="20001" xr:uid="{2344ECD1-1927-4737-9F02-7F9679890B8D}"/>
    <cellStyle name="Note 37 2" xfId="20002" xr:uid="{72A4E017-7822-42D8-9A2C-5B6C43B4D026}"/>
    <cellStyle name="Note 37 2 2" xfId="20003" xr:uid="{A7EEFC92-9889-4F8C-B6BE-8E0C03D04108}"/>
    <cellStyle name="Note 37 3" xfId="20004" xr:uid="{DB93C0CE-F56F-4D49-96E7-E42CF3C950DF}"/>
    <cellStyle name="Note 37 4" xfId="20005" xr:uid="{C7B3DBDB-5B19-41A8-9A34-6D5DC365193C}"/>
    <cellStyle name="Note 37_PwrTax 51040" xfId="20006" xr:uid="{3C83963B-B562-44F4-9FEF-A58D44428E63}"/>
    <cellStyle name="Note 38" xfId="20007" xr:uid="{90A9DA1D-DBF0-46A1-90A7-D60A6E5DCEB1}"/>
    <cellStyle name="Note 38 2" xfId="20008" xr:uid="{5AB80E0B-C50C-46C2-9B63-12C57DB67D15}"/>
    <cellStyle name="Note 38 2 2" xfId="20009" xr:uid="{3B37CFD8-80EC-42D2-B415-A6B36B26B314}"/>
    <cellStyle name="Note 38 2 3" xfId="20010" xr:uid="{2DA66D4F-62A5-4569-B46D-13453A61F5AB}"/>
    <cellStyle name="Note 38 2 4" xfId="20011" xr:uid="{D2ABDC34-7246-4815-B0A1-9B9902588DA4}"/>
    <cellStyle name="Note 38 2 5" xfId="20012" xr:uid="{D163362D-3E27-4588-8EA8-607947D2AA87}"/>
    <cellStyle name="Note 38 3" xfId="20013" xr:uid="{22EE1CDB-32FB-47C8-A23D-38E6DF6C2315}"/>
    <cellStyle name="Note 38 4" xfId="20014" xr:uid="{CEDE8D72-AA89-4F55-A44D-2FBF8557E351}"/>
    <cellStyle name="Note 38 5" xfId="20015" xr:uid="{65E9BAE4-1FA2-4518-A301-8BD4BC9EE330}"/>
    <cellStyle name="Note 38 6" xfId="20016" xr:uid="{D69CCB8F-4574-4348-A72D-6AB77116BFBE}"/>
    <cellStyle name="Note 39" xfId="20017" xr:uid="{D33FD92B-D4CD-496F-B6D5-1A1F25376136}"/>
    <cellStyle name="Note 39 2" xfId="20018" xr:uid="{D13234EC-F03B-49E0-99B8-F4F8C7612485}"/>
    <cellStyle name="Note 39 3" xfId="42938" xr:uid="{4FD7054B-BCBD-4963-B09F-1F7666C1A693}"/>
    <cellStyle name="Note 4" xfId="20019" xr:uid="{4CC37BEA-F4C2-49B3-8A61-D9F4638AFE38}"/>
    <cellStyle name="Note 4 10" xfId="20020" xr:uid="{E7AFDE5A-48B2-446D-9082-5CF9A0870784}"/>
    <cellStyle name="Note 4 10 2" xfId="20021" xr:uid="{FD1C9FF7-2F7B-448E-A84D-234549AE3DCC}"/>
    <cellStyle name="Note 4 10 2 2" xfId="20022" xr:uid="{05C566EB-0FAF-43B2-A787-1A99D763D5F8}"/>
    <cellStyle name="Note 4 10 2 3" xfId="20023" xr:uid="{006BA44B-7EF7-41FC-8D22-E4E0D5C7E22B}"/>
    <cellStyle name="Note 4 10 3" xfId="20024" xr:uid="{C623EE64-E4C6-4EF5-AEEA-03F806895594}"/>
    <cellStyle name="Note 4 10 3 2" xfId="20025" xr:uid="{B7F73F44-BA51-4FBE-8DC9-38D0D1718D06}"/>
    <cellStyle name="Note 4 10 3 3" xfId="20026" xr:uid="{98A0D972-1D04-49BB-A6AA-2717DFEBA1ED}"/>
    <cellStyle name="Note 4 10 4" xfId="20027" xr:uid="{50DF7BCD-D229-4C65-9B98-5DCE62FFC444}"/>
    <cellStyle name="Note 4 10 5" xfId="20028" xr:uid="{8CB2A5D0-0297-4D78-9176-A31A2E5D95E4}"/>
    <cellStyle name="Note 4 11" xfId="20029" xr:uid="{CFFEC48F-F62D-4E20-8BFC-C8B8912EBC3E}"/>
    <cellStyle name="Note 4 11 2" xfId="20030" xr:uid="{44AE305F-62BF-4C3C-8D1C-0B60BCF9618B}"/>
    <cellStyle name="Note 4 11 2 2" xfId="20031" xr:uid="{3776D363-1797-4A56-B6F7-AC88B0153340}"/>
    <cellStyle name="Note 4 11 3" xfId="20032" xr:uid="{0B0C5383-F691-4509-B5BF-9B73F78A9B73}"/>
    <cellStyle name="Note 4 11 3 2" xfId="20033" xr:uid="{A554961A-FF45-4EE5-9164-C132BFC6FF45}"/>
    <cellStyle name="Note 4 11 4" xfId="20034" xr:uid="{DDD9C3FA-A102-450F-AA85-F1A86DCE9F15}"/>
    <cellStyle name="Note 4 11 5" xfId="20035" xr:uid="{CB4E5663-9BF8-4B86-BF5E-2EC42EE01425}"/>
    <cellStyle name="Note 4 12" xfId="20036" xr:uid="{A56BC171-3825-4645-9054-2693ECD683CC}"/>
    <cellStyle name="Note 4 12 2" xfId="20037" xr:uid="{895AFBA6-11BC-4DDD-8B92-43D3858614DB}"/>
    <cellStyle name="Note 4 12 3" xfId="20038" xr:uid="{BB3B4126-36A9-4CFD-93CE-A6CCA295C2D8}"/>
    <cellStyle name="Note 4 13" xfId="20039" xr:uid="{5E1DD620-7896-4FE2-AC08-4CCAFE796A0C}"/>
    <cellStyle name="Note 4 13 2" xfId="20040" xr:uid="{0F6B5F50-20D1-4EF4-8ED3-B149A4739247}"/>
    <cellStyle name="Note 4 13 3" xfId="20041" xr:uid="{3E2C2A58-A2E0-4914-A1A5-985FAB0E8BEA}"/>
    <cellStyle name="Note 4 14" xfId="20042" xr:uid="{6E4F9F8F-0D8A-4939-879D-E6BFBE6CAA7F}"/>
    <cellStyle name="Note 4 15" xfId="20043" xr:uid="{B983129C-82DA-4B2D-8259-068E30A6718F}"/>
    <cellStyle name="Note 4 16" xfId="42939" xr:uid="{179C3BE7-24E3-4001-9252-61DDEA41F266}"/>
    <cellStyle name="Note 4 17" xfId="43526" xr:uid="{7E3F61D4-6616-4E6B-972E-EAA0A4957DE8}"/>
    <cellStyle name="Note 4 2" xfId="20044" xr:uid="{ABE087E0-A50D-4AD8-A6DF-7DAA9C690208}"/>
    <cellStyle name="Note 4 2 2" xfId="20045" xr:uid="{3E58BA6B-2F95-40D0-A477-8AABA57C6953}"/>
    <cellStyle name="Note 4 2 2 2" xfId="20046" xr:uid="{6DB9AF6F-23D9-49F7-8A93-DF49ED220153}"/>
    <cellStyle name="Note 4 2 2 2 2" xfId="20047" xr:uid="{900A5280-E718-4046-BDFC-0314DEBBD5FC}"/>
    <cellStyle name="Note 4 2 2 2 3" xfId="20048" xr:uid="{88467E8E-F02D-4B33-83A3-92065010AA7E}"/>
    <cellStyle name="Note 4 2 2 3" xfId="20049" xr:uid="{359197C0-EB11-48E2-BB68-DB6681B4F815}"/>
    <cellStyle name="Note 4 2 2 3 2" xfId="20050" xr:uid="{EB3BF6F2-9E19-472D-9EEA-52AAB5870CBC}"/>
    <cellStyle name="Note 4 2 2 3 3" xfId="20051" xr:uid="{2FEC4A35-56C0-426F-97B4-B940442189F3}"/>
    <cellStyle name="Note 4 2 2 4" xfId="20052" xr:uid="{F910A3B2-5C0D-45BA-83E4-2AA947E210AE}"/>
    <cellStyle name="Note 4 2 2 5" xfId="20053" xr:uid="{98C7FEC3-42EE-4AE2-8C0F-B4AFD464E86C}"/>
    <cellStyle name="Note 4 2 2 6" xfId="42940" xr:uid="{30C89F06-0856-4C1F-99C5-AEDF913A531D}"/>
    <cellStyle name="Note 4 2 3" xfId="20054" xr:uid="{6C3A3ED4-E684-4334-9299-DBB3366FEF5E}"/>
    <cellStyle name="Note 4 2 3 2" xfId="20055" xr:uid="{7EEACC37-F6C0-4CA6-807B-DF72AC4F471D}"/>
    <cellStyle name="Note 4 2 3 3" xfId="20056" xr:uid="{3DAD8508-4A39-4B10-8B1E-7DEF1DD2A3E4}"/>
    <cellStyle name="Note 4 2 3 4" xfId="20057" xr:uid="{FD7644C2-ED6F-4B98-8549-B32DFF5D3016}"/>
    <cellStyle name="Note 4 2 3 5" xfId="20058" xr:uid="{4A849983-EAA3-4D76-A161-463767B43115}"/>
    <cellStyle name="Note 4 2 4" xfId="20059" xr:uid="{BF1E20DA-DC3E-45AA-8AD7-16A383682E9A}"/>
    <cellStyle name="Note 4 2 4 2" xfId="20060" xr:uid="{BA9852DD-7AA3-406B-946B-E12F2D083942}"/>
    <cellStyle name="Note 4 2 4 3" xfId="20061" xr:uid="{024CA3AD-5866-451B-9FEA-22A1B27A2CC4}"/>
    <cellStyle name="Note 4 2 5" xfId="20062" xr:uid="{FD92B359-BFBE-442C-849B-EEF9518694C4}"/>
    <cellStyle name="Note 4 2 6" xfId="20063" xr:uid="{C3164490-6881-4A17-81AC-5FBA9819F336}"/>
    <cellStyle name="Note 4 2 7" xfId="20064" xr:uid="{7D3D6224-84C3-4EB3-AC27-1DB411868CA7}"/>
    <cellStyle name="Note 4 2 8" xfId="42941" xr:uid="{92D757B8-AAF8-478B-9F47-ECD3F88C8291}"/>
    <cellStyle name="Note 4 2_JE 5 2002.2 FED" xfId="20065" xr:uid="{5DB2D76D-60C8-4BE9-BF37-582BE7D702BA}"/>
    <cellStyle name="Note 4 3" xfId="20066" xr:uid="{AF207734-A86F-46F8-9547-1BE9F098753B}"/>
    <cellStyle name="Note 4 3 2" xfId="20067" xr:uid="{0ED781CE-4262-4273-BEE0-C4DAC68C44FF}"/>
    <cellStyle name="Note 4 3 2 2" xfId="20068" xr:uid="{9D67A242-93BD-4DE6-9E82-E6A34E548669}"/>
    <cellStyle name="Note 4 3 2 2 2" xfId="20069" xr:uid="{A6BAB7D0-9215-41F7-98B9-AE2B4C13E9F0}"/>
    <cellStyle name="Note 4 3 2 2 3" xfId="20070" xr:uid="{A2BC350A-890E-4DD4-8F90-E5D923976E88}"/>
    <cellStyle name="Note 4 3 2 3" xfId="20071" xr:uid="{89F7CFBC-7D48-41CD-A874-46C742D3D628}"/>
    <cellStyle name="Note 4 3 2 3 2" xfId="20072" xr:uid="{F42803C2-C110-4366-8904-0ADE9C935E15}"/>
    <cellStyle name="Note 4 3 2 3 3" xfId="20073" xr:uid="{C7E133B8-B3E2-4306-947E-AF2B1ABAA61B}"/>
    <cellStyle name="Note 4 3 2 4" xfId="20074" xr:uid="{AC830788-2F4F-4159-8E75-502E2AF5FABA}"/>
    <cellStyle name="Note 4 3 2 5" xfId="20075" xr:uid="{6B174097-8F57-4E5D-9FB5-BBE0AD382A98}"/>
    <cellStyle name="Note 4 3 3" xfId="20076" xr:uid="{CDBC8482-9392-408A-824F-2E3FA74118DD}"/>
    <cellStyle name="Note 4 3 3 2" xfId="20077" xr:uid="{D194BCC4-EC20-42F5-84D3-D49BF5F6E061}"/>
    <cellStyle name="Note 4 3 3 3" xfId="20078" xr:uid="{EFEBEC71-7D47-4BB1-A05B-7C7819A9991F}"/>
    <cellStyle name="Note 4 3 3 4" xfId="20079" xr:uid="{A2EBD70E-7884-4DFC-A0CE-18D9AC5C2DC7}"/>
    <cellStyle name="Note 4 3 3 5" xfId="20080" xr:uid="{30F059BB-1F9E-4D98-929D-0E4C4384FF8E}"/>
    <cellStyle name="Note 4 3 4" xfId="20081" xr:uid="{99100075-281D-4F73-9126-8A867D5F4C63}"/>
    <cellStyle name="Note 4 3 4 2" xfId="20082" xr:uid="{0A1CCD41-0937-4B2B-A338-4803E495E032}"/>
    <cellStyle name="Note 4 3 4 3" xfId="20083" xr:uid="{C59AE796-5337-46CD-9140-C84E7A757B5F}"/>
    <cellStyle name="Note 4 3 5" xfId="20084" xr:uid="{8D52BA29-E4A2-4CE7-9AA2-CE708BE41FCA}"/>
    <cellStyle name="Note 4 3 6" xfId="20085" xr:uid="{C6C3F848-8B9C-40A8-AC40-CE8FC27DB6EA}"/>
    <cellStyle name="Note 4 3 7" xfId="20086" xr:uid="{F19A78E3-88CC-4AAB-A4E4-17F383FB3F70}"/>
    <cellStyle name="Note 4 3 8" xfId="20087" xr:uid="{337D5E53-5C9E-4E9B-B65B-B466AB3ED362}"/>
    <cellStyle name="Note 4 3 9" xfId="42942" xr:uid="{CC056CE6-9425-4FD3-B4E5-083AF6E260C9}"/>
    <cellStyle name="Note 4 3_JE 5 2002.2 FED" xfId="20088" xr:uid="{4027A0EA-93C4-412D-9ACD-8212B99D89D0}"/>
    <cellStyle name="Note 4 4" xfId="20089" xr:uid="{4DA623F3-A819-4094-ACAD-9808EEA7951A}"/>
    <cellStyle name="Note 4 4 2" xfId="20090" xr:uid="{5403AA5E-141D-4EB6-B59F-9FC25B7A7B37}"/>
    <cellStyle name="Note 4 4 2 2" xfId="20091" xr:uid="{4EA7C627-8960-4CDF-9E3C-8BBDEF0E3F56}"/>
    <cellStyle name="Note 4 4 2 2 2" xfId="20092" xr:uid="{B47A4C5F-D6D6-41E4-9D41-DDC94FED5F6F}"/>
    <cellStyle name="Note 4 4 2 2 3" xfId="20093" xr:uid="{A596D1CC-FE1B-4897-BE5E-5B03AEA43562}"/>
    <cellStyle name="Note 4 4 2 3" xfId="20094" xr:uid="{4DAED029-3FDD-4DC0-B9AA-61644714F376}"/>
    <cellStyle name="Note 4 4 2 3 2" xfId="20095" xr:uid="{76D0508F-D4D5-4B10-89D7-57BF9FD6A10C}"/>
    <cellStyle name="Note 4 4 2 3 3" xfId="20096" xr:uid="{3D3921EF-27D4-472A-B7AF-4ADAC8BE149E}"/>
    <cellStyle name="Note 4 4 2 4" xfId="20097" xr:uid="{2493DECF-E558-4D0E-9F6F-B7012DE71928}"/>
    <cellStyle name="Note 4 4 2 5" xfId="20098" xr:uid="{4A5996A2-0D2E-4999-8D96-7B4B37A67DE2}"/>
    <cellStyle name="Note 4 4 3" xfId="20099" xr:uid="{49956FF3-01C1-47F5-9886-91A80D3AFFC9}"/>
    <cellStyle name="Note 4 4 3 2" xfId="20100" xr:uid="{C270F277-A760-44B6-A705-70B32FC7AE73}"/>
    <cellStyle name="Note 4 4 4" xfId="20101" xr:uid="{D53C2232-CA0C-4AD9-BF70-B40D056D6355}"/>
    <cellStyle name="Note 4 4 4 2" xfId="20102" xr:uid="{BB3AE4B6-9A54-4007-B0A3-37CB4E529E28}"/>
    <cellStyle name="Note 4 4 5" xfId="20103" xr:uid="{232D61AE-E07D-49E1-8E9E-576B54252027}"/>
    <cellStyle name="Note 4 4 6" xfId="20104" xr:uid="{4929645C-FCB9-4BF0-9318-D24052FAD390}"/>
    <cellStyle name="Note 4 4 7" xfId="42943" xr:uid="{C4C55175-2D1F-4DDE-9FD2-A90C77A4D8E3}"/>
    <cellStyle name="Note 4 4_JE 5 2002.2 FED" xfId="20105" xr:uid="{3BD05540-EEF6-4224-9324-580616B06EDC}"/>
    <cellStyle name="Note 4 5" xfId="20106" xr:uid="{B0307081-22FF-4F66-978C-492C20F6596C}"/>
    <cellStyle name="Note 4 5 2" xfId="20107" xr:uid="{52845338-EE58-46BC-85FC-4B2778901DD1}"/>
    <cellStyle name="Note 4 5 2 2" xfId="20108" xr:uid="{1530DB21-B936-46D3-9268-4ED2E6C46BF0}"/>
    <cellStyle name="Note 4 5 2 2 2" xfId="20109" xr:uid="{A69D29E4-0059-4DC4-BACF-149EF91B6281}"/>
    <cellStyle name="Note 4 5 2 2 3" xfId="20110" xr:uid="{F3DADA43-EE75-46C1-BCB1-9CDD9BAEA86C}"/>
    <cellStyle name="Note 4 5 2 3" xfId="20111" xr:uid="{FDE8ACD9-4581-4581-8211-05D8FD8E03FA}"/>
    <cellStyle name="Note 4 5 2 3 2" xfId="20112" xr:uid="{B7E8F245-3AF3-41AE-9F05-54DEDBCDCB89}"/>
    <cellStyle name="Note 4 5 2 3 3" xfId="20113" xr:uid="{22F040F7-5EA6-4ABE-8140-B52C77C9A754}"/>
    <cellStyle name="Note 4 5 2 4" xfId="20114" xr:uid="{2DD8B7C0-6644-4A18-B6A7-E3DDBC85804C}"/>
    <cellStyle name="Note 4 5 2 5" xfId="20115" xr:uid="{7D5CD2E6-FA99-40D7-90C4-BE7D54FCD1C9}"/>
    <cellStyle name="Note 4 5 3" xfId="20116" xr:uid="{9B2260B8-F600-428A-8A4A-EB8BD03482C2}"/>
    <cellStyle name="Note 4 5 3 2" xfId="20117" xr:uid="{7FE73F6A-7175-4FED-BFC7-35E0D9C083AD}"/>
    <cellStyle name="Note 4 5 3 3" xfId="20118" xr:uid="{943FF46A-ABA9-4877-84AD-47943457FBFF}"/>
    <cellStyle name="Note 4 5 4" xfId="20119" xr:uid="{D1BDD3DE-8D7B-4245-A81F-DB02CF70590D}"/>
    <cellStyle name="Note 4 5 4 2" xfId="20120" xr:uid="{E25D05F9-FCD3-4302-823C-2BD19CFFCFC0}"/>
    <cellStyle name="Note 4 5 4 3" xfId="20121" xr:uid="{D9E2AC6E-4A88-4AA8-9D39-4C24533467F9}"/>
    <cellStyle name="Note 4 5 5" xfId="20122" xr:uid="{8EC1C79C-5896-484F-84F2-C2F4836ED5FA}"/>
    <cellStyle name="Note 4 5 6" xfId="20123" xr:uid="{78511B26-179D-4E7F-9404-D65316EAE437}"/>
    <cellStyle name="Note 4 5 7" xfId="42944" xr:uid="{5490BFE5-8F2A-4D45-B9D0-4D3A8DB2661A}"/>
    <cellStyle name="Note 4 5_JE 5 2002.2 FED" xfId="20124" xr:uid="{08968EEE-2AF2-4D51-81C7-7A1CF2CAA49F}"/>
    <cellStyle name="Note 4 6" xfId="20125" xr:uid="{1DB18B02-DC95-40FD-B6A7-044197459A1C}"/>
    <cellStyle name="Note 4 6 2" xfId="20126" xr:uid="{8389C5DD-956C-44CC-A071-24A39B8A33E4}"/>
    <cellStyle name="Note 4 6 2 2" xfId="20127" xr:uid="{507ED492-A53A-4A63-93DF-45E2CEEFDB64}"/>
    <cellStyle name="Note 4 6 2 2 2" xfId="20128" xr:uid="{E86CB7D4-594A-4F32-AF1F-90E0862599BA}"/>
    <cellStyle name="Note 4 6 2 2 3" xfId="20129" xr:uid="{728D2549-B7B2-4933-9D0D-5F432AD5FDB2}"/>
    <cellStyle name="Note 4 6 2 3" xfId="20130" xr:uid="{1CCD3317-2D26-49E7-AEED-3FE0D3FB3FB5}"/>
    <cellStyle name="Note 4 6 2 3 2" xfId="20131" xr:uid="{98BE90EF-DB80-4098-B8D0-794BD1D72E96}"/>
    <cellStyle name="Note 4 6 2 3 3" xfId="20132" xr:uid="{A0F5E9D5-2903-4033-86B7-4001EBA88E90}"/>
    <cellStyle name="Note 4 6 2 4" xfId="20133" xr:uid="{E1024258-4BD5-48B1-8EC5-1C03142B8E9E}"/>
    <cellStyle name="Note 4 6 2 5" xfId="20134" xr:uid="{46129CE3-88FE-44C3-9571-0CE7C0B73EDD}"/>
    <cellStyle name="Note 4 6 3" xfId="20135" xr:uid="{4EF663C3-D989-4B29-9373-E40382728669}"/>
    <cellStyle name="Note 4 6 3 2" xfId="20136" xr:uid="{3712C959-3BDF-423A-85FC-A00FD5E4D8B3}"/>
    <cellStyle name="Note 4 6 3 3" xfId="20137" xr:uid="{E09ABAEA-F2DD-480A-BDA2-BEACE746A3D8}"/>
    <cellStyle name="Note 4 6 4" xfId="20138" xr:uid="{AF2389BB-A01C-4600-A263-6A8F2B651994}"/>
    <cellStyle name="Note 4 6 4 2" xfId="20139" xr:uid="{73415F31-0CCF-45C5-BCBA-CB7069482A4F}"/>
    <cellStyle name="Note 4 6 4 3" xfId="20140" xr:uid="{14734EFC-BBB3-45DD-BD8D-6522611A5EA1}"/>
    <cellStyle name="Note 4 6 5" xfId="20141" xr:uid="{B06AB07B-6740-4A25-90A5-6E4198397165}"/>
    <cellStyle name="Note 4 6 6" xfId="20142" xr:uid="{FA196AA9-AD2C-4084-9760-86F2AD0FFA5A}"/>
    <cellStyle name="Note 4 6_JE 5 2002.2 FED" xfId="20143" xr:uid="{0FC8F655-A74A-4A49-AE68-E08D91BACB5F}"/>
    <cellStyle name="Note 4 7" xfId="20144" xr:uid="{5900D761-AFAE-4D06-9699-5CF12A7F5FA1}"/>
    <cellStyle name="Note 4 7 2" xfId="20145" xr:uid="{1DDD09C4-1285-4728-9D85-2083ABC9E25F}"/>
    <cellStyle name="Note 4 7 2 2" xfId="20146" xr:uid="{B36C8CA6-189C-4BCB-AF3D-A02F259D2239}"/>
    <cellStyle name="Note 4 7 2 2 2" xfId="20147" xr:uid="{ABC1C0D8-2D52-448D-9065-0E3B47D5ACE3}"/>
    <cellStyle name="Note 4 7 2 2 3" xfId="20148" xr:uid="{8ABE9223-65E6-45AF-91E3-8FF304380BC3}"/>
    <cellStyle name="Note 4 7 2 3" xfId="20149" xr:uid="{F52C9289-2B76-4F7A-8BED-CA316D761B71}"/>
    <cellStyle name="Note 4 7 2 3 2" xfId="20150" xr:uid="{444928B6-0132-4294-A452-1B0604EAF2EF}"/>
    <cellStyle name="Note 4 7 2 3 3" xfId="20151" xr:uid="{3316CF92-93E1-44BB-9214-31F64624A001}"/>
    <cellStyle name="Note 4 7 2 4" xfId="20152" xr:uid="{63EBE89B-E38F-4609-B1FA-278B56F863BE}"/>
    <cellStyle name="Note 4 7 2 5" xfId="20153" xr:uid="{3C6EDD5C-B864-4EC6-B25B-778F0550002B}"/>
    <cellStyle name="Note 4 7 3" xfId="20154" xr:uid="{6AD8CD81-55D3-44E8-9929-A99BF20E11A3}"/>
    <cellStyle name="Note 4 7 3 2" xfId="20155" xr:uid="{8A330143-C2A8-485E-ADC6-397A8DE0896A}"/>
    <cellStyle name="Note 4 7 3 3" xfId="20156" xr:uid="{F4781E86-9928-4272-8EC4-4DCFF39E57E7}"/>
    <cellStyle name="Note 4 7 4" xfId="20157" xr:uid="{EC21997D-0E30-4352-BC92-428B7965053D}"/>
    <cellStyle name="Note 4 7 4 2" xfId="20158" xr:uid="{BEECA63C-C0E7-4014-8798-E34B681E67AF}"/>
    <cellStyle name="Note 4 7 4 3" xfId="20159" xr:uid="{6B68C07B-087F-421B-85BD-DEEB0231A9CC}"/>
    <cellStyle name="Note 4 7 5" xfId="20160" xr:uid="{DB58FE98-8C48-4B80-8CEC-D743CF3F81BE}"/>
    <cellStyle name="Note 4 7 6" xfId="20161" xr:uid="{A3EDF662-A898-445A-92F3-5531C073C201}"/>
    <cellStyle name="Note 4 7_JE 5 2002.2 FED" xfId="20162" xr:uid="{E5820EDE-CFB5-4632-AD43-83F74AE09B01}"/>
    <cellStyle name="Note 4 8" xfId="20163" xr:uid="{24E7FC4D-21C0-4EA0-86CA-89DD7C533FE7}"/>
    <cellStyle name="Note 4 8 2" xfId="20164" xr:uid="{47014938-C779-4614-9163-4005A458059B}"/>
    <cellStyle name="Note 4 8 2 2" xfId="20165" xr:uid="{CB433DE5-85D8-4BEB-808D-45215CDAE841}"/>
    <cellStyle name="Note 4 8 2 2 2" xfId="20166" xr:uid="{0DCA1B3F-6154-416A-BA61-AFBC00EFD7D7}"/>
    <cellStyle name="Note 4 8 2 2 3" xfId="20167" xr:uid="{55DD751B-ADB0-4F19-8784-69D52ACC2291}"/>
    <cellStyle name="Note 4 8 2 3" xfId="20168" xr:uid="{C36D909A-9174-495F-9B82-EE676AFA8483}"/>
    <cellStyle name="Note 4 8 2 3 2" xfId="20169" xr:uid="{65DA9004-33E9-4607-86A5-8B98017B507F}"/>
    <cellStyle name="Note 4 8 2 3 3" xfId="20170" xr:uid="{50CFF22F-865B-4ACD-8509-D5231D82795F}"/>
    <cellStyle name="Note 4 8 2 4" xfId="20171" xr:uid="{170D68A3-B769-418D-9440-D0EAA096596E}"/>
    <cellStyle name="Note 4 8 2 5" xfId="20172" xr:uid="{DDA714A2-D2AD-4888-BCDB-9C7C63C22BE9}"/>
    <cellStyle name="Note 4 8 3" xfId="20173" xr:uid="{BB0B5736-5148-4B14-84DA-3D787BE2DAC7}"/>
    <cellStyle name="Note 4 8 3 2" xfId="20174" xr:uid="{7C4321D6-DB78-4C9E-B3EB-2FD905730237}"/>
    <cellStyle name="Note 4 8 3 3" xfId="20175" xr:uid="{6DB36D6A-9436-43A9-BF80-3058F84128FD}"/>
    <cellStyle name="Note 4 8 4" xfId="20176" xr:uid="{230697B3-B1F0-4DE9-A891-6BA45AFF3183}"/>
    <cellStyle name="Note 4 8 4 2" xfId="20177" xr:uid="{DE72573A-E1A5-4612-ABC7-4B1773641CAC}"/>
    <cellStyle name="Note 4 8 4 3" xfId="20178" xr:uid="{C091DAF0-4F60-41E3-B5CB-75CF94652800}"/>
    <cellStyle name="Note 4 8 5" xfId="20179" xr:uid="{55E80C34-9A16-424D-9826-9774B63D1967}"/>
    <cellStyle name="Note 4 8 6" xfId="20180" xr:uid="{9FAAE23E-C15D-42B4-843E-B5C4EF1BBF0A}"/>
    <cellStyle name="Note 4 8_JE 5 2002.2 FED" xfId="20181" xr:uid="{FB8A39E3-C7FA-4A7B-A2E7-BB13707F2C8E}"/>
    <cellStyle name="Note 4 9" xfId="20182" xr:uid="{4C2F3C35-AEF1-4E05-A889-0E82059FC9F0}"/>
    <cellStyle name="Note 4 9 2" xfId="20183" xr:uid="{31526A1F-F6B2-4594-A4A1-E528C8BC6B93}"/>
    <cellStyle name="Note 4 9 2 2" xfId="20184" xr:uid="{AC1FDD6B-8223-4943-874A-1532A8C71FD3}"/>
    <cellStyle name="Note 4 9 2 2 2" xfId="20185" xr:uid="{F8D04D49-3B75-4839-B974-9B03C03EAA53}"/>
    <cellStyle name="Note 4 9 2 2 3" xfId="20186" xr:uid="{AD153D93-C80B-44C1-AE17-C095D0B71904}"/>
    <cellStyle name="Note 4 9 2 3" xfId="20187" xr:uid="{3B0ED77C-2582-4EED-9FD4-C3AF54CA61D4}"/>
    <cellStyle name="Note 4 9 2 3 2" xfId="20188" xr:uid="{CABB6FE0-493F-40A5-94E1-14CEE2EB783A}"/>
    <cellStyle name="Note 4 9 2 3 3" xfId="20189" xr:uid="{E4D28426-C35D-4600-BE39-157C46714BFA}"/>
    <cellStyle name="Note 4 9 2 4" xfId="20190" xr:uid="{3A9FA9B2-A5F8-4772-A642-DB5F765DA2B9}"/>
    <cellStyle name="Note 4 9 2 5" xfId="20191" xr:uid="{80F559C8-C497-4E2F-B1B1-B98BA0F98886}"/>
    <cellStyle name="Note 4 9 3" xfId="20192" xr:uid="{15AA0C97-13F4-4C55-B8CD-20A6DE471D8E}"/>
    <cellStyle name="Note 4 9 3 2" xfId="20193" xr:uid="{2EE9BDCF-0861-406D-9E99-6B19B8A3D151}"/>
    <cellStyle name="Note 4 9 3 3" xfId="20194" xr:uid="{A21098C7-D6F6-47B0-89CE-239FBF6650DF}"/>
    <cellStyle name="Note 4 9 4" xfId="20195" xr:uid="{81A20269-C5F5-4E4D-9FCD-BF76C473A674}"/>
    <cellStyle name="Note 4 9 4 2" xfId="20196" xr:uid="{E8C5FB9F-7A82-461C-A921-049D8419F757}"/>
    <cellStyle name="Note 4 9 4 3" xfId="20197" xr:uid="{B474D446-73FF-4C89-80F2-B173B10A4489}"/>
    <cellStyle name="Note 4 9 5" xfId="20198" xr:uid="{5B39D266-DC41-4195-84B4-4CE19F082B20}"/>
    <cellStyle name="Note 4 9 6" xfId="20199" xr:uid="{D3192C62-3E83-4251-9B65-D7C3582B0FC4}"/>
    <cellStyle name="Note 4 9_JE 5 2002.2 FED" xfId="20200" xr:uid="{AEF6FA80-515A-4EE5-964C-5F51B049F5E6}"/>
    <cellStyle name="Note 4_JE 5 2002.2 FED" xfId="20201" xr:uid="{40B101BE-CE09-4264-BD76-007FD0731DD4}"/>
    <cellStyle name="Note 40" xfId="20202" xr:uid="{8554CF0A-6172-4E8E-9D92-7D60C20536DD}"/>
    <cellStyle name="Note 40 2" xfId="42945" xr:uid="{E43159FC-6F54-4900-A502-162BF921DA4B}"/>
    <cellStyle name="Note 40 3" xfId="42946" xr:uid="{584A2517-1547-4CF9-A2C9-BD7BB48FD0D4}"/>
    <cellStyle name="Note 41" xfId="20203" xr:uid="{BBD3F4CE-E200-4942-8A00-9F418E64A891}"/>
    <cellStyle name="Note 41 2" xfId="42947" xr:uid="{277C0D6A-D8BF-4BF0-AF37-7738D800673F}"/>
    <cellStyle name="Note 42" xfId="42948" xr:uid="{0E3E135F-9B21-4DE0-B1CD-BAEC55428591}"/>
    <cellStyle name="Note 43" xfId="42949" xr:uid="{D66858AD-D827-4D2D-9331-FE191398AE58}"/>
    <cellStyle name="Note 44" xfId="42950" xr:uid="{2738DFCC-C691-4CBE-93B4-C357574359C9}"/>
    <cellStyle name="Note 44 2" xfId="42951" xr:uid="{2C750D69-081E-4339-BF1E-FEDA9163A34F}"/>
    <cellStyle name="Note 44 2 2" xfId="42952" xr:uid="{73389517-63C5-46EE-BF7D-4A4618018669}"/>
    <cellStyle name="Note 44 2 2 2" xfId="42953" xr:uid="{83D630F3-7649-4B76-91B1-112EBB7ED0BD}"/>
    <cellStyle name="Note 44 2 3" xfId="42954" xr:uid="{A25379F1-0508-416B-BFBA-65D4FEF2BC68}"/>
    <cellStyle name="Note 44 2 3 2" xfId="42955" xr:uid="{10E143D1-07FE-4971-8206-6AC85B13262D}"/>
    <cellStyle name="Note 44 2 4" xfId="42956" xr:uid="{B8492120-E830-4360-90D8-52EE3EE03C70}"/>
    <cellStyle name="Note 44 3" xfId="42957" xr:uid="{86F5EF37-F3CC-4335-AA90-E4F361A28BB6}"/>
    <cellStyle name="Note 44 3 2" xfId="42958" xr:uid="{A8EA5394-54A0-4BF0-8D47-AE5E7E0256F6}"/>
    <cellStyle name="Note 44 3 2 2" xfId="42959" xr:uid="{5EC34E21-DA25-4F9D-9217-49130E933A39}"/>
    <cellStyle name="Note 44 3 3" xfId="42960" xr:uid="{2512F0E2-D7A1-4A70-BC0F-8BC39C444C8D}"/>
    <cellStyle name="Note 44 3 3 2" xfId="42961" xr:uid="{472A5F35-D881-48F4-BCD2-2EF0ACC97694}"/>
    <cellStyle name="Note 44 3 4" xfId="42962" xr:uid="{E11D86E9-BE53-4DD9-9DA8-885B496C8E41}"/>
    <cellStyle name="Note 44 4" xfId="42963" xr:uid="{67B66D8D-2991-471E-AE2E-4BDA1CAB198C}"/>
    <cellStyle name="Note 44 4 2" xfId="42964" xr:uid="{C2A37EE8-7C5D-442E-A3F3-0D0A37BD155F}"/>
    <cellStyle name="Note 44 4 2 2" xfId="42965" xr:uid="{614C4666-711A-4A9D-9A08-0F7892DA0CED}"/>
    <cellStyle name="Note 44 4 3" xfId="42966" xr:uid="{74E09259-E756-42AE-B7C5-A55D275C07FC}"/>
    <cellStyle name="Note 44 4 3 2" xfId="42967" xr:uid="{E4485CC4-87C7-4935-BDBE-8580297454C8}"/>
    <cellStyle name="Note 44 4 4" xfId="42968" xr:uid="{4ABA3A8A-7F1F-4891-B8E1-5AD16AF18EAD}"/>
    <cellStyle name="Note 44 5" xfId="42969" xr:uid="{67C11507-C70C-4677-BF5B-A10203BDD0D4}"/>
    <cellStyle name="Note 44 5 2" xfId="42970" xr:uid="{BBC301E5-6687-4207-B82E-CB49AF87CBD1}"/>
    <cellStyle name="Note 44 6" xfId="42971" xr:uid="{8D74C506-4CBA-459E-A2D8-3852763E0B2E}"/>
    <cellStyle name="Note 44 6 2" xfId="42972" xr:uid="{A15A2FB3-86D7-40BC-8514-A4909AC8FEDD}"/>
    <cellStyle name="Note 44 7" xfId="42973" xr:uid="{B0E43AF8-CC43-4A71-8419-07F41C7DE214}"/>
    <cellStyle name="Note 45" xfId="42974" xr:uid="{968CC75A-7A6B-4A75-BBB9-10B6F350435C}"/>
    <cellStyle name="Note 46" xfId="42975" xr:uid="{2882D381-F82F-44C0-85A3-D3AF39304607}"/>
    <cellStyle name="Note 47" xfId="42976" xr:uid="{87576210-0969-4ADF-9319-E68D307E8A7D}"/>
    <cellStyle name="Note 48" xfId="42977" xr:uid="{78094FC6-E039-43F7-AACE-DF0109FA4FF1}"/>
    <cellStyle name="Note 49" xfId="42978" xr:uid="{97D0C62F-3318-4780-B361-72FF8D295F0E}"/>
    <cellStyle name="Note 5" xfId="20204" xr:uid="{CB25C74F-3575-4FB3-9CD0-84E60562AB72}"/>
    <cellStyle name="Note 5 10" xfId="20205" xr:uid="{59770562-19EC-4C40-8C14-0C12AB1B588B}"/>
    <cellStyle name="Note 5 10 2" xfId="20206" xr:uid="{D5C9C520-1A63-4BCB-871E-FBE28C273036}"/>
    <cellStyle name="Note 5 10 2 2" xfId="20207" xr:uid="{B325549B-B956-434E-8156-6F5BA168349D}"/>
    <cellStyle name="Note 5 10 2 3" xfId="20208" xr:uid="{C930B4E3-594D-4250-AE1E-63D4522029B2}"/>
    <cellStyle name="Note 5 10 3" xfId="20209" xr:uid="{F6A2D869-F422-4A94-BB5C-55301012F1A1}"/>
    <cellStyle name="Note 5 10 3 2" xfId="20210" xr:uid="{AEA81FAB-E575-4D8D-930D-610C7C01195F}"/>
    <cellStyle name="Note 5 10 3 3" xfId="20211" xr:uid="{F0084A9E-F0BF-4989-8F8A-03A6A1C7725B}"/>
    <cellStyle name="Note 5 10 4" xfId="20212" xr:uid="{6341336E-1D69-4637-9A53-1776AC42D279}"/>
    <cellStyle name="Note 5 10 5" xfId="20213" xr:uid="{458E2C11-D994-4FDB-ABB8-DBF865B5C67C}"/>
    <cellStyle name="Note 5 11" xfId="20214" xr:uid="{04238E39-9840-4376-8CDA-0ECCF1E5B013}"/>
    <cellStyle name="Note 5 11 2" xfId="20215" xr:uid="{115EC380-70E2-435C-8B0F-BC7BC2FB58DF}"/>
    <cellStyle name="Note 5 11 3" xfId="20216" xr:uid="{53BE1536-C5D1-4651-B954-F9E0548C4709}"/>
    <cellStyle name="Note 5 11 4" xfId="20217" xr:uid="{5F265EE4-5B0D-4EE4-B251-054F4FF1E6B5}"/>
    <cellStyle name="Note 5 11 5" xfId="20218" xr:uid="{CA7E3447-E1B7-4EA4-9349-37B1D00B1889}"/>
    <cellStyle name="Note 5 12" xfId="20219" xr:uid="{A01AE053-3F58-4B0F-94E4-41B31A13941B}"/>
    <cellStyle name="Note 5 12 2" xfId="20220" xr:uid="{2A63F33C-9008-41EF-8321-9ED0CE1F4281}"/>
    <cellStyle name="Note 5 12 3" xfId="20221" xr:uid="{8D8A4FAC-C9B2-4725-A212-E6C6651D51A1}"/>
    <cellStyle name="Note 5 13" xfId="20222" xr:uid="{27F7C34F-496C-49C5-BE20-7F1C4294F451}"/>
    <cellStyle name="Note 5 14" xfId="20223" xr:uid="{A9BBDDA3-9855-4491-9A1A-2404A57E62CA}"/>
    <cellStyle name="Note 5 15" xfId="20224" xr:uid="{3AC947C1-D201-4BFD-8B9F-46C32C209091}"/>
    <cellStyle name="Note 5 16" xfId="42979" xr:uid="{B1A211AC-81A7-401A-96DF-0CEE75743D25}"/>
    <cellStyle name="Note 5 17" xfId="43540" xr:uid="{7C23312F-79C6-4CC7-BBB5-7AA75F8C4506}"/>
    <cellStyle name="Note 5 2" xfId="20225" xr:uid="{E0BE016B-1568-4AB9-8276-48D12DF60EA7}"/>
    <cellStyle name="Note 5 2 2" xfId="20226" xr:uid="{E10ED04F-1ADD-4B3D-A559-0840464F43B5}"/>
    <cellStyle name="Note 5 2 2 2" xfId="20227" xr:uid="{2291564F-8DAF-482F-9E1A-408EF0A0A5DF}"/>
    <cellStyle name="Note 5 2 2 2 2" xfId="20228" xr:uid="{8F45EC25-46D9-4BCE-9621-AE0474BAA12D}"/>
    <cellStyle name="Note 5 2 2 2 3" xfId="20229" xr:uid="{09CA7299-DD8A-4024-841E-33AFA8CDF7AC}"/>
    <cellStyle name="Note 5 2 2 3" xfId="20230" xr:uid="{033E6F7B-3BCA-416E-807B-55848B2EF773}"/>
    <cellStyle name="Note 5 2 2 3 2" xfId="20231" xr:uid="{FCC6EA91-0BD2-4D28-B9B0-9DF04C60D884}"/>
    <cellStyle name="Note 5 2 2 3 3" xfId="20232" xr:uid="{C3F43902-D74D-4685-9B20-DB83B5643C0D}"/>
    <cellStyle name="Note 5 2 2 4" xfId="20233" xr:uid="{833CFB24-116B-4EB5-BDC2-00ABF1914826}"/>
    <cellStyle name="Note 5 2 2 5" xfId="20234" xr:uid="{0A5F69CA-A8F8-4E5B-AC47-0256F12F0485}"/>
    <cellStyle name="Note 5 2 3" xfId="20235" xr:uid="{F06936F8-29DA-46F5-8805-036CC5AE0A25}"/>
    <cellStyle name="Note 5 2 3 2" xfId="20236" xr:uid="{EC22ECA0-20A7-4D1C-9572-9BA375FB30EE}"/>
    <cellStyle name="Note 5 2 3 3" xfId="20237" xr:uid="{6BAEB470-F9A3-49B4-81F6-5C88D4EAC9EF}"/>
    <cellStyle name="Note 5 2 3 4" xfId="20238" xr:uid="{646F3F30-06E0-40AF-8CA5-AB20EA92DB98}"/>
    <cellStyle name="Note 5 2 3 5" xfId="20239" xr:uid="{E060E7D7-128E-44FB-B592-E6F2B552ECEA}"/>
    <cellStyle name="Note 5 2 4" xfId="20240" xr:uid="{37532F7D-D439-4EAE-B185-0FE020E31DCD}"/>
    <cellStyle name="Note 5 2 4 2" xfId="20241" xr:uid="{24F3F043-63A0-436E-8779-0A2AEAD0E444}"/>
    <cellStyle name="Note 5 2 4 3" xfId="20242" xr:uid="{91D9FDC7-7095-4465-8E95-AEF07BF7C6D8}"/>
    <cellStyle name="Note 5 2 5" xfId="20243" xr:uid="{4CF85B3A-5B85-4F4B-ABE0-0F52F69F4AAD}"/>
    <cellStyle name="Note 5 2 6" xfId="20244" xr:uid="{95B1AD31-49B3-4D01-AFA7-177370DE2937}"/>
    <cellStyle name="Note 5 2 7" xfId="20245" xr:uid="{8B3256FF-B564-4321-AD63-10A0EF0B6949}"/>
    <cellStyle name="Note 5 2 8" xfId="42980" xr:uid="{44542B91-C270-4C1F-8A91-A810BE05EB8D}"/>
    <cellStyle name="Note 5 2_JE 5 2002.2 FED" xfId="20246" xr:uid="{B8B7A5B9-5427-4235-BD96-3381B4DBA21C}"/>
    <cellStyle name="Note 5 3" xfId="20247" xr:uid="{FEC11219-8CFD-41AB-ABC4-E828C003DBC4}"/>
    <cellStyle name="Note 5 3 2" xfId="20248" xr:uid="{7CD1C594-D438-4C84-9489-45E592F13327}"/>
    <cellStyle name="Note 5 3 2 2" xfId="20249" xr:uid="{E399FE8B-33A8-4103-BEAD-D48427F6EA64}"/>
    <cellStyle name="Note 5 3 2 2 2" xfId="20250" xr:uid="{D166D42B-2F4C-4D17-9FA6-2CEA58A9B6D0}"/>
    <cellStyle name="Note 5 3 2 2 3" xfId="20251" xr:uid="{48B45E8B-A58A-49F7-9CB9-6DA922D7AC87}"/>
    <cellStyle name="Note 5 3 2 3" xfId="20252" xr:uid="{DFFA5B6B-5384-4D09-8231-0CCCEF714C51}"/>
    <cellStyle name="Note 5 3 2 3 2" xfId="20253" xr:uid="{19BB16F6-94DA-4FB1-B3E6-D1EC34482BDB}"/>
    <cellStyle name="Note 5 3 2 3 3" xfId="20254" xr:uid="{C2227275-72AF-49F0-B79E-3FCFA58F2D72}"/>
    <cellStyle name="Note 5 3 2 4" xfId="20255" xr:uid="{0C2042CC-B2CE-4336-82EA-6DE26903AE80}"/>
    <cellStyle name="Note 5 3 2 5" xfId="20256" xr:uid="{1CAE7E25-DE6C-4A75-924E-4178749946B2}"/>
    <cellStyle name="Note 5 3 3" xfId="20257" xr:uid="{1A0D5C9C-C297-4CE4-8B08-84D29535E6C7}"/>
    <cellStyle name="Note 5 3 3 2" xfId="20258" xr:uid="{48D3BD82-586E-473A-BA00-FE6D4D44633F}"/>
    <cellStyle name="Note 5 3 3 3" xfId="20259" xr:uid="{8FB36047-C326-4CAF-AA7D-C5C080ACEE31}"/>
    <cellStyle name="Note 5 3 3 4" xfId="20260" xr:uid="{3ACE7E04-766C-479B-9115-D5D21C71E3B9}"/>
    <cellStyle name="Note 5 3 3 5" xfId="20261" xr:uid="{1B64AD88-DB36-46BE-BDC2-644E8E5E8AE0}"/>
    <cellStyle name="Note 5 3 4" xfId="20262" xr:uid="{7F4E0065-DB88-4E69-8679-172C26E9AFCF}"/>
    <cellStyle name="Note 5 3 4 2" xfId="20263" xr:uid="{35C8838D-FD3A-4424-8A9D-727F24BDBF09}"/>
    <cellStyle name="Note 5 3 4 3" xfId="20264" xr:uid="{659F065B-191B-4DA2-B4A3-EEC8C70F2A1E}"/>
    <cellStyle name="Note 5 3 5" xfId="20265" xr:uid="{EBD28A3C-AE3D-4616-AB45-300AF879FA21}"/>
    <cellStyle name="Note 5 3 6" xfId="20266" xr:uid="{D02458F8-94B7-4481-9C22-82822359451B}"/>
    <cellStyle name="Note 5 3 7" xfId="20267" xr:uid="{EC173093-ADAD-4761-99CC-92F17564B914}"/>
    <cellStyle name="Note 5 3_JE 5 2002.2 FED" xfId="20268" xr:uid="{7426760B-C189-423A-B4F0-676F3E931C2E}"/>
    <cellStyle name="Note 5 4" xfId="20269" xr:uid="{B97B47FF-1EBF-4457-B327-9C9A4B615AB6}"/>
    <cellStyle name="Note 5 4 2" xfId="20270" xr:uid="{53DA78E2-4106-4E7C-9B4B-141DED1A1D99}"/>
    <cellStyle name="Note 5 4 2 2" xfId="20271" xr:uid="{3987F48E-5D55-4600-AD59-215F84283F44}"/>
    <cellStyle name="Note 5 4 2 2 2" xfId="20272" xr:uid="{E589381B-ACDA-41F6-97C1-08E9EA18216C}"/>
    <cellStyle name="Note 5 4 2 2 3" xfId="20273" xr:uid="{104554FB-9BE1-4357-95BD-38535B5D6F22}"/>
    <cellStyle name="Note 5 4 2 3" xfId="20274" xr:uid="{A1B91DBA-93EA-4A7E-9348-EAAFE2060E36}"/>
    <cellStyle name="Note 5 4 2 3 2" xfId="20275" xr:uid="{F4CEF98C-D83D-46E3-8E4C-862296A51B22}"/>
    <cellStyle name="Note 5 4 2 3 3" xfId="20276" xr:uid="{6778897E-5B8C-4EC6-9EED-E0F4233928E3}"/>
    <cellStyle name="Note 5 4 2 4" xfId="20277" xr:uid="{CBACC66B-DA1C-4208-BDF9-4798EDD3094A}"/>
    <cellStyle name="Note 5 4 2 5" xfId="20278" xr:uid="{295AE0E1-4E9E-430F-9CF6-CEF6B5798D90}"/>
    <cellStyle name="Note 5 4 3" xfId="20279" xr:uid="{FA2B8684-7D71-4ACF-B029-736C6E66F3D8}"/>
    <cellStyle name="Note 5 4 3 2" xfId="20280" xr:uid="{9EE2660D-B5BC-4C09-99E8-D30568988C15}"/>
    <cellStyle name="Note 5 4 3 3" xfId="20281" xr:uid="{1BD6E979-0C9B-4BE2-B9F3-066D1B4CD231}"/>
    <cellStyle name="Note 5 4 4" xfId="20282" xr:uid="{F81227CB-194C-4231-9E17-64BB91233F98}"/>
    <cellStyle name="Note 5 4 4 2" xfId="20283" xr:uid="{52646DB6-FAC0-490A-A020-6C73C5914AF7}"/>
    <cellStyle name="Note 5 4 4 3" xfId="20284" xr:uid="{E1B1D286-C650-4592-B752-032F709F7AE5}"/>
    <cellStyle name="Note 5 4 5" xfId="20285" xr:uid="{232DC05D-F131-484B-BCFF-A11D44E0B70D}"/>
    <cellStyle name="Note 5 4 6" xfId="20286" xr:uid="{4FC99448-C71E-4FA2-A759-0B2B2D02F117}"/>
    <cellStyle name="Note 5 4_JE 5 2002.2 FED" xfId="20287" xr:uid="{E9E33477-3206-47C3-8A83-DC936F4319F9}"/>
    <cellStyle name="Note 5 5" xfId="20288" xr:uid="{96E9FA5F-99E8-48B3-9FEF-D85750BECE5C}"/>
    <cellStyle name="Note 5 5 2" xfId="20289" xr:uid="{806D2E75-37A5-412F-A8F7-FB42556F11B1}"/>
    <cellStyle name="Note 5 5 2 2" xfId="20290" xr:uid="{CDE1C007-9310-487C-B98B-B67BA8F73E84}"/>
    <cellStyle name="Note 5 5 2 2 2" xfId="20291" xr:uid="{7CAC2F48-3B53-45BD-9AAA-9C609F994E7D}"/>
    <cellStyle name="Note 5 5 2 2 3" xfId="20292" xr:uid="{AD55376D-951A-4FDC-97CF-69271F86E9C6}"/>
    <cellStyle name="Note 5 5 2 3" xfId="20293" xr:uid="{9C22E8D8-9674-4A99-BD6F-03C5E055B6D5}"/>
    <cellStyle name="Note 5 5 2 3 2" xfId="20294" xr:uid="{39613F69-08E5-4049-B832-FD178724F021}"/>
    <cellStyle name="Note 5 5 2 3 3" xfId="20295" xr:uid="{B622D624-600A-49C2-8373-DA4CC0B26707}"/>
    <cellStyle name="Note 5 5 2 4" xfId="20296" xr:uid="{2862FE42-E630-46C3-99A4-D2A5D601FFA1}"/>
    <cellStyle name="Note 5 5 2 5" xfId="20297" xr:uid="{9CA267B0-4FDE-4C62-AE9A-415B230E85BD}"/>
    <cellStyle name="Note 5 5 3" xfId="20298" xr:uid="{986FF45B-83F0-49F2-81AF-60F1947DCF90}"/>
    <cellStyle name="Note 5 5 3 2" xfId="20299" xr:uid="{7F1DF68E-BFD8-40CE-B3E4-3E4D33B0DA06}"/>
    <cellStyle name="Note 5 5 3 3" xfId="20300" xr:uid="{1EAB9903-588A-47C2-A803-17A77F6B8856}"/>
    <cellStyle name="Note 5 5 4" xfId="20301" xr:uid="{626317C0-E023-46BE-AF19-4A08ADA0182D}"/>
    <cellStyle name="Note 5 5 4 2" xfId="20302" xr:uid="{04C079A9-079C-417C-B691-6C2BFF13EAB1}"/>
    <cellStyle name="Note 5 5 4 3" xfId="20303" xr:uid="{D7571634-2B85-44A8-800B-CD999BAFC5C1}"/>
    <cellStyle name="Note 5 5 5" xfId="20304" xr:uid="{F9BD1967-64D1-4BDC-8012-B175138E89FA}"/>
    <cellStyle name="Note 5 5 6" xfId="20305" xr:uid="{7C788C04-0C85-40B6-B7A5-9890B1747D80}"/>
    <cellStyle name="Note 5 5_JE 5 2002.2 FED" xfId="20306" xr:uid="{235F4E02-6F05-4228-8B60-9565E369E138}"/>
    <cellStyle name="Note 5 6" xfId="20307" xr:uid="{65F03C8A-27F8-41A2-9DDA-166113D6A9FC}"/>
    <cellStyle name="Note 5 6 2" xfId="20308" xr:uid="{DF67D708-6D0B-4AB7-8A9B-18DA2AF80663}"/>
    <cellStyle name="Note 5 6 2 2" xfId="20309" xr:uid="{EC46C463-8FCD-4DFD-9D2C-F0A273852416}"/>
    <cellStyle name="Note 5 6 2 2 2" xfId="20310" xr:uid="{9217E4FD-E106-477C-9C6E-E3A053AFCACA}"/>
    <cellStyle name="Note 5 6 2 2 3" xfId="20311" xr:uid="{4F08353E-C84F-403C-A1AE-BA2231534CB6}"/>
    <cellStyle name="Note 5 6 2 3" xfId="20312" xr:uid="{2F229C5C-3E82-4540-AEF7-BDE2945010C1}"/>
    <cellStyle name="Note 5 6 2 3 2" xfId="20313" xr:uid="{1749D408-13D6-4B85-B6D0-C2D17AAA592B}"/>
    <cellStyle name="Note 5 6 2 3 3" xfId="20314" xr:uid="{80998494-74AC-4EDF-9CB3-CEF515C56A43}"/>
    <cellStyle name="Note 5 6 2 4" xfId="20315" xr:uid="{9F1C3D64-E2D5-4FF2-8A2D-90E200BCAD79}"/>
    <cellStyle name="Note 5 6 2 5" xfId="20316" xr:uid="{CBE2DEDC-2146-4FEE-A300-B2606C968A74}"/>
    <cellStyle name="Note 5 6 3" xfId="20317" xr:uid="{BD9C918B-FBE3-4EB7-B524-3B0A6203D01C}"/>
    <cellStyle name="Note 5 6 3 2" xfId="20318" xr:uid="{C8275A5A-1ABF-42E2-B5AD-AB41FDBC086C}"/>
    <cellStyle name="Note 5 6 3 3" xfId="20319" xr:uid="{D8E981C4-F10E-4475-B42A-85A41616A7B7}"/>
    <cellStyle name="Note 5 6 4" xfId="20320" xr:uid="{25132D65-6DD4-41D1-A377-5036CEB4FC9E}"/>
    <cellStyle name="Note 5 6 4 2" xfId="20321" xr:uid="{30482ED1-16D3-47E1-9B86-8102F70D9AD0}"/>
    <cellStyle name="Note 5 6 4 3" xfId="20322" xr:uid="{38B7C0BE-E6C5-47E8-96F8-F22AD0BD728D}"/>
    <cellStyle name="Note 5 6 5" xfId="20323" xr:uid="{6DF77945-C6E2-423A-AB72-881485B82F6B}"/>
    <cellStyle name="Note 5 6 6" xfId="20324" xr:uid="{822D7DB5-8BDF-4375-A771-E0407DA8670B}"/>
    <cellStyle name="Note 5 6_JE 5 2002.2 FED" xfId="20325" xr:uid="{273B5AFA-3637-491E-9B96-14A5B966C9AA}"/>
    <cellStyle name="Note 5 7" xfId="20326" xr:uid="{DA67DB93-9247-4EEF-AC15-C89A4C7070D5}"/>
    <cellStyle name="Note 5 7 2" xfId="20327" xr:uid="{55C97FC9-EFEE-41D3-9527-A7246D8AD020}"/>
    <cellStyle name="Note 5 7 2 2" xfId="20328" xr:uid="{7F50F6B6-1E7C-424F-AB84-1C6A0058D1EF}"/>
    <cellStyle name="Note 5 7 2 2 2" xfId="20329" xr:uid="{66ED5192-CDE4-4857-99EC-331CFCABC311}"/>
    <cellStyle name="Note 5 7 2 2 3" xfId="20330" xr:uid="{774F263E-0269-4DDF-8706-92E01821BA4F}"/>
    <cellStyle name="Note 5 7 2 3" xfId="20331" xr:uid="{D172BB60-0BB2-43BA-AA30-38953D23BE19}"/>
    <cellStyle name="Note 5 7 2 3 2" xfId="20332" xr:uid="{97CFD128-F50E-483F-8E05-0376004B0BFF}"/>
    <cellStyle name="Note 5 7 2 3 3" xfId="20333" xr:uid="{11DEB069-CC1C-4290-B5CF-4C15BD9A0D32}"/>
    <cellStyle name="Note 5 7 2 4" xfId="20334" xr:uid="{CED61884-4B6F-40A6-AB65-8945DF7F4EB5}"/>
    <cellStyle name="Note 5 7 2 5" xfId="20335" xr:uid="{4A5A1E74-48CF-4B82-AA2C-BD673469981F}"/>
    <cellStyle name="Note 5 7 3" xfId="20336" xr:uid="{87EE9800-2951-423C-BD43-977B1A1EE99D}"/>
    <cellStyle name="Note 5 7 3 2" xfId="20337" xr:uid="{B724CF4B-590D-4FC3-A138-5DDB5995C8E5}"/>
    <cellStyle name="Note 5 7 3 3" xfId="20338" xr:uid="{2DF139AF-D694-41A6-B57F-134E64A7150B}"/>
    <cellStyle name="Note 5 7 4" xfId="20339" xr:uid="{B69498D2-3FE9-468F-8491-7DBD4DA13F1C}"/>
    <cellStyle name="Note 5 7 4 2" xfId="20340" xr:uid="{B42105E3-527E-4A32-B091-6AFD717DFDC3}"/>
    <cellStyle name="Note 5 7 4 3" xfId="20341" xr:uid="{28D3476F-56EA-4CB6-9521-3AA4410335EE}"/>
    <cellStyle name="Note 5 7 5" xfId="20342" xr:uid="{35D663CA-4D21-479C-9D64-177F1A39FD17}"/>
    <cellStyle name="Note 5 7 6" xfId="20343" xr:uid="{61EE5BDA-619D-4488-B138-750C5FD7E596}"/>
    <cellStyle name="Note 5 7_JE 5 2002.2 FED" xfId="20344" xr:uid="{DFBEBC9F-4C12-4FC2-8CC3-DE5370072FA8}"/>
    <cellStyle name="Note 5 8" xfId="20345" xr:uid="{30DC0C44-84F7-45B8-8DC6-9468386F33E6}"/>
    <cellStyle name="Note 5 8 2" xfId="20346" xr:uid="{C665782A-EB78-48CD-ABFE-9328DA3D8889}"/>
    <cellStyle name="Note 5 8 2 2" xfId="20347" xr:uid="{29561D1D-6F61-4E17-B10B-30047BF0C6AA}"/>
    <cellStyle name="Note 5 8 2 2 2" xfId="20348" xr:uid="{1821EB82-A630-4CFA-AEFD-33BC10CAD8D1}"/>
    <cellStyle name="Note 5 8 2 2 3" xfId="20349" xr:uid="{E0BE603F-0127-4295-9ECF-04C121635B3C}"/>
    <cellStyle name="Note 5 8 2 3" xfId="20350" xr:uid="{A43ED43A-A31A-4A95-BAA4-913D0C6000CB}"/>
    <cellStyle name="Note 5 8 2 3 2" xfId="20351" xr:uid="{3D5F497D-CFD5-428F-8910-DE8552B7B4E4}"/>
    <cellStyle name="Note 5 8 2 3 3" xfId="20352" xr:uid="{2831164B-E2BE-4981-AB1A-9B3BDDFCD1A6}"/>
    <cellStyle name="Note 5 8 2 4" xfId="20353" xr:uid="{1BAB3B86-4DC8-41F0-A431-3B3617440432}"/>
    <cellStyle name="Note 5 8 2 5" xfId="20354" xr:uid="{DBBC5946-EACB-4B03-AA86-8336B0C52962}"/>
    <cellStyle name="Note 5 8 3" xfId="20355" xr:uid="{73205355-C554-48F1-8481-D5551145569B}"/>
    <cellStyle name="Note 5 8 3 2" xfId="20356" xr:uid="{2663F6E9-BD8D-48D3-823E-BB7E8CFD304C}"/>
    <cellStyle name="Note 5 8 3 3" xfId="20357" xr:uid="{3DFE4602-5C26-43DD-A71D-E8AEC06EE710}"/>
    <cellStyle name="Note 5 8 4" xfId="20358" xr:uid="{F704BAF5-5B85-4F17-96AF-F5032C317263}"/>
    <cellStyle name="Note 5 8 4 2" xfId="20359" xr:uid="{BBAFBC4D-F95B-4A20-8950-88CA5D47BA40}"/>
    <cellStyle name="Note 5 8 4 3" xfId="20360" xr:uid="{442D0FD3-9444-456D-8BA3-A4ACD045E738}"/>
    <cellStyle name="Note 5 8 5" xfId="20361" xr:uid="{0E83F949-9C1F-48E3-9C0C-ACA709F95EAE}"/>
    <cellStyle name="Note 5 8 6" xfId="20362" xr:uid="{6029ECEA-5050-4228-BFB7-399E93025404}"/>
    <cellStyle name="Note 5 8_JE 5 2002.2 FED" xfId="20363" xr:uid="{ECA0E472-A293-45F6-B8BB-03F3D2F83B30}"/>
    <cellStyle name="Note 5 9" xfId="20364" xr:uid="{8A15FE6E-C6E0-45AB-B114-67B1B3CEA67F}"/>
    <cellStyle name="Note 5 9 2" xfId="20365" xr:uid="{EB31AD04-D536-4081-96F6-1E3459BD28AE}"/>
    <cellStyle name="Note 5 9 2 2" xfId="20366" xr:uid="{66395905-743C-4E74-87E7-D7C3CF16E73E}"/>
    <cellStyle name="Note 5 9 2 2 2" xfId="20367" xr:uid="{DA65C887-C58A-4B51-BCB6-18B1C44231C0}"/>
    <cellStyle name="Note 5 9 2 2 3" xfId="20368" xr:uid="{EF995F66-E5AC-4720-8289-6EEA2757F88A}"/>
    <cellStyle name="Note 5 9 2 3" xfId="20369" xr:uid="{74979519-A2AB-4699-A48F-13CD601DBED0}"/>
    <cellStyle name="Note 5 9 2 3 2" xfId="20370" xr:uid="{48F51509-00BA-4DB8-A8D0-EFDA29138CEC}"/>
    <cellStyle name="Note 5 9 2 3 3" xfId="20371" xr:uid="{FF4CCF78-3BAF-4143-8B80-ACC5E8B2247B}"/>
    <cellStyle name="Note 5 9 2 4" xfId="20372" xr:uid="{2A662514-BB5C-416C-9ADD-CF3664B0F953}"/>
    <cellStyle name="Note 5 9 2 5" xfId="20373" xr:uid="{EF2784C6-D123-44AF-86FD-58A156F43AD3}"/>
    <cellStyle name="Note 5 9 3" xfId="20374" xr:uid="{69A3E64D-B638-400E-9100-CE88F1B68C0E}"/>
    <cellStyle name="Note 5 9 3 2" xfId="20375" xr:uid="{82DC8A2D-672B-4088-90DE-3239EE7FA16B}"/>
    <cellStyle name="Note 5 9 3 3" xfId="20376" xr:uid="{AA3DF3B1-66B5-42E0-95CC-F65BC854687D}"/>
    <cellStyle name="Note 5 9 4" xfId="20377" xr:uid="{D8FA5DE0-2E1C-4828-A1FA-EF83122AB9FA}"/>
    <cellStyle name="Note 5 9 4 2" xfId="20378" xr:uid="{9B55FF55-A5C2-4734-89E0-A40635D284D7}"/>
    <cellStyle name="Note 5 9 4 3" xfId="20379" xr:uid="{EAC0F525-4EC8-4664-A127-32D953CF883B}"/>
    <cellStyle name="Note 5 9 5" xfId="20380" xr:uid="{E1F49305-128C-4674-835F-3840AC41C064}"/>
    <cellStyle name="Note 5 9 6" xfId="20381" xr:uid="{BA48DE1E-9C61-468A-9378-4D0F08989211}"/>
    <cellStyle name="Note 5 9_JE 5 2002.2 FED" xfId="20382" xr:uid="{586ECCF5-D299-4BF2-BE6C-2D5CFE1683D6}"/>
    <cellStyle name="Note 5_JE 5 2002.2 FED" xfId="20383" xr:uid="{7E97A848-A997-4506-A2D1-965B47B86F22}"/>
    <cellStyle name="Note 50" xfId="42981" xr:uid="{AF358993-528B-4883-BA5B-FA6376F25E1F}"/>
    <cellStyle name="Note 51" xfId="42982" xr:uid="{14972EBA-A39C-4CD3-BD94-418813A30945}"/>
    <cellStyle name="Note 52" xfId="42983" xr:uid="{0F947140-B962-4948-9FCB-DA1FD265D23D}"/>
    <cellStyle name="Note 53" xfId="42984" xr:uid="{20B85D88-9500-4963-9A88-39B39793A67C}"/>
    <cellStyle name="Note 54" xfId="42985" xr:uid="{BE166899-ADB2-490E-A055-E71A2E128909}"/>
    <cellStyle name="Note 55" xfId="42986" xr:uid="{C4B02B03-919E-4894-B7C6-CDA582C3E26A}"/>
    <cellStyle name="Note 56" xfId="42987" xr:uid="{E7AF3A7F-0127-4905-BEFA-22607E994BD4}"/>
    <cellStyle name="Note 57" xfId="42988" xr:uid="{068371FF-C7D9-4F25-BDE7-D514DF5D94AD}"/>
    <cellStyle name="Note 58" xfId="42989" xr:uid="{5CD1E6FA-C73D-44F1-B9FC-D2DC09B63A06}"/>
    <cellStyle name="Note 59" xfId="42990" xr:uid="{E81A041F-5D25-458A-A22A-EE8573EB3014}"/>
    <cellStyle name="Note 6" xfId="20384" xr:uid="{8F99EFBD-17BF-4033-8D21-D2BD07D510E1}"/>
    <cellStyle name="Note 6 10" xfId="20385" xr:uid="{DFD56840-5568-4D56-BB19-7FD8546367D0}"/>
    <cellStyle name="Note 6 10 2" xfId="20386" xr:uid="{86B2A1D6-2030-4B1E-A5B7-504282874A37}"/>
    <cellStyle name="Note 6 10 2 2" xfId="20387" xr:uid="{A93CAFBF-2DBF-45F9-B5A9-25CB1719EA42}"/>
    <cellStyle name="Note 6 10 2 3" xfId="20388" xr:uid="{59B254C3-40D3-41CB-9990-19FAA541875A}"/>
    <cellStyle name="Note 6 10 3" xfId="20389" xr:uid="{A620E6FC-B506-40CC-9F75-DFF9AAD994F5}"/>
    <cellStyle name="Note 6 10 3 2" xfId="20390" xr:uid="{58CFC4C9-CC85-4AF2-947E-FF95278D9C3D}"/>
    <cellStyle name="Note 6 10 3 3" xfId="20391" xr:uid="{6F3CDD4C-5FF1-4B54-B8E7-E49EEE2329FF}"/>
    <cellStyle name="Note 6 10 4" xfId="20392" xr:uid="{C3E6F772-1DD2-4C46-8178-5C6617BBE7EF}"/>
    <cellStyle name="Note 6 10 5" xfId="20393" xr:uid="{D315EC3E-670B-4952-8F08-D75DCF613B20}"/>
    <cellStyle name="Note 6 11" xfId="20394" xr:uid="{67ACF4CE-1022-4223-A8B8-D668A4771CAE}"/>
    <cellStyle name="Note 6 11 2" xfId="20395" xr:uid="{6F9FE7E9-6A1A-4007-96AB-4AFE1D7AE368}"/>
    <cellStyle name="Note 6 11 3" xfId="20396" xr:uid="{DFEB751E-7711-485F-82CA-4064EC95DB02}"/>
    <cellStyle name="Note 6 11 4" xfId="20397" xr:uid="{77A6A456-61F7-4DEF-8863-239B4614EA16}"/>
    <cellStyle name="Note 6 11 5" xfId="20398" xr:uid="{A71B704B-27CF-4B88-BF2E-CE2A0F1DBF77}"/>
    <cellStyle name="Note 6 12" xfId="20399" xr:uid="{24CF3516-DA86-4F3A-9883-DBA25BB94A1B}"/>
    <cellStyle name="Note 6 12 2" xfId="20400" xr:uid="{3EEFC176-7A98-47F6-9C82-ADC36D00EA29}"/>
    <cellStyle name="Note 6 12 3" xfId="20401" xr:uid="{08B4BFAC-06F5-4D1F-B43F-0D77663A5BE6}"/>
    <cellStyle name="Note 6 13" xfId="20402" xr:uid="{C175AEB6-5CD9-487C-853D-AC85324D48E9}"/>
    <cellStyle name="Note 6 14" xfId="20403" xr:uid="{6A1730AE-DDDF-4346-A281-78A1C2AE64E8}"/>
    <cellStyle name="Note 6 15" xfId="20404" xr:uid="{8439D9CC-70D6-4229-ADD4-4C54B86585E8}"/>
    <cellStyle name="Note 6 16" xfId="42991" xr:uid="{32D1AECC-D62E-41D7-B490-7781A1C52BAA}"/>
    <cellStyle name="Note 6 17" xfId="43555" xr:uid="{4E429C86-79D9-4007-92FB-17B3C6F63E1B}"/>
    <cellStyle name="Note 6 2" xfId="20405" xr:uid="{BFB197A4-324D-4FEB-93D5-1EA5E29D154B}"/>
    <cellStyle name="Note 6 2 2" xfId="20406" xr:uid="{791830F4-AE9B-406C-B549-B0E9302C9336}"/>
    <cellStyle name="Note 6 2 2 2" xfId="20407" xr:uid="{E07D36A0-73E1-41D1-A126-F8792C4B2850}"/>
    <cellStyle name="Note 6 2 2 2 2" xfId="20408" xr:uid="{2141C0E7-F211-434A-B372-5A6E931FB031}"/>
    <cellStyle name="Note 6 2 2 2 3" xfId="20409" xr:uid="{00EA6B6A-0E60-4460-9525-B77E73531182}"/>
    <cellStyle name="Note 6 2 2 3" xfId="20410" xr:uid="{A0BB58DD-35F0-4245-8D30-6F4607911CEE}"/>
    <cellStyle name="Note 6 2 2 3 2" xfId="20411" xr:uid="{99009808-4ABD-4BBA-8E66-4EF8F393282E}"/>
    <cellStyle name="Note 6 2 2 3 3" xfId="20412" xr:uid="{EDF26D88-92CA-4C0A-BD5A-D923FE1A99C5}"/>
    <cellStyle name="Note 6 2 2 4" xfId="20413" xr:uid="{72A95A8C-5DD0-45CB-90A5-6CFF4040006A}"/>
    <cellStyle name="Note 6 2 2 5" xfId="20414" xr:uid="{5B7B8640-B477-49E8-B4BA-D75374FDCFE8}"/>
    <cellStyle name="Note 6 2 3" xfId="20415" xr:uid="{148C54C8-CC8E-463B-A339-98231AC706D4}"/>
    <cellStyle name="Note 6 2 3 2" xfId="20416" xr:uid="{2765990F-5676-4176-82F0-132C18F5B50F}"/>
    <cellStyle name="Note 6 2 3 3" xfId="20417" xr:uid="{9010FD8D-EDE6-4656-BD63-93E709AB0135}"/>
    <cellStyle name="Note 6 2 3 4" xfId="20418" xr:uid="{92F60EC2-5B96-4009-8057-40B306E1C2A5}"/>
    <cellStyle name="Note 6 2 3 5" xfId="20419" xr:uid="{4F35C5B3-3C40-4513-A70D-FF10BCC4E90D}"/>
    <cellStyle name="Note 6 2 4" xfId="20420" xr:uid="{31B0FEEA-C7FE-4C56-8681-3F6BB8803E25}"/>
    <cellStyle name="Note 6 2 4 2" xfId="20421" xr:uid="{55AA3778-D300-44BE-8B97-D0F00D3CAE07}"/>
    <cellStyle name="Note 6 2 4 3" xfId="20422" xr:uid="{0BDDD286-32F4-4EAB-8FCD-D66FAC1C0FB6}"/>
    <cellStyle name="Note 6 2 5" xfId="20423" xr:uid="{3EC81D9D-49A7-4361-B963-B51723BE5785}"/>
    <cellStyle name="Note 6 2 6" xfId="20424" xr:uid="{19891973-F0D8-4500-A9E1-9C9DAA34E20C}"/>
    <cellStyle name="Note 6 2 7" xfId="20425" xr:uid="{A654B750-862C-4709-8D80-640953F9FAB2}"/>
    <cellStyle name="Note 6 2 8" xfId="42992" xr:uid="{A7A45BF4-D63A-40D6-B020-D22C0DF26E2F}"/>
    <cellStyle name="Note 6 2_JE 5 2002.2 FED" xfId="20426" xr:uid="{926EDA8D-A9C5-49BE-BE51-6E5DBE7ED7D4}"/>
    <cellStyle name="Note 6 3" xfId="20427" xr:uid="{CCC493CF-4658-401B-9963-8D102B8129B1}"/>
    <cellStyle name="Note 6 3 2" xfId="20428" xr:uid="{24D04561-ECA4-45DD-97A5-51FE6C692501}"/>
    <cellStyle name="Note 6 3 2 2" xfId="20429" xr:uid="{1F075B46-C6DB-4B6F-9268-22D17CFDC479}"/>
    <cellStyle name="Note 6 3 2 2 2" xfId="20430" xr:uid="{EA6B892A-286F-4E63-AEE5-DEC4973948EC}"/>
    <cellStyle name="Note 6 3 2 2 3" xfId="20431" xr:uid="{8F33974B-2515-4F97-B6F3-76FD19E3BB9D}"/>
    <cellStyle name="Note 6 3 2 3" xfId="20432" xr:uid="{E20FA736-75FA-4C95-8ACE-5F2B9F49B8E5}"/>
    <cellStyle name="Note 6 3 2 3 2" xfId="20433" xr:uid="{AEDFF7D8-7D07-4F3D-A45E-A39E0E639796}"/>
    <cellStyle name="Note 6 3 2 3 3" xfId="20434" xr:uid="{A64AD7EE-B3F9-4D28-899A-D5A3DA8BCCF7}"/>
    <cellStyle name="Note 6 3 2 4" xfId="20435" xr:uid="{3D8D781B-B3BE-4003-BA2F-154C93642F76}"/>
    <cellStyle name="Note 6 3 2 5" xfId="20436" xr:uid="{6804A161-FCD2-4C38-8D5A-241218F41C45}"/>
    <cellStyle name="Note 6 3 3" xfId="20437" xr:uid="{3CE8017A-54F0-4BE4-A062-070AB0BE38CC}"/>
    <cellStyle name="Note 6 3 3 2" xfId="20438" xr:uid="{3E0A33D4-6488-4B70-8D91-FE6EE1B5E32D}"/>
    <cellStyle name="Note 6 3 3 3" xfId="20439" xr:uid="{D0E2F144-6A64-42EB-8B36-9D59C38C4348}"/>
    <cellStyle name="Note 6 3 3 4" xfId="20440" xr:uid="{7598C992-3766-46F8-9ABE-979060CB913E}"/>
    <cellStyle name="Note 6 3 3 5" xfId="20441" xr:uid="{FE8688BC-5F7B-4113-8CD3-DD39F68A5445}"/>
    <cellStyle name="Note 6 3 4" xfId="20442" xr:uid="{1870C1D9-FBD0-4FA4-A275-C535C46020A1}"/>
    <cellStyle name="Note 6 3 4 2" xfId="20443" xr:uid="{FC4DF3EA-D691-434D-A258-0574B96794C4}"/>
    <cellStyle name="Note 6 3 4 3" xfId="20444" xr:uid="{FBC0EC51-E90B-4CC1-B546-BC405F6C6DAE}"/>
    <cellStyle name="Note 6 3 5" xfId="20445" xr:uid="{059EA67E-5F7F-4C20-BAB7-0633CE69FFE2}"/>
    <cellStyle name="Note 6 3 6" xfId="20446" xr:uid="{EE094DEF-D9B2-4B6B-9A0B-44423EB3AE18}"/>
    <cellStyle name="Note 6 3 7" xfId="20447" xr:uid="{2B7C32C5-EDFC-41EB-ACA3-7ADD427B1DED}"/>
    <cellStyle name="Note 6 3_JE 5 2002.2 FED" xfId="20448" xr:uid="{1B1657A0-7AD1-4ECE-963E-0EA224099F0E}"/>
    <cellStyle name="Note 6 4" xfId="20449" xr:uid="{948E611B-5629-476C-9279-C026D0085A10}"/>
    <cellStyle name="Note 6 4 2" xfId="20450" xr:uid="{F66FDCD8-446B-4859-8DA7-6B8C343423EB}"/>
    <cellStyle name="Note 6 4 2 2" xfId="20451" xr:uid="{0CEF9AC0-1A2C-4793-AFA3-75C511827CDF}"/>
    <cellStyle name="Note 6 4 2 2 2" xfId="20452" xr:uid="{305D7E4A-E8C8-4883-844C-29174CFE682D}"/>
    <cellStyle name="Note 6 4 2 2 3" xfId="20453" xr:uid="{17116C47-30AF-46E9-8EEC-F8F787C16C63}"/>
    <cellStyle name="Note 6 4 2 3" xfId="20454" xr:uid="{2131D8CE-5958-4314-97C3-3E43DAB35D29}"/>
    <cellStyle name="Note 6 4 2 3 2" xfId="20455" xr:uid="{1011FB61-A8E6-4165-A5C7-540A9243F188}"/>
    <cellStyle name="Note 6 4 2 3 3" xfId="20456" xr:uid="{409349AD-373E-4CC7-A16C-799A35BC6648}"/>
    <cellStyle name="Note 6 4 2 4" xfId="20457" xr:uid="{600EE6ED-11AE-4B65-82B1-06314FC7B562}"/>
    <cellStyle name="Note 6 4 2 5" xfId="20458" xr:uid="{C7260268-33B1-4E46-9B0E-FC0B49D716B2}"/>
    <cellStyle name="Note 6 4 3" xfId="20459" xr:uid="{9B5E235C-495E-48AA-8DF1-66DB04334785}"/>
    <cellStyle name="Note 6 4 3 2" xfId="20460" xr:uid="{0F743D3B-91CB-4DA5-B979-0A74C38D7130}"/>
    <cellStyle name="Note 6 4 3 3" xfId="20461" xr:uid="{DF98B9E0-11AE-44B7-9841-8D0FDD673E7D}"/>
    <cellStyle name="Note 6 4 4" xfId="20462" xr:uid="{24D0574E-C043-4F6C-AEF4-287133CCBC34}"/>
    <cellStyle name="Note 6 4 4 2" xfId="20463" xr:uid="{A1CF4F91-3755-4F1B-8D2E-AB9A73DFCA60}"/>
    <cellStyle name="Note 6 4 4 3" xfId="20464" xr:uid="{0706C360-274C-441D-AD91-03B0452B4864}"/>
    <cellStyle name="Note 6 4 5" xfId="20465" xr:uid="{EBF5CC60-6FF6-48D9-82C2-625AD19B6343}"/>
    <cellStyle name="Note 6 4 6" xfId="20466" xr:uid="{DDC3E773-18A3-4AF1-A29D-E2CB8E8AF70D}"/>
    <cellStyle name="Note 6 4_JE 5 2002.2 FED" xfId="20467" xr:uid="{61DB668C-6117-4997-805C-2F3090980A4B}"/>
    <cellStyle name="Note 6 5" xfId="20468" xr:uid="{5F318D54-4BAE-4FDA-8E00-16B26A8C289A}"/>
    <cellStyle name="Note 6 5 2" xfId="20469" xr:uid="{E373A281-0481-417C-8F6C-2FD24EBB9779}"/>
    <cellStyle name="Note 6 5 2 2" xfId="20470" xr:uid="{3E28D895-7396-4AFB-A525-0EB9AC1794A1}"/>
    <cellStyle name="Note 6 5 2 2 2" xfId="20471" xr:uid="{1007183B-46DF-48CB-B94D-87DA020557C1}"/>
    <cellStyle name="Note 6 5 2 2 3" xfId="20472" xr:uid="{F582C1DA-9691-4851-8F0E-3D747AA76E6B}"/>
    <cellStyle name="Note 6 5 2 3" xfId="20473" xr:uid="{1EB4AB6B-37A0-4F9C-BD80-0AC99B69791D}"/>
    <cellStyle name="Note 6 5 2 3 2" xfId="20474" xr:uid="{7182D968-19BA-4FF5-AC93-E4EDCDFAA904}"/>
    <cellStyle name="Note 6 5 2 3 3" xfId="20475" xr:uid="{7B3AC627-B197-4C85-8B8C-4C356FDBC4F2}"/>
    <cellStyle name="Note 6 5 2 4" xfId="20476" xr:uid="{7ACE3A38-8E95-473C-840C-E812CCF591C3}"/>
    <cellStyle name="Note 6 5 2 5" xfId="20477" xr:uid="{6676580D-BDC9-40E7-8D32-118751E829DB}"/>
    <cellStyle name="Note 6 5 3" xfId="20478" xr:uid="{68025DC9-52C5-4475-81F6-C4CEE866A761}"/>
    <cellStyle name="Note 6 5 3 2" xfId="20479" xr:uid="{88B2A8A7-1394-4577-8DAC-9E8DAAF9273D}"/>
    <cellStyle name="Note 6 5 3 3" xfId="20480" xr:uid="{D847DE1A-01E9-481A-B56C-A814B623DE4D}"/>
    <cellStyle name="Note 6 5 4" xfId="20481" xr:uid="{F7CEB8DE-B84B-42F1-A5E7-3481184FCE8B}"/>
    <cellStyle name="Note 6 5 4 2" xfId="20482" xr:uid="{472B6274-A084-4CFE-90B9-E81F898CEEB5}"/>
    <cellStyle name="Note 6 5 4 3" xfId="20483" xr:uid="{855EABE6-2EA5-41CA-91AF-795904B0A1EC}"/>
    <cellStyle name="Note 6 5 5" xfId="20484" xr:uid="{57AC6714-E8FA-4D01-BDBF-22AA3746162D}"/>
    <cellStyle name="Note 6 5 6" xfId="20485" xr:uid="{04D8CC46-4940-4905-BA08-7DC4EF0BFD20}"/>
    <cellStyle name="Note 6 5_JE 5 2002.2 FED" xfId="20486" xr:uid="{A16755A9-7387-458F-8793-A2E14760A8BF}"/>
    <cellStyle name="Note 6 6" xfId="20487" xr:uid="{68905723-CE9D-48F8-B05A-6523279B98FA}"/>
    <cellStyle name="Note 6 6 2" xfId="20488" xr:uid="{C885ADC5-B1D5-4D22-9F2A-579B166BC66D}"/>
    <cellStyle name="Note 6 6 2 2" xfId="20489" xr:uid="{7A5CE052-76F7-4524-8E0D-AD0166ABF028}"/>
    <cellStyle name="Note 6 6 2 2 2" xfId="20490" xr:uid="{4414F4EE-09D6-4D18-A62A-EA1083F280B6}"/>
    <cellStyle name="Note 6 6 2 2 3" xfId="20491" xr:uid="{CE673ABA-4AF1-4EB3-ACD2-2B6634A6CA32}"/>
    <cellStyle name="Note 6 6 2 3" xfId="20492" xr:uid="{63447351-95A3-48A1-9DEE-DBCBEAC4A1DE}"/>
    <cellStyle name="Note 6 6 2 3 2" xfId="20493" xr:uid="{8E698E86-3680-4D17-8310-F221E06CFE8F}"/>
    <cellStyle name="Note 6 6 2 3 3" xfId="20494" xr:uid="{1BBAD93E-8D37-4A6B-A1B9-9175767E2815}"/>
    <cellStyle name="Note 6 6 2 4" xfId="20495" xr:uid="{3127AB5B-985C-4B71-A7F0-9EE1468F624B}"/>
    <cellStyle name="Note 6 6 2 5" xfId="20496" xr:uid="{7DD3AA25-070A-4AA3-A3D2-82A23C942013}"/>
    <cellStyle name="Note 6 6 3" xfId="20497" xr:uid="{F1F034C7-3E84-48AE-84FA-5A07975C8E96}"/>
    <cellStyle name="Note 6 6 3 2" xfId="20498" xr:uid="{DFD8629A-347B-4D1E-811D-148A26D69928}"/>
    <cellStyle name="Note 6 6 3 3" xfId="20499" xr:uid="{8E7ABCB5-DFBA-4944-B8A9-E81AF12F25B5}"/>
    <cellStyle name="Note 6 6 4" xfId="20500" xr:uid="{B591BFEF-66C8-44CB-94AF-CAA08C661B94}"/>
    <cellStyle name="Note 6 6 4 2" xfId="20501" xr:uid="{9EDDBD3E-CCA9-4C0E-8035-784EED2EF339}"/>
    <cellStyle name="Note 6 6 4 3" xfId="20502" xr:uid="{5D7A5155-675A-4746-B557-0287DE8730ED}"/>
    <cellStyle name="Note 6 6 5" xfId="20503" xr:uid="{5CBBF44D-4A81-47B2-9A83-7EFE2D54374A}"/>
    <cellStyle name="Note 6 6 6" xfId="20504" xr:uid="{8D665B27-A3FD-419C-86F6-A0A1FABC8097}"/>
    <cellStyle name="Note 6 6_JE 5 2002.2 FED" xfId="20505" xr:uid="{9FFEF2A8-474C-4C21-A1FD-130171598D56}"/>
    <cellStyle name="Note 6 7" xfId="20506" xr:uid="{BB8D7B39-E00C-4635-AAC1-71F954E69A54}"/>
    <cellStyle name="Note 6 7 2" xfId="20507" xr:uid="{3AFB1AAB-9D73-4226-AB79-1DD8744EFED7}"/>
    <cellStyle name="Note 6 7 2 2" xfId="20508" xr:uid="{16C9E774-8377-4D12-AC8B-1064E8E19ABD}"/>
    <cellStyle name="Note 6 7 2 2 2" xfId="20509" xr:uid="{0F83B68F-FD2D-4150-94E6-679AC77D595C}"/>
    <cellStyle name="Note 6 7 2 2 3" xfId="20510" xr:uid="{60774CC5-E461-4246-A1AA-3FBF5A3685AE}"/>
    <cellStyle name="Note 6 7 2 3" xfId="20511" xr:uid="{6D854164-383F-4D2A-B68D-E4421A2C8166}"/>
    <cellStyle name="Note 6 7 2 3 2" xfId="20512" xr:uid="{B72C180F-F8E3-42D2-8221-0FB8FEFFCC85}"/>
    <cellStyle name="Note 6 7 2 3 3" xfId="20513" xr:uid="{D2142020-C15E-42C1-BBBE-4F68DE669DF0}"/>
    <cellStyle name="Note 6 7 2 4" xfId="20514" xr:uid="{AAA3939F-FF5C-41A3-84C4-1A05E5A9024F}"/>
    <cellStyle name="Note 6 7 2 5" xfId="20515" xr:uid="{79D13330-AA69-48E1-8AF3-D24E88F441DC}"/>
    <cellStyle name="Note 6 7 3" xfId="20516" xr:uid="{3AE7862D-4EB3-49CF-95B1-05D8134437C7}"/>
    <cellStyle name="Note 6 7 3 2" xfId="20517" xr:uid="{FD0E56B2-5AF1-40A5-8B18-B9C54F6A4421}"/>
    <cellStyle name="Note 6 7 3 3" xfId="20518" xr:uid="{D3E82BA0-CD39-44DD-BA86-EF395BC0CE54}"/>
    <cellStyle name="Note 6 7 4" xfId="20519" xr:uid="{B2BE6547-5043-4EDF-9C0F-D3105BC1B360}"/>
    <cellStyle name="Note 6 7 4 2" xfId="20520" xr:uid="{162AF5CD-B471-4B9C-AD03-F0AA20D4B7F2}"/>
    <cellStyle name="Note 6 7 4 3" xfId="20521" xr:uid="{4280D41C-E4DB-4CB0-AC96-5DE4D0F6A910}"/>
    <cellStyle name="Note 6 7 5" xfId="20522" xr:uid="{D34BE396-1E83-4B8F-94F3-DA5862144CCD}"/>
    <cellStyle name="Note 6 7 6" xfId="20523" xr:uid="{194C92FF-D20F-4DDB-9BDC-44A98E936085}"/>
    <cellStyle name="Note 6 7_JE 5 2002.2 FED" xfId="20524" xr:uid="{8AF0D52F-FD23-45C0-B2D4-A54A1A7E8A48}"/>
    <cellStyle name="Note 6 8" xfId="20525" xr:uid="{A59FCF6F-674B-4751-B6C0-53AAF1D6674C}"/>
    <cellStyle name="Note 6 8 2" xfId="20526" xr:uid="{F4757CEB-0E44-4A75-A883-DCF97ED7A7B3}"/>
    <cellStyle name="Note 6 8 2 2" xfId="20527" xr:uid="{97E73588-8804-4372-A3A5-C8344A49D9DF}"/>
    <cellStyle name="Note 6 8 2 2 2" xfId="20528" xr:uid="{2ECD7562-17A8-451C-AC1F-7A11E0654415}"/>
    <cellStyle name="Note 6 8 2 2 3" xfId="20529" xr:uid="{44E97350-CBAE-4E63-9A27-6FED04A552BC}"/>
    <cellStyle name="Note 6 8 2 3" xfId="20530" xr:uid="{DA9C0D21-3ADA-4A41-A81E-2DC5B6C8CB94}"/>
    <cellStyle name="Note 6 8 2 3 2" xfId="20531" xr:uid="{F132DBB1-F82D-4DD1-A347-02941AF96F7E}"/>
    <cellStyle name="Note 6 8 2 3 3" xfId="20532" xr:uid="{A5C635CC-8FA6-468E-B185-C27951AAA963}"/>
    <cellStyle name="Note 6 8 2 4" xfId="20533" xr:uid="{88EF0713-9446-4AF6-AAD2-B98C0583D9F9}"/>
    <cellStyle name="Note 6 8 2 5" xfId="20534" xr:uid="{13867B2F-8B9B-4A7C-93CB-FD233A116A49}"/>
    <cellStyle name="Note 6 8 3" xfId="20535" xr:uid="{20EA4B42-A619-4F13-9C18-36B7AE2BA507}"/>
    <cellStyle name="Note 6 8 3 2" xfId="20536" xr:uid="{3B770F87-12EF-4366-870F-39AB4E2E209A}"/>
    <cellStyle name="Note 6 8 3 3" xfId="20537" xr:uid="{8928F442-1C9A-4EE9-9A75-B2A2AC900631}"/>
    <cellStyle name="Note 6 8 4" xfId="20538" xr:uid="{331B5492-9CDD-46E6-A8E7-BF1F66B56C27}"/>
    <cellStyle name="Note 6 8 4 2" xfId="20539" xr:uid="{25510710-EFE1-4E11-B0AD-1E4F5939E73E}"/>
    <cellStyle name="Note 6 8 4 3" xfId="20540" xr:uid="{78ED52C0-BA44-493F-9FE8-0FCA2E3A1B3D}"/>
    <cellStyle name="Note 6 8 5" xfId="20541" xr:uid="{C10C1A10-185F-4CF8-9AFB-5C1536F527CE}"/>
    <cellStyle name="Note 6 8 6" xfId="20542" xr:uid="{FADBF1F0-97C6-49D9-A6BD-0CB973506B65}"/>
    <cellStyle name="Note 6 8_JE 5 2002.2 FED" xfId="20543" xr:uid="{6854AC79-545C-438F-8F46-951009F7751C}"/>
    <cellStyle name="Note 6 9" xfId="20544" xr:uid="{2069BB11-720C-42FE-A2F6-C58864CAD734}"/>
    <cellStyle name="Note 6 9 2" xfId="20545" xr:uid="{7925CB95-7E0B-499D-AFEE-CAA34FFCEF32}"/>
    <cellStyle name="Note 6 9 2 2" xfId="20546" xr:uid="{3D4C122D-B1D4-49FD-9E60-76482906295C}"/>
    <cellStyle name="Note 6 9 2 2 2" xfId="20547" xr:uid="{8BCF828A-4ECB-4D46-9DCA-3295B793312F}"/>
    <cellStyle name="Note 6 9 2 2 3" xfId="20548" xr:uid="{DF1FD0DD-96BB-46C1-9BC0-18DD862A6422}"/>
    <cellStyle name="Note 6 9 2 3" xfId="20549" xr:uid="{30F43CA0-1790-4501-A175-50CE4D6708D6}"/>
    <cellStyle name="Note 6 9 2 3 2" xfId="20550" xr:uid="{0891D7C9-D8BB-4DAF-AFEE-02252E41311E}"/>
    <cellStyle name="Note 6 9 2 3 3" xfId="20551" xr:uid="{A7468062-B0CF-4917-9B9C-323034260C84}"/>
    <cellStyle name="Note 6 9 2 4" xfId="20552" xr:uid="{C72039C9-E926-452C-BC9A-0070A91B1057}"/>
    <cellStyle name="Note 6 9 2 5" xfId="20553" xr:uid="{71C832F0-584B-488D-AD04-486781B5F421}"/>
    <cellStyle name="Note 6 9 3" xfId="20554" xr:uid="{5BCA6A27-7223-406F-B356-7D54FF97428E}"/>
    <cellStyle name="Note 6 9 3 2" xfId="20555" xr:uid="{123434CF-1E47-4FD1-B84E-F3B6EA83C632}"/>
    <cellStyle name="Note 6 9 3 3" xfId="20556" xr:uid="{F2625FE3-865A-434C-B321-A78776E88EF1}"/>
    <cellStyle name="Note 6 9 4" xfId="20557" xr:uid="{50F18B4B-8860-42AB-BE9E-0C1878365638}"/>
    <cellStyle name="Note 6 9 4 2" xfId="20558" xr:uid="{26340028-A0AF-4034-A973-F3E0704638F8}"/>
    <cellStyle name="Note 6 9 4 3" xfId="20559" xr:uid="{2980C098-C6A7-40F4-9000-6F68EEDFAB94}"/>
    <cellStyle name="Note 6 9 5" xfId="20560" xr:uid="{EC14B747-90B6-4DB6-AC7D-9D8E9D365ACB}"/>
    <cellStyle name="Note 6 9 6" xfId="20561" xr:uid="{C8407B73-0D6D-4075-B0C7-CA840D25CF99}"/>
    <cellStyle name="Note 6 9_JE 5 2002.2 FED" xfId="20562" xr:uid="{1EE41E71-C8CD-40B2-A580-5489E3788EAA}"/>
    <cellStyle name="Note 6_JE 5 2002.2 FED" xfId="20563" xr:uid="{AE813E9A-0D3E-4BEB-B67F-1E633227BF27}"/>
    <cellStyle name="Note 60" xfId="42993" xr:uid="{DDFC4697-85EB-4975-B83F-B76D5F736E6A}"/>
    <cellStyle name="Note 61" xfId="42994" xr:uid="{06DBC2F9-ED0D-46D0-B4F8-B66AE8B19438}"/>
    <cellStyle name="Note 62" xfId="42995" xr:uid="{05C1BFB8-721C-469B-95CA-A3B749BD94D4}"/>
    <cellStyle name="Note 63" xfId="42996" xr:uid="{10D712EF-7F4D-4A5C-A6F9-71812D31F46F}"/>
    <cellStyle name="Note 64" xfId="42997" xr:uid="{72BBDF34-D22B-44BA-8534-7FE912B7D715}"/>
    <cellStyle name="Note 65" xfId="42998" xr:uid="{E1A4C739-C233-41BE-862E-DE56FDB95A14}"/>
    <cellStyle name="Note 66" xfId="42999" xr:uid="{4F43E189-DD8C-4058-B72B-F9442BEB9AC0}"/>
    <cellStyle name="Note 67" xfId="43000" xr:uid="{5342F185-F360-4740-80E9-D7063BBF2F68}"/>
    <cellStyle name="Note 68" xfId="43001" xr:uid="{4E66C2FF-7878-4A56-A1FB-A9F95F87DD30}"/>
    <cellStyle name="Note 69" xfId="43002" xr:uid="{55C79646-57B5-44CE-8EAC-4E3FEC987FD3}"/>
    <cellStyle name="Note 7" xfId="20564" xr:uid="{79091FB6-0094-4054-A76E-532327452718}"/>
    <cellStyle name="Note 7 10" xfId="20565" xr:uid="{DD29DB53-5DC4-4A5E-9A82-99EB6402BE7E}"/>
    <cellStyle name="Note 7 11" xfId="20566" xr:uid="{5DA21754-2BAA-4CE6-B7C7-BA798BE522F5}"/>
    <cellStyle name="Note 7 12" xfId="43003" xr:uid="{A696960C-1D68-4A30-80E8-273A70E1FF33}"/>
    <cellStyle name="Note 7 2" xfId="20567" xr:uid="{4E732476-0404-46EE-9297-37B63F7CD1EE}"/>
    <cellStyle name="Note 7 2 2" xfId="20568" xr:uid="{DFCC2D73-27BB-4238-A921-46B0F08BEBF0}"/>
    <cellStyle name="Note 7 2 2 2" xfId="20569" xr:uid="{BF107A47-D489-45F6-9831-E90197CC0BDD}"/>
    <cellStyle name="Note 7 2 2 2 2" xfId="20570" xr:uid="{E6078B5D-3D0D-43D7-8A44-6F9535C1CEB2}"/>
    <cellStyle name="Note 7 2 2 2 3" xfId="20571" xr:uid="{7692FF3A-5940-473A-A1C9-0DF6B5316664}"/>
    <cellStyle name="Note 7 2 2 3" xfId="20572" xr:uid="{BBE0373F-A741-4E30-AEE4-A54BE2B58F6B}"/>
    <cellStyle name="Note 7 2 2 3 2" xfId="20573" xr:uid="{7F76651C-ADF3-4E06-AE49-7BF8C80206C2}"/>
    <cellStyle name="Note 7 2 2 3 3" xfId="20574" xr:uid="{751872A1-3F6A-4C70-B68F-E975A0252D88}"/>
    <cellStyle name="Note 7 2 2 4" xfId="20575" xr:uid="{16FE4C4A-CA63-4842-9ED8-03D062AF2500}"/>
    <cellStyle name="Note 7 2 2 5" xfId="20576" xr:uid="{0C466A31-40F1-41DE-8DB9-5E72FF030498}"/>
    <cellStyle name="Note 7 2 3" xfId="20577" xr:uid="{490D2FBB-92D7-492B-BC5A-A0BF59931D65}"/>
    <cellStyle name="Note 7 2 3 2" xfId="20578" xr:uid="{FFBDB8EB-2FB2-4112-A17E-8CC4BD4371FA}"/>
    <cellStyle name="Note 7 2 3 3" xfId="20579" xr:uid="{2DB13982-F88C-4C62-ACD9-35DBEF8F550B}"/>
    <cellStyle name="Note 7 2 3 4" xfId="20580" xr:uid="{82B17155-0469-44A2-9860-946C48C15C3A}"/>
    <cellStyle name="Note 7 2 3 5" xfId="20581" xr:uid="{10F08171-A439-485A-A3D9-3889290FCA90}"/>
    <cellStyle name="Note 7 2 4" xfId="20582" xr:uid="{AA68D2FF-CADB-4DC0-B87E-402A259BC32D}"/>
    <cellStyle name="Note 7 2 4 2" xfId="20583" xr:uid="{A986B894-63E6-4623-B8F7-3F105F6F7D36}"/>
    <cellStyle name="Note 7 2 4 3" xfId="20584" xr:uid="{BAF5D39A-2B71-4799-B730-B77083FA08AA}"/>
    <cellStyle name="Note 7 2 5" xfId="20585" xr:uid="{709ACFBF-9EDD-43B9-932B-F01D860C04C2}"/>
    <cellStyle name="Note 7 2 6" xfId="20586" xr:uid="{EBB09B2F-E957-432C-89C1-14BA9DBE4733}"/>
    <cellStyle name="Note 7 2 7" xfId="20587" xr:uid="{4133681F-13E7-47E1-9721-EF794DC777CE}"/>
    <cellStyle name="Note 7 2_JE 5 2002.2 FED" xfId="20588" xr:uid="{F9325BB7-E68F-4095-ACBE-953BED3E81BA}"/>
    <cellStyle name="Note 7 3" xfId="20589" xr:uid="{7FD2CC99-F11C-47F1-9610-978FF9D3F3B1}"/>
    <cellStyle name="Note 7 3 2" xfId="20590" xr:uid="{37EB8D3F-99D3-4A98-9387-647C2BBCED25}"/>
    <cellStyle name="Note 7 3 2 2" xfId="20591" xr:uid="{1D916E14-EAB0-45A0-BC9E-4DF775DE1F88}"/>
    <cellStyle name="Note 7 3 2 2 2" xfId="20592" xr:uid="{25C73278-F5E1-4B28-B205-DE3662EA0D5D}"/>
    <cellStyle name="Note 7 3 2 2 3" xfId="20593" xr:uid="{012CE3AE-74A1-4C08-B01D-8297B7D1719E}"/>
    <cellStyle name="Note 7 3 2 3" xfId="20594" xr:uid="{248D87DB-8986-45D0-A601-E6EF5EB0A802}"/>
    <cellStyle name="Note 7 3 2 3 2" xfId="20595" xr:uid="{A149AF70-3558-41DF-BA45-1DCA75AAC3CA}"/>
    <cellStyle name="Note 7 3 2 3 3" xfId="20596" xr:uid="{0A90B3EA-7B69-49C2-AD7D-FE9185E27259}"/>
    <cellStyle name="Note 7 3 2 4" xfId="20597" xr:uid="{5F357CC2-CF76-42E0-AB67-528520FB9304}"/>
    <cellStyle name="Note 7 3 2 5" xfId="20598" xr:uid="{914866A6-C65E-42F0-A422-486DB52F172E}"/>
    <cellStyle name="Note 7 3 3" xfId="20599" xr:uid="{350195BA-CEE1-4A53-ABF0-8E85798EB104}"/>
    <cellStyle name="Note 7 3 3 2" xfId="20600" xr:uid="{96DE63ED-1154-42A4-B4F0-5BDAE14830C7}"/>
    <cellStyle name="Note 7 3 3 3" xfId="20601" xr:uid="{10623567-269D-42D6-8E49-FEAD17972AEE}"/>
    <cellStyle name="Note 7 3 3 4" xfId="20602" xr:uid="{6676B166-E247-47D5-80A5-554CC8FF6FB0}"/>
    <cellStyle name="Note 7 3 3 5" xfId="20603" xr:uid="{9A9702BA-5952-4815-91AE-561F281DB400}"/>
    <cellStyle name="Note 7 3 4" xfId="20604" xr:uid="{0322749F-AF45-499B-9838-D4E1E7908CC1}"/>
    <cellStyle name="Note 7 3 4 2" xfId="20605" xr:uid="{AE8EAD6A-A509-4057-8591-71EB6B64D9DB}"/>
    <cellStyle name="Note 7 3 4 3" xfId="20606" xr:uid="{87BCE02E-F275-401C-8100-8D084503CD81}"/>
    <cellStyle name="Note 7 3 5" xfId="20607" xr:uid="{9474BC12-A8B7-4934-930F-6A27087B8D17}"/>
    <cellStyle name="Note 7 3 6" xfId="20608" xr:uid="{60AB4702-0A59-4B04-890A-308DA6132E6B}"/>
    <cellStyle name="Note 7 3 7" xfId="20609" xr:uid="{62B6AAC6-5DB2-4EFB-9FCC-6A38CBF0A202}"/>
    <cellStyle name="Note 7 3_JE 5 2002.2 FED" xfId="20610" xr:uid="{2F2100E9-4C5E-4B87-ADA2-CC6BB6635705}"/>
    <cellStyle name="Note 7 4" xfId="20611" xr:uid="{00A9F63F-36F7-459D-8D53-17B5DE5BFF48}"/>
    <cellStyle name="Note 7 4 2" xfId="20612" xr:uid="{AA46295E-EAF8-4572-A6B1-DFB026AEC4B5}"/>
    <cellStyle name="Note 7 4 2 2" xfId="20613" xr:uid="{15248FB2-0CF4-4D9A-8248-6A9F56315C33}"/>
    <cellStyle name="Note 7 4 2 2 2" xfId="20614" xr:uid="{296B4E33-DD0E-479A-8A30-3177CE70F757}"/>
    <cellStyle name="Note 7 4 2 2 3" xfId="20615" xr:uid="{877DFBE5-07CA-4160-98C2-E9A50EC0ABA0}"/>
    <cellStyle name="Note 7 4 2 3" xfId="20616" xr:uid="{FA19D4F3-6350-4CE6-844B-BEB4A2E186A6}"/>
    <cellStyle name="Note 7 4 2 3 2" xfId="20617" xr:uid="{B25E677C-53A3-42A5-8DE0-A4F9AD321951}"/>
    <cellStyle name="Note 7 4 2 3 3" xfId="20618" xr:uid="{3DF60D86-1C21-4963-9598-C54181938F95}"/>
    <cellStyle name="Note 7 4 2 4" xfId="20619" xr:uid="{586C4DA5-113A-45B3-887C-7FB1F2092AE7}"/>
    <cellStyle name="Note 7 4 2 5" xfId="20620" xr:uid="{2295FD7F-A5E2-4C10-B25B-B1960DD36509}"/>
    <cellStyle name="Note 7 4 3" xfId="20621" xr:uid="{A535A9AD-7113-44AD-9548-CABBEAEA787C}"/>
    <cellStyle name="Note 7 4 3 2" xfId="20622" xr:uid="{89F150AE-A09E-4F9A-B1D3-860E9A55A6BE}"/>
    <cellStyle name="Note 7 4 3 3" xfId="20623" xr:uid="{105F68C8-224C-44CF-AE68-DB69EF97F804}"/>
    <cellStyle name="Note 7 4 4" xfId="20624" xr:uid="{A554858C-E2BF-408E-9D26-4E06892B4F8C}"/>
    <cellStyle name="Note 7 4 4 2" xfId="20625" xr:uid="{9D29E0BD-E21F-4FDC-BBB6-B0BC78ABC788}"/>
    <cellStyle name="Note 7 4 4 3" xfId="20626" xr:uid="{857E6D61-93AD-436A-AE68-7FB281A466D4}"/>
    <cellStyle name="Note 7 4 5" xfId="20627" xr:uid="{54541A4A-42B4-4436-ADB8-0FC6267CA27E}"/>
    <cellStyle name="Note 7 4 6" xfId="20628" xr:uid="{CDC51132-80ED-4035-B404-0B11347E80B9}"/>
    <cellStyle name="Note 7 4_JE 5 2002.2 FED" xfId="20629" xr:uid="{5B9A2269-944E-46BD-9655-95A66ACCD51B}"/>
    <cellStyle name="Note 7 5" xfId="20630" xr:uid="{AB132475-B42D-44BF-A2DF-4D886D2FFBDE}"/>
    <cellStyle name="Note 7 5 2" xfId="20631" xr:uid="{81EE1E45-E933-4143-91A5-0A94396570DD}"/>
    <cellStyle name="Note 7 5 2 2" xfId="20632" xr:uid="{B5A1CAB3-B181-47B9-A576-1F76CEFACD7A}"/>
    <cellStyle name="Note 7 5 2 2 2" xfId="20633" xr:uid="{D1FBA739-DCF3-44A2-A0AC-D392D5708E53}"/>
    <cellStyle name="Note 7 5 2 2 3" xfId="20634" xr:uid="{FF95974F-2941-4F7A-89CA-2EE3E365BD2B}"/>
    <cellStyle name="Note 7 5 2 3" xfId="20635" xr:uid="{08C8256A-9D94-470D-B960-552CAC8310E3}"/>
    <cellStyle name="Note 7 5 2 3 2" xfId="20636" xr:uid="{608FD831-1213-47D3-B95F-42C8B2115348}"/>
    <cellStyle name="Note 7 5 2 3 3" xfId="20637" xr:uid="{AC48F4DE-6898-4CAF-AE0F-491A608F6297}"/>
    <cellStyle name="Note 7 5 2 4" xfId="20638" xr:uid="{00823A3D-99DD-43E7-9EDD-44D961BB21F5}"/>
    <cellStyle name="Note 7 5 2 5" xfId="20639" xr:uid="{0467ED51-2C3E-4299-83BD-B626831B6626}"/>
    <cellStyle name="Note 7 5 3" xfId="20640" xr:uid="{686A0B45-5866-4B78-A306-36FABBDEBC6D}"/>
    <cellStyle name="Note 7 5 3 2" xfId="20641" xr:uid="{4CC5B98C-25F6-41A6-B963-32C5C4E31291}"/>
    <cellStyle name="Note 7 5 3 3" xfId="20642" xr:uid="{03AB557D-C933-4215-86A2-DEF07C7A93BF}"/>
    <cellStyle name="Note 7 5 4" xfId="20643" xr:uid="{7F34A1D4-AB0A-4B41-BAA5-8C5141E7566F}"/>
    <cellStyle name="Note 7 5 4 2" xfId="20644" xr:uid="{CB8BE9CA-95A9-414A-B721-DEA7FFD9C905}"/>
    <cellStyle name="Note 7 5 4 3" xfId="20645" xr:uid="{6206EB42-7F30-45FF-A4DA-3DE3BE50367C}"/>
    <cellStyle name="Note 7 5 5" xfId="20646" xr:uid="{AA6942E2-F7E1-433E-B72E-D9778D739489}"/>
    <cellStyle name="Note 7 5 6" xfId="20647" xr:uid="{9D96682D-44F2-4615-BC9B-C7AB2D6BBF8B}"/>
    <cellStyle name="Note 7 5_JE 5 2002.2 FED" xfId="20648" xr:uid="{84FC1C81-DD35-4CF9-9DE0-4ECFFFED481C}"/>
    <cellStyle name="Note 7 6" xfId="20649" xr:uid="{778B558F-2309-4E44-BE5D-B4D13989C0B3}"/>
    <cellStyle name="Note 7 6 2" xfId="20650" xr:uid="{ACD96346-65B0-4F42-853F-4DBAD34611A6}"/>
    <cellStyle name="Note 7 6 2 2" xfId="20651" xr:uid="{75789300-B5D0-4C66-99DC-ADF6B8393131}"/>
    <cellStyle name="Note 7 6 2 3" xfId="20652" xr:uid="{55242DB0-5310-42D8-BBF6-485A77BCC514}"/>
    <cellStyle name="Note 7 6 3" xfId="20653" xr:uid="{FD4B5DF9-0FA5-48E5-B132-6BD95A0E0BBB}"/>
    <cellStyle name="Note 7 6 3 2" xfId="20654" xr:uid="{E74AA262-52C8-43A8-AFB0-A84D269B3C72}"/>
    <cellStyle name="Note 7 6 3 3" xfId="20655" xr:uid="{8CB34ABB-75EE-4C42-9EDB-4F20869D1233}"/>
    <cellStyle name="Note 7 6 4" xfId="20656" xr:uid="{5783F22F-78BD-4CED-93ED-30886DBBC45A}"/>
    <cellStyle name="Note 7 6 5" xfId="20657" xr:uid="{CFB50D0B-60EE-44C5-AD82-3F00AB805E40}"/>
    <cellStyle name="Note 7 7" xfId="20658" xr:uid="{65E85E7C-41B9-4299-8235-8623B12F8514}"/>
    <cellStyle name="Note 7 7 2" xfId="20659" xr:uid="{ABB2FC79-D0E7-4EEC-99DC-C35B50374BFE}"/>
    <cellStyle name="Note 7 7 3" xfId="20660" xr:uid="{20506A5C-5FFD-45EC-9358-3F86737F640F}"/>
    <cellStyle name="Note 7 7 4" xfId="20661" xr:uid="{E5A2E51D-DCD8-4BC7-B2FA-E5BE4D47FCBD}"/>
    <cellStyle name="Note 7 7 5" xfId="20662" xr:uid="{4385C642-39BB-414D-A678-D64D935C45A5}"/>
    <cellStyle name="Note 7 8" xfId="20663" xr:uid="{228041E6-2426-4E0B-9DE6-93A1BB34220E}"/>
    <cellStyle name="Note 7 8 2" xfId="20664" xr:uid="{3D97A265-99E1-469F-B5AE-05DCDAB0A55F}"/>
    <cellStyle name="Note 7 8 3" xfId="20665" xr:uid="{945AFF23-4D53-4F1D-B17D-E246EC2DE987}"/>
    <cellStyle name="Note 7 9" xfId="20666" xr:uid="{ED0CCF73-299A-46BB-AA17-0EC98B9FB42A}"/>
    <cellStyle name="Note 7_JE 5 2002.2 FED" xfId="20667" xr:uid="{3FBCA0AB-76F4-47FF-8ECF-EFE20F559A35}"/>
    <cellStyle name="Note 70" xfId="43004" xr:uid="{745CF464-5DF1-4131-8E63-2668EE39B47C}"/>
    <cellStyle name="Note 71" xfId="43005" xr:uid="{061490F8-EE42-45D0-97BF-C000A6E7CB2B}"/>
    <cellStyle name="Note 72" xfId="43006" xr:uid="{E4F8F67A-1CC0-4ED0-B5FA-937A9A626956}"/>
    <cellStyle name="Note 73" xfId="43007" xr:uid="{ED881379-11D7-4DAC-8FC0-ED2EDC441BE1}"/>
    <cellStyle name="Note 74" xfId="43008" xr:uid="{8D2A87B0-8FB9-4007-968C-B1B27DCB58E0}"/>
    <cellStyle name="Note 75" xfId="43009" xr:uid="{C822E79C-BD97-4EBD-B738-CD3978B05D35}"/>
    <cellStyle name="Note 76" xfId="43010" xr:uid="{E8154446-3173-4B8F-A9EF-8051177B5840}"/>
    <cellStyle name="Note 77" xfId="43011" xr:uid="{92DB0244-7D2E-4C16-BB20-6CD7B1535385}"/>
    <cellStyle name="Note 78" xfId="43012" xr:uid="{5EFE33D4-CC30-48E3-AE70-9F83C203EAB5}"/>
    <cellStyle name="Note 79" xfId="43013" xr:uid="{8B11906F-3E42-4B0E-A524-FE81F2AD5401}"/>
    <cellStyle name="Note 8" xfId="20668" xr:uid="{C49DB044-073A-460B-8ECA-784998E9B288}"/>
    <cellStyle name="Note 8 10" xfId="20669" xr:uid="{D7AAF03B-7549-44DF-8D85-42B7504409D0}"/>
    <cellStyle name="Note 8 11" xfId="20670" xr:uid="{1D04BA6A-E8B6-41F0-9ED8-B17D170A3F1D}"/>
    <cellStyle name="Note 8 12" xfId="43014" xr:uid="{748FA8B2-5891-4F32-B38E-F571A58FC5A1}"/>
    <cellStyle name="Note 8 2" xfId="20671" xr:uid="{10C8D18F-E331-4F96-AD73-205F79787EB2}"/>
    <cellStyle name="Note 8 2 2" xfId="20672" xr:uid="{4019D810-A2EA-48BE-8FF2-126A72CA946F}"/>
    <cellStyle name="Note 8 2 2 2" xfId="20673" xr:uid="{D0AC804B-8E85-4B1D-A1EA-EA15CFC177F2}"/>
    <cellStyle name="Note 8 2 2 2 2" xfId="20674" xr:uid="{8D8CA529-DD2B-4A2D-B768-DC1BF1598DF9}"/>
    <cellStyle name="Note 8 2 2 2 3" xfId="20675" xr:uid="{25B35661-407E-4903-AB98-265AF4C67CC5}"/>
    <cellStyle name="Note 8 2 2 3" xfId="20676" xr:uid="{A200811B-385F-4F90-96C6-9524E6B28BFF}"/>
    <cellStyle name="Note 8 2 2 3 2" xfId="20677" xr:uid="{80069646-CDE8-4803-B51F-2FA9F073774E}"/>
    <cellStyle name="Note 8 2 2 3 3" xfId="20678" xr:uid="{5ACBD7AD-8EDD-4F12-A00E-A46B8368A191}"/>
    <cellStyle name="Note 8 2 2 4" xfId="20679" xr:uid="{741CE121-6BF1-46C1-A4CC-6EF6F9745C28}"/>
    <cellStyle name="Note 8 2 2 5" xfId="20680" xr:uid="{647FD9E7-FFA5-4D09-8407-EF9994B23C76}"/>
    <cellStyle name="Note 8 2 3" xfId="20681" xr:uid="{D72E8AEB-2CF2-4F72-8209-B5ECE41C6336}"/>
    <cellStyle name="Note 8 2 3 2" xfId="20682" xr:uid="{943CB2DD-9A50-4665-AB99-F5A2A17125AD}"/>
    <cellStyle name="Note 8 2 3 3" xfId="20683" xr:uid="{F354198F-F284-4D4A-8283-46F3E425F6EE}"/>
    <cellStyle name="Note 8 2 3 4" xfId="20684" xr:uid="{050E1834-F856-4B9B-A210-29146886B687}"/>
    <cellStyle name="Note 8 2 3 5" xfId="20685" xr:uid="{99DDE9D5-5F5D-4850-AFCD-C6187A93CA38}"/>
    <cellStyle name="Note 8 2 4" xfId="20686" xr:uid="{3A48DBE1-BCD3-431F-AB67-D59F5595F4AD}"/>
    <cellStyle name="Note 8 2 4 2" xfId="20687" xr:uid="{03719A24-2408-41CF-918B-347280C86AC7}"/>
    <cellStyle name="Note 8 2 4 3" xfId="20688" xr:uid="{693288A0-335C-408E-B15F-9F70013A1786}"/>
    <cellStyle name="Note 8 2 5" xfId="20689" xr:uid="{DD502208-AAD1-4AB0-ACC5-C5D9B609D540}"/>
    <cellStyle name="Note 8 2 6" xfId="20690" xr:uid="{70E41275-858A-447B-BC9C-2BF86BAB6395}"/>
    <cellStyle name="Note 8 2 7" xfId="20691" xr:uid="{254DDDA3-7ED7-4F70-9036-231A2B80327E}"/>
    <cellStyle name="Note 8 2_JE 5 2002.2 FED" xfId="20692" xr:uid="{BE07B66E-136D-460D-B12E-CC6DE1F5EC72}"/>
    <cellStyle name="Note 8 3" xfId="20693" xr:uid="{5DF12317-D558-4682-A69E-6487DBA6105A}"/>
    <cellStyle name="Note 8 3 2" xfId="20694" xr:uid="{FA4E6267-1D98-4824-A26B-19F00BC683A1}"/>
    <cellStyle name="Note 8 3 2 2" xfId="20695" xr:uid="{D6A4B4A3-BF16-4FEF-BC32-55CC30C5003E}"/>
    <cellStyle name="Note 8 3 2 2 2" xfId="20696" xr:uid="{91F3084F-E8AF-429E-B030-AB95B52943DA}"/>
    <cellStyle name="Note 8 3 2 2 3" xfId="20697" xr:uid="{35F8104C-9FF6-4165-91E8-AC277A67A9B6}"/>
    <cellStyle name="Note 8 3 2 3" xfId="20698" xr:uid="{9A0CCA97-8189-4155-AA3E-2C4594F2AB70}"/>
    <cellStyle name="Note 8 3 2 3 2" xfId="20699" xr:uid="{02B8BFB0-8EA6-48C0-A186-07E722BE0BF2}"/>
    <cellStyle name="Note 8 3 2 3 3" xfId="20700" xr:uid="{4CB3956D-1398-4273-9AFD-B2A1AEF8A6D1}"/>
    <cellStyle name="Note 8 3 2 4" xfId="20701" xr:uid="{7561EE80-DFE4-48F1-847C-5256155AC0F8}"/>
    <cellStyle name="Note 8 3 2 5" xfId="20702" xr:uid="{BF8763A7-6166-4822-A0E2-F8A5CB5B8A6B}"/>
    <cellStyle name="Note 8 3 3" xfId="20703" xr:uid="{093C7E9C-8EFE-426D-9646-71BD05D92759}"/>
    <cellStyle name="Note 8 3 3 2" xfId="20704" xr:uid="{A39A641C-804C-412E-BDDD-6EAE0B204871}"/>
    <cellStyle name="Note 8 3 3 3" xfId="20705" xr:uid="{3EA01A48-70C7-4F11-837F-691E2856F704}"/>
    <cellStyle name="Note 8 3 3 4" xfId="20706" xr:uid="{BD243D26-5FF4-49F5-A790-5A9D52106D5A}"/>
    <cellStyle name="Note 8 3 3 5" xfId="20707" xr:uid="{CDD9AB97-9D2F-4C58-A273-1CF5ED6F0EFD}"/>
    <cellStyle name="Note 8 3 4" xfId="20708" xr:uid="{9ACB3140-47FB-48CB-8737-726D7CFF5B48}"/>
    <cellStyle name="Note 8 3 4 2" xfId="20709" xr:uid="{ADD37311-F035-47CB-8952-25EC7A444DD9}"/>
    <cellStyle name="Note 8 3 4 3" xfId="20710" xr:uid="{8760AEF5-C66D-4FE1-9D64-05D252A9227A}"/>
    <cellStyle name="Note 8 3 5" xfId="20711" xr:uid="{F4E6C2A4-B0AB-4E6E-81C5-21A6086BA989}"/>
    <cellStyle name="Note 8 3 6" xfId="20712" xr:uid="{BC13102E-63EF-4F3E-AA0E-7F2CAEA62756}"/>
    <cellStyle name="Note 8 3 7" xfId="20713" xr:uid="{16D10EDC-C0E6-473C-BAB4-D9758C68C95C}"/>
    <cellStyle name="Note 8 3_JE 5 2002.2 FED" xfId="20714" xr:uid="{B5C2B9F7-4894-4CC3-AB2C-6674AA977C37}"/>
    <cellStyle name="Note 8 4" xfId="20715" xr:uid="{AC76A942-45B4-44C7-AEC1-19A84E01978A}"/>
    <cellStyle name="Note 8 4 2" xfId="20716" xr:uid="{CB35FF0F-C1D0-427C-8692-8AAE8ED50AFF}"/>
    <cellStyle name="Note 8 4 2 2" xfId="20717" xr:uid="{43F037A8-DB2C-41D9-87D8-95EB1E9C006D}"/>
    <cellStyle name="Note 8 4 2 2 2" xfId="20718" xr:uid="{3F37F2EE-BD1B-4BF7-8FDF-17800C304F1A}"/>
    <cellStyle name="Note 8 4 2 2 3" xfId="20719" xr:uid="{36659EA9-28BC-4A95-AE80-5AB82C2E98A9}"/>
    <cellStyle name="Note 8 4 2 3" xfId="20720" xr:uid="{A50EAB1D-9CEB-47A9-8CAB-BDFECBF2A2F1}"/>
    <cellStyle name="Note 8 4 2 3 2" xfId="20721" xr:uid="{916BC4A4-4A41-4932-8D4A-E91AF631B6FD}"/>
    <cellStyle name="Note 8 4 2 3 3" xfId="20722" xr:uid="{F9F0C50D-BCF3-4F61-BE84-4C8D428D7837}"/>
    <cellStyle name="Note 8 4 2 4" xfId="20723" xr:uid="{96877A21-57B9-40E7-BABE-D82F110706D0}"/>
    <cellStyle name="Note 8 4 2 5" xfId="20724" xr:uid="{142AFF3E-1912-4479-B89A-5E6E471A7218}"/>
    <cellStyle name="Note 8 4 3" xfId="20725" xr:uid="{9DAE6AC2-B24E-4269-AFED-F49D8CAC4764}"/>
    <cellStyle name="Note 8 4 3 2" xfId="20726" xr:uid="{F37D97ED-073A-4A8A-A042-40C98BD6DF75}"/>
    <cellStyle name="Note 8 4 3 3" xfId="20727" xr:uid="{0E4E516D-585D-4759-BE5B-D03F7C6D5D3A}"/>
    <cellStyle name="Note 8 4 4" xfId="20728" xr:uid="{62DB1ED8-31D8-4A91-98E5-7BB900432A55}"/>
    <cellStyle name="Note 8 4 4 2" xfId="20729" xr:uid="{8B584B3E-2EB9-4934-B3EC-1515E411FE9E}"/>
    <cellStyle name="Note 8 4 4 3" xfId="20730" xr:uid="{30625D6F-A69D-438B-9C35-D7F188542034}"/>
    <cellStyle name="Note 8 4 5" xfId="20731" xr:uid="{5C889D2B-3A86-43BD-834C-C9AA51954969}"/>
    <cellStyle name="Note 8 4 6" xfId="20732" xr:uid="{9848F46A-4A70-453A-AF3C-1728DE4A0309}"/>
    <cellStyle name="Note 8 4_JE 5 2002.2 FED" xfId="20733" xr:uid="{56080566-E60F-4D7D-A830-ADBC5C4793DE}"/>
    <cellStyle name="Note 8 5" xfId="20734" xr:uid="{BEC26D92-F240-4D3E-BB49-D3A2277CD5A8}"/>
    <cellStyle name="Note 8 5 2" xfId="20735" xr:uid="{52C9B884-79B6-414E-8A08-5A29F2A9BE58}"/>
    <cellStyle name="Note 8 5 2 2" xfId="20736" xr:uid="{1271826A-9B92-4439-84CD-5BBF04A64EB9}"/>
    <cellStyle name="Note 8 5 2 2 2" xfId="20737" xr:uid="{E02D8679-28D2-4138-A1FA-B9EEAE258018}"/>
    <cellStyle name="Note 8 5 2 2 3" xfId="20738" xr:uid="{6FE0A504-74BE-4AEA-9FE8-79544A23A7B0}"/>
    <cellStyle name="Note 8 5 2 3" xfId="20739" xr:uid="{9B70E18D-8DAB-445D-91AB-14BA5EC07612}"/>
    <cellStyle name="Note 8 5 2 3 2" xfId="20740" xr:uid="{6DAC0708-60CC-42BA-B114-91BE36047E99}"/>
    <cellStyle name="Note 8 5 2 3 3" xfId="20741" xr:uid="{5C45CFFC-1FDC-48AC-8ACC-1BDD35BFB323}"/>
    <cellStyle name="Note 8 5 2 4" xfId="20742" xr:uid="{57224854-B347-4615-8C40-BA91EBD19419}"/>
    <cellStyle name="Note 8 5 2 5" xfId="20743" xr:uid="{CD8FB5B1-FC1B-4887-8898-7AF35069C161}"/>
    <cellStyle name="Note 8 5 3" xfId="20744" xr:uid="{5F575676-5D08-4740-87F5-2583661E6E28}"/>
    <cellStyle name="Note 8 5 3 2" xfId="20745" xr:uid="{09930E01-15F2-40CC-A810-A383A70513A7}"/>
    <cellStyle name="Note 8 5 3 3" xfId="20746" xr:uid="{AFE1AF22-B858-4DB9-9A85-D3C7A29212B0}"/>
    <cellStyle name="Note 8 5 4" xfId="20747" xr:uid="{D9D19845-DA2C-49E1-876B-54A617BA33EC}"/>
    <cellStyle name="Note 8 5 4 2" xfId="20748" xr:uid="{05FA46E7-26CC-4F76-BD15-17EE3A8D6E2E}"/>
    <cellStyle name="Note 8 5 4 3" xfId="20749" xr:uid="{1DA90BC2-EC15-4832-9D99-6AA8355EA152}"/>
    <cellStyle name="Note 8 5 5" xfId="20750" xr:uid="{5147E43E-C0A3-49E2-8006-890B5ACFB2A5}"/>
    <cellStyle name="Note 8 5 6" xfId="20751" xr:uid="{3A638675-605C-41D3-8507-A07E600875A0}"/>
    <cellStyle name="Note 8 5_JE 5 2002.2 FED" xfId="20752" xr:uid="{E4DB87AB-F8D4-455E-A1B6-A63E92EF21BB}"/>
    <cellStyle name="Note 8 6" xfId="20753" xr:uid="{1C2EAE35-45EF-4361-A86C-D70FA83565FB}"/>
    <cellStyle name="Note 8 6 2" xfId="20754" xr:uid="{FD50DB3C-B4D0-44AB-8007-446601133309}"/>
    <cellStyle name="Note 8 6 2 2" xfId="20755" xr:uid="{1D149DBB-5A2C-4777-A1E6-2A2E0284BA01}"/>
    <cellStyle name="Note 8 6 2 3" xfId="20756" xr:uid="{2060310C-B0E1-4647-B244-71E48E056A0E}"/>
    <cellStyle name="Note 8 6 3" xfId="20757" xr:uid="{0D5D70C6-D1C9-4BDC-ABF9-9CEE6CE1D519}"/>
    <cellStyle name="Note 8 6 3 2" xfId="20758" xr:uid="{2A538788-6FE1-4FF3-9902-46A0DEB15F79}"/>
    <cellStyle name="Note 8 6 3 3" xfId="20759" xr:uid="{B73BDBCD-3CF9-454C-AF21-7A2F3C34725B}"/>
    <cellStyle name="Note 8 6 4" xfId="20760" xr:uid="{28CA9B31-185D-41FC-B215-B9229D06F17B}"/>
    <cellStyle name="Note 8 6 5" xfId="20761" xr:uid="{A2B0BCF3-B3B7-49FD-B895-F0856BF59028}"/>
    <cellStyle name="Note 8 7" xfId="20762" xr:uid="{CC07F477-1BDE-4AF7-8175-B9CDB5F86E7C}"/>
    <cellStyle name="Note 8 7 2" xfId="20763" xr:uid="{E12E4D29-1175-400C-AAB2-7CF9300B48A6}"/>
    <cellStyle name="Note 8 7 3" xfId="20764" xr:uid="{24193768-2465-4849-B517-9E16BB675E5D}"/>
    <cellStyle name="Note 8 7 4" xfId="20765" xr:uid="{16F00031-B6B8-4662-91B9-7DF31C4B5969}"/>
    <cellStyle name="Note 8 7 5" xfId="20766" xr:uid="{C76F1A73-0E34-4510-9508-9AB5408495D0}"/>
    <cellStyle name="Note 8 8" xfId="20767" xr:uid="{C434C68D-36ED-4E73-B61C-F8DEB0C27367}"/>
    <cellStyle name="Note 8 8 2" xfId="20768" xr:uid="{EB9721AB-7520-4688-9F9D-A7563C521364}"/>
    <cellStyle name="Note 8 8 3" xfId="20769" xr:uid="{6FD69BBD-5F63-40E6-A6E2-2B1638677292}"/>
    <cellStyle name="Note 8 9" xfId="20770" xr:uid="{67B75367-5E3C-417A-860F-602C9AEA9106}"/>
    <cellStyle name="Note 8_JE 5 2002.2 FED" xfId="20771" xr:uid="{40F59F2A-49A0-41CF-BB66-93B8C1194B39}"/>
    <cellStyle name="Note 80" xfId="43015" xr:uid="{5B29311F-B416-4AE8-88A2-82473D55CCA9}"/>
    <cellStyle name="Note 81" xfId="43016" xr:uid="{28D8802A-F718-42A2-8B8B-0F0DD90AD35E}"/>
    <cellStyle name="Note 82" xfId="43017" xr:uid="{62945A21-2924-40A1-8872-911E7C105D31}"/>
    <cellStyle name="Note 83" xfId="43018" xr:uid="{2E0B9F50-F9F0-4BE3-B462-494C62F29673}"/>
    <cellStyle name="Note 84" xfId="43019" xr:uid="{4FECAF95-4D98-4BA3-AA97-458115CC5991}"/>
    <cellStyle name="Note 85" xfId="43020" xr:uid="{49716F5E-4DB8-4438-823A-48510F3C3728}"/>
    <cellStyle name="Note 86" xfId="43021" xr:uid="{DF63D790-8401-4596-B422-9F4F6D6392D2}"/>
    <cellStyle name="Note 87" xfId="43022" xr:uid="{CAFC5128-AA3B-448B-BE72-36FF085A480A}"/>
    <cellStyle name="Note 88" xfId="43023" xr:uid="{9F9E957C-331B-46DC-86CE-9699281F6213}"/>
    <cellStyle name="Note 89" xfId="43024" xr:uid="{0C50E7D0-219A-49E7-B10B-6A946176957E}"/>
    <cellStyle name="Note 9" xfId="20772" xr:uid="{AE541258-4995-490A-9FD6-77C8D811DCF9}"/>
    <cellStyle name="Note 9 10" xfId="20773" xr:uid="{16980DAE-EA77-4821-9713-EC145365992D}"/>
    <cellStyle name="Note 9 11" xfId="20774" xr:uid="{1E73FE27-CF9F-402E-B745-0851105DD40C}"/>
    <cellStyle name="Note 9 12" xfId="43025" xr:uid="{C090A29F-4788-442B-BE73-6E51F70A34AB}"/>
    <cellStyle name="Note 9 2" xfId="20775" xr:uid="{0526E088-6F19-459E-A6B9-9DBC3466ED5D}"/>
    <cellStyle name="Note 9 2 2" xfId="20776" xr:uid="{FBC62828-32C4-42EE-BE51-19317C4D3212}"/>
    <cellStyle name="Note 9 2 2 2" xfId="20777" xr:uid="{36577E5F-701B-4D1C-A5D2-B2791AAEE4CF}"/>
    <cellStyle name="Note 9 2 2 2 2" xfId="20778" xr:uid="{D0CB5DA1-4F3D-42CA-B534-703E249578AC}"/>
    <cellStyle name="Note 9 2 2 2 3" xfId="20779" xr:uid="{E971BA32-2ABB-42DC-9C4C-E79AE7C21F04}"/>
    <cellStyle name="Note 9 2 2 3" xfId="20780" xr:uid="{41081A21-5EF3-428F-94EC-964932C8ECDE}"/>
    <cellStyle name="Note 9 2 2 3 2" xfId="20781" xr:uid="{824EFBD9-C503-4B84-ABE8-495FE65F692C}"/>
    <cellStyle name="Note 9 2 2 3 3" xfId="20782" xr:uid="{3965FA6F-03A9-47E4-A8F1-DE81EA82369B}"/>
    <cellStyle name="Note 9 2 2 4" xfId="20783" xr:uid="{73E9DA31-D9DA-40CB-B992-BFCAAD3B073A}"/>
    <cellStyle name="Note 9 2 2 5" xfId="20784" xr:uid="{8F5C7074-BA75-4D9A-9613-9D6BB4179B18}"/>
    <cellStyle name="Note 9 2 3" xfId="20785" xr:uid="{0094B94B-1F88-4853-92E2-F3AC86DBE5F4}"/>
    <cellStyle name="Note 9 2 3 2" xfId="20786" xr:uid="{9931B68F-4A70-44D8-9009-47C5A4160DB8}"/>
    <cellStyle name="Note 9 2 3 3" xfId="20787" xr:uid="{A537BC50-5BD6-4B22-948C-5E830D66F90A}"/>
    <cellStyle name="Note 9 2 3 4" xfId="20788" xr:uid="{87717EE7-AC1E-4834-B25E-6ABBA17541DB}"/>
    <cellStyle name="Note 9 2 3 5" xfId="20789" xr:uid="{439885FD-FEE2-4469-BAD9-2B7BF143DBCF}"/>
    <cellStyle name="Note 9 2 4" xfId="20790" xr:uid="{6C45DE22-DBE0-4BB2-872F-D2C213454B60}"/>
    <cellStyle name="Note 9 2 4 2" xfId="20791" xr:uid="{91FA6EA5-9276-4F82-96F3-3B0F64DEAE23}"/>
    <cellStyle name="Note 9 2 4 3" xfId="20792" xr:uid="{5247FC09-5E3F-4320-B8D7-25E1E428E7BE}"/>
    <cellStyle name="Note 9 2 5" xfId="20793" xr:uid="{7A8C75AD-ADDD-4478-97BC-B7508742ABE4}"/>
    <cellStyle name="Note 9 2 6" xfId="20794" xr:uid="{468F00BE-BBA7-43D6-8BD2-EF6753631539}"/>
    <cellStyle name="Note 9 2 7" xfId="20795" xr:uid="{51D715A6-544B-4ACD-BECB-AF318CD0E3D0}"/>
    <cellStyle name="Note 9 2_JE 5 2002.2 FED" xfId="20796" xr:uid="{019A6C0D-1073-4F31-9D71-C473151CFFFF}"/>
    <cellStyle name="Note 9 3" xfId="20797" xr:uid="{0F5DFF19-05F6-4731-8986-438B9FB081D0}"/>
    <cellStyle name="Note 9 3 2" xfId="20798" xr:uid="{ACDC31CD-03A8-440A-80E3-90E28850F000}"/>
    <cellStyle name="Note 9 3 2 2" xfId="20799" xr:uid="{5C06324F-E3DB-4754-AFB4-3E8F243A67B0}"/>
    <cellStyle name="Note 9 3 2 2 2" xfId="20800" xr:uid="{0977CE6A-8318-454D-BD15-4D9D9599BC74}"/>
    <cellStyle name="Note 9 3 2 2 3" xfId="20801" xr:uid="{FC9D911B-5B5E-4BD3-AD28-5CC46ADD8622}"/>
    <cellStyle name="Note 9 3 2 3" xfId="20802" xr:uid="{0F251F41-32B1-4133-B973-173397391878}"/>
    <cellStyle name="Note 9 3 2 3 2" xfId="20803" xr:uid="{4D7BD70A-97EC-41CD-9AD4-08A2AA6436A4}"/>
    <cellStyle name="Note 9 3 2 3 3" xfId="20804" xr:uid="{AA287CC1-762E-4487-AB52-273B2523C9FD}"/>
    <cellStyle name="Note 9 3 2 4" xfId="20805" xr:uid="{3C82368D-09B7-4865-B656-37326480E8C2}"/>
    <cellStyle name="Note 9 3 2 5" xfId="20806" xr:uid="{E79EC763-8BB8-49AF-9986-91F76695D61C}"/>
    <cellStyle name="Note 9 3 3" xfId="20807" xr:uid="{24AC8C9E-F00E-475F-8D00-DC3FD24D6437}"/>
    <cellStyle name="Note 9 3 3 2" xfId="20808" xr:uid="{F3F8C8F2-7949-433F-A47B-2A8361C87660}"/>
    <cellStyle name="Note 9 3 3 3" xfId="20809" xr:uid="{6FA81FCB-56D4-4A27-9EC0-2A2E46DEEE60}"/>
    <cellStyle name="Note 9 3 3 4" xfId="20810" xr:uid="{AAA0D242-C3FC-4819-B6D6-5AA5792F78D9}"/>
    <cellStyle name="Note 9 3 3 5" xfId="20811" xr:uid="{01BC7231-1E53-4EB7-BD68-8C91FA2978E1}"/>
    <cellStyle name="Note 9 3 4" xfId="20812" xr:uid="{664AF24A-2A25-4DDF-A8A1-1ACD5538B8EF}"/>
    <cellStyle name="Note 9 3 4 2" xfId="20813" xr:uid="{34AAAD6C-1A20-48EE-8990-C98EB915CEE1}"/>
    <cellStyle name="Note 9 3 4 3" xfId="20814" xr:uid="{7FDF38FD-401D-43BD-BC91-59EDEECDD532}"/>
    <cellStyle name="Note 9 3 5" xfId="20815" xr:uid="{D3C03E04-E016-4E53-8244-DB3B476C4D82}"/>
    <cellStyle name="Note 9 3 6" xfId="20816" xr:uid="{5E78E026-7D73-4B01-9CAE-1F11C954B9C9}"/>
    <cellStyle name="Note 9 3 7" xfId="20817" xr:uid="{B159DAD7-F2A2-478D-8F45-CF594E6CAE38}"/>
    <cellStyle name="Note 9 3_JE 5 2002.2 FED" xfId="20818" xr:uid="{222E7C76-3359-48D9-8A12-19A1C0FC5E2E}"/>
    <cellStyle name="Note 9 4" xfId="20819" xr:uid="{D44CB531-DCCA-4236-B1AE-F5DBB3039B22}"/>
    <cellStyle name="Note 9 4 2" xfId="20820" xr:uid="{0E47EDA8-61BE-4F0D-AB71-1562BA5D9566}"/>
    <cellStyle name="Note 9 4 2 2" xfId="20821" xr:uid="{AF39E60A-40A3-4618-9BDA-50CE783DE8CF}"/>
    <cellStyle name="Note 9 4 2 2 2" xfId="20822" xr:uid="{CFC3FAD2-534D-4BFB-B4F0-37E87CEB5A9A}"/>
    <cellStyle name="Note 9 4 2 2 3" xfId="20823" xr:uid="{BF01AB5C-8F3D-47B9-8049-485F9A0A997A}"/>
    <cellStyle name="Note 9 4 2 3" xfId="20824" xr:uid="{3BE763B0-D16A-451A-AC2A-AA1FBE3AF074}"/>
    <cellStyle name="Note 9 4 2 3 2" xfId="20825" xr:uid="{12D71248-8443-4E16-98D2-2B920763FA28}"/>
    <cellStyle name="Note 9 4 2 3 3" xfId="20826" xr:uid="{8DD31CA8-E137-4616-9B89-F0E2DD407941}"/>
    <cellStyle name="Note 9 4 2 4" xfId="20827" xr:uid="{910F9ECC-2C38-457E-AC3A-1BAC3A96E242}"/>
    <cellStyle name="Note 9 4 2 5" xfId="20828" xr:uid="{876536FD-05A9-4686-86EA-9248FFFEC4FA}"/>
    <cellStyle name="Note 9 4 3" xfId="20829" xr:uid="{7119C9A8-07D2-41B1-BAE3-27BE62FB15B8}"/>
    <cellStyle name="Note 9 4 3 2" xfId="20830" xr:uid="{2BE524B3-A6B2-4676-829A-81D38819848A}"/>
    <cellStyle name="Note 9 4 3 3" xfId="20831" xr:uid="{D52D99F4-D915-4905-879B-8256061472BE}"/>
    <cellStyle name="Note 9 4 4" xfId="20832" xr:uid="{785926FA-C0C7-47B1-BB5A-0C6B49D5A33B}"/>
    <cellStyle name="Note 9 4 4 2" xfId="20833" xr:uid="{ABCBD204-6484-417A-B94F-8A848CF41B30}"/>
    <cellStyle name="Note 9 4 4 3" xfId="20834" xr:uid="{A59EBA25-A430-4562-8157-11C40A45DD14}"/>
    <cellStyle name="Note 9 4 5" xfId="20835" xr:uid="{3F14653A-2C2F-4C14-B3E0-57F76C7E7745}"/>
    <cellStyle name="Note 9 4 6" xfId="20836" xr:uid="{2EBA185E-491F-40C1-9C8C-BA23DE86720D}"/>
    <cellStyle name="Note 9 4_JE 5 2002.2 FED" xfId="20837" xr:uid="{AA4B3555-635E-4713-A4D8-8252E9E1B989}"/>
    <cellStyle name="Note 9 5" xfId="20838" xr:uid="{9A0ED271-19A9-4FEB-B821-ACBEB6C99C5E}"/>
    <cellStyle name="Note 9 5 2" xfId="20839" xr:uid="{F029BFC1-2F3D-466C-8CD8-545DDD2823AA}"/>
    <cellStyle name="Note 9 5 2 2" xfId="20840" xr:uid="{DAC69AD8-F432-4B11-87E6-946DFA6E4BC9}"/>
    <cellStyle name="Note 9 5 2 2 2" xfId="20841" xr:uid="{AEBF2202-8122-478F-BFCB-19BDA2340F78}"/>
    <cellStyle name="Note 9 5 2 2 3" xfId="20842" xr:uid="{FB46C729-B834-4377-B9D2-4EA903D00F56}"/>
    <cellStyle name="Note 9 5 2 3" xfId="20843" xr:uid="{CB1C5FBB-1D25-4379-9EFE-2D940ED9F8F8}"/>
    <cellStyle name="Note 9 5 2 3 2" xfId="20844" xr:uid="{FF567DCE-4F84-4078-8B41-4C4C564A03AB}"/>
    <cellStyle name="Note 9 5 2 3 3" xfId="20845" xr:uid="{68405B9D-1DD5-48E9-9AE2-BAD6FBFF7249}"/>
    <cellStyle name="Note 9 5 2 4" xfId="20846" xr:uid="{EF3745E4-68E1-4E05-BE6D-8B931307343D}"/>
    <cellStyle name="Note 9 5 2 5" xfId="20847" xr:uid="{8D909532-56B9-4583-A27C-009BB8123D9D}"/>
    <cellStyle name="Note 9 5 3" xfId="20848" xr:uid="{4D30FD7B-91E8-42D6-A07F-7F41F1F4BFFE}"/>
    <cellStyle name="Note 9 5 3 2" xfId="20849" xr:uid="{D70ADD94-C107-4EE1-AEC2-2C144A92A872}"/>
    <cellStyle name="Note 9 5 3 3" xfId="20850" xr:uid="{414A8ECA-FE79-409D-8BD4-C2399410FB68}"/>
    <cellStyle name="Note 9 5 4" xfId="20851" xr:uid="{B30B497C-D499-412D-881F-BE510C503FA1}"/>
    <cellStyle name="Note 9 5 4 2" xfId="20852" xr:uid="{82A58E52-3F02-49D3-A734-D63178A2D860}"/>
    <cellStyle name="Note 9 5 4 3" xfId="20853" xr:uid="{505F7033-1EE9-4182-81D5-F446A96ECEAC}"/>
    <cellStyle name="Note 9 5 5" xfId="20854" xr:uid="{E5174085-733F-4F67-9B24-39322DEDC7F2}"/>
    <cellStyle name="Note 9 5 6" xfId="20855" xr:uid="{9030F328-8DD1-4BD1-8FEF-D7F0E912C28A}"/>
    <cellStyle name="Note 9 5_JE 5 2002.2 FED" xfId="20856" xr:uid="{4C120101-B26B-4CC5-9442-33C028BB9293}"/>
    <cellStyle name="Note 9 6" xfId="20857" xr:uid="{794E9D6C-DB19-491E-B8E4-643C1886C97E}"/>
    <cellStyle name="Note 9 6 2" xfId="20858" xr:uid="{F919BFCA-3554-4E46-9B4A-7F453DC93562}"/>
    <cellStyle name="Note 9 6 2 2" xfId="20859" xr:uid="{C89DEDA1-C8C3-429F-A26C-316D80DCE75A}"/>
    <cellStyle name="Note 9 6 2 3" xfId="20860" xr:uid="{B67873D0-B990-4DC8-A12D-512F3E4A0DA1}"/>
    <cellStyle name="Note 9 6 3" xfId="20861" xr:uid="{A8EEB3E3-1F8D-457E-B7F4-3E9E8A9BC912}"/>
    <cellStyle name="Note 9 6 3 2" xfId="20862" xr:uid="{D7613444-40BA-46DC-9DF8-EC69DF6B35FD}"/>
    <cellStyle name="Note 9 6 3 3" xfId="20863" xr:uid="{4B3E5553-AFFC-4388-B41D-68154CE9A8C5}"/>
    <cellStyle name="Note 9 6 4" xfId="20864" xr:uid="{8761C60D-CD49-468B-9DB3-77455DCF0668}"/>
    <cellStyle name="Note 9 6 5" xfId="20865" xr:uid="{97E4B836-4DA8-456E-A305-D0D26C52689F}"/>
    <cellStyle name="Note 9 7" xfId="20866" xr:uid="{453E91EA-0677-434E-9789-2A1E919EAB46}"/>
    <cellStyle name="Note 9 7 2" xfId="20867" xr:uid="{A8203069-8BE3-4B5D-BFF0-1B280F8DB17E}"/>
    <cellStyle name="Note 9 7 3" xfId="20868" xr:uid="{947983F4-3F87-436D-B80A-64B6BDCA9F57}"/>
    <cellStyle name="Note 9 7 4" xfId="20869" xr:uid="{61A0011D-E1A4-4985-9620-BEBE9A29D913}"/>
    <cellStyle name="Note 9 7 5" xfId="20870" xr:uid="{04758A44-2768-428B-B3CB-384934FBC46F}"/>
    <cellStyle name="Note 9 8" xfId="20871" xr:uid="{20837881-3E44-4965-A5DD-E8B2801B26D8}"/>
    <cellStyle name="Note 9 8 2" xfId="20872" xr:uid="{4C2A2DC4-F6AC-4FEF-B828-F4EFD0FDC3C4}"/>
    <cellStyle name="Note 9 8 3" xfId="20873" xr:uid="{8D5DC781-B567-4A79-B6D5-1E1B1AAA2EFD}"/>
    <cellStyle name="Note 9 9" xfId="20874" xr:uid="{29F61985-4652-489C-8E34-A1D853363A1A}"/>
    <cellStyle name="Note 9_JE 5 2002.2 FED" xfId="20875" xr:uid="{E425BC82-479B-4D8A-9027-A850ED49C383}"/>
    <cellStyle name="Note 90" xfId="43026" xr:uid="{F20217EE-5FD4-4245-8F9D-EBCA34F99E6C}"/>
    <cellStyle name="Note 91" xfId="43027" xr:uid="{D05B4CD3-B078-4D92-BD98-75605F27AC24}"/>
    <cellStyle name="Note 92" xfId="43028" xr:uid="{115A5EAA-CCE4-48FA-B225-E26B665C90FA}"/>
    <cellStyle name="Note 93" xfId="43029" xr:uid="{294FB87B-EE0D-4223-8E8E-C73A215C4892}"/>
    <cellStyle name="Note 94" xfId="43030" xr:uid="{42FFA4E1-BB6F-462F-A98D-11FB6F5EE903}"/>
    <cellStyle name="Note 95" xfId="43031" xr:uid="{F19A7AB5-31F1-4A8A-BEFF-4D69FC8A389C}"/>
    <cellStyle name="Note 96" xfId="43032" xr:uid="{42BDE0D3-BFF3-493F-9372-0E1880A8F804}"/>
    <cellStyle name="Note 97" xfId="43033" xr:uid="{E2C55C1B-EC07-4DE3-A1FD-79D01B3FA624}"/>
    <cellStyle name="Note 98" xfId="43034" xr:uid="{AFDC525F-1139-4949-AFA1-7F03154F8F68}"/>
    <cellStyle name="Note 99" xfId="43035" xr:uid="{D2C0D277-CFFB-4BB7-8945-FB22EA6A271E}"/>
    <cellStyle name="Output 10" xfId="20876" xr:uid="{5D233D50-DF66-419C-B085-12ADC41CFEF7}"/>
    <cellStyle name="Output 10 2" xfId="20877" xr:uid="{071D8BE4-6B64-4695-8005-27790DC69378}"/>
    <cellStyle name="Output 10 2 2" xfId="20878" xr:uid="{CA3527BA-00ED-47DC-92F9-F20E9EEFB47D}"/>
    <cellStyle name="Output 10 2 2 2" xfId="20879" xr:uid="{B8EAC7B8-CD8F-4FC7-AAFF-61E1951A5E1A}"/>
    <cellStyle name="Output 10 2 2 3" xfId="20880" xr:uid="{51D2B780-71F5-4571-AD5C-7D6431454A8C}"/>
    <cellStyle name="Output 10 2 3" xfId="20881" xr:uid="{443DED09-C9C9-475F-9DA5-57E06F0C79C4}"/>
    <cellStyle name="Output 10 2 3 2" xfId="20882" xr:uid="{A6658F14-AA56-487F-84FA-E2CB86C6AD92}"/>
    <cellStyle name="Output 10 2 3 3" xfId="20883" xr:uid="{FF5C47DB-5FB2-40EA-98A7-077C6B2E6214}"/>
    <cellStyle name="Output 10 2 4" xfId="20884" xr:uid="{5AB922F3-23F1-4994-8C8A-609BDF478B59}"/>
    <cellStyle name="Output 10 2 5" xfId="20885" xr:uid="{C93F823D-39E7-479F-AED7-C05B499B9FE2}"/>
    <cellStyle name="Output 10 2 6" xfId="20886" xr:uid="{431D901C-C6EF-44DA-BDAB-CD86D3801F54}"/>
    <cellStyle name="Output 10 2 7" xfId="20887" xr:uid="{7B3B3E7C-7C1C-418B-A414-30279E8E5767}"/>
    <cellStyle name="Output 10 3" xfId="20888" xr:uid="{84530D21-2CA0-4FFA-AAA2-DBC0482B6D58}"/>
    <cellStyle name="Output 10 3 2" xfId="20889" xr:uid="{6EC5FC81-A752-4A1F-B56F-3FAA93D7F62C}"/>
    <cellStyle name="Output 10 3 2 2" xfId="20890" xr:uid="{DD93093F-806D-4AE7-874E-6ECE4C0F0D6B}"/>
    <cellStyle name="Output 10 3 2 3" xfId="20891" xr:uid="{5021CC96-9664-4F89-94B0-81F48039AD4E}"/>
    <cellStyle name="Output 10 3 3" xfId="20892" xr:uid="{66B1066D-902A-45E6-9282-38DC94201A8E}"/>
    <cellStyle name="Output 10 3 4" xfId="20893" xr:uid="{C2DBE1D3-713B-49F4-977F-7223080B73EA}"/>
    <cellStyle name="Output 10 4" xfId="20894" xr:uid="{BA90BA17-E9DE-45FF-9369-A6B13E92BB6B}"/>
    <cellStyle name="Output 10 4 2" xfId="20895" xr:uid="{69CEF698-13D5-4174-A694-D212ACE726F8}"/>
    <cellStyle name="Output 10 4 3" xfId="20896" xr:uid="{0218215B-35B3-47CC-B6A6-390B4F977582}"/>
    <cellStyle name="Output 10 5" xfId="20897" xr:uid="{D25C0692-1E3C-48E3-A968-EAD2B09A2373}"/>
    <cellStyle name="Output 10 6" xfId="20898" xr:uid="{97829483-21F7-440A-B0D4-66BE06810C04}"/>
    <cellStyle name="Output 10 7" xfId="20899" xr:uid="{076D7FCC-E8BF-49E9-8501-39B65AA1A18B}"/>
    <cellStyle name="Output 10 8" xfId="20900" xr:uid="{DB898C1D-6DE6-4E72-A4BD-84516F408D31}"/>
    <cellStyle name="Output 11" xfId="20901" xr:uid="{B92AE2DC-254B-4320-8A38-658F60C1FDA8}"/>
    <cellStyle name="Output 11 2" xfId="20902" xr:uid="{C0F0DD8D-22E8-47AF-AFCC-77A78601C785}"/>
    <cellStyle name="Output 11 2 2" xfId="20903" xr:uid="{23DC4238-9A17-420A-804F-131F8F3299F8}"/>
    <cellStyle name="Output 11 2 2 2" xfId="20904" xr:uid="{86407581-4277-431D-81DB-CD5584C44F62}"/>
    <cellStyle name="Output 11 2 2 3" xfId="20905" xr:uid="{E039CC59-DC7A-4834-90C6-B5F1BD0096B8}"/>
    <cellStyle name="Output 11 2 3" xfId="20906" xr:uid="{970678F7-7BF3-4934-8850-F2B89D27A255}"/>
    <cellStyle name="Output 11 2 3 2" xfId="20907" xr:uid="{FF40412A-5B43-43B1-9923-3A91CE423439}"/>
    <cellStyle name="Output 11 2 3 3" xfId="20908" xr:uid="{6C6ADAD9-B489-4FAC-BEB7-CEEAAA296F6F}"/>
    <cellStyle name="Output 11 2 4" xfId="20909" xr:uid="{45BAED1A-08B8-4E2A-A0A9-7253459D7F4E}"/>
    <cellStyle name="Output 11 2 5" xfId="20910" xr:uid="{651A6237-AD5F-41E0-828E-9929944F1F5E}"/>
    <cellStyle name="Output 11 2 6" xfId="20911" xr:uid="{544B01E8-4574-4204-A613-AA5411FB420F}"/>
    <cellStyle name="Output 11 2 7" xfId="20912" xr:uid="{6C5528CE-AC28-4852-982A-3493164C78B0}"/>
    <cellStyle name="Output 11 3" xfId="20913" xr:uid="{E32DA61C-31E7-4CFD-A4FE-1F482594EF8B}"/>
    <cellStyle name="Output 11 3 2" xfId="20914" xr:uid="{D65D05F7-9ABB-4369-B16A-C7BACA5E3E1A}"/>
    <cellStyle name="Output 11 3 2 2" xfId="20915" xr:uid="{50969359-A4EC-4548-A5FF-D79FD488BF37}"/>
    <cellStyle name="Output 11 3 2 3" xfId="20916" xr:uid="{13C3B9D2-E364-44BF-B2A4-FD587AA265D8}"/>
    <cellStyle name="Output 11 3 3" xfId="20917" xr:uid="{0DD86645-2A70-4B41-8F31-1ED0C8536DB9}"/>
    <cellStyle name="Output 11 3 4" xfId="20918" xr:uid="{9FC09DC8-CDB8-4ED7-A36F-A7A614A72E6A}"/>
    <cellStyle name="Output 11 4" xfId="20919" xr:uid="{291BB45E-5D0B-4DB9-AE6D-86B8460190AA}"/>
    <cellStyle name="Output 11 4 2" xfId="20920" xr:uid="{A41B98BD-424F-42DA-98DA-AC2A796B9E26}"/>
    <cellStyle name="Output 11 4 3" xfId="20921" xr:uid="{6B9BF4AC-382C-4F85-93EC-094B3F19B57D}"/>
    <cellStyle name="Output 11 5" xfId="20922" xr:uid="{CA720EC0-CD95-4729-BE9E-5CCCEA50C30C}"/>
    <cellStyle name="Output 11 6" xfId="20923" xr:uid="{C9836A31-C344-4D19-93D8-2D29C399E425}"/>
    <cellStyle name="Output 11 7" xfId="20924" xr:uid="{C3B90629-A410-49D7-9642-FB3B80312A02}"/>
    <cellStyle name="Output 11 8" xfId="20925" xr:uid="{6E6DFD03-926B-4E74-AD45-450F4F0A8EA1}"/>
    <cellStyle name="Output 12" xfId="20926" xr:uid="{162DD8E7-535F-4216-A330-811A282F40BB}"/>
    <cellStyle name="Output 12 2" xfId="20927" xr:uid="{8ABF6645-93F1-4BB4-B1DD-D81E17A5BFF9}"/>
    <cellStyle name="Output 12 2 2" xfId="20928" xr:uid="{62987A9C-EFD8-4F68-9135-B6CD1A17B467}"/>
    <cellStyle name="Output 12 2 2 2" xfId="20929" xr:uid="{CB372C7A-C04F-491A-B61F-817FF16578AD}"/>
    <cellStyle name="Output 12 2 2 3" xfId="20930" xr:uid="{792D8B79-AEBF-4539-9986-52661B89695D}"/>
    <cellStyle name="Output 12 2 3" xfId="20931" xr:uid="{F9EFCA05-F0A4-44CE-849E-C92EB727C6AC}"/>
    <cellStyle name="Output 12 2 3 2" xfId="20932" xr:uid="{6983EC71-46AF-450B-95DC-D41067A97285}"/>
    <cellStyle name="Output 12 2 3 3" xfId="20933" xr:uid="{D3FF703B-9755-4C34-B096-59061B20CA5E}"/>
    <cellStyle name="Output 12 2 4" xfId="20934" xr:uid="{A0533A64-11D8-45E2-8E32-71B1F5EAC66C}"/>
    <cellStyle name="Output 12 2 5" xfId="20935" xr:uid="{01A721AE-FB57-492C-9D6F-4C79637F6502}"/>
    <cellStyle name="Output 12 2 6" xfId="20936" xr:uid="{E7904CCF-2291-4309-9D7B-2E9A5794A8C1}"/>
    <cellStyle name="Output 12 2 7" xfId="20937" xr:uid="{199F55C9-4204-4E68-86A8-6AB236F4C1DF}"/>
    <cellStyle name="Output 12 3" xfId="20938" xr:uid="{94DA4347-D5E7-49BA-BEC4-484C0AE20486}"/>
    <cellStyle name="Output 12 3 2" xfId="20939" xr:uid="{DB2C49F3-74B1-4919-A329-A259179E7456}"/>
    <cellStyle name="Output 12 3 3" xfId="20940" xr:uid="{37A04A94-49E8-41F9-9951-A6F72FF19539}"/>
    <cellStyle name="Output 12 4" xfId="20941" xr:uid="{C295E5D7-F615-4810-8E2E-F69CA1CD3ABC}"/>
    <cellStyle name="Output 12 4 2" xfId="20942" xr:uid="{CDF93A3C-F02A-448E-9D2E-301882E1022E}"/>
    <cellStyle name="Output 12 4 3" xfId="20943" xr:uid="{633A86BC-D850-4200-9784-ED9D2B575923}"/>
    <cellStyle name="Output 12 5" xfId="20944" xr:uid="{E3F649CA-2812-4C09-9A6C-3365EF43D6B6}"/>
    <cellStyle name="Output 12 6" xfId="20945" xr:uid="{F803E12A-5837-443B-A583-65E82966F5C9}"/>
    <cellStyle name="Output 12 7" xfId="20946" xr:uid="{B4922F50-DCDF-43F0-991F-249FF10E1756}"/>
    <cellStyle name="Output 12 8" xfId="20947" xr:uid="{C17C2CA5-018F-4677-8722-AE0FEF8FF3FD}"/>
    <cellStyle name="Output 13" xfId="20948" xr:uid="{10CDBCA5-C7E6-4F90-8BA0-345096112C9C}"/>
    <cellStyle name="Output 13 2" xfId="20949" xr:uid="{BF7C14D0-1C82-47F3-B389-DE8BB01B6772}"/>
    <cellStyle name="Output 13 2 2" xfId="20950" xr:uid="{D85D60AF-092D-46AF-86AD-4EC6E6F8F3EA}"/>
    <cellStyle name="Output 13 2 2 2" xfId="20951" xr:uid="{234275D0-91CE-4974-8B03-E1941A26D685}"/>
    <cellStyle name="Output 13 2 2 3" xfId="20952" xr:uid="{7A2435CD-429E-4223-A995-3DE77EEB33AA}"/>
    <cellStyle name="Output 13 2 3" xfId="20953" xr:uid="{AAAE907A-C229-4755-BCD4-D8728DFD5329}"/>
    <cellStyle name="Output 13 2 3 2" xfId="20954" xr:uid="{5A0B002F-062D-477A-A198-884861E85B52}"/>
    <cellStyle name="Output 13 2 3 3" xfId="20955" xr:uid="{7380C0AF-9055-4A41-9C60-333014084EE2}"/>
    <cellStyle name="Output 13 2 4" xfId="20956" xr:uid="{C4CD5E52-08A6-4615-A292-1DBD81CCCEBB}"/>
    <cellStyle name="Output 13 2 5" xfId="20957" xr:uid="{8EDC2C8F-7C41-4A5B-88B7-EC41119E0E58}"/>
    <cellStyle name="Output 13 2 6" xfId="20958" xr:uid="{55B47FEB-9137-44AE-9F26-5522E1FD3F43}"/>
    <cellStyle name="Output 13 2 7" xfId="20959" xr:uid="{71034881-1D6F-4B5A-8D03-17BC8E4D3936}"/>
    <cellStyle name="Output 13 3" xfId="20960" xr:uid="{48559A71-E185-4050-9A1A-4C9D818C8AF1}"/>
    <cellStyle name="Output 13 3 2" xfId="20961" xr:uid="{B47B8036-B174-4BE4-B7F8-2B33C3B9AE6D}"/>
    <cellStyle name="Output 13 3 3" xfId="20962" xr:uid="{7D649222-8613-4F74-B274-513C453F15A9}"/>
    <cellStyle name="Output 13 4" xfId="20963" xr:uid="{66B19A97-C3F3-4029-9A8B-303DBD745EA4}"/>
    <cellStyle name="Output 13 4 2" xfId="20964" xr:uid="{C7406203-DD8C-4247-9A22-957A06E45AE2}"/>
    <cellStyle name="Output 13 4 3" xfId="20965" xr:uid="{121DB6D1-FD03-43F5-BB0D-62B671D17073}"/>
    <cellStyle name="Output 13 5" xfId="20966" xr:uid="{85411A0A-4340-437A-A156-A50D712C16CE}"/>
    <cellStyle name="Output 13 6" xfId="20967" xr:uid="{F07A4066-A0F3-43DE-ADF2-4595835AF9A2}"/>
    <cellStyle name="Output 13 7" xfId="20968" xr:uid="{6FC63C2F-E6E7-4630-94CF-19FBE400800E}"/>
    <cellStyle name="Output 13 8" xfId="20969" xr:uid="{EE06E138-3905-425F-99B6-B8DF398A299C}"/>
    <cellStyle name="Output 14" xfId="20970" xr:uid="{82634379-8C94-4FA8-9179-7BB461A9E9C7}"/>
    <cellStyle name="Output 14 2" xfId="20971" xr:uid="{8C8A6A6B-6FED-47E4-BD50-DDD97D939FFD}"/>
    <cellStyle name="Output 14 2 2" xfId="20972" xr:uid="{DD501821-3DBA-4597-88C3-3C2881AA1A03}"/>
    <cellStyle name="Output 14 2 2 2" xfId="20973" xr:uid="{5069FFC2-50FA-4D50-A9EA-7F0607E9BF9E}"/>
    <cellStyle name="Output 14 2 2 3" xfId="20974" xr:uid="{3E6276C1-293A-41B1-9A07-FD9BF5F6B450}"/>
    <cellStyle name="Output 14 2 3" xfId="20975" xr:uid="{3EF429B5-4B3C-47C0-AB56-7C60592584C1}"/>
    <cellStyle name="Output 14 2 3 2" xfId="20976" xr:uid="{D958073F-82E3-4233-A51D-5ED218CD725B}"/>
    <cellStyle name="Output 14 2 3 3" xfId="20977" xr:uid="{32F127A7-6CEE-45F6-BAA4-169B3FB3E9C4}"/>
    <cellStyle name="Output 14 2 4" xfId="20978" xr:uid="{ACEBD117-E86D-4650-9DFE-5A3F024C1A13}"/>
    <cellStyle name="Output 14 2 5" xfId="20979" xr:uid="{4295B4B7-D815-452D-A7BA-1B2663609E28}"/>
    <cellStyle name="Output 14 2 6" xfId="20980" xr:uid="{7CA16AB1-58BE-4C83-BD70-26B8BD0D7171}"/>
    <cellStyle name="Output 14 2 7" xfId="20981" xr:uid="{99AC77D9-4977-4FF1-9EE2-0965945E27AE}"/>
    <cellStyle name="Output 14 3" xfId="20982" xr:uid="{F546C1DE-6FA1-4A20-BA71-5982698DF8F0}"/>
    <cellStyle name="Output 14 3 2" xfId="20983" xr:uid="{EB4D5C8D-2734-4030-9395-D412A6E13B84}"/>
    <cellStyle name="Output 14 3 3" xfId="20984" xr:uid="{867AA785-C44F-4472-81FC-C0027CB34236}"/>
    <cellStyle name="Output 14 4" xfId="20985" xr:uid="{CB718785-1803-479C-AFF6-B874C394F83B}"/>
    <cellStyle name="Output 14 4 2" xfId="20986" xr:uid="{15588826-8D38-4563-925C-FC5F87E43B36}"/>
    <cellStyle name="Output 14 4 3" xfId="20987" xr:uid="{5F93F667-25A1-44FC-B4CB-BF50569B580E}"/>
    <cellStyle name="Output 14 5" xfId="20988" xr:uid="{7FEE0CE1-E53B-4B9C-94F9-E57C00598AAF}"/>
    <cellStyle name="Output 14 6" xfId="20989" xr:uid="{49396907-F5B3-4717-91B5-0761B14CDD02}"/>
    <cellStyle name="Output 14 7" xfId="20990" xr:uid="{DEE4D018-8576-4F95-BC6B-B6A16AD3C15A}"/>
    <cellStyle name="Output 14 8" xfId="20991" xr:uid="{8BA5D1A4-01A0-4D4C-9CF0-EB79A41B71CC}"/>
    <cellStyle name="Output 15" xfId="20992" xr:uid="{BE3FD31E-12C8-4BD4-A23D-41266DCA9D68}"/>
    <cellStyle name="Output 15 2" xfId="20993" xr:uid="{DF3A27E8-54C8-4307-936E-68E328F66152}"/>
    <cellStyle name="Output 15 2 2" xfId="20994" xr:uid="{DE838DF1-3832-4105-AE7D-3BA182B0C09C}"/>
    <cellStyle name="Output 15 2 2 2" xfId="20995" xr:uid="{1748B938-5747-4948-92E1-F9127831FD66}"/>
    <cellStyle name="Output 15 2 2 3" xfId="20996" xr:uid="{C5D201FC-9061-43E6-8647-2F1F937DC0CA}"/>
    <cellStyle name="Output 15 2 3" xfId="20997" xr:uid="{03E47A41-3804-440A-9D3F-DE8DA0994444}"/>
    <cellStyle name="Output 15 2 3 2" xfId="20998" xr:uid="{85875D9C-8839-4886-8956-8DF948C4BEBC}"/>
    <cellStyle name="Output 15 2 3 3" xfId="20999" xr:uid="{479188B1-8A4C-4F6F-BF2C-DD237C77E7F7}"/>
    <cellStyle name="Output 15 2 4" xfId="21000" xr:uid="{8ED83655-75E1-405C-8D9B-79BF7D1B8A0F}"/>
    <cellStyle name="Output 15 2 5" xfId="21001" xr:uid="{0EEA8A4E-4D15-48A4-B66B-CFCE2FFE2D6B}"/>
    <cellStyle name="Output 15 2 6" xfId="21002" xr:uid="{E7BBBA54-3CCE-46DD-891D-AEBEC35B5C7F}"/>
    <cellStyle name="Output 15 2 7" xfId="21003" xr:uid="{54AC0038-4B00-4962-95E9-28A9779524EF}"/>
    <cellStyle name="Output 15 3" xfId="21004" xr:uid="{CE86143C-3A0C-4D77-9AFE-F7D216E92C65}"/>
    <cellStyle name="Output 15 3 2" xfId="21005" xr:uid="{357B9F6F-FCA0-4559-AFF3-3C66A2435A3A}"/>
    <cellStyle name="Output 15 3 3" xfId="21006" xr:uid="{F55FFCF6-4143-4B0F-957B-26C2D60AAE83}"/>
    <cellStyle name="Output 15 4" xfId="21007" xr:uid="{799DB4E7-5D59-44F7-8799-6581A8D25265}"/>
    <cellStyle name="Output 15 4 2" xfId="21008" xr:uid="{2B374D08-A933-47B7-B770-20544EE1E889}"/>
    <cellStyle name="Output 15 4 3" xfId="21009" xr:uid="{FFB310F9-8E8A-489B-8C89-62B188EA4A11}"/>
    <cellStyle name="Output 15 5" xfId="21010" xr:uid="{DB8304AE-F68B-477B-A404-72BAB57FCC5A}"/>
    <cellStyle name="Output 15 6" xfId="21011" xr:uid="{F90F6D3D-F243-42EF-93B7-05E79811D717}"/>
    <cellStyle name="Output 15 7" xfId="21012" xr:uid="{E6AEF2C7-0D2F-47F9-97FE-3D17FA7C2D6B}"/>
    <cellStyle name="Output 15 8" xfId="21013" xr:uid="{7AA575D8-A264-4E7A-9520-E82BA94B0652}"/>
    <cellStyle name="Output 16" xfId="21014" xr:uid="{2A57879C-6BC2-49CB-B56E-D08F39CD2E6B}"/>
    <cellStyle name="Output 16 2" xfId="21015" xr:uid="{C7796E95-C912-40A5-91CE-EC407F211942}"/>
    <cellStyle name="Output 16 2 2" xfId="21016" xr:uid="{9E8FD81D-12ED-4C4B-A0E9-FC9362C27221}"/>
    <cellStyle name="Output 16 2 2 2" xfId="21017" xr:uid="{7DFA355F-5A3D-43CC-B3A6-05063613B545}"/>
    <cellStyle name="Output 16 2 2 3" xfId="21018" xr:uid="{9E224D99-8122-40CF-83FA-4EE95E2749CC}"/>
    <cellStyle name="Output 16 2 3" xfId="21019" xr:uid="{FF56E013-F868-41E4-9B4A-7CE592603EAB}"/>
    <cellStyle name="Output 16 2 3 2" xfId="21020" xr:uid="{812B9BCB-46A3-47F3-8916-2137A733437B}"/>
    <cellStyle name="Output 16 2 3 3" xfId="21021" xr:uid="{9EC2EE7D-D0D7-4E12-91A7-8033B78E8FD4}"/>
    <cellStyle name="Output 16 2 4" xfId="21022" xr:uid="{5144162E-5DDB-4237-9F1E-D8003B9A640E}"/>
    <cellStyle name="Output 16 2 5" xfId="21023" xr:uid="{E08F6D89-2E40-4F0E-9F1B-7B4E8FDE315A}"/>
    <cellStyle name="Output 16 2 6" xfId="21024" xr:uid="{F52FF1E7-F3F6-4E0A-96FF-DB1EEB3B7372}"/>
    <cellStyle name="Output 16 2 7" xfId="21025" xr:uid="{81EEAFAC-0C06-41A4-9A80-76574F4E2EDD}"/>
    <cellStyle name="Output 16 3" xfId="21026" xr:uid="{FCFE90DD-2D46-4337-9CE7-A1E64007F303}"/>
    <cellStyle name="Output 16 3 2" xfId="21027" xr:uid="{92B7A2FC-78B5-4A46-985B-296F44549FA6}"/>
    <cellStyle name="Output 16 3 3" xfId="21028" xr:uid="{C6FBF8AA-04B9-4F1F-8E99-B3647DD45A14}"/>
    <cellStyle name="Output 16 4" xfId="21029" xr:uid="{DBD035C3-B5E7-4D5D-8ECE-1A80D3CF65D5}"/>
    <cellStyle name="Output 16 4 2" xfId="21030" xr:uid="{BFBE05BC-7736-4165-965F-7DE77A4C605E}"/>
    <cellStyle name="Output 16 4 3" xfId="21031" xr:uid="{D820A16B-9696-44D6-9946-5320DC4B594B}"/>
    <cellStyle name="Output 16 5" xfId="21032" xr:uid="{92851830-00B8-4EFD-BE6D-0BB3C7C6FA87}"/>
    <cellStyle name="Output 16 6" xfId="21033" xr:uid="{085A29A0-81C2-4E15-BBEC-4D0588D0AA19}"/>
    <cellStyle name="Output 16 7" xfId="21034" xr:uid="{19692070-4258-49C1-A783-EF21FC1B118D}"/>
    <cellStyle name="Output 16 8" xfId="21035" xr:uid="{37291C3D-A4B7-413D-B116-33190E6D506F}"/>
    <cellStyle name="Output 17" xfId="21036" xr:uid="{91755C49-84E9-44C3-AE3C-679A91B61233}"/>
    <cellStyle name="Output 17 2" xfId="21037" xr:uid="{03DDB995-1DFB-4EED-B89F-D827BE5D078A}"/>
    <cellStyle name="Output 17 2 2" xfId="21038" xr:uid="{63458A19-5D86-460B-8966-005787081E19}"/>
    <cellStyle name="Output 17 2 2 2" xfId="21039" xr:uid="{6C14691D-1F99-4D57-B10B-1923E65663B2}"/>
    <cellStyle name="Output 17 2 2 3" xfId="21040" xr:uid="{AEC5EDAE-9613-406F-A009-9EEEBDC03CF7}"/>
    <cellStyle name="Output 17 2 3" xfId="21041" xr:uid="{EDB89FC6-1076-4873-90D8-B03AB41CB5C8}"/>
    <cellStyle name="Output 17 2 3 2" xfId="21042" xr:uid="{DAE128BE-5107-4980-BD2C-14794A9CE605}"/>
    <cellStyle name="Output 17 2 3 3" xfId="21043" xr:uid="{7E2F1036-CC15-49E1-8D77-3B7D2D8415CD}"/>
    <cellStyle name="Output 17 2 4" xfId="21044" xr:uid="{7B60C330-5F00-4EE5-A4C2-2D24655A246B}"/>
    <cellStyle name="Output 17 2 5" xfId="21045" xr:uid="{4E0DE888-CD2D-45CB-8AE5-831C9FB60AB5}"/>
    <cellStyle name="Output 17 2 6" xfId="21046" xr:uid="{13B8629F-8BBF-46E7-81E7-268591DB423B}"/>
    <cellStyle name="Output 17 2 7" xfId="21047" xr:uid="{236F9F11-4A8B-4B16-BC28-17E353ACD0C1}"/>
    <cellStyle name="Output 17 3" xfId="21048" xr:uid="{8F76DE30-3860-48AB-B735-99346CEB0551}"/>
    <cellStyle name="Output 17 3 2" xfId="21049" xr:uid="{9572C2FB-3299-4C55-B8BC-F65ACB8AA000}"/>
    <cellStyle name="Output 17 3 3" xfId="21050" xr:uid="{D7D9B1B5-1794-4644-91E5-439CC7D7A81E}"/>
    <cellStyle name="Output 17 4" xfId="21051" xr:uid="{9DA69FCF-1D79-46DD-BEA6-8E10CCDC7303}"/>
    <cellStyle name="Output 17 4 2" xfId="21052" xr:uid="{B729EC00-A87B-4AA1-8241-17D92F946F51}"/>
    <cellStyle name="Output 17 4 3" xfId="21053" xr:uid="{4B274680-9C27-4FC3-AAAB-AF8EB4E8A150}"/>
    <cellStyle name="Output 17 5" xfId="21054" xr:uid="{57BAEC06-C969-4C40-B990-B2C4BE9EE5C5}"/>
    <cellStyle name="Output 17 6" xfId="21055" xr:uid="{62FCC037-304F-409E-BB57-007D94FFDC74}"/>
    <cellStyle name="Output 17 7" xfId="21056" xr:uid="{C9EBB943-6999-411E-A6F7-0C45E9CF2ABF}"/>
    <cellStyle name="Output 17 8" xfId="21057" xr:uid="{54202B5D-9C3A-4C7F-8C0C-19E4B1142339}"/>
    <cellStyle name="Output 18" xfId="21058" xr:uid="{1BF3BA4D-C92C-4EBB-87B1-47356AD74E92}"/>
    <cellStyle name="Output 18 2" xfId="21059" xr:uid="{19A8A1A9-0119-47BA-AC7B-ECB216EB4EDC}"/>
    <cellStyle name="Output 18 2 2" xfId="21060" xr:uid="{567D76C3-6D2E-4E8C-97A1-C222103C9FA3}"/>
    <cellStyle name="Output 18 2 2 2" xfId="21061" xr:uid="{2B0BF9EC-CCCD-45A3-88F3-A42778A05E05}"/>
    <cellStyle name="Output 18 2 2 3" xfId="21062" xr:uid="{F5CF96B3-4164-4F33-BFC5-936AB4791F27}"/>
    <cellStyle name="Output 18 2 3" xfId="21063" xr:uid="{AB9AC0CA-EE25-4ED0-BD6D-F5BBFF4C27DE}"/>
    <cellStyle name="Output 18 2 3 2" xfId="21064" xr:uid="{C6173139-879B-4714-8BD9-A147C9A4D804}"/>
    <cellStyle name="Output 18 2 3 3" xfId="21065" xr:uid="{3F72038A-CD10-4360-9664-163753D7A9FF}"/>
    <cellStyle name="Output 18 2 4" xfId="21066" xr:uid="{52A8326A-2DCA-43C1-9E53-759FBC42D18E}"/>
    <cellStyle name="Output 18 2 5" xfId="21067" xr:uid="{E5EF6C9C-B300-4B51-937B-227391554642}"/>
    <cellStyle name="Output 18 2 6" xfId="21068" xr:uid="{BA3BE4F0-47F9-4D7B-AE9A-48B7B2584165}"/>
    <cellStyle name="Output 18 2 7" xfId="21069" xr:uid="{B9AF178D-E386-4301-9AB4-88203D0C4660}"/>
    <cellStyle name="Output 18 3" xfId="21070" xr:uid="{65369AA5-1AAF-4475-AEDD-293BDB70AB3B}"/>
    <cellStyle name="Output 18 3 2" xfId="21071" xr:uid="{38DCCB61-68C2-4085-90C1-9A477D817180}"/>
    <cellStyle name="Output 18 3 3" xfId="21072" xr:uid="{C10F7483-CE22-4179-9BD7-ADA95F93B91B}"/>
    <cellStyle name="Output 18 4" xfId="21073" xr:uid="{936AEC59-364A-4110-A163-A8EC762D5347}"/>
    <cellStyle name="Output 18 4 2" xfId="21074" xr:uid="{AE3DF7C6-DF43-4D52-B347-184E3CD0E151}"/>
    <cellStyle name="Output 18 4 3" xfId="21075" xr:uid="{22F51A63-9FDA-4BE5-96E0-F5B7D0534E81}"/>
    <cellStyle name="Output 18 5" xfId="21076" xr:uid="{C6CBEF74-E608-4D7F-AB49-D8974124AE75}"/>
    <cellStyle name="Output 18 6" xfId="21077" xr:uid="{711538D1-849F-474A-892E-4197E6C3BC25}"/>
    <cellStyle name="Output 18 7" xfId="21078" xr:uid="{2BE32686-9800-42EE-8C34-B3D35BC716A5}"/>
    <cellStyle name="Output 18 8" xfId="21079" xr:uid="{11AF5C9E-ED28-4A36-8F0A-4E1B098534F4}"/>
    <cellStyle name="Output 19" xfId="21080" xr:uid="{CC1371EF-E451-433F-9E0C-26517878B591}"/>
    <cellStyle name="Output 19 2" xfId="21081" xr:uid="{430330EB-D884-4E24-90E5-44C1395311E6}"/>
    <cellStyle name="Output 19 2 2" xfId="21082" xr:uid="{F0BB9F99-3ADB-4B26-BBB3-0DAE6ECC81F5}"/>
    <cellStyle name="Output 19 2 2 2" xfId="21083" xr:uid="{D0C9855B-BA29-48F7-B0C3-95E9887BBEAB}"/>
    <cellStyle name="Output 19 2 2 3" xfId="21084" xr:uid="{E6F33718-5F4A-46F3-84AC-914E0EFFC442}"/>
    <cellStyle name="Output 19 2 3" xfId="21085" xr:uid="{CEB6CFE0-634C-4C1C-A36D-7AAEFBC59544}"/>
    <cellStyle name="Output 19 2 3 2" xfId="21086" xr:uid="{BBCA011E-5017-444C-B4EE-98EB5C05F36C}"/>
    <cellStyle name="Output 19 2 3 3" xfId="21087" xr:uid="{7E91FC74-84FA-41AC-AE68-EDD2372F23AF}"/>
    <cellStyle name="Output 19 2 4" xfId="21088" xr:uid="{DEF67544-9A55-4840-9BCB-88BE0A9D80DD}"/>
    <cellStyle name="Output 19 2 5" xfId="21089" xr:uid="{634CD3D7-77C1-478F-A11E-F2A2B13D4FD6}"/>
    <cellStyle name="Output 19 2 6" xfId="21090" xr:uid="{4451EB58-43FA-4572-B352-A7CEC6CC279F}"/>
    <cellStyle name="Output 19 2 7" xfId="21091" xr:uid="{1653093E-FC00-4F68-AAAF-F13026836220}"/>
    <cellStyle name="Output 19 3" xfId="21092" xr:uid="{88F54C8E-8F8F-4C50-B825-97D48DBCE0CC}"/>
    <cellStyle name="Output 19 3 2" xfId="21093" xr:uid="{2BD893B3-F901-4EFA-AF02-A8422059B592}"/>
    <cellStyle name="Output 19 3 3" xfId="21094" xr:uid="{CEFE45CB-F3BC-4049-9996-6832C051B595}"/>
    <cellStyle name="Output 19 4" xfId="21095" xr:uid="{FE8280EB-8E89-451B-98AC-DA59D8482A7B}"/>
    <cellStyle name="Output 19 4 2" xfId="21096" xr:uid="{EBED3426-4ADC-4EBD-BA77-81A5E255BECF}"/>
    <cellStyle name="Output 19 4 3" xfId="21097" xr:uid="{05BDD3CF-6B02-42E2-A9B4-2C4B3B18F11B}"/>
    <cellStyle name="Output 19 5" xfId="21098" xr:uid="{EEC244DC-DD7B-43C3-BB4E-EE8CD8E79A5B}"/>
    <cellStyle name="Output 19 6" xfId="21099" xr:uid="{03DE544A-3E72-45BD-A91E-E9C6D1792B29}"/>
    <cellStyle name="Output 19 7" xfId="21100" xr:uid="{76F33298-E6D0-4DBD-97D8-BA24958BABD6}"/>
    <cellStyle name="Output 19 8" xfId="21101" xr:uid="{BE1646D3-351C-4FDD-B5DD-D0EEC61F0F4D}"/>
    <cellStyle name="Output 2" xfId="21102" xr:uid="{4FF041D0-CE59-4CAF-82A9-3B73E1FFBE7A}"/>
    <cellStyle name="Output 2 10" xfId="21103" xr:uid="{93A05A21-D6F5-427D-B453-FB918F103873}"/>
    <cellStyle name="Output 2 11" xfId="21104" xr:uid="{BB8B9898-B018-4EC7-A4AF-570FD6BB5B95}"/>
    <cellStyle name="Output 2 12" xfId="21105" xr:uid="{905FA54E-A1D9-4D40-81CA-2289696428FC}"/>
    <cellStyle name="Output 2 13" xfId="21106" xr:uid="{680E49A4-5888-4C55-9E18-632F7B571CED}"/>
    <cellStyle name="Output 2 2" xfId="21107" xr:uid="{ED2A3D39-0996-4666-8C90-FA5B35DBBF1A}"/>
    <cellStyle name="Output 2 2 2" xfId="21108" xr:uid="{2A5F736C-8DE0-477D-953C-53C7E36DFD30}"/>
    <cellStyle name="Output 2 2 2 2" xfId="21109" xr:uid="{A36E6F0A-78A6-4B93-9D96-6BB93AB4383D}"/>
    <cellStyle name="Output 2 2 2 3" xfId="21110" xr:uid="{C4EB14AA-4110-41D7-BF1A-6B1E1B41E0C6}"/>
    <cellStyle name="Output 2 2 3" xfId="21111" xr:uid="{C9223329-1076-4819-90EA-9F1140631093}"/>
    <cellStyle name="Output 2 2 3 2" xfId="21112" xr:uid="{32D7751F-28B8-4EC9-94ED-DB0C181D2CAC}"/>
    <cellStyle name="Output 2 2 3 3" xfId="21113" xr:uid="{04381676-4C95-490A-A664-91E2495DC9E2}"/>
    <cellStyle name="Output 2 2 4" xfId="21114" xr:uid="{05EDCF2B-A465-4EE0-8959-994B4D0B29B3}"/>
    <cellStyle name="Output 2 2 5" xfId="21115" xr:uid="{E71DD010-EF02-475E-A0EA-3704159D195D}"/>
    <cellStyle name="Output 2 2 6" xfId="21116" xr:uid="{028B0798-DC84-4F49-B5B8-1937635BC738}"/>
    <cellStyle name="Output 2 2 7" xfId="21117" xr:uid="{3C2533F4-2223-4A82-A09A-DC06D2C3118A}"/>
    <cellStyle name="Output 2 2 8" xfId="21118" xr:uid="{5AB2DEC0-FB79-4F7B-97B4-8B6A22A63BF6}"/>
    <cellStyle name="Output 2 3" xfId="21119" xr:uid="{5155ECF0-77BF-49DC-B602-3FD42FDF7FD7}"/>
    <cellStyle name="Output 2 3 2" xfId="21120" xr:uid="{C3D25F50-5D7C-4C07-8267-9F6D982DBD09}"/>
    <cellStyle name="Output 2 3 3" xfId="21121" xr:uid="{8119FC03-63DD-43C0-979F-61D1B14FC5DD}"/>
    <cellStyle name="Output 2 3 3 2" xfId="21122" xr:uid="{3418DF0D-8022-405C-9D31-1ABCC3748A6C}"/>
    <cellStyle name="Output 2 3 3 3" xfId="21123" xr:uid="{0A294C3A-6EEF-4727-9A1C-A1C6184E215C}"/>
    <cellStyle name="Output 2 3 4" xfId="21124" xr:uid="{3E15225E-89F8-4E92-9067-57D627397B76}"/>
    <cellStyle name="Output 2 3 5" xfId="21125" xr:uid="{CE22E446-9283-4412-A54D-6089C93F6FAC}"/>
    <cellStyle name="Output 2 4" xfId="21126" xr:uid="{E19DEFBE-4598-4190-A3E0-5681BE31735D}"/>
    <cellStyle name="Output 2 4 2" xfId="21127" xr:uid="{2C41B554-EEBF-4B58-A157-DA1D52F30625}"/>
    <cellStyle name="Output 2 4 3" xfId="21128" xr:uid="{4EEA8CF8-774A-4EC9-AF1A-84085A6DFF35}"/>
    <cellStyle name="Output 2 4 4" xfId="21129" xr:uid="{40B117B5-8395-468A-93D6-B24A3EF94E5F}"/>
    <cellStyle name="Output 2 5" xfId="21130" xr:uid="{22BC0CEE-0D85-4AB1-B591-837841A2DB13}"/>
    <cellStyle name="Output 2 6" xfId="21131" xr:uid="{024C1118-155E-4008-8768-124AB2067B5D}"/>
    <cellStyle name="Output 2 7" xfId="21132" xr:uid="{3886A229-1065-4EAE-8E04-7C3A98F44795}"/>
    <cellStyle name="Output 2 8" xfId="21133" xr:uid="{C2E3EDF1-1A48-48D6-9F20-1BD37A4024A8}"/>
    <cellStyle name="Output 2 9" xfId="21134" xr:uid="{9FB955B2-3CDB-4ECD-AB3A-97FB2AA10F6D}"/>
    <cellStyle name="Output 2_PwrTax 51040" xfId="21135" xr:uid="{A6107A3A-D28B-482F-A044-F4E9676F54E2}"/>
    <cellStyle name="Output 20" xfId="21136" xr:uid="{3557CEF7-9969-4EFC-B7A0-60647CE4EB5D}"/>
    <cellStyle name="Output 20 2" xfId="21137" xr:uid="{0086F64A-5B57-4521-ACF3-51B90520F845}"/>
    <cellStyle name="Output 20 2 2" xfId="21138" xr:uid="{7E56F5DF-A568-4DCF-8C4B-E36D575D22D7}"/>
    <cellStyle name="Output 20 2 3" xfId="21139" xr:uid="{9975F2A0-223C-44EC-BB25-75C733272D9F}"/>
    <cellStyle name="Output 20 3" xfId="21140" xr:uid="{3120F5D7-E91D-4D3F-946F-8916C0940037}"/>
    <cellStyle name="Output 20 3 2" xfId="21141" xr:uid="{79908BB7-0AF5-4572-99D8-63B59CA6E982}"/>
    <cellStyle name="Output 20 3 3" xfId="21142" xr:uid="{4835ACF3-A7AF-4252-A144-F38F8B68BC4A}"/>
    <cellStyle name="Output 20 4" xfId="21143" xr:uid="{4DDC5706-AF98-4519-969D-F486133B4383}"/>
    <cellStyle name="Output 20 5" xfId="21144" xr:uid="{CB39C34A-FC44-4532-978A-929442AD591F}"/>
    <cellStyle name="Output 20 6" xfId="21145" xr:uid="{22101A31-5D5D-4D8A-868A-2E36EBF9F6FF}"/>
    <cellStyle name="Output 20 7" xfId="21146" xr:uid="{1D40810D-FC25-4AB4-A2C6-F54C9BF4C742}"/>
    <cellStyle name="Output 21" xfId="21147" xr:uid="{966D47CD-2B0D-49C6-A970-6E9DA9347E9F}"/>
    <cellStyle name="Output 21 2" xfId="21148" xr:uid="{ABEFC558-7079-4403-BB24-2237642E5F80}"/>
    <cellStyle name="Output 21 2 2" xfId="21149" xr:uid="{53CD8DC1-8240-489B-BDF0-7FBBDA6D9893}"/>
    <cellStyle name="Output 21 2 3" xfId="21150" xr:uid="{F05B605F-30EC-40F1-B545-82360404F933}"/>
    <cellStyle name="Output 21 3" xfId="21151" xr:uid="{15E1368D-C0F0-4555-B88F-C106842EDF4E}"/>
    <cellStyle name="Output 21 3 2" xfId="21152" xr:uid="{09C2F6FE-0BA5-4B38-8AC3-7E3750DF3A9F}"/>
    <cellStyle name="Output 21 3 3" xfId="21153" xr:uid="{8F64D2AC-AB87-49CD-AB17-E13B5B7FA1A7}"/>
    <cellStyle name="Output 21 4" xfId="21154" xr:uid="{FCBBAA14-993C-4769-8FC2-31A8D4A08A2F}"/>
    <cellStyle name="Output 21 5" xfId="21155" xr:uid="{9BF01804-448B-47F8-BDF1-2B5E5D82C737}"/>
    <cellStyle name="Output 21 6" xfId="21156" xr:uid="{8F72BCA9-A07A-4C2C-8E04-00056D0763F7}"/>
    <cellStyle name="Output 21 7" xfId="21157" xr:uid="{2AE1DA5B-1535-40CC-95AB-01ED58662662}"/>
    <cellStyle name="Output 22" xfId="21158" xr:uid="{C5A07264-F4CC-47E5-B7BF-47DF9C2D2A2C}"/>
    <cellStyle name="Output 22 2" xfId="21159" xr:uid="{065ABC14-BB7B-49C6-9E29-3ED8A7FC4BF8}"/>
    <cellStyle name="Output 22 2 2" xfId="21160" xr:uid="{16611277-D680-44F1-85E3-322FF24FB985}"/>
    <cellStyle name="Output 22 2 3" xfId="21161" xr:uid="{662369C7-23E5-4028-931C-3E48EBAD2E15}"/>
    <cellStyle name="Output 22 3" xfId="21162" xr:uid="{8EF7C9B2-95FC-4346-940D-04CE6AA6F739}"/>
    <cellStyle name="Output 22 3 2" xfId="21163" xr:uid="{1219E404-D800-497D-B0F5-FF559E2F21E1}"/>
    <cellStyle name="Output 22 3 3" xfId="21164" xr:uid="{DBD233F0-00B3-485A-9F79-80B8E58F7F39}"/>
    <cellStyle name="Output 22 4" xfId="21165" xr:uid="{768FF597-354B-4BA5-9E65-0DA336DD2FBB}"/>
    <cellStyle name="Output 22 5" xfId="21166" xr:uid="{152D42C4-EA47-499E-A9BA-E35B21421513}"/>
    <cellStyle name="Output 22 6" xfId="21167" xr:uid="{3EE4EC60-90D7-4770-9C40-98F9230658BC}"/>
    <cellStyle name="Output 22 7" xfId="21168" xr:uid="{E2140E60-6668-4153-B2B5-D09348F0CD4D}"/>
    <cellStyle name="Output 23" xfId="21169" xr:uid="{B639502F-63B7-4EB4-B465-833780D4DCF2}"/>
    <cellStyle name="Output 23 2" xfId="21170" xr:uid="{4E584035-6A88-4AD5-B33C-95D8129C8D11}"/>
    <cellStyle name="Output 23 2 2" xfId="21171" xr:uid="{E7307637-442A-4811-8160-7075A7FA2400}"/>
    <cellStyle name="Output 23 2 3" xfId="21172" xr:uid="{9F9E6053-FD36-4726-AB44-811002A42FF6}"/>
    <cellStyle name="Output 23 3" xfId="21173" xr:uid="{0F24BE36-BDC4-4D8C-A429-89D73FB0420C}"/>
    <cellStyle name="Output 23 3 2" xfId="21174" xr:uid="{B5882F59-B345-452B-B994-82EB48AC5175}"/>
    <cellStyle name="Output 23 3 3" xfId="21175" xr:uid="{2CC75086-6D9F-4C64-9333-3550FCC4A4B2}"/>
    <cellStyle name="Output 23 4" xfId="21176" xr:uid="{EC4DC3C7-1750-4E6F-97FD-CF5AEAF838B2}"/>
    <cellStyle name="Output 23 5" xfId="21177" xr:uid="{987562BD-D845-4E03-9F9C-C20FC51E403A}"/>
    <cellStyle name="Output 23 6" xfId="21178" xr:uid="{15679E5C-7746-4834-8FEF-76669BE2B73A}"/>
    <cellStyle name="Output 23 7" xfId="21179" xr:uid="{8FD7BBA4-D90F-4AE5-A4EA-7954C633F92D}"/>
    <cellStyle name="Output 24" xfId="21180" xr:uid="{0E7DE204-2345-47AB-9825-5BECC9619D0B}"/>
    <cellStyle name="Output 24 2" xfId="21181" xr:uid="{1F9E2AD0-8E26-4916-A356-A4D15573189F}"/>
    <cellStyle name="Output 24 2 2" xfId="21182" xr:uid="{1827973E-71F2-412A-82CC-E2B196522BA6}"/>
    <cellStyle name="Output 24 2 3" xfId="21183" xr:uid="{2267E20A-7CE8-40CD-B067-E710BB646113}"/>
    <cellStyle name="Output 24 3" xfId="21184" xr:uid="{49C2BE8A-74F4-410C-A151-3BD09D647E50}"/>
    <cellStyle name="Output 24 3 2" xfId="21185" xr:uid="{B7F78199-4265-4612-9B08-0712F9A1CD74}"/>
    <cellStyle name="Output 24 3 3" xfId="21186" xr:uid="{93B9EA88-AF53-410F-A2A4-2BBE61210079}"/>
    <cellStyle name="Output 24 4" xfId="21187" xr:uid="{037B4AA7-7B7E-4109-970C-2F21F0797DBB}"/>
    <cellStyle name="Output 24 5" xfId="21188" xr:uid="{3B612333-99E4-4D69-AA64-139F880807F3}"/>
    <cellStyle name="Output 24 6" xfId="21189" xr:uid="{A8AF1E2D-D084-4B4E-A69C-B1C0275C4ECC}"/>
    <cellStyle name="Output 24 7" xfId="21190" xr:uid="{7F3112F1-13C5-495E-8568-5F3B86C14DFA}"/>
    <cellStyle name="Output 25" xfId="21191" xr:uid="{4D4117B5-6E46-456B-9FC1-5DCB1B72C908}"/>
    <cellStyle name="Output 25 2" xfId="21192" xr:uid="{89656202-3DDA-4CBB-BACE-6226210D1846}"/>
    <cellStyle name="Output 25 2 2" xfId="21193" xr:uid="{89DDBDB4-662F-4543-A086-1BA3B04DC22D}"/>
    <cellStyle name="Output 25 2 3" xfId="21194" xr:uid="{4E8D29E6-9F78-4D43-BD3A-1F3E304BEF62}"/>
    <cellStyle name="Output 25 3" xfId="21195" xr:uid="{0EB7E816-3FED-430F-B80F-7852E71B22D5}"/>
    <cellStyle name="Output 25 3 2" xfId="21196" xr:uid="{36E860EB-519E-45D3-902E-F372AE219D93}"/>
    <cellStyle name="Output 25 3 3" xfId="21197" xr:uid="{D7EB04A6-A608-4CA6-B9AB-2493B73808DE}"/>
    <cellStyle name="Output 25 4" xfId="21198" xr:uid="{5E39E633-8D4C-43E8-9391-A23A23D2FE10}"/>
    <cellStyle name="Output 25 5" xfId="21199" xr:uid="{FA5AA778-35F6-48E2-A1A4-B852A68DECB0}"/>
    <cellStyle name="Output 25 6" xfId="21200" xr:uid="{7E9FB282-8FBD-4581-BD46-90E2C0F1E548}"/>
    <cellStyle name="Output 25 7" xfId="21201" xr:uid="{F919878D-E3CA-4E24-913E-924BCFBF9B8E}"/>
    <cellStyle name="Output 26" xfId="21202" xr:uid="{F443871C-454B-46B0-91B2-4D6A20AA9D27}"/>
    <cellStyle name="Output 26 2" xfId="21203" xr:uid="{1CC77629-D1D6-40A6-B04A-6332AEFA69F5}"/>
    <cellStyle name="Output 26 2 2" xfId="21204" xr:uid="{D44DB08A-F53B-40AD-A3F9-9A8CC85D1327}"/>
    <cellStyle name="Output 26 2 3" xfId="21205" xr:uid="{295C80E3-E2A6-4721-A58F-3393935F2115}"/>
    <cellStyle name="Output 26 3" xfId="21206" xr:uid="{16717F33-EC5F-43B2-9617-35168FBA0698}"/>
    <cellStyle name="Output 26 3 2" xfId="21207" xr:uid="{01C7437B-FEBA-4551-986D-24841F960664}"/>
    <cellStyle name="Output 26 3 3" xfId="21208" xr:uid="{1D8D35D8-23F9-4461-A546-C89D99E35145}"/>
    <cellStyle name="Output 26 4" xfId="21209" xr:uid="{E6E2B744-73AC-4322-81A7-EB364E9BDBD7}"/>
    <cellStyle name="Output 26 5" xfId="21210" xr:uid="{681F8F6F-9FED-4BD2-AF22-B9AB6A804AA4}"/>
    <cellStyle name="Output 26 6" xfId="21211" xr:uid="{C7E4D775-DA5B-40C3-8871-F31FDE372342}"/>
    <cellStyle name="Output 26 7" xfId="21212" xr:uid="{506A1072-58D4-4352-BB25-28699C6DA146}"/>
    <cellStyle name="Output 27" xfId="21213" xr:uid="{6AE22456-0E58-4782-9B2E-7EC8BED86991}"/>
    <cellStyle name="Output 27 2" xfId="21214" xr:uid="{B3557B9B-D45E-4405-9F96-4D26BF18135E}"/>
    <cellStyle name="Output 27 2 2" xfId="21215" xr:uid="{CA752676-B522-49DA-8D9F-AE7DF13C1831}"/>
    <cellStyle name="Output 27 2 3" xfId="21216" xr:uid="{EB4FA6B9-4A4D-44E0-B569-7246B4EEB0C4}"/>
    <cellStyle name="Output 27 3" xfId="21217" xr:uid="{C93A3B62-5241-4773-BF21-04188F623413}"/>
    <cellStyle name="Output 27 3 2" xfId="21218" xr:uid="{7CA66A40-3DA2-4A62-B720-10F145FC78B8}"/>
    <cellStyle name="Output 27 3 3" xfId="21219" xr:uid="{35F76E76-6B18-439D-B38D-367D7763666C}"/>
    <cellStyle name="Output 27 4" xfId="21220" xr:uid="{8FEA6DB3-DF7F-4F36-BE03-F1CA8A86C6AF}"/>
    <cellStyle name="Output 27 5" xfId="21221" xr:uid="{F3E2E80D-F132-4B89-9A49-EC9B20B31563}"/>
    <cellStyle name="Output 27 6" xfId="21222" xr:uid="{7DC41F3D-83B3-40B9-86D4-9605E7ECF15F}"/>
    <cellStyle name="Output 27 7" xfId="21223" xr:uid="{E7BACCF8-8088-4218-BFEE-33B02750B071}"/>
    <cellStyle name="Output 28" xfId="21224" xr:uid="{283B9A64-3F8D-4A3F-A05B-59AD0850F3C4}"/>
    <cellStyle name="Output 28 2" xfId="21225" xr:uid="{D42395FC-A99F-484E-8B60-E5BC6175BFDC}"/>
    <cellStyle name="Output 28 2 2" xfId="21226" xr:uid="{C4A5DE6D-6880-4332-8DAC-01FAA95761E2}"/>
    <cellStyle name="Output 28 2 3" xfId="21227" xr:uid="{AC6E1CD9-2C8C-4FAD-964F-081AABEC886C}"/>
    <cellStyle name="Output 28 3" xfId="21228" xr:uid="{AEFEE73F-A8F5-4019-AEC5-C4118318654A}"/>
    <cellStyle name="Output 28 3 2" xfId="21229" xr:uid="{0D5173D7-9B9D-49C1-B022-29D786C7009D}"/>
    <cellStyle name="Output 28 3 3" xfId="21230" xr:uid="{D74A5B56-F722-47AC-A81B-4A778598218C}"/>
    <cellStyle name="Output 28 4" xfId="21231" xr:uid="{CBC5E77C-EF2C-46E6-98BD-04F096109BC8}"/>
    <cellStyle name="Output 28 5" xfId="21232" xr:uid="{08545A8E-0F78-45EE-9AFD-37C5F34FD09E}"/>
    <cellStyle name="Output 28 6" xfId="21233" xr:uid="{2F945452-7C68-4EF6-BD14-A0A280F1903B}"/>
    <cellStyle name="Output 28 7" xfId="21234" xr:uid="{43353AB5-2AC9-42FD-BCE4-7C7685360CDA}"/>
    <cellStyle name="Output 29" xfId="21235" xr:uid="{4240DA9A-0DFD-4C59-8BC4-E44D88A4A837}"/>
    <cellStyle name="Output 29 2" xfId="21236" xr:uid="{8A0915D2-F16D-4FF2-81BF-8659A49672DA}"/>
    <cellStyle name="Output 29 2 2" xfId="21237" xr:uid="{15157C90-038E-40AC-98F8-61D7E77DF1EB}"/>
    <cellStyle name="Output 29 2 3" xfId="21238" xr:uid="{6A587425-381B-4467-9982-73C37E2295D6}"/>
    <cellStyle name="Output 29 3" xfId="21239" xr:uid="{3B0040E8-B7FA-478E-A97E-7621AB21171E}"/>
    <cellStyle name="Output 29 3 2" xfId="21240" xr:uid="{7C856669-7C12-4A30-A53F-3B5B164BCEF0}"/>
    <cellStyle name="Output 29 3 3" xfId="21241" xr:uid="{EB58D599-2762-4207-840E-7C03FEF312C3}"/>
    <cellStyle name="Output 29 4" xfId="21242" xr:uid="{13655715-A1A5-4307-A7C5-7F637CE92150}"/>
    <cellStyle name="Output 29 5" xfId="21243" xr:uid="{B25F962C-7D95-466F-B51D-26F04D921530}"/>
    <cellStyle name="Output 29 6" xfId="21244" xr:uid="{2A6DAD1C-F9B1-474A-A084-E471C4BDBFB9}"/>
    <cellStyle name="Output 29 7" xfId="21245" xr:uid="{4B11B558-DB52-4693-BB52-0AA13ADA8ECC}"/>
    <cellStyle name="Output 3" xfId="21246" xr:uid="{3A0529F2-D4F3-4216-BB20-CBCF72E4B6B0}"/>
    <cellStyle name="Output 3 2" xfId="21247" xr:uid="{5BEB5761-1019-4A49-8D26-A7AE07614034}"/>
    <cellStyle name="Output 3 2 2" xfId="21248" xr:uid="{AF6A213C-6A2F-407B-935E-82814857D754}"/>
    <cellStyle name="Output 3 2 2 2" xfId="21249" xr:uid="{9D53420D-7C5A-41B1-91C8-3A45EF5B1961}"/>
    <cellStyle name="Output 3 2 2 3" xfId="21250" xr:uid="{14D463E9-0B6B-4EDA-A3AE-9CB2D293ABB8}"/>
    <cellStyle name="Output 3 2 3" xfId="21251" xr:uid="{592232B6-C96A-4151-A0F9-1D2193350A37}"/>
    <cellStyle name="Output 3 2 3 2" xfId="21252" xr:uid="{E2002789-1919-43B0-8DE9-28DBA2B5B10A}"/>
    <cellStyle name="Output 3 2 3 3" xfId="21253" xr:uid="{E57F47C6-98FC-4D73-8FCE-7FE6611187BB}"/>
    <cellStyle name="Output 3 2 4" xfId="21254" xr:uid="{7D1595C5-01E7-405A-986D-96DACF161795}"/>
    <cellStyle name="Output 3 2 5" xfId="21255" xr:uid="{BF2587D8-95CB-4B15-B1A8-BE9BC81C56CE}"/>
    <cellStyle name="Output 3 2 6" xfId="21256" xr:uid="{DE840561-313F-4CBF-ABE7-904FC37DDC2A}"/>
    <cellStyle name="Output 3 2 7" xfId="21257" xr:uid="{E48390D6-2764-45C7-8837-499DC9BBE72B}"/>
    <cellStyle name="Output 3 3" xfId="21258" xr:uid="{7902D3A8-AFC2-4E1D-A430-1CDAC181F6AF}"/>
    <cellStyle name="Output 3 3 2" xfId="21259" xr:uid="{FEFD8042-6A4E-4262-AF3E-BCFD1A237AB0}"/>
    <cellStyle name="Output 3 3 2 2" xfId="21260" xr:uid="{82078FA1-1BA3-4F19-A737-4FBC26B9C7D7}"/>
    <cellStyle name="Output 3 3 2 3" xfId="21261" xr:uid="{CF799666-333F-4334-B44D-92439D4C05B7}"/>
    <cellStyle name="Output 3 3 3" xfId="21262" xr:uid="{BC262574-E893-4512-9FBE-30EB2E4D3F6C}"/>
    <cellStyle name="Output 3 3 4" xfId="21263" xr:uid="{5F165296-819E-400E-BA48-83AE56FD14D0}"/>
    <cellStyle name="Output 3 3 5" xfId="21264" xr:uid="{03FA0962-71FF-4ED7-BCE3-89569871FAFA}"/>
    <cellStyle name="Output 3 3 6" xfId="21265" xr:uid="{C4E3888A-0936-44E4-8879-98009A5AE602}"/>
    <cellStyle name="Output 3 4" xfId="21266" xr:uid="{437FE83D-82CE-4664-BCB7-014AB3AAB958}"/>
    <cellStyle name="Output 3 4 2" xfId="21267" xr:uid="{512DEF34-D1C6-4906-9600-3E322631DDC4}"/>
    <cellStyle name="Output 3 4 3" xfId="21268" xr:uid="{A0027288-58E8-477E-BDBA-395426702BA1}"/>
    <cellStyle name="Output 3 5" xfId="21269" xr:uid="{5CD1FA2E-B40B-471F-A555-22CBC691682D}"/>
    <cellStyle name="Output 3 6" xfId="21270" xr:uid="{3E057E73-9CC9-45DD-AD04-3050FEEA37C0}"/>
    <cellStyle name="Output 3 7" xfId="21271" xr:uid="{2D9DA404-F0D2-46DB-809F-DBF4914E2582}"/>
    <cellStyle name="Output 3 8" xfId="21272" xr:uid="{7DFD3F59-6689-409D-A30D-F274CAB662EC}"/>
    <cellStyle name="Output 30" xfId="21273" xr:uid="{5E6055EB-8C5C-4EC1-9D9F-3327A836FCBA}"/>
    <cellStyle name="Output 30 2" xfId="21274" xr:uid="{F48680EF-1128-401C-9D83-6F852C6E4663}"/>
    <cellStyle name="Output 30 2 2" xfId="21275" xr:uid="{1A7C0135-0F9A-4518-906C-E4F127EDBBC8}"/>
    <cellStyle name="Output 30 2 3" xfId="21276" xr:uid="{EF320C1C-5479-464D-ACCB-CFC57CE2620A}"/>
    <cellStyle name="Output 30 3" xfId="21277" xr:uid="{6325BD94-DCB8-469D-BA6E-C6A3E91FCEDC}"/>
    <cellStyle name="Output 30 3 2" xfId="21278" xr:uid="{4EAA5E5D-8000-45AC-9DFA-C53F3F39A04C}"/>
    <cellStyle name="Output 30 3 3" xfId="21279" xr:uid="{B34D93B5-5ED8-4C7A-97BC-C9E0C8D6A5AC}"/>
    <cellStyle name="Output 30 4" xfId="21280" xr:uid="{F5BA5663-4CA0-45BE-BCD6-FFCE8CF3E86C}"/>
    <cellStyle name="Output 30 5" xfId="21281" xr:uid="{144AACFF-5A72-46D0-8240-00EF085D3C61}"/>
    <cellStyle name="Output 30 6" xfId="21282" xr:uid="{266E10B2-CFCD-44EB-8BEA-CF0DA7B89DBF}"/>
    <cellStyle name="Output 30 7" xfId="21283" xr:uid="{51B66768-D316-4277-96B2-40C81280A099}"/>
    <cellStyle name="Output 31" xfId="21284" xr:uid="{F509D475-E3B0-4940-8F47-61D07433A999}"/>
    <cellStyle name="Output 31 2" xfId="21285" xr:uid="{4AD3F8C8-8A49-42AC-9ABF-0911C2929868}"/>
    <cellStyle name="Output 31 2 2" xfId="21286" xr:uid="{B5C99378-E3D9-4333-BD8E-0B55577C8186}"/>
    <cellStyle name="Output 31 2 3" xfId="21287" xr:uid="{DE5401BF-01A1-40ED-A241-8236C9454EAD}"/>
    <cellStyle name="Output 31 3" xfId="21288" xr:uid="{F1E7C034-39D7-4135-85D8-A6A0FB5FBF7D}"/>
    <cellStyle name="Output 31 3 2" xfId="21289" xr:uid="{697EBA8F-9A0A-4A3A-A158-87722C0588E2}"/>
    <cellStyle name="Output 31 3 3" xfId="21290" xr:uid="{DFA63526-A8D4-4B7F-B8AF-29D925BD42D8}"/>
    <cellStyle name="Output 31 4" xfId="21291" xr:uid="{CBA9CA7C-62DC-4B40-B7EC-9D8D0031EFDB}"/>
    <cellStyle name="Output 31 5" xfId="21292" xr:uid="{41B48A23-F25E-4655-A3C6-61948D2E1F42}"/>
    <cellStyle name="Output 31 6" xfId="21293" xr:uid="{D1056B96-7DDF-474F-938A-F43E5A07BAB7}"/>
    <cellStyle name="Output 31 7" xfId="21294" xr:uid="{F7542177-67B5-4EDD-975D-815529DF2E88}"/>
    <cellStyle name="Output 32" xfId="21295" xr:uid="{D86C062D-0EC0-4A7A-979C-08A7C8141675}"/>
    <cellStyle name="Output 32 2" xfId="21296" xr:uid="{3BA985C8-6A9E-446F-BFAA-72CA43686B33}"/>
    <cellStyle name="Output 32 2 2" xfId="21297" xr:uid="{263BC825-DEBF-408E-AEA3-BF9355A755BA}"/>
    <cellStyle name="Output 32 2 3" xfId="21298" xr:uid="{F9A1B0BE-8E34-48CD-9843-ABBAC33460FE}"/>
    <cellStyle name="Output 32 3" xfId="21299" xr:uid="{5A5EA0BC-DEB2-4380-9BE6-4F948AC4340D}"/>
    <cellStyle name="Output 32 3 2" xfId="21300" xr:uid="{86EFFB8A-B661-439B-885E-FF8AFCC7C0A8}"/>
    <cellStyle name="Output 32 3 3" xfId="21301" xr:uid="{76798C3F-4F4D-41EA-916D-F235B1C87943}"/>
    <cellStyle name="Output 32 4" xfId="21302" xr:uid="{EDC4E9F5-CCB1-4E03-8319-D4AC34C5699B}"/>
    <cellStyle name="Output 32 5" xfId="21303" xr:uid="{0312C40F-21BB-46C6-96AB-D92A7FC796A7}"/>
    <cellStyle name="Output 32 6" xfId="21304" xr:uid="{4080EB55-F041-4B8F-B2A8-3AD248E6DBB1}"/>
    <cellStyle name="Output 32 7" xfId="21305" xr:uid="{F282313E-8218-4A09-8051-1F561E0C9B80}"/>
    <cellStyle name="Output 33" xfId="21306" xr:uid="{66660B35-C2A0-4539-8C3E-2A6AA2B016B6}"/>
    <cellStyle name="Output 33 2" xfId="21307" xr:uid="{E674E401-005B-424A-9C8B-0E872F89308F}"/>
    <cellStyle name="Output 33 2 2" xfId="21308" xr:uid="{2241F83D-65BB-4E31-99EC-DE91B74B031A}"/>
    <cellStyle name="Output 33 2 3" xfId="21309" xr:uid="{1EF290A2-99E3-456D-A0C6-6AFCF78F312C}"/>
    <cellStyle name="Output 33 3" xfId="21310" xr:uid="{A5C30156-DC55-42CA-8BA3-35688DB1437D}"/>
    <cellStyle name="Output 33 3 2" xfId="21311" xr:uid="{4153928F-98A6-40DC-9B87-6C3FFD1CF27C}"/>
    <cellStyle name="Output 33 3 3" xfId="21312" xr:uid="{9D490197-EEBD-4069-892F-5D6A4A6878BD}"/>
    <cellStyle name="Output 33 4" xfId="21313" xr:uid="{5C1C1019-EAE7-4743-8121-19D2793BCAC1}"/>
    <cellStyle name="Output 33 5" xfId="21314" xr:uid="{42F87F4D-DFD8-46F8-BA56-55E574CF6B2D}"/>
    <cellStyle name="Output 33 6" xfId="21315" xr:uid="{599CB66B-C716-40C8-AAA3-35F65F3A3372}"/>
    <cellStyle name="Output 33 7" xfId="21316" xr:uid="{936BDF41-A2EC-4984-814D-FD23D8BF50D7}"/>
    <cellStyle name="Output 34" xfId="21317" xr:uid="{7672B3D2-7201-41B8-8BEC-EBA0308F8F44}"/>
    <cellStyle name="Output 34 2" xfId="21318" xr:uid="{13AA2943-DBF0-41B5-B338-C3AAAE71A198}"/>
    <cellStyle name="Output 34 2 2" xfId="21319" xr:uid="{711B35D4-69CE-4830-8F6F-EAA291BF769B}"/>
    <cellStyle name="Output 34 2 3" xfId="21320" xr:uid="{FAA4A95E-56D7-45C1-A7F7-52FDB840B2C7}"/>
    <cellStyle name="Output 34 3" xfId="21321" xr:uid="{AE4D6FC0-2254-4DB8-8ACD-218E09C5ED18}"/>
    <cellStyle name="Output 34 3 2" xfId="21322" xr:uid="{6607B4FD-4D38-4B9D-9263-080BBEB544E5}"/>
    <cellStyle name="Output 34 3 3" xfId="21323" xr:uid="{2F8BF286-16CE-4C9F-8E81-B914983149F1}"/>
    <cellStyle name="Output 34 4" xfId="21324" xr:uid="{8FA98D2F-5978-4C10-AEDA-98D0986A20F4}"/>
    <cellStyle name="Output 34 5" xfId="21325" xr:uid="{CD007C0F-D251-432A-BC8E-724DCF98983A}"/>
    <cellStyle name="Output 34 6" xfId="21326" xr:uid="{DC6AF904-05B6-4935-BF61-4C364F224ADB}"/>
    <cellStyle name="Output 34 7" xfId="21327" xr:uid="{E3260126-EE1B-40C2-90CB-1121F2AF874C}"/>
    <cellStyle name="Output 35" xfId="21328" xr:uid="{E73FB27E-0399-414B-8A43-A9E015DF1627}"/>
    <cellStyle name="Output 35 2" xfId="21329" xr:uid="{4864B502-5090-4BE2-85E0-5CC3CB4FDD85}"/>
    <cellStyle name="Output 35 2 2" xfId="21330" xr:uid="{7CFB7F4C-3EC8-4A94-8E6C-80BFFFFDF18C}"/>
    <cellStyle name="Output 35 2 3" xfId="21331" xr:uid="{A0ABB34C-2DA4-4AA1-BBBC-A48BDA40976B}"/>
    <cellStyle name="Output 35 3" xfId="21332" xr:uid="{D3DB6B5A-AB9B-49C4-BB66-02B025D5F02C}"/>
    <cellStyle name="Output 35 3 2" xfId="21333" xr:uid="{3361AB37-D712-4F67-BF6E-142E644552B0}"/>
    <cellStyle name="Output 35 3 3" xfId="21334" xr:uid="{5B886F97-35EE-478F-90B9-EA3C7283FB8B}"/>
    <cellStyle name="Output 35 4" xfId="21335" xr:uid="{236A98AB-A03E-43E2-A64E-F1E7ADA291BF}"/>
    <cellStyle name="Output 35 5" xfId="21336" xr:uid="{556C2136-52AA-43E2-AC1D-A55BC568EF88}"/>
    <cellStyle name="Output 35 6" xfId="21337" xr:uid="{DA7F91A1-AA28-45EC-9283-84E3B3ADBFCF}"/>
    <cellStyle name="Output 35 7" xfId="21338" xr:uid="{9CEC14D4-9BA5-4CA0-932A-C1B9577A6470}"/>
    <cellStyle name="Output 36" xfId="21339" xr:uid="{006E39BA-D897-4F18-88B8-57E9EEEC430A}"/>
    <cellStyle name="Output 36 2" xfId="21340" xr:uid="{148CA99C-9193-41C7-8406-20994DE48CFC}"/>
    <cellStyle name="Output 36 2 2" xfId="21341" xr:uid="{FC829B46-2453-46DE-9A01-1116F1421E0B}"/>
    <cellStyle name="Output 36 2 3" xfId="21342" xr:uid="{C776870B-1714-4B72-AF42-3811BFFCC538}"/>
    <cellStyle name="Output 36 3" xfId="21343" xr:uid="{DB14D97A-46DB-4117-8088-2D1E0444EABB}"/>
    <cellStyle name="Output 36 4" xfId="21344" xr:uid="{D1C7E967-9ACA-4020-8A5C-AA1C9393784D}"/>
    <cellStyle name="Output 36 5" xfId="21345" xr:uid="{E624B29C-BDDF-4401-A498-435110F2A8BE}"/>
    <cellStyle name="Output 36 6" xfId="21346" xr:uid="{D12E6AD3-302D-4AFF-85CA-7BA79F43642E}"/>
    <cellStyle name="Output 37" xfId="21347" xr:uid="{7AC3D42A-3DA2-419E-A9DA-9A3D0DD5CDC0}"/>
    <cellStyle name="Output 38" xfId="201" xr:uid="{FC202362-BA60-42FD-B1F0-26600C715F0F}"/>
    <cellStyle name="Output 4" xfId="21348" xr:uid="{4A20F1D1-E12B-4184-94D5-353302A592E3}"/>
    <cellStyle name="Output 4 2" xfId="21349" xr:uid="{1F4CFDA4-6F9C-4622-9FC7-43EA8EB35DF3}"/>
    <cellStyle name="Output 4 2 2" xfId="21350" xr:uid="{D20BA2C7-951C-4326-B602-0FDA84A92C97}"/>
    <cellStyle name="Output 4 2 2 2" xfId="21351" xr:uid="{840A0F30-5046-48B0-9E3D-D6E90ADF5305}"/>
    <cellStyle name="Output 4 2 2 3" xfId="21352" xr:uid="{FCA0B027-920B-4029-B3AC-8DB352D3B1FD}"/>
    <cellStyle name="Output 4 2 3" xfId="21353" xr:uid="{C5303005-C0D7-4429-AACE-8EF9AAF4FA17}"/>
    <cellStyle name="Output 4 2 3 2" xfId="21354" xr:uid="{BD3B2351-BAFF-420E-9AB9-A1A8F0FD3E71}"/>
    <cellStyle name="Output 4 2 3 3" xfId="21355" xr:uid="{9E50B354-EBA3-4EF9-BF3A-C5CDF33D3F6D}"/>
    <cellStyle name="Output 4 2 4" xfId="21356" xr:uid="{F0F22E66-7B69-498A-A9E3-0D5878EBDF2A}"/>
    <cellStyle name="Output 4 2 5" xfId="21357" xr:uid="{3660F724-2BAE-42BC-9D0B-A75F488917E2}"/>
    <cellStyle name="Output 4 2 6" xfId="21358" xr:uid="{9E283120-2319-45AD-8724-5BFC0C385552}"/>
    <cellStyle name="Output 4 2 7" xfId="21359" xr:uid="{88376ADB-4EE7-4C82-95D9-3E9DA4DF8D32}"/>
    <cellStyle name="Output 4 3" xfId="21360" xr:uid="{FE7059EA-F09B-4D44-8973-166F69AE2970}"/>
    <cellStyle name="Output 4 3 2" xfId="21361" xr:uid="{D164C685-1014-4EB7-B698-5A18D71DEBCF}"/>
    <cellStyle name="Output 4 3 2 2" xfId="21362" xr:uid="{BE037C07-DA52-4B41-860B-4715A83262C7}"/>
    <cellStyle name="Output 4 3 2 3" xfId="21363" xr:uid="{408E4566-7DCD-4DC4-B231-08FAAA054BAC}"/>
    <cellStyle name="Output 4 3 3" xfId="21364" xr:uid="{17B37A0C-5EBA-4CBE-9E27-47C20965F439}"/>
    <cellStyle name="Output 4 3 4" xfId="21365" xr:uid="{9865BA2C-D4F5-4B39-89DB-7CEDEB5D7CD2}"/>
    <cellStyle name="Output 4 4" xfId="21366" xr:uid="{3B213B6E-0738-40D5-8606-8789CDDC3E22}"/>
    <cellStyle name="Output 4 4 2" xfId="21367" xr:uid="{1C57F244-973F-4048-891B-B56D170B6A01}"/>
    <cellStyle name="Output 4 4 3" xfId="21368" xr:uid="{7CE3769D-798E-4EB8-A06F-19140E5F8837}"/>
    <cellStyle name="Output 4 5" xfId="21369" xr:uid="{FF01B967-28BC-472E-92A3-39E9D71A3987}"/>
    <cellStyle name="Output 4 6" xfId="21370" xr:uid="{D426853B-21D8-4169-B101-3B76F9FFE731}"/>
    <cellStyle name="Output 4 7" xfId="21371" xr:uid="{F9B59E4B-B671-4331-A38B-CD172D364BDE}"/>
    <cellStyle name="Output 4 8" xfId="21372" xr:uid="{9E7EB7AA-1547-41B1-9343-3E383A591461}"/>
    <cellStyle name="Output 5" xfId="21373" xr:uid="{4EAD4611-272A-4C64-90CA-3C898E4AB577}"/>
    <cellStyle name="Output 5 2" xfId="21374" xr:uid="{E61969C7-8DB4-4F49-9FAB-3CC75DD9805F}"/>
    <cellStyle name="Output 5 2 2" xfId="21375" xr:uid="{52C12FF6-7341-49F4-8CB9-A22F9EAFEA94}"/>
    <cellStyle name="Output 5 2 2 2" xfId="21376" xr:uid="{BCA27F5C-2C9B-4C44-97D7-FC827FE72915}"/>
    <cellStyle name="Output 5 2 2 3" xfId="21377" xr:uid="{1561E220-560D-4168-83C6-6A9B2CF6E375}"/>
    <cellStyle name="Output 5 2 3" xfId="21378" xr:uid="{09E52847-8041-4ABA-8441-CE4C86DDED38}"/>
    <cellStyle name="Output 5 2 3 2" xfId="21379" xr:uid="{C3B23633-799B-449C-B8E5-6A9D34D4E823}"/>
    <cellStyle name="Output 5 2 3 3" xfId="21380" xr:uid="{D447BFED-846F-4E95-8935-C33429BA14C5}"/>
    <cellStyle name="Output 5 2 4" xfId="21381" xr:uid="{5D5A504A-0501-4E02-A51B-246678A2DE4D}"/>
    <cellStyle name="Output 5 2 5" xfId="21382" xr:uid="{0E7E82AD-BE7E-4149-A58B-A5B0B68BE0D5}"/>
    <cellStyle name="Output 5 2 6" xfId="21383" xr:uid="{70AB1EBC-7E27-4E20-8A28-D5AA457EEAC6}"/>
    <cellStyle name="Output 5 2 7" xfId="21384" xr:uid="{F59B7512-EF1F-4F52-9A2D-B78DE4B1FE79}"/>
    <cellStyle name="Output 5 3" xfId="21385" xr:uid="{38E3BAFA-35DC-41FA-9B3F-18FAFAABF27E}"/>
    <cellStyle name="Output 5 3 2" xfId="21386" xr:uid="{A1CBA342-F82A-4BBA-A969-CFDE8C7923ED}"/>
    <cellStyle name="Output 5 3 2 2" xfId="21387" xr:uid="{525445E9-FBBF-4964-8A88-3FAD5FC3FE03}"/>
    <cellStyle name="Output 5 3 2 3" xfId="21388" xr:uid="{0AA7CF94-050D-43DC-BC92-67F2B50761E2}"/>
    <cellStyle name="Output 5 3 3" xfId="21389" xr:uid="{B7B8482C-794B-4E06-8025-F456E118A28B}"/>
    <cellStyle name="Output 5 3 4" xfId="21390" xr:uid="{77DEAAC0-5850-4976-A2DA-41ED3B320765}"/>
    <cellStyle name="Output 5 4" xfId="21391" xr:uid="{DAE92EB6-1B6A-4996-B2E6-F38BE1A296A2}"/>
    <cellStyle name="Output 5 4 2" xfId="21392" xr:uid="{7777B01F-66FE-40EF-BCA0-289D5E38D0B6}"/>
    <cellStyle name="Output 5 4 3" xfId="21393" xr:uid="{95CB6794-13EB-4C30-9666-8A188688126D}"/>
    <cellStyle name="Output 5 5" xfId="21394" xr:uid="{4DE7C7DD-F7BA-4519-B0CE-CADA714752F6}"/>
    <cellStyle name="Output 5 6" xfId="21395" xr:uid="{C51B3958-897A-4102-8D47-4DF7BAB7660A}"/>
    <cellStyle name="Output 5 7" xfId="21396" xr:uid="{410A03F3-8382-4E5B-8F80-B7CEBE0F7E74}"/>
    <cellStyle name="Output 5 8" xfId="21397" xr:uid="{5BB530E4-5906-4F21-A273-2666EF227E68}"/>
    <cellStyle name="Output 6" xfId="21398" xr:uid="{CCCC8CA0-22D8-41ED-9742-C3E1B91378DC}"/>
    <cellStyle name="Output 6 2" xfId="21399" xr:uid="{CB741B2F-1E15-4FF6-8633-B7C05696CB47}"/>
    <cellStyle name="Output 6 2 2" xfId="21400" xr:uid="{B5469EE2-C84C-456A-9D9A-AA763ED09C0C}"/>
    <cellStyle name="Output 6 2 2 2" xfId="21401" xr:uid="{A789D7DB-54A6-4716-BD5F-A9055C0772C7}"/>
    <cellStyle name="Output 6 2 2 3" xfId="21402" xr:uid="{EF2C3C0A-9186-492D-9CA7-60F4312FFF64}"/>
    <cellStyle name="Output 6 2 3" xfId="21403" xr:uid="{D7AA9CA2-A376-4674-A439-61AE27AE537C}"/>
    <cellStyle name="Output 6 2 3 2" xfId="21404" xr:uid="{1C5DB4A7-2C34-4EF6-AFD7-EE67C84D1A01}"/>
    <cellStyle name="Output 6 2 3 3" xfId="21405" xr:uid="{22F11363-4C48-497F-981F-E2A52EDC42D1}"/>
    <cellStyle name="Output 6 2 4" xfId="21406" xr:uid="{FEF662EB-A833-433B-831C-1B7B678DF944}"/>
    <cellStyle name="Output 6 2 5" xfId="21407" xr:uid="{FADAB402-6CD2-4ACB-913B-0503E9880BD0}"/>
    <cellStyle name="Output 6 2 6" xfId="21408" xr:uid="{5BB36D67-40AC-4647-8AD8-F70C0F015ECF}"/>
    <cellStyle name="Output 6 2 7" xfId="21409" xr:uid="{C1E23D71-86C7-4BE1-BC35-2697F0AFD480}"/>
    <cellStyle name="Output 6 3" xfId="21410" xr:uid="{474FF550-B2E8-4A6D-8AB3-AD1962CAF979}"/>
    <cellStyle name="Output 6 3 2" xfId="21411" xr:uid="{EC14AC4A-5C28-4D9A-8FA9-F29B955617A6}"/>
    <cellStyle name="Output 6 3 2 2" xfId="21412" xr:uid="{D06DB570-D2D3-407F-8EF6-D0837CE2C308}"/>
    <cellStyle name="Output 6 3 2 3" xfId="21413" xr:uid="{6C859929-52D8-4077-B998-E35189B558D7}"/>
    <cellStyle name="Output 6 3 3" xfId="21414" xr:uid="{184FA679-5C12-4A6D-9E98-53762C9C326F}"/>
    <cellStyle name="Output 6 3 4" xfId="21415" xr:uid="{61D3E1F9-E432-444F-BA73-0A1E1BC3556A}"/>
    <cellStyle name="Output 6 4" xfId="21416" xr:uid="{FF401C6C-1AC0-4D48-B94B-9B7760D0BF53}"/>
    <cellStyle name="Output 6 4 2" xfId="21417" xr:uid="{C053DAA4-B5F3-4DF8-8544-0053C8D8BB2D}"/>
    <cellStyle name="Output 6 4 3" xfId="21418" xr:uid="{D0A56DAE-628E-44BA-B3D3-E0758ECD5394}"/>
    <cellStyle name="Output 6 5" xfId="21419" xr:uid="{D3B83D65-F1CB-4399-AA13-1766BC6B29CC}"/>
    <cellStyle name="Output 6 6" xfId="21420" xr:uid="{F48BD1A4-7455-4D21-9229-776CA13F959A}"/>
    <cellStyle name="Output 6 7" xfId="21421" xr:uid="{F3235DEB-F40A-495F-9A93-3032AA9024C7}"/>
    <cellStyle name="Output 6 8" xfId="21422" xr:uid="{329F606F-979D-4C28-B0CD-780A897A31AC}"/>
    <cellStyle name="Output 7" xfId="21423" xr:uid="{89720E5B-0D91-4232-BAF0-7D02A23A9508}"/>
    <cellStyle name="Output 7 2" xfId="21424" xr:uid="{5939ACB7-2C45-4EC1-B9C2-2F2BD4A85E7E}"/>
    <cellStyle name="Output 7 2 2" xfId="21425" xr:uid="{18683B47-EC07-41FE-BA1E-2E36F084DD83}"/>
    <cellStyle name="Output 7 2 2 2" xfId="21426" xr:uid="{277683E6-629C-4F00-8D94-0E0679124132}"/>
    <cellStyle name="Output 7 2 2 3" xfId="21427" xr:uid="{231F604C-84FA-47CA-B0B6-911FACCF27FB}"/>
    <cellStyle name="Output 7 2 3" xfId="21428" xr:uid="{6F913D3E-D17B-416E-AA0F-E728B610A8F1}"/>
    <cellStyle name="Output 7 2 3 2" xfId="21429" xr:uid="{8222AD26-5BF0-4D58-B7E3-D6CF05957CBF}"/>
    <cellStyle name="Output 7 2 3 3" xfId="21430" xr:uid="{ADFBE6F3-A570-4552-8D4F-96F83B975612}"/>
    <cellStyle name="Output 7 2 4" xfId="21431" xr:uid="{FCAB47C4-A5B6-472E-AE42-01DBAA687F92}"/>
    <cellStyle name="Output 7 2 5" xfId="21432" xr:uid="{B9972187-30FB-4DE6-99EA-1CE41CA80962}"/>
    <cellStyle name="Output 7 2 6" xfId="21433" xr:uid="{685109DF-5C89-4712-8432-991D9DF2D31E}"/>
    <cellStyle name="Output 7 2 7" xfId="21434" xr:uid="{E9600507-53CD-472D-904E-82F4A59DBFCF}"/>
    <cellStyle name="Output 7 3" xfId="21435" xr:uid="{35EAF6C8-418C-409D-B0ED-6255838F0834}"/>
    <cellStyle name="Output 7 3 2" xfId="21436" xr:uid="{289B05CF-F4ED-4D58-919D-CC6BBEF2EBA8}"/>
    <cellStyle name="Output 7 3 2 2" xfId="21437" xr:uid="{B8599115-957E-4AC4-A2F7-4CA49E9D96C0}"/>
    <cellStyle name="Output 7 3 2 3" xfId="21438" xr:uid="{D7F2FA34-0077-490F-BF1E-DFEB85EB30DF}"/>
    <cellStyle name="Output 7 3 3" xfId="21439" xr:uid="{18F4454C-EAE7-4BE0-838D-292769D7F2DA}"/>
    <cellStyle name="Output 7 3 4" xfId="21440" xr:uid="{632AA5A3-AD41-49B5-9125-2ABFD415C402}"/>
    <cellStyle name="Output 7 4" xfId="21441" xr:uid="{C39721CF-FDFA-4B7D-AC61-ACA87303E1A8}"/>
    <cellStyle name="Output 7 4 2" xfId="21442" xr:uid="{7DB7793E-2CE4-4320-8BF3-A762C0414737}"/>
    <cellStyle name="Output 7 4 3" xfId="21443" xr:uid="{425842E5-FDA4-42BB-9074-19F49C977E59}"/>
    <cellStyle name="Output 7 5" xfId="21444" xr:uid="{2AEF7B53-20F7-4A8E-AF52-FFE174EA6531}"/>
    <cellStyle name="Output 7 6" xfId="21445" xr:uid="{8E6DE8C7-004D-4319-8545-2C31A4FBC7F5}"/>
    <cellStyle name="Output 7 7" xfId="21446" xr:uid="{8C60219C-B4C9-48FD-9CAD-8657C5295893}"/>
    <cellStyle name="Output 7 8" xfId="21447" xr:uid="{F6521D13-0349-47FF-8803-4EEB3A64AC97}"/>
    <cellStyle name="Output 8" xfId="21448" xr:uid="{364CC507-DDC2-41B2-8194-9D0FAC2247BA}"/>
    <cellStyle name="Output 8 2" xfId="21449" xr:uid="{77A81B75-0FA2-41D1-9D92-9A8977CAA939}"/>
    <cellStyle name="Output 8 2 2" xfId="21450" xr:uid="{3D52CF20-DAFC-4BAE-A08F-89076663C78F}"/>
    <cellStyle name="Output 8 2 2 2" xfId="21451" xr:uid="{0A9EB659-D035-4BA8-88D2-A34FB84D89B6}"/>
    <cellStyle name="Output 8 2 2 3" xfId="21452" xr:uid="{C54EDB05-18C0-401B-94DF-49BCEF62029C}"/>
    <cellStyle name="Output 8 2 3" xfId="21453" xr:uid="{DA68106E-503C-429F-973E-38FDED4E8524}"/>
    <cellStyle name="Output 8 2 3 2" xfId="21454" xr:uid="{EE8797A0-64D5-430E-B342-FC2C59BADD1E}"/>
    <cellStyle name="Output 8 2 3 3" xfId="21455" xr:uid="{24142DEC-2FF1-408D-ACF8-EECFC4A9D2EF}"/>
    <cellStyle name="Output 8 2 4" xfId="21456" xr:uid="{30387B71-3991-4E31-904A-B42B8AB899C9}"/>
    <cellStyle name="Output 8 2 5" xfId="21457" xr:uid="{036E6E93-BF3B-4025-85AB-8D8C44CD97C1}"/>
    <cellStyle name="Output 8 2 6" xfId="21458" xr:uid="{58B2D2EA-BC50-40F0-BBF4-4F7411B86F56}"/>
    <cellStyle name="Output 8 2 7" xfId="21459" xr:uid="{09D45960-CA77-4199-9848-A9A4B9C2B6B4}"/>
    <cellStyle name="Output 8 3" xfId="21460" xr:uid="{7996902C-CB8E-4C0B-BC8C-21CA5F23FC50}"/>
    <cellStyle name="Output 8 3 2" xfId="21461" xr:uid="{23FAB9DA-D91D-4DB9-85CF-DED28B6F4419}"/>
    <cellStyle name="Output 8 3 2 2" xfId="21462" xr:uid="{C9C7CC80-1707-4C6B-99F5-FF8D33C6931A}"/>
    <cellStyle name="Output 8 3 2 3" xfId="21463" xr:uid="{D1750DBE-297D-4BF9-A71A-EFA043D5E795}"/>
    <cellStyle name="Output 8 3 3" xfId="21464" xr:uid="{B92858C3-5A06-4C8E-B0FE-3FC41E158405}"/>
    <cellStyle name="Output 8 3 4" xfId="21465" xr:uid="{4BBB6235-E403-48BA-914F-DB478C21F536}"/>
    <cellStyle name="Output 8 4" xfId="21466" xr:uid="{4851FC2F-E25E-445E-8F05-7036DACA955F}"/>
    <cellStyle name="Output 8 4 2" xfId="21467" xr:uid="{14732AD3-4326-442B-953F-20D1C905CF01}"/>
    <cellStyle name="Output 8 4 3" xfId="21468" xr:uid="{69530515-AE4C-4D3A-A74E-B30577EF4A65}"/>
    <cellStyle name="Output 8 5" xfId="21469" xr:uid="{DD2A33AD-7708-4991-B016-7B6EBE06C9FE}"/>
    <cellStyle name="Output 8 6" xfId="21470" xr:uid="{45ED6F5A-4680-45E3-85B5-EB4BDD042EC0}"/>
    <cellStyle name="Output 8 7" xfId="21471" xr:uid="{A1694F39-5C07-45EE-AA45-ABF4414CA2E1}"/>
    <cellStyle name="Output 8 8" xfId="21472" xr:uid="{649EE654-8AB8-4FCA-A450-F8E776E9EC29}"/>
    <cellStyle name="Output 9" xfId="21473" xr:uid="{B1E92639-68BE-4CD9-8FF8-A7AE9D2B6C69}"/>
    <cellStyle name="Output 9 2" xfId="21474" xr:uid="{07A6E239-A4AD-4E7B-806A-08A8D1457E34}"/>
    <cellStyle name="Output 9 2 2" xfId="21475" xr:uid="{6EB0157A-8EEA-4F8D-B037-1BAB36A67338}"/>
    <cellStyle name="Output 9 2 2 2" xfId="21476" xr:uid="{5645A3CB-6B62-4D46-B975-BCCB7D2744E5}"/>
    <cellStyle name="Output 9 2 2 3" xfId="21477" xr:uid="{519E0ADB-6A4A-4998-B674-1CC6EFF1CEF1}"/>
    <cellStyle name="Output 9 2 3" xfId="21478" xr:uid="{55545D49-DABB-4AC1-A5EB-397698001E20}"/>
    <cellStyle name="Output 9 2 3 2" xfId="21479" xr:uid="{90928DA7-42C3-46C8-8E8E-34DCF45099E0}"/>
    <cellStyle name="Output 9 2 3 3" xfId="21480" xr:uid="{D751433E-BA07-47D3-B6C8-45790F422497}"/>
    <cellStyle name="Output 9 2 4" xfId="21481" xr:uid="{ED2922A1-CC25-4383-9FFD-99CBB534938F}"/>
    <cellStyle name="Output 9 2 5" xfId="21482" xr:uid="{E296E78C-E670-473D-9BD7-665C02D8553A}"/>
    <cellStyle name="Output 9 2 6" xfId="21483" xr:uid="{65445DF5-8DF0-4794-86BF-EA00A13E50A5}"/>
    <cellStyle name="Output 9 2 7" xfId="21484" xr:uid="{2B006D90-C6ED-40A9-AF61-0F40832DA392}"/>
    <cellStyle name="Output 9 3" xfId="21485" xr:uid="{8D6D4081-737B-426E-A7DB-F0449202E535}"/>
    <cellStyle name="Output 9 3 2" xfId="21486" xr:uid="{DAD9E034-D484-4669-BF95-B9C6FB831293}"/>
    <cellStyle name="Output 9 3 2 2" xfId="21487" xr:uid="{DFA5BFEC-9297-4A57-9BE7-9FABACEEC5E0}"/>
    <cellStyle name="Output 9 3 2 3" xfId="21488" xr:uid="{29181597-8ACA-4899-80CB-701FADB3A4DB}"/>
    <cellStyle name="Output 9 3 3" xfId="21489" xr:uid="{F1563B7F-7D14-48AF-AD21-FAF2247918BE}"/>
    <cellStyle name="Output 9 3 4" xfId="21490" xr:uid="{75053284-592A-4636-BE68-0B236FB7098B}"/>
    <cellStyle name="Output 9 4" xfId="21491" xr:uid="{9E7D3FE4-792E-44F2-B66F-1F6185846C2C}"/>
    <cellStyle name="Output 9 4 2" xfId="21492" xr:uid="{38ABFABE-E1F0-481F-A565-E632AE221AB0}"/>
    <cellStyle name="Output 9 4 3" xfId="21493" xr:uid="{3E64D966-BA1A-47DA-9627-E100F1B981E4}"/>
    <cellStyle name="Output 9 5" xfId="21494" xr:uid="{936775FC-2939-46C8-8093-EE1680A1EB00}"/>
    <cellStyle name="Output 9 6" xfId="21495" xr:uid="{AF59FB99-1D8D-4397-8C85-DF5672D06284}"/>
    <cellStyle name="Output 9 7" xfId="21496" xr:uid="{F34E83D9-1F6A-4259-9606-E731871E4B94}"/>
    <cellStyle name="Output 9 8" xfId="21497" xr:uid="{D125EDC7-15C7-4277-819B-3038C2670F81}"/>
    <cellStyle name="Percent" xfId="47" builtinId="5"/>
    <cellStyle name="Percent [0]" xfId="21498" xr:uid="{5360F796-4E9E-4B44-A111-B410DB34BB76}"/>
    <cellStyle name="Percent [0] 2" xfId="21499" xr:uid="{ACD1CBBD-2C37-4A0B-B010-977A3169299D}"/>
    <cellStyle name="Percent [0] 2 10" xfId="21500" xr:uid="{54A9C58A-E158-49A0-80E7-1C3DE13C7161}"/>
    <cellStyle name="Percent [0] 2 11" xfId="21501" xr:uid="{817FB87A-3714-4075-B3F4-8292EC7F3523}"/>
    <cellStyle name="Percent [0] 2 12" xfId="21502" xr:uid="{881BDC43-B52C-420F-A3F6-FE70496C1328}"/>
    <cellStyle name="Percent [0] 2 13" xfId="21503" xr:uid="{078579DA-E0C0-45F5-A922-06A425CF1C47}"/>
    <cellStyle name="Percent [0] 2 14" xfId="21504" xr:uid="{4CE279D0-16DE-4E1F-B042-BDF3D4F74277}"/>
    <cellStyle name="Percent [0] 2 15" xfId="21505" xr:uid="{8A0B9177-DE24-4974-A50C-85485826F1FB}"/>
    <cellStyle name="Percent [0] 2 16" xfId="21506" xr:uid="{61EEB6DC-C4D3-4BF2-85CD-31E2A2C60E05}"/>
    <cellStyle name="Percent [0] 2 17" xfId="21507" xr:uid="{E28186C0-7B70-4218-8CE9-029F1DDF78D2}"/>
    <cellStyle name="Percent [0] 2 18" xfId="21508" xr:uid="{128EB11F-A69A-4BAC-AEB5-61429BFBB254}"/>
    <cellStyle name="Percent [0] 2 19" xfId="21509" xr:uid="{77DD778F-FEB0-4772-9B80-1E9DFA0113E1}"/>
    <cellStyle name="Percent [0] 2 2" xfId="21510" xr:uid="{B72366CA-A308-4E1F-B691-84F18F1A1C17}"/>
    <cellStyle name="Percent [0] 2 2 2" xfId="21511" xr:uid="{6CD46890-7A93-463C-94C0-8FDDEA05640D}"/>
    <cellStyle name="Percent [0] 2 2 3" xfId="21512" xr:uid="{682BB6EB-B733-4E83-B50C-703516D9645F}"/>
    <cellStyle name="Percent [0] 2 2 4" xfId="21513" xr:uid="{47071F70-7C46-4D14-B1AB-664737C54023}"/>
    <cellStyle name="Percent [0] 2 20" xfId="21514" xr:uid="{C1D92212-8829-414A-8CAF-F4D9104BC0C7}"/>
    <cellStyle name="Percent [0] 2 21" xfId="21515" xr:uid="{FFDCD492-4160-4633-BA21-4ECD44C170BD}"/>
    <cellStyle name="Percent [0] 2 22" xfId="21516" xr:uid="{309B9AF6-2099-49FC-947C-9BB85AE6DBCE}"/>
    <cellStyle name="Percent [0] 2 23" xfId="21517" xr:uid="{B2F9D13F-C4BE-436D-A5E8-B700055E1C00}"/>
    <cellStyle name="Percent [0] 2 24" xfId="21518" xr:uid="{9B45AD8A-2FDA-476E-BBAD-408BAC62B440}"/>
    <cellStyle name="Percent [0] 2 25" xfId="21519" xr:uid="{F327A89B-3E13-4A85-9C23-754B86A6B760}"/>
    <cellStyle name="Percent [0] 2 26" xfId="21520" xr:uid="{4B8E943B-04D5-4FE6-A24D-1AE8519C48E6}"/>
    <cellStyle name="Percent [0] 2 27" xfId="21521" xr:uid="{5BD0DFE6-D313-4359-9DC2-73204BC05258}"/>
    <cellStyle name="Percent [0] 2 3" xfId="21522" xr:uid="{51A0F350-B220-4127-AD6A-41B9C7252C1E}"/>
    <cellStyle name="Percent [0] 2 3 2" xfId="21523" xr:uid="{078B886F-71F7-47B8-A67F-DE7BD8ED52CF}"/>
    <cellStyle name="Percent [0] 2 3 3" xfId="21524" xr:uid="{7EFCA838-FEB6-452C-BA5D-F8701BD2B8B1}"/>
    <cellStyle name="Percent [0] 2 3 4" xfId="21525" xr:uid="{150E6BD8-9A12-4EF1-A63E-7234CAFF3437}"/>
    <cellStyle name="Percent [0] 2 4" xfId="21526" xr:uid="{E47CA429-C7A9-4457-8C82-97E9562E7137}"/>
    <cellStyle name="Percent [0] 2 4 2" xfId="21527" xr:uid="{5DA83D72-D717-4174-A313-3F7F47DF07F8}"/>
    <cellStyle name="Percent [0] 2 4 3" xfId="21528" xr:uid="{EF64D521-F4B6-4CDB-AE5B-ADDDBD6B141F}"/>
    <cellStyle name="Percent [0] 2 4 4" xfId="21529" xr:uid="{9AAC3D40-F0F0-4C59-B7F8-75E053FDECC2}"/>
    <cellStyle name="Percent [0] 2 5" xfId="21530" xr:uid="{C6C9B53C-A273-4011-BECC-BC197B181257}"/>
    <cellStyle name="Percent [0] 2 5 2" xfId="21531" xr:uid="{1874907E-7B5A-4803-967D-61D96F34AB16}"/>
    <cellStyle name="Percent [0] 2 5 3" xfId="21532" xr:uid="{5B5EC00E-C21A-43B2-B20E-C0F9B05961F3}"/>
    <cellStyle name="Percent [0] 2 5 4" xfId="21533" xr:uid="{AE5A9ED1-831F-4087-A7FC-33C7F2A0EEA9}"/>
    <cellStyle name="Percent [0] 2 6" xfId="21534" xr:uid="{8D6B0641-FA94-42C7-AA96-2D8F901B4BC8}"/>
    <cellStyle name="Percent [0] 2 7" xfId="21535" xr:uid="{F777D5D2-6796-445A-A3E1-1FFC95927E7F}"/>
    <cellStyle name="Percent [0] 2 8" xfId="21536" xr:uid="{9A722739-B4A2-467A-A2A1-B8D3AA8CC6E6}"/>
    <cellStyle name="Percent [0] 2 9" xfId="21537" xr:uid="{4276CE74-4E19-4234-8D8F-790DE580637A}"/>
    <cellStyle name="Percent [0] 3" xfId="21538" xr:uid="{CEB8ED18-F027-403D-8FEB-7217E34F2F38}"/>
    <cellStyle name="Percent [0] 4" xfId="21539" xr:uid="{A9D0380C-43DE-4037-9419-31A19F03B62C}"/>
    <cellStyle name="Percent [1]" xfId="256" xr:uid="{62E708B7-6E66-4E78-98CF-E980D7F31507}"/>
    <cellStyle name="Percent [1] 2" xfId="21540" xr:uid="{B9B9AA75-BF5B-4F78-9CBD-4CE89E8DDA43}"/>
    <cellStyle name="Percent [1] 2 2" xfId="21541" xr:uid="{592F9E65-6AE3-4EC7-82BD-E18E606EEE9A}"/>
    <cellStyle name="Percent [1] 2 2 2" xfId="21542" xr:uid="{52AB88DB-0436-4058-849F-1DED19273A84}"/>
    <cellStyle name="Percent [1] 2 2 2 2" xfId="43036" xr:uid="{37146C7B-88A4-42D8-BDAA-EE31E1231061}"/>
    <cellStyle name="Percent [1] 2 2 3" xfId="43037" xr:uid="{FB203F15-29AD-48D3-A830-FCC2B444408C}"/>
    <cellStyle name="Percent [1] 2 3" xfId="21543" xr:uid="{CC820EFD-A77B-4C6A-A79E-79DF87A3BF7B}"/>
    <cellStyle name="Percent [1] 2 3 2" xfId="43038" xr:uid="{0B20E477-D87A-4B3E-A445-0B58FEB5A4C2}"/>
    <cellStyle name="Percent [1] 2 4" xfId="43039" xr:uid="{0DD0256D-4C1F-46B9-AA6A-5D0C312D8B39}"/>
    <cellStyle name="Percent [1] 3" xfId="21544" xr:uid="{9B51A5BE-DCB2-4C02-AF35-44B97EC0EE70}"/>
    <cellStyle name="Percent [1] 3 2" xfId="43040" xr:uid="{41166640-2FBE-404F-82AD-CAF6555DA657}"/>
    <cellStyle name="Percent [1] 4" xfId="43041" xr:uid="{035F28F1-31AB-4230-AC6F-9ABAC6C10286}"/>
    <cellStyle name="Percent [1] 4 2" xfId="43042" xr:uid="{DEC9B2BB-27E2-4AA4-8589-5C08DCC24B24}"/>
    <cellStyle name="Percent [1] 5" xfId="43043" xr:uid="{7E2AB8B5-96FB-4370-8498-DEDAF765A40C}"/>
    <cellStyle name="Percent [1] 5 2" xfId="43044" xr:uid="{B4224FDD-BDA3-438C-9EA5-46B6171B4726}"/>
    <cellStyle name="Percent [1] 6" xfId="43045" xr:uid="{F01DF96B-1914-4D7A-A2C6-087516E54B66}"/>
    <cellStyle name="Percent [1] 7" xfId="43046" xr:uid="{B9BE8085-E1C2-4B4C-8CB9-7E662BD99C97}"/>
    <cellStyle name="Percent [2]" xfId="257" xr:uid="{549359FE-1E19-462A-87AA-937935B5001B}"/>
    <cellStyle name="Percent [2] 10" xfId="21545" xr:uid="{F3E71363-F17E-420D-9A3C-DE5C52D7547A}"/>
    <cellStyle name="Percent [2] 10 10" xfId="21546" xr:uid="{23F2B7FF-7CEF-4EDB-A3B2-FAA2061AC36B}"/>
    <cellStyle name="Percent [2] 10 11" xfId="21547" xr:uid="{91AD2938-9A3A-4FF4-A627-D4E5B7E903F6}"/>
    <cellStyle name="Percent [2] 10 12" xfId="21548" xr:uid="{EE4934D5-B2E5-4BB4-8832-F40EFEA08E21}"/>
    <cellStyle name="Percent [2] 10 13" xfId="21549" xr:uid="{C266C38A-C60D-472E-AD14-A62BC4A28F35}"/>
    <cellStyle name="Percent [2] 10 14" xfId="21550" xr:uid="{B413B577-FE7F-45D3-B2F1-8D0913FF5FFD}"/>
    <cellStyle name="Percent [2] 10 15" xfId="21551" xr:uid="{64D9C973-0B0D-4343-8220-A7BA144E56A9}"/>
    <cellStyle name="Percent [2] 10 16" xfId="21552" xr:uid="{9DD22341-A5AF-4431-B970-F12E9507F2AC}"/>
    <cellStyle name="Percent [2] 10 17" xfId="21553" xr:uid="{5F3BF9C3-1C33-4DC2-BF50-6B5CDCE8C152}"/>
    <cellStyle name="Percent [2] 10 18" xfId="21554" xr:uid="{C6CC670E-321B-46D6-8A9F-A0092D75A1CA}"/>
    <cellStyle name="Percent [2] 10 19" xfId="21555" xr:uid="{4933C412-36E3-4CD4-9AED-99F691B72277}"/>
    <cellStyle name="Percent [2] 10 2" xfId="21556" xr:uid="{1884B7CF-2426-4555-ABD8-AFC32799BCB5}"/>
    <cellStyle name="Percent [2] 10 20" xfId="21557" xr:uid="{7DF15C17-8FD0-4040-AFC5-D7B6BCB14496}"/>
    <cellStyle name="Percent [2] 10 21" xfId="21558" xr:uid="{C8BDCF3B-D426-4813-92BD-3AE90CB603D0}"/>
    <cellStyle name="Percent [2] 10 22" xfId="21559" xr:uid="{021D57A2-50A0-4698-8EC8-D419514ACE40}"/>
    <cellStyle name="Percent [2] 10 23" xfId="21560" xr:uid="{7B75375A-D683-4CB7-B2B8-2FFB6D94F7FB}"/>
    <cellStyle name="Percent [2] 10 3" xfId="21561" xr:uid="{C3CA2EF6-48EF-400E-8D70-7BCAE4098900}"/>
    <cellStyle name="Percent [2] 10 4" xfId="21562" xr:uid="{1892C10A-FB45-41DF-A65D-BB006EBB131A}"/>
    <cellStyle name="Percent [2] 10 5" xfId="21563" xr:uid="{BA1F69AD-0D33-4F16-AFA2-DBBE6F4BCF0F}"/>
    <cellStyle name="Percent [2] 10 6" xfId="21564" xr:uid="{A242AE4E-56E5-4830-A188-A20E9E653770}"/>
    <cellStyle name="Percent [2] 10 7" xfId="21565" xr:uid="{EED65B9C-9AB9-4AFA-A394-6B3EA7A17850}"/>
    <cellStyle name="Percent [2] 10 8" xfId="21566" xr:uid="{EF824FD5-9E16-4358-B255-5A97A02DD6C3}"/>
    <cellStyle name="Percent [2] 10 9" xfId="21567" xr:uid="{2E011A55-51CC-4B0C-91C1-3B0F1EC52A4C}"/>
    <cellStyle name="Percent [2] 11" xfId="21568" xr:uid="{F8251BC2-8B2F-4C2A-B405-D627B0F4A5EA}"/>
    <cellStyle name="Percent [2] 11 10" xfId="21569" xr:uid="{9989A7E3-A34D-41EB-B939-7469C701A2BC}"/>
    <cellStyle name="Percent [2] 11 11" xfId="21570" xr:uid="{E09828E4-1934-4375-9043-24ECABDEBB15}"/>
    <cellStyle name="Percent [2] 11 12" xfId="21571" xr:uid="{E6E44885-6F98-43B7-BF97-D645E36E3BCE}"/>
    <cellStyle name="Percent [2] 11 13" xfId="21572" xr:uid="{9A434016-2C02-437B-B9C4-7B8BF23E0733}"/>
    <cellStyle name="Percent [2] 11 14" xfId="21573" xr:uid="{6B25E8DB-5A8A-417C-B62E-18D81F0903AC}"/>
    <cellStyle name="Percent [2] 11 15" xfId="21574" xr:uid="{98BC6F32-77C3-4621-AB98-DFB881381B9A}"/>
    <cellStyle name="Percent [2] 11 16" xfId="21575" xr:uid="{7083B3D0-EF16-42E3-A84E-D47751C65730}"/>
    <cellStyle name="Percent [2] 11 17" xfId="21576" xr:uid="{74F46567-82EA-4523-9563-3999CE351E5F}"/>
    <cellStyle name="Percent [2] 11 18" xfId="21577" xr:uid="{F661EB01-F3A1-4A82-9793-E421C04A9F2C}"/>
    <cellStyle name="Percent [2] 11 19" xfId="21578" xr:uid="{040FD7A3-3993-46CD-AB9A-71A47A1C460A}"/>
    <cellStyle name="Percent [2] 11 2" xfId="21579" xr:uid="{6DED7D51-114C-4206-A240-86E2E125B1F3}"/>
    <cellStyle name="Percent [2] 11 20" xfId="21580" xr:uid="{E0606F88-C1E9-410F-9BCA-A7C6520F5209}"/>
    <cellStyle name="Percent [2] 11 21" xfId="21581" xr:uid="{EE431EEC-3397-4670-B7F4-17925100F472}"/>
    <cellStyle name="Percent [2] 11 22" xfId="21582" xr:uid="{923E5F6F-277B-4338-B822-C04E211933C8}"/>
    <cellStyle name="Percent [2] 11 23" xfId="21583" xr:uid="{2906D4A9-D121-4777-88AD-0F309E3094DD}"/>
    <cellStyle name="Percent [2] 11 3" xfId="21584" xr:uid="{504A54A5-3552-475A-858B-D90158A0A638}"/>
    <cellStyle name="Percent [2] 11 4" xfId="21585" xr:uid="{8197199C-E249-4519-85CF-979E2E257A62}"/>
    <cellStyle name="Percent [2] 11 5" xfId="21586" xr:uid="{EB0B3FB0-5601-4C26-BAA7-52C9961B7BDB}"/>
    <cellStyle name="Percent [2] 11 6" xfId="21587" xr:uid="{1B7DFC79-6D74-4341-934D-E04A33068EC2}"/>
    <cellStyle name="Percent [2] 11 7" xfId="21588" xr:uid="{2AEC82F0-A7C4-40D0-9AD3-23E79C7C26C3}"/>
    <cellStyle name="Percent [2] 11 8" xfId="21589" xr:uid="{E8827571-005F-412A-B706-D405F0FBEB0D}"/>
    <cellStyle name="Percent [2] 11 9" xfId="21590" xr:uid="{3AA7BC5B-4B5B-47A7-92DD-BB781645F478}"/>
    <cellStyle name="Percent [2] 12" xfId="21591" xr:uid="{6A24605D-2250-42F8-9E0C-61C0D930DF59}"/>
    <cellStyle name="Percent [2] 12 2" xfId="21592" xr:uid="{BA2133AF-3A07-4179-B0D1-BF9AA833E687}"/>
    <cellStyle name="Percent [2] 12 3" xfId="21593" xr:uid="{29748685-060B-4DCB-B1C0-53041E9B809F}"/>
    <cellStyle name="Percent [2] 12 4" xfId="21594" xr:uid="{CBC1FE8A-1C63-4AD2-90EB-EA2A69D6575A}"/>
    <cellStyle name="Percent [2] 13" xfId="21595" xr:uid="{43A7B7B6-79CA-41EE-9340-4C7A2C236CDD}"/>
    <cellStyle name="Percent [2] 14" xfId="21596" xr:uid="{0F9493FB-BC65-4E23-AD63-01C4F711CD86}"/>
    <cellStyle name="Percent [2] 15" xfId="21597" xr:uid="{9D33B466-E3D9-4D2D-BC91-3495051E3220}"/>
    <cellStyle name="Percent [2] 16" xfId="21598" xr:uid="{2E1B54A5-15B2-46C6-AE89-F04D9559AF51}"/>
    <cellStyle name="Percent [2] 2" xfId="21599" xr:uid="{315E9DC2-25D8-4626-9E65-2010A08D02C2}"/>
    <cellStyle name="Percent [2] 2 10" xfId="21600" xr:uid="{87259853-48B1-4F65-92F9-98590D331993}"/>
    <cellStyle name="Percent [2] 2 11" xfId="21601" xr:uid="{A615DBCE-3ECF-4851-9390-9A5B1CEFA79E}"/>
    <cellStyle name="Percent [2] 2 12" xfId="21602" xr:uid="{F45BD934-B8A0-4086-BD0E-E5668836BE34}"/>
    <cellStyle name="Percent [2] 2 13" xfId="21603" xr:uid="{9DE0C3CD-736F-417B-BF0D-EDC857A2E734}"/>
    <cellStyle name="Percent [2] 2 14" xfId="21604" xr:uid="{49B6D8DF-C8A1-42D4-BA93-6E3BE6CFB4B5}"/>
    <cellStyle name="Percent [2] 2 15" xfId="21605" xr:uid="{4D1413AC-AF83-4ECE-BE7C-3CF4F5D96329}"/>
    <cellStyle name="Percent [2] 2 16" xfId="21606" xr:uid="{73F30EB6-392F-4FEB-9DB6-6DBC57BDCF70}"/>
    <cellStyle name="Percent [2] 2 17" xfId="21607" xr:uid="{7264096B-C204-48D0-8168-DB958A3D723C}"/>
    <cellStyle name="Percent [2] 2 18" xfId="21608" xr:uid="{5E918F7A-8820-4767-A35C-A32CE7EE5D6D}"/>
    <cellStyle name="Percent [2] 2 19" xfId="21609" xr:uid="{1687E095-D10B-464B-BA3B-F58271937A65}"/>
    <cellStyle name="Percent [2] 2 2" xfId="21610" xr:uid="{F8A4F6C3-528E-4143-8BFF-29D361A07FA1}"/>
    <cellStyle name="Percent [2] 2 2 10" xfId="21611" xr:uid="{50779A38-5F2E-41EF-99AD-F8D5298546B8}"/>
    <cellStyle name="Percent [2] 2 2 11" xfId="21612" xr:uid="{AC4872B9-C6CF-4AC9-979E-C36A00574E7F}"/>
    <cellStyle name="Percent [2] 2 2 12" xfId="21613" xr:uid="{048A44BF-CE48-479C-A9AF-0AEDA250E3B8}"/>
    <cellStyle name="Percent [2] 2 2 13" xfId="21614" xr:uid="{F3737D33-19F4-4E62-AB75-1DF42A9A044A}"/>
    <cellStyle name="Percent [2] 2 2 14" xfId="21615" xr:uid="{1ECDEE99-606C-4F5E-AE43-7E89D438B3EA}"/>
    <cellStyle name="Percent [2] 2 2 15" xfId="21616" xr:uid="{45982D06-93DB-4D85-9043-CBEA0F53898A}"/>
    <cellStyle name="Percent [2] 2 2 16" xfId="21617" xr:uid="{A5A2B5B0-DDD8-4FD5-8207-44B4F4B8A6F8}"/>
    <cellStyle name="Percent [2] 2 2 17" xfId="21618" xr:uid="{0E278095-C64E-443E-991A-17F1F7B3AA4C}"/>
    <cellStyle name="Percent [2] 2 2 18" xfId="21619" xr:uid="{7FC127ED-C520-4E51-9AC3-F4330CAA5BF6}"/>
    <cellStyle name="Percent [2] 2 2 19" xfId="21620" xr:uid="{AECF1B89-123B-4956-8CB6-B1F5D5FF52A7}"/>
    <cellStyle name="Percent [2] 2 2 2" xfId="21621" xr:uid="{B802F751-DD82-4D91-B9EB-CAE7E0EB1C75}"/>
    <cellStyle name="Percent [2] 2 2 2 2" xfId="43047" xr:uid="{FE77883F-664D-457F-8949-0C685DCF7397}"/>
    <cellStyle name="Percent [2] 2 2 20" xfId="21622" xr:uid="{B219EB81-8088-44E4-8C51-75CF12A1AFCC}"/>
    <cellStyle name="Percent [2] 2 2 21" xfId="21623" xr:uid="{07E270A3-EE33-4C78-A8BB-F5D5BEDA4BD7}"/>
    <cellStyle name="Percent [2] 2 2 22" xfId="21624" xr:uid="{1C062F4A-6C26-4B31-8816-4AAF607F03C8}"/>
    <cellStyle name="Percent [2] 2 2 23" xfId="21625" xr:uid="{9606658A-5AC7-4B1A-A8CA-8B64D18903FE}"/>
    <cellStyle name="Percent [2] 2 2 24" xfId="21626" xr:uid="{38200C50-E845-491C-9545-14C0A795F07C}"/>
    <cellStyle name="Percent [2] 2 2 25" xfId="43048" xr:uid="{6909B63C-390F-456C-90C9-F93578F70BC9}"/>
    <cellStyle name="Percent [2] 2 2 3" xfId="21627" xr:uid="{E66EB76F-6C49-4308-9247-B01554FEBA18}"/>
    <cellStyle name="Percent [2] 2 2 4" xfId="21628" xr:uid="{E2024022-3B4B-42D9-BA26-A059CE33C92C}"/>
    <cellStyle name="Percent [2] 2 2 5" xfId="21629" xr:uid="{8B32B554-2BD8-43DF-A603-5FF47A267AD9}"/>
    <cellStyle name="Percent [2] 2 2 6" xfId="21630" xr:uid="{3176111F-6172-42C1-81CC-71525044E668}"/>
    <cellStyle name="Percent [2] 2 2 7" xfId="21631" xr:uid="{CF07A53C-6D5D-4DC9-9B79-DA4F5E52266F}"/>
    <cellStyle name="Percent [2] 2 2 8" xfId="21632" xr:uid="{58941A72-C47B-449F-A862-159A4E0E49EE}"/>
    <cellStyle name="Percent [2] 2 2 9" xfId="21633" xr:uid="{2B1D5B7B-8223-4F5C-9D7E-C7D86BCE1202}"/>
    <cellStyle name="Percent [2] 2 20" xfId="21634" xr:uid="{2D5A8546-6CC3-43BA-B30D-A1DE17FD2DF3}"/>
    <cellStyle name="Percent [2] 2 21" xfId="21635" xr:uid="{BE129C26-7B95-498C-A9D5-9AE5FAB42CDF}"/>
    <cellStyle name="Percent [2] 2 22" xfId="21636" xr:uid="{7843A7AA-D4D4-4E13-AC3E-36AE1D896189}"/>
    <cellStyle name="Percent [2] 2 23" xfId="21637" xr:uid="{59582C64-9385-4965-A576-87187E3FBC13}"/>
    <cellStyle name="Percent [2] 2 24" xfId="21638" xr:uid="{A05A8366-95AF-4102-AB23-BEAE4F616FB3}"/>
    <cellStyle name="Percent [2] 2 25" xfId="21639" xr:uid="{D7D61C6A-6EFD-4828-BF13-0E03787D4F28}"/>
    <cellStyle name="Percent [2] 2 26" xfId="21640" xr:uid="{7B8B78E5-0518-4284-883D-6E31DCD7F773}"/>
    <cellStyle name="Percent [2] 2 27" xfId="21641" xr:uid="{ABBF752D-E8BE-4860-A58F-11306541676F}"/>
    <cellStyle name="Percent [2] 2 28" xfId="43049" xr:uid="{46AF373C-A3E5-4DEB-9D3F-FB41C29F6B90}"/>
    <cellStyle name="Percent [2] 2 3" xfId="21642" xr:uid="{CFF5FAD9-2730-4A19-B1F0-856A0A565737}"/>
    <cellStyle name="Percent [2] 2 3 10" xfId="21643" xr:uid="{AF85CBF5-8D7C-4B0C-9BFB-C3B8BFF6CE83}"/>
    <cellStyle name="Percent [2] 2 3 11" xfId="21644" xr:uid="{31A254B0-04DD-4672-9558-1236A98647F6}"/>
    <cellStyle name="Percent [2] 2 3 12" xfId="21645" xr:uid="{C18316CB-57A6-4229-B3D3-1469DCF0E1DB}"/>
    <cellStyle name="Percent [2] 2 3 13" xfId="21646" xr:uid="{0596BD55-37BE-44A7-B827-0EFD9135809F}"/>
    <cellStyle name="Percent [2] 2 3 14" xfId="21647" xr:uid="{0304A97D-BBC6-4AD0-84D1-5FB54CAB62BE}"/>
    <cellStyle name="Percent [2] 2 3 15" xfId="21648" xr:uid="{25DA1432-8F00-45B1-A97B-B84FE42272B1}"/>
    <cellStyle name="Percent [2] 2 3 16" xfId="21649" xr:uid="{EF8CAA8A-855A-4F57-A901-035644B87F57}"/>
    <cellStyle name="Percent [2] 2 3 17" xfId="21650" xr:uid="{BA0E8676-3A58-4581-ADF8-F2CD8F98759E}"/>
    <cellStyle name="Percent [2] 2 3 18" xfId="21651" xr:uid="{1AF3D30E-D4A2-4CC7-A552-C2CAB628D1A5}"/>
    <cellStyle name="Percent [2] 2 3 19" xfId="21652" xr:uid="{177AB1DB-D3AC-49B8-81FB-C6DED7CD53DD}"/>
    <cellStyle name="Percent [2] 2 3 2" xfId="21653" xr:uid="{F5DB3BA0-1E24-4123-8797-5B4084C117C0}"/>
    <cellStyle name="Percent [2] 2 3 20" xfId="21654" xr:uid="{EC5E95D0-5C16-42AB-A91B-BE20061202BA}"/>
    <cellStyle name="Percent [2] 2 3 21" xfId="21655" xr:uid="{A6C67D0B-8519-4EE4-938C-CB3CE766B138}"/>
    <cellStyle name="Percent [2] 2 3 22" xfId="21656" xr:uid="{9CD7D329-FB07-4991-86C8-014843931351}"/>
    <cellStyle name="Percent [2] 2 3 23" xfId="21657" xr:uid="{681C4C45-3EAB-4D2D-96CF-E3A9976FBB9D}"/>
    <cellStyle name="Percent [2] 2 3 24" xfId="43050" xr:uid="{9ACEEFA6-121C-4A5F-980E-58440A686CE4}"/>
    <cellStyle name="Percent [2] 2 3 3" xfId="21658" xr:uid="{066E53E4-69A6-412C-905E-1084D26D57D9}"/>
    <cellStyle name="Percent [2] 2 3 4" xfId="21659" xr:uid="{B4E97668-C8ED-4C6A-891F-1ABB565CF605}"/>
    <cellStyle name="Percent [2] 2 3 5" xfId="21660" xr:uid="{3C84B32A-3BF8-4742-AB77-284D182A4FEA}"/>
    <cellStyle name="Percent [2] 2 3 6" xfId="21661" xr:uid="{4E3836E5-DEAA-45EB-94A2-FE2ED4A923E0}"/>
    <cellStyle name="Percent [2] 2 3 7" xfId="21662" xr:uid="{09E18627-BDBF-42FF-973F-8CAE0DABCB26}"/>
    <cellStyle name="Percent [2] 2 3 8" xfId="21663" xr:uid="{A63421AC-5204-4960-8E48-3F0C118D935C}"/>
    <cellStyle name="Percent [2] 2 3 9" xfId="21664" xr:uid="{A0C641F8-AB7D-422F-A884-055B551E8CAF}"/>
    <cellStyle name="Percent [2] 2 4" xfId="21665" xr:uid="{A4C89ADC-985C-42E9-845D-47D5C43905F8}"/>
    <cellStyle name="Percent [2] 2 4 10" xfId="21666" xr:uid="{878F96AF-4276-4657-B072-CB78EF12AAB1}"/>
    <cellStyle name="Percent [2] 2 4 11" xfId="21667" xr:uid="{FA9F78FA-7E66-42AA-805A-663A36D153F6}"/>
    <cellStyle name="Percent [2] 2 4 12" xfId="21668" xr:uid="{939216C5-27AC-477F-A513-C6AF870BFBF0}"/>
    <cellStyle name="Percent [2] 2 4 13" xfId="21669" xr:uid="{8242FB66-2091-4934-B7E9-1EE30BD888C5}"/>
    <cellStyle name="Percent [2] 2 4 14" xfId="21670" xr:uid="{F4CEBA6D-DB3A-426E-97C8-6AED416538DC}"/>
    <cellStyle name="Percent [2] 2 4 15" xfId="21671" xr:uid="{F3564BF9-A98E-44BE-89F0-5F5BFDD0F225}"/>
    <cellStyle name="Percent [2] 2 4 16" xfId="21672" xr:uid="{4BA2BE49-FDF1-408F-ACF4-649B34F7B4F5}"/>
    <cellStyle name="Percent [2] 2 4 17" xfId="21673" xr:uid="{3E0836C1-342B-4CC6-A217-0E8A1AEEA6D1}"/>
    <cellStyle name="Percent [2] 2 4 18" xfId="21674" xr:uid="{CF5FDF6E-4FD5-46A6-8FB9-5FC321861855}"/>
    <cellStyle name="Percent [2] 2 4 19" xfId="21675" xr:uid="{5DB05E92-3F2E-4D30-B221-B717EB63A2DF}"/>
    <cellStyle name="Percent [2] 2 4 2" xfId="21676" xr:uid="{7E55689A-4248-4AF8-B834-F8C48B171709}"/>
    <cellStyle name="Percent [2] 2 4 20" xfId="21677" xr:uid="{71C73B3D-9928-4A3C-BE84-C4BA6B0981A9}"/>
    <cellStyle name="Percent [2] 2 4 21" xfId="21678" xr:uid="{E2EFF832-6A48-4250-9F83-78ADDAB5A5F8}"/>
    <cellStyle name="Percent [2] 2 4 22" xfId="21679" xr:uid="{BFC2650E-4A05-4D2E-91AE-3A488A41AF50}"/>
    <cellStyle name="Percent [2] 2 4 23" xfId="21680" xr:uid="{A229AEF9-4D66-46C0-8544-235063B98D0F}"/>
    <cellStyle name="Percent [2] 2 4 3" xfId="21681" xr:uid="{A72EAD37-1BCE-4E76-B177-0E3A0F69D13A}"/>
    <cellStyle name="Percent [2] 2 4 4" xfId="21682" xr:uid="{651AEB80-ED7F-42DF-A7FA-9997FE32E7C5}"/>
    <cellStyle name="Percent [2] 2 4 5" xfId="21683" xr:uid="{8F95B669-3A1F-4B43-8764-4B7B0BD5C9AE}"/>
    <cellStyle name="Percent [2] 2 4 6" xfId="21684" xr:uid="{17428C01-375C-489E-9FA1-FD2BC5BEA011}"/>
    <cellStyle name="Percent [2] 2 4 7" xfId="21685" xr:uid="{068737FE-3842-4786-B301-E53B1CFE1218}"/>
    <cellStyle name="Percent [2] 2 4 8" xfId="21686" xr:uid="{2D1F75DF-0377-411B-B5DA-210BEB4F75C7}"/>
    <cellStyle name="Percent [2] 2 4 9" xfId="21687" xr:uid="{862D2284-33B9-4784-89B7-B0C12E7680FE}"/>
    <cellStyle name="Percent [2] 2 5" xfId="21688" xr:uid="{A569C43F-87FE-422A-8358-BC48F7ED9CBE}"/>
    <cellStyle name="Percent [2] 2 5 10" xfId="21689" xr:uid="{A4350355-483E-433A-8C00-1F44B0B56F38}"/>
    <cellStyle name="Percent [2] 2 5 11" xfId="21690" xr:uid="{188FEF6C-F226-4E7B-9C84-A223E0F07B1F}"/>
    <cellStyle name="Percent [2] 2 5 12" xfId="21691" xr:uid="{61DFEA2B-78B0-40BF-B92B-55AA5BFCDBEF}"/>
    <cellStyle name="Percent [2] 2 5 13" xfId="21692" xr:uid="{394388E8-F696-4AC6-B68D-341C7F2DEFFF}"/>
    <cellStyle name="Percent [2] 2 5 14" xfId="21693" xr:uid="{C9ABEF18-F29B-41C1-9718-8BC20B351482}"/>
    <cellStyle name="Percent [2] 2 5 15" xfId="21694" xr:uid="{6E9767DF-A226-49A2-92A5-D3ECF9B8099C}"/>
    <cellStyle name="Percent [2] 2 5 16" xfId="21695" xr:uid="{1B28C394-A587-4CA1-9954-91E46498CC92}"/>
    <cellStyle name="Percent [2] 2 5 17" xfId="21696" xr:uid="{2581924B-A402-4F8E-B64D-631F64C7518F}"/>
    <cellStyle name="Percent [2] 2 5 18" xfId="21697" xr:uid="{533FEB9F-AD79-45E4-A810-1F26C88C6D98}"/>
    <cellStyle name="Percent [2] 2 5 19" xfId="21698" xr:uid="{93EAEC80-1762-4688-B6F2-612F8E3C0A54}"/>
    <cellStyle name="Percent [2] 2 5 2" xfId="21699" xr:uid="{7BE2E200-65D4-41AD-A686-B4BC797ABF67}"/>
    <cellStyle name="Percent [2] 2 5 20" xfId="21700" xr:uid="{4AB18AE6-51EA-461E-A555-99DD86112A3A}"/>
    <cellStyle name="Percent [2] 2 5 21" xfId="21701" xr:uid="{F05237C0-A3C8-4C6A-A350-991D20477C6A}"/>
    <cellStyle name="Percent [2] 2 5 22" xfId="21702" xr:uid="{02564D3A-F4F2-4EFF-B76D-D9C1382E316F}"/>
    <cellStyle name="Percent [2] 2 5 23" xfId="21703" xr:uid="{B0D6F293-00F7-46CB-8D26-65F731B95CD5}"/>
    <cellStyle name="Percent [2] 2 5 3" xfId="21704" xr:uid="{C8FCA34D-3409-418B-AB1E-D9BB58EAE4E6}"/>
    <cellStyle name="Percent [2] 2 5 4" xfId="21705" xr:uid="{2FE37A1B-8CD3-4A87-9B38-EAC155C99C7A}"/>
    <cellStyle name="Percent [2] 2 5 5" xfId="21706" xr:uid="{F440BBBB-4D1E-412C-BB1D-7A6E5701DFAF}"/>
    <cellStyle name="Percent [2] 2 5 6" xfId="21707" xr:uid="{22712A0C-AC0F-4F93-A7A1-1D710E17A0AE}"/>
    <cellStyle name="Percent [2] 2 5 7" xfId="21708" xr:uid="{75229BDC-7EDD-480A-B8FF-A6DE35FBEB4C}"/>
    <cellStyle name="Percent [2] 2 5 8" xfId="21709" xr:uid="{73F2BEAE-8516-49D0-8C04-8BBCAF4541D6}"/>
    <cellStyle name="Percent [2] 2 5 9" xfId="21710" xr:uid="{3F9958B7-28FA-45BA-9F93-512D01793860}"/>
    <cellStyle name="Percent [2] 2 6" xfId="21711" xr:uid="{F25B315F-A7AE-4773-8182-6B6D7D631183}"/>
    <cellStyle name="Percent [2] 2 7" xfId="21712" xr:uid="{C3B72E84-7C73-4C60-9D78-93DBD82278E6}"/>
    <cellStyle name="Percent [2] 2 8" xfId="21713" xr:uid="{65E130E6-AB74-4AF6-865A-E43ED896BDBD}"/>
    <cellStyle name="Percent [2] 2 9" xfId="21714" xr:uid="{B69A95AD-77C9-445A-8FE2-451EE2A71E49}"/>
    <cellStyle name="Percent [2] 3" xfId="21715" xr:uid="{65C79F1C-96EB-4380-A356-683B570844C9}"/>
    <cellStyle name="Percent [2] 3 10" xfId="21716" xr:uid="{FF4D30D6-EDA4-4525-B822-BFC0115B273E}"/>
    <cellStyle name="Percent [2] 3 11" xfId="21717" xr:uid="{DE71D0B2-9173-4A21-ADC7-D2A9C481B927}"/>
    <cellStyle name="Percent [2] 3 12" xfId="21718" xr:uid="{8E72EEEE-F657-48D6-9088-A31EEBF80344}"/>
    <cellStyle name="Percent [2] 3 13" xfId="21719" xr:uid="{26B090B4-31E3-4EB1-930A-32EE88409227}"/>
    <cellStyle name="Percent [2] 3 14" xfId="21720" xr:uid="{2BD88BFB-8354-4780-804B-EB41794DF766}"/>
    <cellStyle name="Percent [2] 3 15" xfId="21721" xr:uid="{AFA7BDFE-F6A7-4549-ACD6-95291139AE32}"/>
    <cellStyle name="Percent [2] 3 16" xfId="21722" xr:uid="{1D70CEB7-83D5-4D53-8A68-2BFD91731F37}"/>
    <cellStyle name="Percent [2] 3 17" xfId="21723" xr:uid="{BA1041E1-03A2-4B9E-8CFB-AA6D4D4FB843}"/>
    <cellStyle name="Percent [2] 3 18" xfId="21724" xr:uid="{06E066E7-C4D5-4D38-A511-5295BC5D1348}"/>
    <cellStyle name="Percent [2] 3 19" xfId="21725" xr:uid="{993885C8-B7D5-4A19-98A0-187771828CDC}"/>
    <cellStyle name="Percent [2] 3 2" xfId="21726" xr:uid="{065C48B9-A5D3-4EE7-8575-CAD20D9DE5D8}"/>
    <cellStyle name="Percent [2] 3 20" xfId="21727" xr:uid="{1379D6C2-51DA-43A0-80C7-BE3604D6A96B}"/>
    <cellStyle name="Percent [2] 3 21" xfId="21728" xr:uid="{0FB4A4E1-9678-4D94-AB4F-4F9A4DE1E8C9}"/>
    <cellStyle name="Percent [2] 3 22" xfId="21729" xr:uid="{19762C8E-F58B-4522-9DF7-D846AC98F957}"/>
    <cellStyle name="Percent [2] 3 23" xfId="21730" xr:uid="{C1371C1C-0CF7-49C5-A21F-DE499673DE35}"/>
    <cellStyle name="Percent [2] 3 24" xfId="21731" xr:uid="{417E19E8-8B5F-4433-9C47-598571625DA1}"/>
    <cellStyle name="Percent [2] 3 25" xfId="43051" xr:uid="{CE72FB13-0054-4192-A894-8F2176707F34}"/>
    <cellStyle name="Percent [2] 3 3" xfId="21732" xr:uid="{3AE06473-C149-49EB-B8D9-E0D67169EA45}"/>
    <cellStyle name="Percent [2] 3 4" xfId="21733" xr:uid="{030192C4-64FD-4644-8BD4-472D077E784D}"/>
    <cellStyle name="Percent [2] 3 5" xfId="21734" xr:uid="{7B75AEBB-5E39-4D41-AEF7-FD7416FF43FC}"/>
    <cellStyle name="Percent [2] 3 6" xfId="21735" xr:uid="{7E15D828-1AF9-468C-908F-FA289497B6DF}"/>
    <cellStyle name="Percent [2] 3 7" xfId="21736" xr:uid="{95CA5626-306C-4150-AB0D-DF14ECA3B6A3}"/>
    <cellStyle name="Percent [2] 3 8" xfId="21737" xr:uid="{BE8DAE33-0EFF-4E4E-871E-A9C02F9BA41E}"/>
    <cellStyle name="Percent [2] 3 9" xfId="21738" xr:uid="{277FDA1D-02F4-4074-8049-1D740ADAF055}"/>
    <cellStyle name="Percent [2] 4" xfId="21739" xr:uid="{1C1E21CC-3AA1-4D14-B49E-C8AFE3B21BEF}"/>
    <cellStyle name="Percent [2] 4 10" xfId="21740" xr:uid="{A0AB6F5F-E4C8-4721-96F3-C39EDB066800}"/>
    <cellStyle name="Percent [2] 4 11" xfId="21741" xr:uid="{8E4D0DE9-28D2-458F-87DC-9744D866E990}"/>
    <cellStyle name="Percent [2] 4 12" xfId="21742" xr:uid="{561D9051-9712-4319-9D14-78051EB4759D}"/>
    <cellStyle name="Percent [2] 4 13" xfId="21743" xr:uid="{1C0D56D7-4276-4F0A-87DC-48A837C28AAD}"/>
    <cellStyle name="Percent [2] 4 14" xfId="21744" xr:uid="{894C45C2-D0F6-46A1-B5EA-B01D043B59F3}"/>
    <cellStyle name="Percent [2] 4 15" xfId="21745" xr:uid="{454FF5E8-C1F2-4D76-9C99-17B2D459614E}"/>
    <cellStyle name="Percent [2] 4 16" xfId="21746" xr:uid="{99D5B529-F3C2-4AE4-90C5-7BCAA8AF0521}"/>
    <cellStyle name="Percent [2] 4 17" xfId="21747" xr:uid="{9260FA8F-80A6-44A5-9A21-6D4ECA131841}"/>
    <cellStyle name="Percent [2] 4 18" xfId="21748" xr:uid="{6B6DEE1B-F73A-430D-8220-12A374B29533}"/>
    <cellStyle name="Percent [2] 4 19" xfId="21749" xr:uid="{90F65ABE-E0B1-4802-811A-A9A65F9CB9C9}"/>
    <cellStyle name="Percent [2] 4 2" xfId="21750" xr:uid="{A86DB8A8-D626-4513-A75B-9E79551DA99A}"/>
    <cellStyle name="Percent [2] 4 20" xfId="21751" xr:uid="{650130CC-D455-4630-9288-E1A650D5F512}"/>
    <cellStyle name="Percent [2] 4 21" xfId="21752" xr:uid="{4F3A511F-716B-4C85-90F2-11C32F0579F8}"/>
    <cellStyle name="Percent [2] 4 22" xfId="21753" xr:uid="{86477B57-61AA-4CAD-8056-82ACDB6F0B85}"/>
    <cellStyle name="Percent [2] 4 23" xfId="21754" xr:uid="{A671C1F8-C4A3-4DEF-80A4-CC10E1E6B28D}"/>
    <cellStyle name="Percent [2] 4 3" xfId="21755" xr:uid="{FFA198D6-AC39-450A-8811-ECF7471AB115}"/>
    <cellStyle name="Percent [2] 4 4" xfId="21756" xr:uid="{63E9CA83-BB32-437B-BE77-FA9767756943}"/>
    <cellStyle name="Percent [2] 4 5" xfId="21757" xr:uid="{546A71B9-8852-489C-8865-AADB513ED16D}"/>
    <cellStyle name="Percent [2] 4 6" xfId="21758" xr:uid="{3EF2F54C-6B08-4B06-B51D-51FE6096CE48}"/>
    <cellStyle name="Percent [2] 4 7" xfId="21759" xr:uid="{B89E3441-C6B2-49F4-915E-DF23D37CE0E0}"/>
    <cellStyle name="Percent [2] 4 8" xfId="21760" xr:uid="{F59E4991-D569-4859-BD0B-30EA7BFE4E80}"/>
    <cellStyle name="Percent [2] 4 9" xfId="21761" xr:uid="{D676BC11-7920-47B1-B8EB-9B3A0BEB3B7E}"/>
    <cellStyle name="Percent [2] 5" xfId="21762" xr:uid="{0BE01936-0CCB-408D-9FCE-7E6B9604B592}"/>
    <cellStyle name="Percent [2] 5 10" xfId="21763" xr:uid="{4B83BD9C-EE9E-4E7C-AB33-68EAC7F229FF}"/>
    <cellStyle name="Percent [2] 5 11" xfId="21764" xr:uid="{2438FC14-D7E8-41C8-B993-ECC2E131E59D}"/>
    <cellStyle name="Percent [2] 5 12" xfId="21765" xr:uid="{BD1924B1-96B0-47F0-8E32-C2F8C829FEC4}"/>
    <cellStyle name="Percent [2] 5 13" xfId="21766" xr:uid="{B0993F9F-3275-432A-A456-DABFB381C77E}"/>
    <cellStyle name="Percent [2] 5 14" xfId="21767" xr:uid="{954F258A-E7F7-467D-AC45-8055BDF88FD6}"/>
    <cellStyle name="Percent [2] 5 15" xfId="21768" xr:uid="{9CCB0A49-DD9D-401C-BF6C-E9DB47B687EE}"/>
    <cellStyle name="Percent [2] 5 16" xfId="21769" xr:uid="{8BDB0BBD-FBA7-4F11-9023-3F986F7F7574}"/>
    <cellStyle name="Percent [2] 5 17" xfId="21770" xr:uid="{C91D2C3D-1C60-4CA2-8EE0-802D4F883865}"/>
    <cellStyle name="Percent [2] 5 18" xfId="21771" xr:uid="{2393C470-D5A4-44CE-99EB-D52C0C596E21}"/>
    <cellStyle name="Percent [2] 5 19" xfId="21772" xr:uid="{AA973922-13F5-4C84-A5B6-A3C376BC2265}"/>
    <cellStyle name="Percent [2] 5 2" xfId="21773" xr:uid="{BA41C856-08BC-43E8-8C20-3CDE256B077B}"/>
    <cellStyle name="Percent [2] 5 20" xfId="21774" xr:uid="{D15EC9BE-0A05-45B1-963F-7B119C7924CC}"/>
    <cellStyle name="Percent [2] 5 21" xfId="21775" xr:uid="{25959FB1-29EA-404C-9563-C2F3F2893ACE}"/>
    <cellStyle name="Percent [2] 5 22" xfId="21776" xr:uid="{B025EDAC-6E47-4D64-8F8F-326E5B78AD4A}"/>
    <cellStyle name="Percent [2] 5 23" xfId="21777" xr:uid="{A3666839-F5F9-44A5-B958-0B23A75E8725}"/>
    <cellStyle name="Percent [2] 5 3" xfId="21778" xr:uid="{0B0FECE9-2AE9-41C2-8533-1AFAB6DA144D}"/>
    <cellStyle name="Percent [2] 5 4" xfId="21779" xr:uid="{8EFF987A-42C9-41D3-9855-4CBDE3D5A0A3}"/>
    <cellStyle name="Percent [2] 5 5" xfId="21780" xr:uid="{89CD73C7-09ED-43CC-B195-FA887FAFF583}"/>
    <cellStyle name="Percent [2] 5 6" xfId="21781" xr:uid="{9BFF1624-68F5-4794-B68C-8800D0A9D7CA}"/>
    <cellStyle name="Percent [2] 5 7" xfId="21782" xr:uid="{F3ABDFA4-D14A-44D2-AB28-B3AA1A710FB7}"/>
    <cellStyle name="Percent [2] 5 8" xfId="21783" xr:uid="{3749660D-351E-4D50-9F9D-7C94009C63BD}"/>
    <cellStyle name="Percent [2] 5 9" xfId="21784" xr:uid="{F87814FC-84FB-42B7-9430-0B7D46AF289A}"/>
    <cellStyle name="Percent [2] 6" xfId="21785" xr:uid="{158E8A8C-4768-44AB-9DFE-61712289AB2A}"/>
    <cellStyle name="Percent [2] 6 10" xfId="21786" xr:uid="{BE640123-FB45-4381-B269-DCA9463EC019}"/>
    <cellStyle name="Percent [2] 6 11" xfId="21787" xr:uid="{C7C11A4D-66E3-4BF5-88A3-D28DF7E85FBD}"/>
    <cellStyle name="Percent [2] 6 12" xfId="21788" xr:uid="{7324B30F-9AD1-4325-9587-4523EC5F4303}"/>
    <cellStyle name="Percent [2] 6 13" xfId="21789" xr:uid="{66500835-ECD6-4439-92A9-9CF817D36DE5}"/>
    <cellStyle name="Percent [2] 6 14" xfId="21790" xr:uid="{47D19A17-BFA3-458E-A23D-9D2D3CFE2698}"/>
    <cellStyle name="Percent [2] 6 15" xfId="21791" xr:uid="{0B82563B-62CB-413D-ADFE-A4680540B698}"/>
    <cellStyle name="Percent [2] 6 16" xfId="21792" xr:uid="{DD2A4AC9-8333-4751-82B3-03201803DC4F}"/>
    <cellStyle name="Percent [2] 6 17" xfId="21793" xr:uid="{D5FECBB8-936A-4526-966A-060C99BF483C}"/>
    <cellStyle name="Percent [2] 6 18" xfId="21794" xr:uid="{E7D4F5AF-6C23-487E-881D-74BD4EB7B7D7}"/>
    <cellStyle name="Percent [2] 6 19" xfId="21795" xr:uid="{7B235723-EC7D-4DC1-8A67-C710D974B3FB}"/>
    <cellStyle name="Percent [2] 6 2" xfId="21796" xr:uid="{47F571FA-0CB5-4499-9AB2-B597C2C85F84}"/>
    <cellStyle name="Percent [2] 6 20" xfId="21797" xr:uid="{AB863873-8B07-482C-AEC1-904574476721}"/>
    <cellStyle name="Percent [2] 6 21" xfId="21798" xr:uid="{44246D73-18EE-45BD-9C54-EFF0E581B59A}"/>
    <cellStyle name="Percent [2] 6 22" xfId="21799" xr:uid="{B4F878B6-A749-4D45-BF23-ECF2669F2582}"/>
    <cellStyle name="Percent [2] 6 23" xfId="21800" xr:uid="{44093C45-6049-4F12-BC9F-5A83B6F35DFD}"/>
    <cellStyle name="Percent [2] 6 3" xfId="21801" xr:uid="{39AE32B9-39E1-4BDA-B593-3C5620C57E39}"/>
    <cellStyle name="Percent [2] 6 4" xfId="21802" xr:uid="{50A4D629-505F-42EE-A422-B7F652753B4D}"/>
    <cellStyle name="Percent [2] 6 5" xfId="21803" xr:uid="{6A635E5B-EC23-448A-A8C6-4960538AA3D1}"/>
    <cellStyle name="Percent [2] 6 6" xfId="21804" xr:uid="{93AF0100-37E5-4F77-AFCC-D36851E3F4BD}"/>
    <cellStyle name="Percent [2] 6 7" xfId="21805" xr:uid="{B1742D15-BF6F-4C9F-8141-BBA06FDE1340}"/>
    <cellStyle name="Percent [2] 6 8" xfId="21806" xr:uid="{DECF0B54-AD77-44D0-BFAA-0B62C3F5F0E9}"/>
    <cellStyle name="Percent [2] 6 9" xfId="21807" xr:uid="{F7C7BDE8-D61E-47EC-A20A-8463ACBFF561}"/>
    <cellStyle name="Percent [2] 7" xfId="21808" xr:uid="{1BAB725B-57EB-4FB3-8782-468D13B71A3C}"/>
    <cellStyle name="Percent [2] 7 10" xfId="21809" xr:uid="{585FC632-0EBD-4530-8B64-6A8602A49B33}"/>
    <cellStyle name="Percent [2] 7 11" xfId="21810" xr:uid="{5C889E66-B662-4F51-A980-2A8F7DD123C4}"/>
    <cellStyle name="Percent [2] 7 12" xfId="21811" xr:uid="{BAB90CA4-70BD-4840-812D-69CC2394FF15}"/>
    <cellStyle name="Percent [2] 7 13" xfId="21812" xr:uid="{DB7F83C1-9EAC-4036-8E69-9043FCE35453}"/>
    <cellStyle name="Percent [2] 7 14" xfId="21813" xr:uid="{16E9039F-F221-4C4F-B0D6-1C4EDBA63763}"/>
    <cellStyle name="Percent [2] 7 15" xfId="21814" xr:uid="{C4DBB0B4-B45E-4CFF-94C4-740B3F838BE8}"/>
    <cellStyle name="Percent [2] 7 16" xfId="21815" xr:uid="{42F68D97-F540-418E-A545-302BCD724E8B}"/>
    <cellStyle name="Percent [2] 7 17" xfId="21816" xr:uid="{C4B4F958-906E-42B2-B9AB-AD17C68CCAA1}"/>
    <cellStyle name="Percent [2] 7 18" xfId="21817" xr:uid="{C633E668-2E0D-40C5-A149-F332F423A5CA}"/>
    <cellStyle name="Percent [2] 7 19" xfId="21818" xr:uid="{E9A313A4-7731-43C3-AD2A-79E102F726CF}"/>
    <cellStyle name="Percent [2] 7 2" xfId="21819" xr:uid="{C6626B1E-BA05-4173-BE0E-3C20EB5742A9}"/>
    <cellStyle name="Percent [2] 7 20" xfId="21820" xr:uid="{81F38D81-209C-4772-B66D-317647CBE41A}"/>
    <cellStyle name="Percent [2] 7 21" xfId="21821" xr:uid="{1EDE29AB-67CA-4DA9-B83D-22A201D1FEF4}"/>
    <cellStyle name="Percent [2] 7 22" xfId="21822" xr:uid="{6A6E4EF4-F62B-424C-B7C5-1A1E92475BC8}"/>
    <cellStyle name="Percent [2] 7 23" xfId="21823" xr:uid="{81AF8913-E13C-48F8-956D-7CA75C4C8FDF}"/>
    <cellStyle name="Percent [2] 7 3" xfId="21824" xr:uid="{90A225AB-4E62-4F9C-919F-BFE635385D84}"/>
    <cellStyle name="Percent [2] 7 4" xfId="21825" xr:uid="{C9BAAB9E-DAF3-438B-BEDF-F70CC736C483}"/>
    <cellStyle name="Percent [2] 7 5" xfId="21826" xr:uid="{25848570-A74B-40A0-B5BF-B56367CA16FD}"/>
    <cellStyle name="Percent [2] 7 6" xfId="21827" xr:uid="{BEEA1FD1-9C7A-403F-9D6A-7AAC38AACE6C}"/>
    <cellStyle name="Percent [2] 7 7" xfId="21828" xr:uid="{9EAC60FD-E2D2-496D-B0AA-EE47BD641D28}"/>
    <cellStyle name="Percent [2] 7 8" xfId="21829" xr:uid="{40987008-B04F-4370-8270-4669F421C41C}"/>
    <cellStyle name="Percent [2] 7 9" xfId="21830" xr:uid="{325F7E6F-1ED0-49CA-84C1-CDAFD272F94B}"/>
    <cellStyle name="Percent [2] 8" xfId="21831" xr:uid="{F52D2A2B-A11C-414D-8157-7AD8E9F7ED0D}"/>
    <cellStyle name="Percent [2] 8 10" xfId="21832" xr:uid="{0F939D14-247F-4255-9AE0-9C3415385AEB}"/>
    <cellStyle name="Percent [2] 8 11" xfId="21833" xr:uid="{9A678E03-EB32-4912-A8C5-CFD1C681C23E}"/>
    <cellStyle name="Percent [2] 8 12" xfId="21834" xr:uid="{15A326B7-EE0F-461E-B4FB-3C7581B65224}"/>
    <cellStyle name="Percent [2] 8 13" xfId="21835" xr:uid="{7615E2CB-4DE4-416C-91FB-45FC97CC9488}"/>
    <cellStyle name="Percent [2] 8 14" xfId="21836" xr:uid="{45427913-8D64-43DE-AD76-F0723683A3EB}"/>
    <cellStyle name="Percent [2] 8 15" xfId="21837" xr:uid="{9C693EB3-1C07-490A-940C-D3E4F7328A39}"/>
    <cellStyle name="Percent [2] 8 16" xfId="21838" xr:uid="{5B22D1B0-C09F-466F-A9F8-A4EB7877039F}"/>
    <cellStyle name="Percent [2] 8 17" xfId="21839" xr:uid="{7FB33F42-E600-46F6-BD2F-2683098B0960}"/>
    <cellStyle name="Percent [2] 8 18" xfId="21840" xr:uid="{AF70B92B-0E9F-4F7D-A7C4-36220F987661}"/>
    <cellStyle name="Percent [2] 8 19" xfId="21841" xr:uid="{D7F0F9CF-EAB9-4C47-8E88-7F0969424B94}"/>
    <cellStyle name="Percent [2] 8 2" xfId="21842" xr:uid="{0D7BA1E7-0853-4072-B47C-5442E1BD63AE}"/>
    <cellStyle name="Percent [2] 8 20" xfId="21843" xr:uid="{DCC28132-8EE5-48E0-B59F-93ACB33864E0}"/>
    <cellStyle name="Percent [2] 8 21" xfId="21844" xr:uid="{D18C9EAC-03D3-4F55-9E4E-28605298A0FB}"/>
    <cellStyle name="Percent [2] 8 22" xfId="21845" xr:uid="{A67D7EFE-AC1D-4BE1-B8A6-44EDAE4312BF}"/>
    <cellStyle name="Percent [2] 8 23" xfId="21846" xr:uid="{4AD42706-87E1-4168-B121-63BD1C31D5FC}"/>
    <cellStyle name="Percent [2] 8 3" xfId="21847" xr:uid="{734B1EFD-B62E-4A8E-ACF0-9880D8035088}"/>
    <cellStyle name="Percent [2] 8 4" xfId="21848" xr:uid="{6683896B-BA4F-464B-ABF9-26AC7248F9E3}"/>
    <cellStyle name="Percent [2] 8 5" xfId="21849" xr:uid="{3635B5EE-F536-4F7E-9C57-648C100BF0D2}"/>
    <cellStyle name="Percent [2] 8 6" xfId="21850" xr:uid="{6999B4C6-1E57-4D24-84CC-2F5C4A268A31}"/>
    <cellStyle name="Percent [2] 8 7" xfId="21851" xr:uid="{1991F00B-58CD-4068-80A4-41F966403E6B}"/>
    <cellStyle name="Percent [2] 8 8" xfId="21852" xr:uid="{2DDCBC89-0C70-44AF-9D9D-64403E4388A6}"/>
    <cellStyle name="Percent [2] 8 9" xfId="21853" xr:uid="{B1D29827-D067-4C04-9B57-351BF02E7881}"/>
    <cellStyle name="Percent [2] 9" xfId="21854" xr:uid="{A467AE62-1AD0-4D63-BBFD-4D59C9E1C8B8}"/>
    <cellStyle name="Percent [2] 9 10" xfId="21855" xr:uid="{BC459E7C-9714-44EE-B865-5CA12A56ED24}"/>
    <cellStyle name="Percent [2] 9 11" xfId="21856" xr:uid="{EE76692B-BC67-435A-A0EC-B2CBF14AE8C2}"/>
    <cellStyle name="Percent [2] 9 12" xfId="21857" xr:uid="{08DD7A72-078F-43D0-83E6-07C916B225AD}"/>
    <cellStyle name="Percent [2] 9 13" xfId="21858" xr:uid="{D36AF184-6E5D-4D63-8365-BEF4270C242A}"/>
    <cellStyle name="Percent [2] 9 14" xfId="21859" xr:uid="{A4807E65-32D7-4E84-A5E5-62187249AC20}"/>
    <cellStyle name="Percent [2] 9 15" xfId="21860" xr:uid="{54FF68ED-EB3E-41AA-8FB5-B3140DAA4617}"/>
    <cellStyle name="Percent [2] 9 16" xfId="21861" xr:uid="{8C0BF4B3-7499-4205-8D2C-6FA8A0C8E703}"/>
    <cellStyle name="Percent [2] 9 17" xfId="21862" xr:uid="{A4C73EC6-6BCD-4573-B5D4-EC85F2E4290A}"/>
    <cellStyle name="Percent [2] 9 18" xfId="21863" xr:uid="{961A18C5-4D86-4B7F-B968-75C7B65B354E}"/>
    <cellStyle name="Percent [2] 9 19" xfId="21864" xr:uid="{B44C5E6A-05F4-4864-AABE-DAE4D6A62D10}"/>
    <cellStyle name="Percent [2] 9 2" xfId="21865" xr:uid="{D3569FC8-0BD1-4FD5-AD18-A14A211E7BEB}"/>
    <cellStyle name="Percent [2] 9 20" xfId="21866" xr:uid="{F0D62D80-3616-43C0-85A4-0DE0DCE319B7}"/>
    <cellStyle name="Percent [2] 9 21" xfId="21867" xr:uid="{1509C275-E47E-4336-8F1F-11B619A35BC4}"/>
    <cellStyle name="Percent [2] 9 22" xfId="21868" xr:uid="{CDAD6439-98B6-4A5A-BED6-402D7E93CF2C}"/>
    <cellStyle name="Percent [2] 9 23" xfId="21869" xr:uid="{00664F54-A8C0-4E18-B50C-AE0414EA5C02}"/>
    <cellStyle name="Percent [2] 9 3" xfId="21870" xr:uid="{A2ACC967-5F7E-4060-A8D7-A45E7F05DC6F}"/>
    <cellStyle name="Percent [2] 9 4" xfId="21871" xr:uid="{6BA60AAF-AD3C-483B-A242-97660C4DC19D}"/>
    <cellStyle name="Percent [2] 9 5" xfId="21872" xr:uid="{9762D81D-1FC9-42F5-BCDB-0D235281B938}"/>
    <cellStyle name="Percent [2] 9 6" xfId="21873" xr:uid="{299918DC-EF7D-4682-A603-8403C73E70B9}"/>
    <cellStyle name="Percent [2] 9 7" xfId="21874" xr:uid="{0986C53A-FAAC-4756-8ED7-0FB08AFEADC0}"/>
    <cellStyle name="Percent [2] 9 8" xfId="21875" xr:uid="{92EA7C20-FDAB-4CCF-8581-22C1CE4B820B}"/>
    <cellStyle name="Percent [2] 9 9" xfId="21876" xr:uid="{FD4B46E5-810F-4C84-ADA6-191AAF4F8D57}"/>
    <cellStyle name="Percent 10" xfId="145" xr:uid="{48A8448C-DDC7-474B-B1EE-49D4EC2AE1E4}"/>
    <cellStyle name="Percent 10 10" xfId="21877" xr:uid="{8D452356-68BB-405D-B291-A96568BBC3C9}"/>
    <cellStyle name="Percent 10 10 2" xfId="21878" xr:uid="{1FB9AC3F-F481-488B-9557-C04669E8A4F0}"/>
    <cellStyle name="Percent 10 10 2 11" xfId="43052" xr:uid="{2FBE944B-CA67-473E-9EBE-DA8CF7222259}"/>
    <cellStyle name="Percent 10 10 2 2" xfId="21879" xr:uid="{41C069E6-B4D1-4086-8C93-110590465D2A}"/>
    <cellStyle name="Percent 10 10 3" xfId="21880" xr:uid="{816E0F8D-4956-4B46-8E2F-8EC828EFCA35}"/>
    <cellStyle name="Percent 10 10 3 2" xfId="21881" xr:uid="{72049A00-C424-458F-BCF2-A3C0A3D353CD}"/>
    <cellStyle name="Percent 10 10 4" xfId="21882" xr:uid="{CB750AE8-1308-4399-9A98-852C75CB450B}"/>
    <cellStyle name="Percent 10 10 4 2" xfId="21883" xr:uid="{6271EB9B-A400-479B-B8D4-0A682FA7261B}"/>
    <cellStyle name="Percent 10 10 5" xfId="21884" xr:uid="{41217A63-B969-47C1-9207-1054E67CA072}"/>
    <cellStyle name="Percent 10 11" xfId="21885" xr:uid="{89C0A793-164A-4DE1-B3C0-DE59FC0A324C}"/>
    <cellStyle name="Percent 10 11 2" xfId="21886" xr:uid="{47FD5568-0F57-4B0C-A392-265893F433D8}"/>
    <cellStyle name="Percent 10 11 2 2" xfId="21887" xr:uid="{C6B689A6-9704-40AB-AA9C-A74382DBD72A}"/>
    <cellStyle name="Percent 10 11 3" xfId="21888" xr:uid="{D6E65996-770D-485E-9572-54D24D958DCB}"/>
    <cellStyle name="Percent 10 11 3 2" xfId="21889" xr:uid="{88927F76-FF2E-42CA-A079-F79C028F0AA0}"/>
    <cellStyle name="Percent 10 11 4" xfId="21890" xr:uid="{426DF4DA-580F-428D-B83E-2432F391FE2D}"/>
    <cellStyle name="Percent 10 11 4 2" xfId="21891" xr:uid="{05AE42BB-F3E4-4163-899F-EEFE3D629481}"/>
    <cellStyle name="Percent 10 11 5" xfId="21892" xr:uid="{426AB173-FB1A-4717-8526-E70BF5CEE41A}"/>
    <cellStyle name="Percent 10 12" xfId="21893" xr:uid="{48721F28-BE12-4615-B2BD-518ECEFE5E9D}"/>
    <cellStyle name="Percent 10 12 2" xfId="21894" xr:uid="{FBEF90BF-BF06-4512-8F1E-80CD0FC43064}"/>
    <cellStyle name="Percent 10 13" xfId="21895" xr:uid="{34A51299-3B46-4F28-9859-D8E652653FF6}"/>
    <cellStyle name="Percent 10 13 2" xfId="21896" xr:uid="{68F96FD2-4FF9-4A1A-9C5A-CC2F83A63EF2}"/>
    <cellStyle name="Percent 10 14" xfId="21897" xr:uid="{FECEDC30-CDA5-44AC-BFD4-01694754CD43}"/>
    <cellStyle name="Percent 10 14 2" xfId="21898" xr:uid="{1F216FBD-FC88-4097-B99E-AB8632EC5243}"/>
    <cellStyle name="Percent 10 15" xfId="21899" xr:uid="{D812641E-6F92-4317-8C47-C9757DE17C3D}"/>
    <cellStyle name="Percent 10 15 2" xfId="21900" xr:uid="{29455E54-4D84-4232-BDDD-41E9C7A93815}"/>
    <cellStyle name="Percent 10 16" xfId="21901" xr:uid="{2B156BFC-533F-4B02-A4FD-75C6D4AB3D06}"/>
    <cellStyle name="Percent 10 16 2" xfId="21902" xr:uid="{AAC1942E-D3C1-4218-9902-9F76DE48549A}"/>
    <cellStyle name="Percent 10 17" xfId="21903" xr:uid="{CB08F818-B0BF-49EA-B380-943FDA8C709A}"/>
    <cellStyle name="Percent 10 17 2" xfId="21904" xr:uid="{BB75698D-A3DF-455E-894F-6BE6FB4D1AC9}"/>
    <cellStyle name="Percent 10 18" xfId="21905" xr:uid="{E5FF18F2-1CF2-45B7-9CE4-AD28678EF9D9}"/>
    <cellStyle name="Percent 10 18 2" xfId="21906" xr:uid="{DB1E58CE-E257-424F-A42B-3223E0C621F9}"/>
    <cellStyle name="Percent 10 19" xfId="21907" xr:uid="{D8EE9F73-054E-4E06-BB51-F8A231049E02}"/>
    <cellStyle name="Percent 10 2" xfId="21908" xr:uid="{89AEF7D7-1D36-4621-B643-B3BDAE53187D}"/>
    <cellStyle name="Percent 10 2 10" xfId="21909" xr:uid="{88EF75C7-C6D1-41C3-963E-1680EB5B3CEF}"/>
    <cellStyle name="Percent 10 2 10 2" xfId="21910" xr:uid="{E105A566-4F97-400E-A5FD-02C1AF6C0DB2}"/>
    <cellStyle name="Percent 10 2 11" xfId="21911" xr:uid="{77B67C6C-842D-4306-93D4-2E750102780E}"/>
    <cellStyle name="Percent 10 2 11 2" xfId="21912" xr:uid="{54F203FD-22E9-49CB-8580-77CFFCA5752B}"/>
    <cellStyle name="Percent 10 2 12" xfId="21913" xr:uid="{A81F060B-43CA-4827-9394-374E5B89C218}"/>
    <cellStyle name="Percent 10 2 12 2" xfId="21914" xr:uid="{40453C42-EFD5-4D83-ADCE-749459658DE3}"/>
    <cellStyle name="Percent 10 2 13" xfId="21915" xr:uid="{EA48F80C-1561-4AB3-B9AE-D25840BB8B8C}"/>
    <cellStyle name="Percent 10 2 13 2" xfId="21916" xr:uid="{D6168963-4A4C-4F0A-9AEA-1DFC3FCDFE45}"/>
    <cellStyle name="Percent 10 2 14" xfId="21917" xr:uid="{5528E01D-1912-47C3-A77F-40579A01CB12}"/>
    <cellStyle name="Percent 10 2 14 2" xfId="21918" xr:uid="{1A538DE0-FB25-427C-B525-D5CAC08F9C48}"/>
    <cellStyle name="Percent 10 2 15" xfId="21919" xr:uid="{BFB2A7B7-3158-4680-83EC-9195F463CA9C}"/>
    <cellStyle name="Percent 10 2 16" xfId="21920" xr:uid="{0AF513EF-A62D-4233-931E-F85128325769}"/>
    <cellStyle name="Percent 10 2 17" xfId="21921" xr:uid="{98A7E258-D754-471B-A1E6-85E5D2D9B3F0}"/>
    <cellStyle name="Percent 10 2 2" xfId="21922" xr:uid="{F83B37CF-235A-4508-A0E9-E0A2212E2F6F}"/>
    <cellStyle name="Percent 10 2 2 10" xfId="21923" xr:uid="{7CA01BC5-7818-450B-8608-68F7CF55A593}"/>
    <cellStyle name="Percent 10 2 2 10 2" xfId="21924" xr:uid="{D85ABCD8-CC77-45D1-AA12-95B548D9579A}"/>
    <cellStyle name="Percent 10 2 2 11" xfId="21925" xr:uid="{4EE145FF-F310-4643-8CBF-14FB63A4248F}"/>
    <cellStyle name="Percent 10 2 2 12" xfId="43053" xr:uid="{52DC746C-CBC0-4856-8C37-076FB6B51EBF}"/>
    <cellStyle name="Percent 10 2 2 2" xfId="21926" xr:uid="{8FCDA0B9-09D8-466D-BA43-49822634BA12}"/>
    <cellStyle name="Percent 10 2 2 2 10" xfId="21927" xr:uid="{B7296688-1539-4109-BFA0-09F8571360D5}"/>
    <cellStyle name="Percent 10 2 2 2 2" xfId="21928" xr:uid="{C2918794-34A0-4B8F-8D2B-8E8E9EC42D98}"/>
    <cellStyle name="Percent 10 2 2 2 2 2" xfId="21929" xr:uid="{49D949B5-7538-469C-A320-67AEC9C3DFDC}"/>
    <cellStyle name="Percent 10 2 2 2 2 2 2" xfId="21930" xr:uid="{9E8D2D93-718E-4551-AFE2-DFD4B276275B}"/>
    <cellStyle name="Percent 10 2 2 2 2 2 2 2" xfId="21931" xr:uid="{536020BF-D845-4891-ACDF-DF2B2339A3B2}"/>
    <cellStyle name="Percent 10 2 2 2 2 2 3" xfId="21932" xr:uid="{667C4E09-41C4-4F9A-8D2D-76E61324F40F}"/>
    <cellStyle name="Percent 10 2 2 2 2 2 3 2" xfId="21933" xr:uid="{E4EDDC99-F7AA-4A7A-B3D4-66AF6689DC0C}"/>
    <cellStyle name="Percent 10 2 2 2 2 2 4" xfId="21934" xr:uid="{C476B273-7B06-43B8-A3B7-D5D82DCACEF6}"/>
    <cellStyle name="Percent 10 2 2 2 2 2 4 2" xfId="21935" xr:uid="{6E71902E-5209-4F73-85AF-B5B31699DBCF}"/>
    <cellStyle name="Percent 10 2 2 2 2 2 5" xfId="21936" xr:uid="{1C0D4F7C-2943-44E8-9206-21C06702D99E}"/>
    <cellStyle name="Percent 10 2 2 2 2 3" xfId="21937" xr:uid="{BB8148EE-64FA-4467-8DE4-9E50329A2C33}"/>
    <cellStyle name="Percent 10 2 2 2 2 3 2" xfId="21938" xr:uid="{36D5BDF1-AE2E-4781-91E7-94FD14788163}"/>
    <cellStyle name="Percent 10 2 2 2 2 3 2 2" xfId="21939" xr:uid="{2568D2B8-33E0-4296-9EBB-F60C22FBE1D9}"/>
    <cellStyle name="Percent 10 2 2 2 2 3 3" xfId="21940" xr:uid="{C4FEA5A9-AA23-4F0A-AE53-EE15EA5D7028}"/>
    <cellStyle name="Percent 10 2 2 2 2 3 3 2" xfId="21941" xr:uid="{983CF2B5-9079-48ED-9BCE-CEF2446E0D8A}"/>
    <cellStyle name="Percent 10 2 2 2 2 3 4" xfId="21942" xr:uid="{95377C8C-E5AA-41AF-99E3-0B032DF82FD2}"/>
    <cellStyle name="Percent 10 2 2 2 2 3 4 2" xfId="21943" xr:uid="{9C93CADA-4032-4C69-8639-71D8A139B246}"/>
    <cellStyle name="Percent 10 2 2 2 2 3 5" xfId="21944" xr:uid="{B9273176-880D-4FBB-B2E3-8550A0C9D9F1}"/>
    <cellStyle name="Percent 10 2 2 2 2 4" xfId="21945" xr:uid="{FE5372B3-1750-48DB-BF02-79D432EDC8B1}"/>
    <cellStyle name="Percent 10 2 2 2 2 4 2" xfId="21946" xr:uid="{7EB5A2E2-9EE3-46F0-A229-007087F15776}"/>
    <cellStyle name="Percent 10 2 2 2 2 5" xfId="21947" xr:uid="{EC7286AE-599F-4C3B-A1A1-48930C7BA131}"/>
    <cellStyle name="Percent 10 2 2 2 2 5 2" xfId="21948" xr:uid="{8D9A37C8-0974-4353-9F38-ABE9E9E283C9}"/>
    <cellStyle name="Percent 10 2 2 2 2 6" xfId="21949" xr:uid="{1062489B-2D6A-48B9-8ED9-E0BE1CA3F5E8}"/>
    <cellStyle name="Percent 10 2 2 2 2 6 2" xfId="21950" xr:uid="{FEF4D78F-474B-44BA-8E52-12A945E3E1C7}"/>
    <cellStyle name="Percent 10 2 2 2 2 7" xfId="21951" xr:uid="{967495D5-6591-4180-B241-D7B991362297}"/>
    <cellStyle name="Percent 10 2 2 2 2 7 2" xfId="21952" xr:uid="{1D2E1D51-2051-4EE3-AA29-A6827F46B21C}"/>
    <cellStyle name="Percent 10 2 2 2 2 8" xfId="21953" xr:uid="{1788CDB3-40CB-49E9-8E63-2815C2189D8D}"/>
    <cellStyle name="Percent 10 2 2 2 2 8 2" xfId="21954" xr:uid="{6B3D354B-E1E4-4DE1-AB7E-B34CBF0F0C0E}"/>
    <cellStyle name="Percent 10 2 2 2 2 9" xfId="21955" xr:uid="{7C4E3EBF-1F71-499B-B5B3-3A42720EC0FD}"/>
    <cellStyle name="Percent 10 2 2 2 3" xfId="21956" xr:uid="{475FD814-D38E-41F7-BA72-B84FB157B1FA}"/>
    <cellStyle name="Percent 10 2 2 2 3 2" xfId="21957" xr:uid="{7A294073-E61F-485E-8377-4E58EBA91E97}"/>
    <cellStyle name="Percent 10 2 2 2 3 2 2" xfId="21958" xr:uid="{51EE0C05-9083-4C49-B1BD-24FB820A07BC}"/>
    <cellStyle name="Percent 10 2 2 2 3 3" xfId="21959" xr:uid="{09140AF4-A22F-4549-A669-A262F63E7794}"/>
    <cellStyle name="Percent 10 2 2 2 3 3 2" xfId="21960" xr:uid="{C5B01AF6-7EE3-4D90-9A7C-5C4D7631E990}"/>
    <cellStyle name="Percent 10 2 2 2 3 4" xfId="21961" xr:uid="{6A045398-A748-45C4-A25B-2FA2FCBF9B4D}"/>
    <cellStyle name="Percent 10 2 2 2 3 4 2" xfId="21962" xr:uid="{C06BBD5B-2FF0-4E1B-BEC4-0D4F6D15CE73}"/>
    <cellStyle name="Percent 10 2 2 2 3 5" xfId="21963" xr:uid="{1D3EC3A1-F928-47F5-AC61-8E5535576F5F}"/>
    <cellStyle name="Percent 10 2 2 2 4" xfId="21964" xr:uid="{84875710-E98D-46C9-AA68-53AA98BCAC0D}"/>
    <cellStyle name="Percent 10 2 2 2 4 2" xfId="21965" xr:uid="{E5FA9091-269C-4771-9924-B3690544D38D}"/>
    <cellStyle name="Percent 10 2 2 2 4 2 2" xfId="21966" xr:uid="{45830540-4454-41DE-8359-16494A55B345}"/>
    <cellStyle name="Percent 10 2 2 2 4 3" xfId="21967" xr:uid="{DF5EB642-B727-425A-B42C-B671E0B452D8}"/>
    <cellStyle name="Percent 10 2 2 2 4 3 2" xfId="21968" xr:uid="{D09D6F7B-007C-483C-B9AD-5621A148CA5D}"/>
    <cellStyle name="Percent 10 2 2 2 4 4" xfId="21969" xr:uid="{C66504B5-1B6C-4514-B147-BECBDDDDC5B8}"/>
    <cellStyle name="Percent 10 2 2 2 4 4 2" xfId="21970" xr:uid="{FC75AE26-BEC0-44E5-AB5C-6D7977AD2C23}"/>
    <cellStyle name="Percent 10 2 2 2 4 5" xfId="21971" xr:uid="{773ED1C8-3D63-4656-9A01-6A7688017AA2}"/>
    <cellStyle name="Percent 10 2 2 2 5" xfId="21972" xr:uid="{D56534DB-F424-4914-A0AB-EFA0DB3E657D}"/>
    <cellStyle name="Percent 10 2 2 2 5 2" xfId="21973" xr:uid="{02ED23E2-753C-457D-948C-5B64021FACAF}"/>
    <cellStyle name="Percent 10 2 2 2 6" xfId="21974" xr:uid="{4328A396-F6F0-4FA1-A0DD-7559F3773D56}"/>
    <cellStyle name="Percent 10 2 2 2 6 2" xfId="21975" xr:uid="{05915B70-508E-42B1-9CE9-0BDA83B090AF}"/>
    <cellStyle name="Percent 10 2 2 2 7" xfId="21976" xr:uid="{5BBDF27A-2C85-4BC0-A266-48E66152F42C}"/>
    <cellStyle name="Percent 10 2 2 2 7 2" xfId="21977" xr:uid="{B895663E-0304-490E-917E-4526B69F3FEA}"/>
    <cellStyle name="Percent 10 2 2 2 8" xfId="21978" xr:uid="{17A4653E-B131-4875-BE86-377116802836}"/>
    <cellStyle name="Percent 10 2 2 2 8 2" xfId="21979" xr:uid="{6CCC1353-3C37-409A-AC6D-3E6600ABADFC}"/>
    <cellStyle name="Percent 10 2 2 2 9" xfId="21980" xr:uid="{07AB50A8-9B6A-4885-9DE8-A9E2286BDC95}"/>
    <cellStyle name="Percent 10 2 2 2 9 2" xfId="21981" xr:uid="{5CF8884E-3C57-405A-B484-5134429DEBB7}"/>
    <cellStyle name="Percent 10 2 2 3" xfId="21982" xr:uid="{EC06A58C-2F36-4F3B-ACAF-2EDAD6CDD9C1}"/>
    <cellStyle name="Percent 10 2 2 3 2" xfId="21983" xr:uid="{1FAB666F-BDF0-4E04-97F7-444775BF7898}"/>
    <cellStyle name="Percent 10 2 2 3 2 2" xfId="21984" xr:uid="{049AB33C-4869-488C-8E28-AACB4FAAD6B5}"/>
    <cellStyle name="Percent 10 2 2 3 2 2 2" xfId="21985" xr:uid="{C8BED7ED-5F69-40F0-99B3-4F52FD00F1A8}"/>
    <cellStyle name="Percent 10 2 2 3 2 3" xfId="21986" xr:uid="{7CE2B24E-6279-4E50-876A-6727776520C2}"/>
    <cellStyle name="Percent 10 2 2 3 2 3 2" xfId="21987" xr:uid="{F960F246-9996-448D-A9D6-AB9BC3049882}"/>
    <cellStyle name="Percent 10 2 2 3 2 4" xfId="21988" xr:uid="{2B1B8FCE-C243-45A7-B3C2-B3FD82828C5B}"/>
    <cellStyle name="Percent 10 2 2 3 2 4 2" xfId="21989" xr:uid="{2A7AF4CE-6C96-43B0-B0F4-18A7CED6C41A}"/>
    <cellStyle name="Percent 10 2 2 3 2 5" xfId="21990" xr:uid="{45D9EAF9-5C8F-4231-BC78-211CB7DE2E55}"/>
    <cellStyle name="Percent 10 2 2 3 3" xfId="21991" xr:uid="{712AE3F1-8B40-402B-89EC-627361695799}"/>
    <cellStyle name="Percent 10 2 2 3 3 2" xfId="21992" xr:uid="{F59CB428-32CB-4063-B7F4-175717599D83}"/>
    <cellStyle name="Percent 10 2 2 3 3 2 2" xfId="21993" xr:uid="{B7027013-B833-434D-8BE5-41BF02E02EEE}"/>
    <cellStyle name="Percent 10 2 2 3 3 3" xfId="21994" xr:uid="{A8949F74-2072-487F-809B-22DCB6533B35}"/>
    <cellStyle name="Percent 10 2 2 3 3 3 2" xfId="21995" xr:uid="{D5C74241-E007-4FFB-B4C2-31FA9D4CFD72}"/>
    <cellStyle name="Percent 10 2 2 3 3 4" xfId="21996" xr:uid="{A5E32737-5FC6-423B-AC17-DF69C00EDE4F}"/>
    <cellStyle name="Percent 10 2 2 3 3 4 2" xfId="21997" xr:uid="{7BB3638A-FB60-45E2-9DC0-91A45F6ECE84}"/>
    <cellStyle name="Percent 10 2 2 3 3 5" xfId="21998" xr:uid="{08243C1C-70BD-4348-A233-2B856813AA12}"/>
    <cellStyle name="Percent 10 2 2 3 4" xfId="21999" xr:uid="{FFEF1B25-5ED7-4A8E-86FF-27D7120D97B3}"/>
    <cellStyle name="Percent 10 2 2 3 4 2" xfId="22000" xr:uid="{CA8965C7-1D68-4F1E-BD67-B86C65F1701B}"/>
    <cellStyle name="Percent 10 2 2 3 5" xfId="22001" xr:uid="{1E9AF734-3E44-4C2C-96F4-161E81B11057}"/>
    <cellStyle name="Percent 10 2 2 3 5 2" xfId="22002" xr:uid="{FBAC7604-C3BB-42F5-BEA1-84D586DC0ABC}"/>
    <cellStyle name="Percent 10 2 2 3 6" xfId="22003" xr:uid="{78B11CA6-1252-48C0-A16D-49875AF32B71}"/>
    <cellStyle name="Percent 10 2 2 3 6 2" xfId="22004" xr:uid="{9F168762-BF6B-4D3D-A619-E16C1923BEE0}"/>
    <cellStyle name="Percent 10 2 2 3 7" xfId="22005" xr:uid="{D59C0668-A149-4558-ABC9-B16A06DCDE9C}"/>
    <cellStyle name="Percent 10 2 2 3 7 2" xfId="22006" xr:uid="{BB411BE1-C2A0-48EF-93C0-1634851A6D97}"/>
    <cellStyle name="Percent 10 2 2 3 8" xfId="22007" xr:uid="{93D875A0-8872-4539-9605-D8FE90BA9CA7}"/>
    <cellStyle name="Percent 10 2 2 3 8 2" xfId="22008" xr:uid="{5CB8A912-6000-4572-8AFB-388AE73935BE}"/>
    <cellStyle name="Percent 10 2 2 3 9" xfId="22009" xr:uid="{C9E82082-556C-4048-9AD6-8E10BA0D094C}"/>
    <cellStyle name="Percent 10 2 2 4" xfId="22010" xr:uid="{A2F3E6CE-266E-44F3-90B1-0EE042C83FA7}"/>
    <cellStyle name="Percent 10 2 2 4 2" xfId="22011" xr:uid="{6320FC2C-DB5B-4073-93F8-2417DCF0BC58}"/>
    <cellStyle name="Percent 10 2 2 4 2 2" xfId="22012" xr:uid="{1DFF3C64-455D-4FCF-93F1-127CA3AB9FB6}"/>
    <cellStyle name="Percent 10 2 2 4 3" xfId="22013" xr:uid="{EACE92BC-084A-48C7-BF9B-67736541DE15}"/>
    <cellStyle name="Percent 10 2 2 4 3 2" xfId="22014" xr:uid="{0EECF78F-A947-48C1-AE9D-6FA93456F6E1}"/>
    <cellStyle name="Percent 10 2 2 4 4" xfId="22015" xr:uid="{B8D4298D-2F94-4A76-9B02-CA2AE99CFEDE}"/>
    <cellStyle name="Percent 10 2 2 4 4 2" xfId="22016" xr:uid="{ADC1C43E-FC1A-4688-8809-C7729CDDB4B3}"/>
    <cellStyle name="Percent 10 2 2 4 5" xfId="22017" xr:uid="{C9186FF5-0547-46E9-9C34-991A8BE63D30}"/>
    <cellStyle name="Percent 10 2 2 5" xfId="22018" xr:uid="{9A1B3000-15DA-4EF1-A9C2-B1E4856A29C3}"/>
    <cellStyle name="Percent 10 2 2 5 2" xfId="22019" xr:uid="{54E64553-EDFC-48C1-A0C8-BC244BC741C0}"/>
    <cellStyle name="Percent 10 2 2 5 2 2" xfId="22020" xr:uid="{AC2017D7-AC8B-4AC4-9290-955A96EFF6B0}"/>
    <cellStyle name="Percent 10 2 2 5 3" xfId="22021" xr:uid="{0D3A8AE9-E018-4D01-AF42-272A42339BEE}"/>
    <cellStyle name="Percent 10 2 2 5 3 2" xfId="22022" xr:uid="{E7F9F959-BAA4-4B93-8BC9-AA6ACAF97BC4}"/>
    <cellStyle name="Percent 10 2 2 5 4" xfId="22023" xr:uid="{841B27AE-EAE5-4174-8AFA-8997CED436A4}"/>
    <cellStyle name="Percent 10 2 2 5 4 2" xfId="22024" xr:uid="{6A346E22-2459-4D5F-B034-587BCACDC1F8}"/>
    <cellStyle name="Percent 10 2 2 5 5" xfId="22025" xr:uid="{427AAE92-0439-4831-812C-10BE24B98C7B}"/>
    <cellStyle name="Percent 10 2 2 6" xfId="22026" xr:uid="{025DF6FD-A1BC-4BDF-BD6F-A5EC487C14E0}"/>
    <cellStyle name="Percent 10 2 2 6 2" xfId="22027" xr:uid="{76C0ACC7-2CF2-4DCD-9D66-B89939450C8B}"/>
    <cellStyle name="Percent 10 2 2 7" xfId="22028" xr:uid="{4F9C8CE3-34B1-4DA9-9F8C-DF27A6F1F3F2}"/>
    <cellStyle name="Percent 10 2 2 7 2" xfId="22029" xr:uid="{3582890C-C849-41DC-81BB-39C96B35E3F3}"/>
    <cellStyle name="Percent 10 2 2 8" xfId="22030" xr:uid="{29EE3BED-2569-4243-ACE8-691D5B9DCD68}"/>
    <cellStyle name="Percent 10 2 2 8 2" xfId="22031" xr:uid="{80CF73F6-7634-45DF-AF29-CE1639BF3267}"/>
    <cellStyle name="Percent 10 2 2 9" xfId="22032" xr:uid="{75DF54B9-5DF1-4B91-B558-7142FB8A0192}"/>
    <cellStyle name="Percent 10 2 2 9 2" xfId="22033" xr:uid="{C7A38FFF-00BF-49D2-ACE3-9724460AE3B8}"/>
    <cellStyle name="Percent 10 2 25" xfId="33037" xr:uid="{C32AA480-C424-4F4F-886B-132E8173F061}"/>
    <cellStyle name="Percent 10 2 3" xfId="22034" xr:uid="{C4A5D734-34DE-4D46-9828-85EB6E04405D}"/>
    <cellStyle name="Percent 10 2 3 10" xfId="22035" xr:uid="{34EC0C56-D069-4433-A65E-F25E856B525D}"/>
    <cellStyle name="Percent 10 2 3 10 2" xfId="22036" xr:uid="{998328A6-114C-446C-A595-2756A303C9F7}"/>
    <cellStyle name="Percent 10 2 3 11" xfId="22037" xr:uid="{C0527CB4-C1B7-4954-AFDC-6B43AA2C2FC8}"/>
    <cellStyle name="Percent 10 2 3 2" xfId="22038" xr:uid="{E913F0AB-15A0-4A52-9A29-FE4C9E86CB94}"/>
    <cellStyle name="Percent 10 2 3 2 10" xfId="22039" xr:uid="{DF96C05B-9CE1-4ED2-B6C8-4B827F40252F}"/>
    <cellStyle name="Percent 10 2 3 2 2" xfId="22040" xr:uid="{11D9B6E9-31CB-4D70-AA3D-29ABECC883EE}"/>
    <cellStyle name="Percent 10 2 3 2 2 2" xfId="22041" xr:uid="{584B0CDD-4394-42FD-855C-CC25ADBD461E}"/>
    <cellStyle name="Percent 10 2 3 2 2 2 2" xfId="22042" xr:uid="{71B4CD11-811F-48F0-BF54-ACD06CAE2D7D}"/>
    <cellStyle name="Percent 10 2 3 2 2 2 2 2" xfId="22043" xr:uid="{19017217-117B-4042-95B9-52313D09D68C}"/>
    <cellStyle name="Percent 10 2 3 2 2 2 3" xfId="22044" xr:uid="{9A560230-4FBA-4A96-93B8-AEE09F58D993}"/>
    <cellStyle name="Percent 10 2 3 2 2 2 3 2" xfId="22045" xr:uid="{6A94256C-8B37-4CE2-8560-E39B30B520E2}"/>
    <cellStyle name="Percent 10 2 3 2 2 2 4" xfId="22046" xr:uid="{3E37A48F-B5FD-42FC-A3B6-DA1DB8201E7D}"/>
    <cellStyle name="Percent 10 2 3 2 2 2 4 2" xfId="22047" xr:uid="{774F0EE3-F954-4C3B-9246-5346D8E5958E}"/>
    <cellStyle name="Percent 10 2 3 2 2 2 5" xfId="22048" xr:uid="{2F01B3F8-E0F7-42EF-A83B-6C94FE01915F}"/>
    <cellStyle name="Percent 10 2 3 2 2 3" xfId="22049" xr:uid="{0061666F-A195-4594-AC84-BE4B62A86C68}"/>
    <cellStyle name="Percent 10 2 3 2 2 3 2" xfId="22050" xr:uid="{5DDB4AA0-B86C-4795-83B8-31C9A70307C9}"/>
    <cellStyle name="Percent 10 2 3 2 2 3 2 2" xfId="22051" xr:uid="{BB3B0CA7-A79D-44C1-A68F-2F05DD6083D0}"/>
    <cellStyle name="Percent 10 2 3 2 2 3 3" xfId="22052" xr:uid="{EAD6FF12-86C9-4F0C-BA8C-84838FCBDA38}"/>
    <cellStyle name="Percent 10 2 3 2 2 3 3 2" xfId="22053" xr:uid="{FD3CB59A-A7D1-40D3-BE62-FCC6FA1FC38B}"/>
    <cellStyle name="Percent 10 2 3 2 2 3 4" xfId="22054" xr:uid="{6D3FC7C5-A53A-44DB-BED5-909A9B9B50FE}"/>
    <cellStyle name="Percent 10 2 3 2 2 3 4 2" xfId="22055" xr:uid="{0ED5D304-A02F-4E91-98C2-E68CBC0B7F2D}"/>
    <cellStyle name="Percent 10 2 3 2 2 3 5" xfId="22056" xr:uid="{3D339151-4B3A-45C7-96EA-0CF4E5ACA54C}"/>
    <cellStyle name="Percent 10 2 3 2 2 4" xfId="22057" xr:uid="{0BA51A7B-EA8F-47D6-A496-C55CD9C8417F}"/>
    <cellStyle name="Percent 10 2 3 2 2 4 2" xfId="22058" xr:uid="{23C8E019-E261-47FE-AF8D-CAF76FA3777E}"/>
    <cellStyle name="Percent 10 2 3 2 2 5" xfId="22059" xr:uid="{1417C467-77A8-4ED7-9EAD-72250EBDDC79}"/>
    <cellStyle name="Percent 10 2 3 2 2 5 2" xfId="22060" xr:uid="{2AD0C955-B37C-4B52-AFAA-5241F82D7143}"/>
    <cellStyle name="Percent 10 2 3 2 2 6" xfId="22061" xr:uid="{294F9F03-3F2B-4194-BDE0-335B2C71C874}"/>
    <cellStyle name="Percent 10 2 3 2 2 6 2" xfId="22062" xr:uid="{34CB0851-9000-4A60-8F8E-23C827FE6620}"/>
    <cellStyle name="Percent 10 2 3 2 2 7" xfId="22063" xr:uid="{E13E608E-AAC9-4D16-A8CF-FA4135BB0975}"/>
    <cellStyle name="Percent 10 2 3 2 2 7 2" xfId="22064" xr:uid="{2CF99EC3-0A81-48C3-BDEE-16723452CE0A}"/>
    <cellStyle name="Percent 10 2 3 2 2 8" xfId="22065" xr:uid="{532AC663-AA7E-433C-93CC-F84B840BE3B7}"/>
    <cellStyle name="Percent 10 2 3 2 2 8 2" xfId="22066" xr:uid="{71D4B6F2-43B9-44FA-8F4E-1C53CFFE7078}"/>
    <cellStyle name="Percent 10 2 3 2 2 9" xfId="22067" xr:uid="{BB2A2B6C-A874-4520-AB44-0CD0F6FDC0A3}"/>
    <cellStyle name="Percent 10 2 3 2 3" xfId="22068" xr:uid="{2DA57D67-9C12-4F5E-85D6-BFBB5E8880D4}"/>
    <cellStyle name="Percent 10 2 3 2 3 2" xfId="22069" xr:uid="{BB52946B-DEB3-46A3-8423-B1A2E95A2AF7}"/>
    <cellStyle name="Percent 10 2 3 2 3 2 2" xfId="22070" xr:uid="{2F2781C8-E2AF-4163-97C7-6251E65B677F}"/>
    <cellStyle name="Percent 10 2 3 2 3 3" xfId="22071" xr:uid="{89FABEEA-BB08-404C-92CB-6E5C445080C0}"/>
    <cellStyle name="Percent 10 2 3 2 3 3 2" xfId="22072" xr:uid="{858AEA7D-9E9F-4925-9792-AE311A1CCAF8}"/>
    <cellStyle name="Percent 10 2 3 2 3 4" xfId="22073" xr:uid="{8E3F3C23-6062-45A3-86CC-2AF03BCA1304}"/>
    <cellStyle name="Percent 10 2 3 2 3 4 2" xfId="22074" xr:uid="{510BB4B4-124F-4BE6-95D3-84B007E1E99E}"/>
    <cellStyle name="Percent 10 2 3 2 3 5" xfId="22075" xr:uid="{D43603AF-07F3-42C5-9906-0E48DCD4B363}"/>
    <cellStyle name="Percent 10 2 3 2 4" xfId="22076" xr:uid="{1FB04A1C-418F-43D7-B12F-7B7CDE9912D9}"/>
    <cellStyle name="Percent 10 2 3 2 4 2" xfId="22077" xr:uid="{D912343F-41FC-4CF7-9342-E20772833263}"/>
    <cellStyle name="Percent 10 2 3 2 4 2 2" xfId="22078" xr:uid="{73190E33-4791-4296-9D55-E5BDD2E8E76C}"/>
    <cellStyle name="Percent 10 2 3 2 4 3" xfId="22079" xr:uid="{F89F2113-7404-400D-B71C-C6D2BDD7187B}"/>
    <cellStyle name="Percent 10 2 3 2 4 3 2" xfId="22080" xr:uid="{244F0CC3-8F23-4AF9-AC44-DF4CCF20F621}"/>
    <cellStyle name="Percent 10 2 3 2 4 4" xfId="22081" xr:uid="{CE893F5A-CA2C-4BC7-B7CC-758AE74D0410}"/>
    <cellStyle name="Percent 10 2 3 2 4 4 2" xfId="22082" xr:uid="{C51CB343-C7E3-480E-9518-1FBC30B2480B}"/>
    <cellStyle name="Percent 10 2 3 2 4 5" xfId="22083" xr:uid="{1790CB22-B9E8-4613-A6F8-A43AC9A85199}"/>
    <cellStyle name="Percent 10 2 3 2 5" xfId="22084" xr:uid="{6348789F-8759-47C1-BB89-02F34C128AF6}"/>
    <cellStyle name="Percent 10 2 3 2 5 2" xfId="22085" xr:uid="{4C9C3547-DFEB-45B9-93E4-7A57199E6C35}"/>
    <cellStyle name="Percent 10 2 3 2 6" xfId="22086" xr:uid="{BC5A76FA-3B43-4287-8673-C03143C1FA39}"/>
    <cellStyle name="Percent 10 2 3 2 6 2" xfId="22087" xr:uid="{0EBB3C42-AC59-44AE-B939-0735F652D367}"/>
    <cellStyle name="Percent 10 2 3 2 7" xfId="22088" xr:uid="{FF7C400D-ADCA-49B5-A121-58D8EEA270F1}"/>
    <cellStyle name="Percent 10 2 3 2 7 2" xfId="22089" xr:uid="{1AE34243-E742-49E2-B1A1-64CA4FDBF844}"/>
    <cellStyle name="Percent 10 2 3 2 8" xfId="22090" xr:uid="{60044234-43AA-4022-88D7-FBF73A43CDA8}"/>
    <cellStyle name="Percent 10 2 3 2 8 2" xfId="22091" xr:uid="{DF8F0590-0426-4D3F-8C28-30BCC0070758}"/>
    <cellStyle name="Percent 10 2 3 2 9" xfId="22092" xr:uid="{6B2D5271-A5B2-4C64-92D2-94190D4EC427}"/>
    <cellStyle name="Percent 10 2 3 2 9 2" xfId="22093" xr:uid="{E500A08B-FD83-417D-989E-02959A685D3F}"/>
    <cellStyle name="Percent 10 2 3 3" xfId="22094" xr:uid="{0D7F0073-CA00-43FB-BA9A-1C46D252A6AF}"/>
    <cellStyle name="Percent 10 2 3 3 2" xfId="22095" xr:uid="{E94CE9F9-F4AC-44C2-A537-69BC23BCFCCE}"/>
    <cellStyle name="Percent 10 2 3 3 2 2" xfId="22096" xr:uid="{8A67BEDC-2731-482C-962E-A574A29F644F}"/>
    <cellStyle name="Percent 10 2 3 3 2 2 2" xfId="22097" xr:uid="{CE8F1E3E-136E-4679-8D7A-435BAA462ED1}"/>
    <cellStyle name="Percent 10 2 3 3 2 3" xfId="22098" xr:uid="{1B752DF1-4DFC-4B60-BFE9-93010D142648}"/>
    <cellStyle name="Percent 10 2 3 3 2 3 2" xfId="22099" xr:uid="{03A0FA5A-EAAE-463F-B67E-D618612E18A0}"/>
    <cellStyle name="Percent 10 2 3 3 2 4" xfId="22100" xr:uid="{CB261D5E-CCC5-4E99-BA70-D859F1333118}"/>
    <cellStyle name="Percent 10 2 3 3 2 4 2" xfId="22101" xr:uid="{1CC7E77C-B082-4078-A321-6D7A88B8B638}"/>
    <cellStyle name="Percent 10 2 3 3 2 5" xfId="22102" xr:uid="{17DE2896-16FC-43F2-AD71-85A15E3D26FF}"/>
    <cellStyle name="Percent 10 2 3 3 3" xfId="22103" xr:uid="{609925C4-93EA-4F99-A0D1-3F972E489AB8}"/>
    <cellStyle name="Percent 10 2 3 3 3 2" xfId="22104" xr:uid="{3C27EF76-3087-403C-B1C2-752A8D087AC8}"/>
    <cellStyle name="Percent 10 2 3 3 3 2 2" xfId="22105" xr:uid="{71A659B8-1F84-4E4C-A03C-557343D5F857}"/>
    <cellStyle name="Percent 10 2 3 3 3 3" xfId="22106" xr:uid="{1BC594A7-54C2-447A-AC14-7ECDB09092D3}"/>
    <cellStyle name="Percent 10 2 3 3 3 3 2" xfId="22107" xr:uid="{CD8609C3-EAD3-4E7E-8790-E0FF84F176F1}"/>
    <cellStyle name="Percent 10 2 3 3 3 4" xfId="22108" xr:uid="{F4E69426-8639-412E-84A6-B6F2F4620854}"/>
    <cellStyle name="Percent 10 2 3 3 3 4 2" xfId="22109" xr:uid="{7A1501C0-E791-45A0-837D-63FD14C2C2CE}"/>
    <cellStyle name="Percent 10 2 3 3 3 5" xfId="22110" xr:uid="{E9A82E14-EBF0-4754-AD53-FB598F7D191D}"/>
    <cellStyle name="Percent 10 2 3 3 4" xfId="22111" xr:uid="{3F82C15D-0626-4D59-9789-1C509C2A5014}"/>
    <cellStyle name="Percent 10 2 3 3 4 2" xfId="22112" xr:uid="{5DC1F41F-0B46-4B19-BA7B-2BA2E2183A84}"/>
    <cellStyle name="Percent 10 2 3 3 5" xfId="22113" xr:uid="{7F949384-8DC8-4CE1-B0C2-33259DA2082F}"/>
    <cellStyle name="Percent 10 2 3 3 5 2" xfId="22114" xr:uid="{C0FFBFA0-BA5D-454F-840F-9426A455B10F}"/>
    <cellStyle name="Percent 10 2 3 3 6" xfId="22115" xr:uid="{EB62604C-C310-4E2D-BC08-3845DF73EF91}"/>
    <cellStyle name="Percent 10 2 3 3 6 2" xfId="22116" xr:uid="{70A5AF1B-9C37-472E-AC7E-42BF6B919E93}"/>
    <cellStyle name="Percent 10 2 3 3 7" xfId="22117" xr:uid="{78A33D75-40B9-46EB-A773-471E7470EE25}"/>
    <cellStyle name="Percent 10 2 3 3 7 2" xfId="22118" xr:uid="{CE1E2D1A-6112-4D0A-A4C2-1289D153DA25}"/>
    <cellStyle name="Percent 10 2 3 3 8" xfId="22119" xr:uid="{22B478B6-EB11-42E6-B731-A30A67F4066A}"/>
    <cellStyle name="Percent 10 2 3 3 8 2" xfId="22120" xr:uid="{D9755FE1-5060-4198-9C7F-E6A4A1D0BE1B}"/>
    <cellStyle name="Percent 10 2 3 3 9" xfId="22121" xr:uid="{EA297E56-2DA2-47BC-94A6-5B373ADB7FE9}"/>
    <cellStyle name="Percent 10 2 3 4" xfId="22122" xr:uid="{C8574B24-6A10-46F9-B22D-BB830B81EFAF}"/>
    <cellStyle name="Percent 10 2 3 4 2" xfId="22123" xr:uid="{1D44DAD4-65D5-4E8B-83E7-9E81651AF033}"/>
    <cellStyle name="Percent 10 2 3 4 2 2" xfId="22124" xr:uid="{228E2A1F-160F-4F19-B3D1-34C4CD32DB9E}"/>
    <cellStyle name="Percent 10 2 3 4 3" xfId="22125" xr:uid="{7C851F21-75D5-47DD-9879-E72DD22EE399}"/>
    <cellStyle name="Percent 10 2 3 4 3 2" xfId="22126" xr:uid="{B97B13BD-460C-4E72-BF88-95F24336E095}"/>
    <cellStyle name="Percent 10 2 3 4 4" xfId="22127" xr:uid="{463A90E1-7E6C-4A7E-A089-D142B11C63F8}"/>
    <cellStyle name="Percent 10 2 3 4 4 2" xfId="22128" xr:uid="{D0396F3C-8588-4FCC-AE4C-98FF4B2740E1}"/>
    <cellStyle name="Percent 10 2 3 4 5" xfId="22129" xr:uid="{5FEDBAE4-E32E-4D51-82EF-5C87CBD6B10C}"/>
    <cellStyle name="Percent 10 2 3 5" xfId="22130" xr:uid="{1A883622-D94C-4170-822E-7CA078D41A96}"/>
    <cellStyle name="Percent 10 2 3 5 2" xfId="22131" xr:uid="{E4C3179D-89D1-4922-A2A4-94FEC256B704}"/>
    <cellStyle name="Percent 10 2 3 5 2 2" xfId="22132" xr:uid="{B04ADB8F-4F71-47CC-A890-1DF1F1327841}"/>
    <cellStyle name="Percent 10 2 3 5 3" xfId="22133" xr:uid="{EF827A91-856A-43BB-9853-F3C2B1F7FA0D}"/>
    <cellStyle name="Percent 10 2 3 5 3 2" xfId="22134" xr:uid="{0075FB07-4BE2-44D9-80CB-19459AF35D3C}"/>
    <cellStyle name="Percent 10 2 3 5 4" xfId="22135" xr:uid="{960F7027-3B6B-4B58-9577-798615AFB571}"/>
    <cellStyle name="Percent 10 2 3 5 4 2" xfId="22136" xr:uid="{67BDDD2B-FBB8-4151-A868-BFDD7277CDAF}"/>
    <cellStyle name="Percent 10 2 3 5 5" xfId="22137" xr:uid="{143B465F-EC41-43A3-9CA6-D62C94CFD693}"/>
    <cellStyle name="Percent 10 2 3 6" xfId="22138" xr:uid="{55F87AE1-3FA4-43E6-B6F0-3002F00218D2}"/>
    <cellStyle name="Percent 10 2 3 6 2" xfId="22139" xr:uid="{441B422B-FC82-4A25-A44F-8686E75A709C}"/>
    <cellStyle name="Percent 10 2 3 7" xfId="22140" xr:uid="{5E020B9F-2BC1-46F2-AD38-6C1891E2F5F7}"/>
    <cellStyle name="Percent 10 2 3 7 2" xfId="22141" xr:uid="{2DAAD7F5-FD83-40F5-9C3B-BF432C4FAA60}"/>
    <cellStyle name="Percent 10 2 3 8" xfId="22142" xr:uid="{E87BD449-36C0-4FCD-97B2-DEEB3BCD7E61}"/>
    <cellStyle name="Percent 10 2 3 8 2" xfId="22143" xr:uid="{D2F57F50-F3B4-4DE0-BBB8-C13BE31C6807}"/>
    <cellStyle name="Percent 10 2 3 9" xfId="22144" xr:uid="{C2DF33EB-7AFA-4252-A475-5D533BD4EADA}"/>
    <cellStyle name="Percent 10 2 3 9 2" xfId="22145" xr:uid="{9682D2E1-D17F-4D7D-9AC3-E9B8F9BBDC3D}"/>
    <cellStyle name="Percent 10 2 4" xfId="22146" xr:uid="{C6805EB4-4EF2-42D2-A83B-D92BD56D9055}"/>
    <cellStyle name="Percent 10 2 4 10" xfId="22147" xr:uid="{D14E12A1-1380-4F3E-9353-B80CA7A188DA}"/>
    <cellStyle name="Percent 10 2 4 10 2" xfId="22148" xr:uid="{F35F44D2-79D4-4D38-8653-1534A1BA3102}"/>
    <cellStyle name="Percent 10 2 4 11" xfId="22149" xr:uid="{A5AC64E7-9DE6-4CCC-AF26-E39E5A10D6C6}"/>
    <cellStyle name="Percent 10 2 4 2" xfId="22150" xr:uid="{C115D762-CF8D-4D1F-BED6-1AB713EB9802}"/>
    <cellStyle name="Percent 10 2 4 2 10" xfId="22151" xr:uid="{657D58CA-A52C-4C02-9AEF-29506860A14D}"/>
    <cellStyle name="Percent 10 2 4 2 2" xfId="22152" xr:uid="{AECC9F5D-F21D-40A0-8158-2F1AC11AEAE5}"/>
    <cellStyle name="Percent 10 2 4 2 2 2" xfId="22153" xr:uid="{7EE4149C-49DE-44BC-B0A9-067BB50763FA}"/>
    <cellStyle name="Percent 10 2 4 2 2 2 2" xfId="22154" xr:uid="{89E40BBE-8872-4F4B-9EC4-043E0FAA8FD2}"/>
    <cellStyle name="Percent 10 2 4 2 2 2 2 2" xfId="22155" xr:uid="{4EDF85DC-1F59-436C-94BC-61635803FF36}"/>
    <cellStyle name="Percent 10 2 4 2 2 2 3" xfId="22156" xr:uid="{08F4F7B4-FF5F-497E-A222-78D5EA28AE30}"/>
    <cellStyle name="Percent 10 2 4 2 2 2 3 2" xfId="22157" xr:uid="{90828FF1-F10D-4798-90A7-47D96E1DE19B}"/>
    <cellStyle name="Percent 10 2 4 2 2 2 4" xfId="22158" xr:uid="{9D81C941-8BE5-4A47-B2AA-08087E37ADD6}"/>
    <cellStyle name="Percent 10 2 4 2 2 2 4 2" xfId="22159" xr:uid="{C4E823CA-2376-407F-B662-405B325063F2}"/>
    <cellStyle name="Percent 10 2 4 2 2 2 5" xfId="22160" xr:uid="{B0B7C53D-18F9-4067-86F7-2C4C598CECDE}"/>
    <cellStyle name="Percent 10 2 4 2 2 3" xfId="22161" xr:uid="{A5F3A8D7-4DF3-4F14-AD5D-C877EDCBEC9C}"/>
    <cellStyle name="Percent 10 2 4 2 2 3 2" xfId="22162" xr:uid="{6A41A01D-666F-4AFD-BE2C-7CA12575DEFF}"/>
    <cellStyle name="Percent 10 2 4 2 2 3 2 2" xfId="22163" xr:uid="{EB0536A5-D3CE-4DFD-B7FF-A514DD24EB6B}"/>
    <cellStyle name="Percent 10 2 4 2 2 3 3" xfId="22164" xr:uid="{2929FEC9-7DC5-448A-9B1F-436B2764354A}"/>
    <cellStyle name="Percent 10 2 4 2 2 3 3 2" xfId="22165" xr:uid="{6285BADA-2A51-4DBE-B4FA-DC5FC61B44BC}"/>
    <cellStyle name="Percent 10 2 4 2 2 3 4" xfId="22166" xr:uid="{62F1ED42-0E86-4928-B34C-3586C42A7F81}"/>
    <cellStyle name="Percent 10 2 4 2 2 3 4 2" xfId="22167" xr:uid="{43ABBAFA-ADFA-44D0-A67D-E374BB8A2CBB}"/>
    <cellStyle name="Percent 10 2 4 2 2 3 5" xfId="22168" xr:uid="{89EA2D0E-895D-4268-A449-6F95680EE506}"/>
    <cellStyle name="Percent 10 2 4 2 2 4" xfId="22169" xr:uid="{5AE699F2-8DE1-4AC9-B010-384454964A5C}"/>
    <cellStyle name="Percent 10 2 4 2 2 4 2" xfId="22170" xr:uid="{C0298E56-B890-4A81-8EAF-AFD952C3E3C0}"/>
    <cellStyle name="Percent 10 2 4 2 2 5" xfId="22171" xr:uid="{1D402D3E-F9EA-48A4-806E-B18657D4E62E}"/>
    <cellStyle name="Percent 10 2 4 2 2 5 2" xfId="22172" xr:uid="{917D444B-BEBE-466F-B66C-2FF546B4EC6A}"/>
    <cellStyle name="Percent 10 2 4 2 2 6" xfId="22173" xr:uid="{88ACAF63-44AB-4AE9-9EBC-BB22E46C837D}"/>
    <cellStyle name="Percent 10 2 4 2 2 6 2" xfId="22174" xr:uid="{923511DE-BC9B-4DD7-A8C8-FE25D4AA315A}"/>
    <cellStyle name="Percent 10 2 4 2 2 7" xfId="22175" xr:uid="{154B41A2-237C-43BF-874B-1B3ED3F30F72}"/>
    <cellStyle name="Percent 10 2 4 2 2 7 2" xfId="22176" xr:uid="{7C6A5105-C3BB-4008-A3D8-958FDD1529A8}"/>
    <cellStyle name="Percent 10 2 4 2 2 8" xfId="22177" xr:uid="{9DAD5A47-4F69-442C-A56E-CE2A78EE8F1D}"/>
    <cellStyle name="Percent 10 2 4 2 2 8 2" xfId="22178" xr:uid="{796A33B8-79CB-44BC-93C2-8A861F7EEAC8}"/>
    <cellStyle name="Percent 10 2 4 2 2 9" xfId="22179" xr:uid="{2C19AA94-BD8A-49A3-B118-2B71EB2DF904}"/>
    <cellStyle name="Percent 10 2 4 2 3" xfId="22180" xr:uid="{3D72E83F-C0B8-4150-841E-6FD20AA86E9D}"/>
    <cellStyle name="Percent 10 2 4 2 3 2" xfId="22181" xr:uid="{86821840-4B52-407C-9046-1AC18415F26A}"/>
    <cellStyle name="Percent 10 2 4 2 3 2 2" xfId="22182" xr:uid="{4DCE5B13-CFEA-4E3E-98AA-168E92AF4848}"/>
    <cellStyle name="Percent 10 2 4 2 3 3" xfId="22183" xr:uid="{335A1DDD-8F9B-4E17-8B17-76F479FA174C}"/>
    <cellStyle name="Percent 10 2 4 2 3 3 2" xfId="22184" xr:uid="{2BDF4854-C6F2-4750-AC5C-86D51CFF4F22}"/>
    <cellStyle name="Percent 10 2 4 2 3 4" xfId="22185" xr:uid="{7428F932-765F-4034-A0EB-15184C210A46}"/>
    <cellStyle name="Percent 10 2 4 2 3 4 2" xfId="22186" xr:uid="{D1C665F5-907A-465D-BF21-7033A99ED9E6}"/>
    <cellStyle name="Percent 10 2 4 2 3 5" xfId="22187" xr:uid="{3D8D0B55-9EEF-4F2E-8C3F-3E8F646BB14D}"/>
    <cellStyle name="Percent 10 2 4 2 4" xfId="22188" xr:uid="{0E57845A-1843-40C3-B1BB-E9056F3220D2}"/>
    <cellStyle name="Percent 10 2 4 2 4 2" xfId="22189" xr:uid="{FBA45037-745D-4FB3-B339-1F2DFFBAA9DB}"/>
    <cellStyle name="Percent 10 2 4 2 4 2 2" xfId="22190" xr:uid="{1A87781E-22F9-456D-A3FA-377E04F97726}"/>
    <cellStyle name="Percent 10 2 4 2 4 3" xfId="22191" xr:uid="{6E19A97E-8FDE-419F-82DB-082027F7D6FD}"/>
    <cellStyle name="Percent 10 2 4 2 4 3 2" xfId="22192" xr:uid="{C04044BE-02DC-4791-9D19-B6B195B5888A}"/>
    <cellStyle name="Percent 10 2 4 2 4 4" xfId="22193" xr:uid="{3E560F89-0079-4CB4-A6A4-0320641D8AAE}"/>
    <cellStyle name="Percent 10 2 4 2 4 4 2" xfId="22194" xr:uid="{073CAF7F-C482-401D-9E2D-294BC4CB2F09}"/>
    <cellStyle name="Percent 10 2 4 2 4 5" xfId="22195" xr:uid="{EE327956-0404-44E5-AD4B-93793165177D}"/>
    <cellStyle name="Percent 10 2 4 2 5" xfId="22196" xr:uid="{02E1D88F-DD49-4483-BBBB-62D51DA660F8}"/>
    <cellStyle name="Percent 10 2 4 2 5 2" xfId="22197" xr:uid="{56A1088C-30CB-4550-9F50-2F80E4099962}"/>
    <cellStyle name="Percent 10 2 4 2 6" xfId="22198" xr:uid="{91592920-D189-487E-9013-CCE41A0CCE06}"/>
    <cellStyle name="Percent 10 2 4 2 6 2" xfId="22199" xr:uid="{1C438264-3CB8-477E-A07F-41586A88A09C}"/>
    <cellStyle name="Percent 10 2 4 2 7" xfId="22200" xr:uid="{396CA718-E988-4D01-850D-B399C59A1F5D}"/>
    <cellStyle name="Percent 10 2 4 2 7 2" xfId="22201" xr:uid="{FD22C6A2-C8F9-4B68-AC7E-886678E0DC6F}"/>
    <cellStyle name="Percent 10 2 4 2 8" xfId="22202" xr:uid="{843C3E12-BBED-4EBE-B9C1-D6B0A50EB08B}"/>
    <cellStyle name="Percent 10 2 4 2 8 2" xfId="22203" xr:uid="{24A854C7-2C70-42D4-96A3-34946279ABE1}"/>
    <cellStyle name="Percent 10 2 4 2 9" xfId="22204" xr:uid="{F0437FB0-D653-44CC-80FC-DA95295E820A}"/>
    <cellStyle name="Percent 10 2 4 2 9 2" xfId="22205" xr:uid="{07CCA826-8ECD-4030-B8E0-8B95CCD198CE}"/>
    <cellStyle name="Percent 10 2 4 3" xfId="22206" xr:uid="{CAEB8451-CB2C-4E12-A551-EF81BF57C3A4}"/>
    <cellStyle name="Percent 10 2 4 3 2" xfId="22207" xr:uid="{6CBBEE53-771F-45D1-A144-A57A06393667}"/>
    <cellStyle name="Percent 10 2 4 3 2 2" xfId="22208" xr:uid="{93ADA026-450A-454D-87B8-74B8E9680E64}"/>
    <cellStyle name="Percent 10 2 4 3 2 2 2" xfId="22209" xr:uid="{02806BE7-6242-4275-B83C-5E1859F9C082}"/>
    <cellStyle name="Percent 10 2 4 3 2 3" xfId="22210" xr:uid="{BD680BBC-BC76-40BC-B504-845AC63B4C53}"/>
    <cellStyle name="Percent 10 2 4 3 2 3 2" xfId="22211" xr:uid="{FC2B3BD3-A9B9-46B8-93B7-DD633BA5F5CB}"/>
    <cellStyle name="Percent 10 2 4 3 2 4" xfId="22212" xr:uid="{02E1D685-8E15-45EF-B7D8-0F2C81E538EE}"/>
    <cellStyle name="Percent 10 2 4 3 2 4 2" xfId="22213" xr:uid="{8C86CFAC-DDA4-4930-9CD4-61256F13F793}"/>
    <cellStyle name="Percent 10 2 4 3 2 5" xfId="22214" xr:uid="{44DB7E57-9C26-474C-99E4-0E7CD4A36E0A}"/>
    <cellStyle name="Percent 10 2 4 3 3" xfId="22215" xr:uid="{272A9A4D-269C-46E0-A37B-EE33335E4C48}"/>
    <cellStyle name="Percent 10 2 4 3 3 2" xfId="22216" xr:uid="{5D9C662B-036C-48F9-B025-6094F4ABE84D}"/>
    <cellStyle name="Percent 10 2 4 3 3 2 2" xfId="22217" xr:uid="{109EEB29-C311-4458-9532-6AA85919E3BD}"/>
    <cellStyle name="Percent 10 2 4 3 3 3" xfId="22218" xr:uid="{9C9913E9-8C4F-41E3-8349-55F15FB5172C}"/>
    <cellStyle name="Percent 10 2 4 3 3 3 2" xfId="22219" xr:uid="{76E442D3-40D7-4C45-99C4-C92CB663FA65}"/>
    <cellStyle name="Percent 10 2 4 3 3 4" xfId="22220" xr:uid="{F0C74394-E8A5-48C3-BA13-1307D1264B1A}"/>
    <cellStyle name="Percent 10 2 4 3 3 4 2" xfId="22221" xr:uid="{39049283-5513-4EF5-810B-368861EBE087}"/>
    <cellStyle name="Percent 10 2 4 3 3 5" xfId="22222" xr:uid="{3EEF8EBE-8ECA-4F6C-9C62-D65CEDC51129}"/>
    <cellStyle name="Percent 10 2 4 3 4" xfId="22223" xr:uid="{B939F278-8369-47A5-88B3-ED96ECBFCF42}"/>
    <cellStyle name="Percent 10 2 4 3 4 2" xfId="22224" xr:uid="{5039E042-E4E7-40D6-ADD9-CA1435FB3721}"/>
    <cellStyle name="Percent 10 2 4 3 5" xfId="22225" xr:uid="{74CD2AE6-1F99-4D02-A1BE-96624754EF74}"/>
    <cellStyle name="Percent 10 2 4 3 5 2" xfId="22226" xr:uid="{1DA7223F-0328-4CCE-B283-066B6C0F3268}"/>
    <cellStyle name="Percent 10 2 4 3 6" xfId="22227" xr:uid="{967DD84A-0BF0-40B8-8C02-4CB516B151A8}"/>
    <cellStyle name="Percent 10 2 4 3 6 2" xfId="22228" xr:uid="{C61AE059-6904-4492-B94B-7AA9FAD6E8E9}"/>
    <cellStyle name="Percent 10 2 4 3 7" xfId="22229" xr:uid="{A0B688E9-2CD0-48D2-AB7C-EF9475658DDB}"/>
    <cellStyle name="Percent 10 2 4 3 7 2" xfId="22230" xr:uid="{3EEB4B3B-8308-445D-99FB-7436E6CC93AD}"/>
    <cellStyle name="Percent 10 2 4 3 8" xfId="22231" xr:uid="{4BFD83D8-6794-4C12-895C-A43D9C072A33}"/>
    <cellStyle name="Percent 10 2 4 3 8 2" xfId="22232" xr:uid="{8A2E5A02-8533-43F8-AD34-584FB9592BDA}"/>
    <cellStyle name="Percent 10 2 4 3 9" xfId="22233" xr:uid="{281F91C4-6A72-4B3B-923E-6364ADDF871E}"/>
    <cellStyle name="Percent 10 2 4 4" xfId="22234" xr:uid="{DEBC9780-13B1-4398-AB50-7A7304D1F1AF}"/>
    <cellStyle name="Percent 10 2 4 4 2" xfId="22235" xr:uid="{CC9163B8-8086-4AE6-BE83-0A42C79D6405}"/>
    <cellStyle name="Percent 10 2 4 4 2 2" xfId="22236" xr:uid="{2F54BC41-7CB9-4DEC-BA91-938773E25573}"/>
    <cellStyle name="Percent 10 2 4 4 3" xfId="22237" xr:uid="{E304882C-9999-4283-B4E3-15F9EDFF6867}"/>
    <cellStyle name="Percent 10 2 4 4 3 2" xfId="22238" xr:uid="{FFE16171-C4E0-4BBD-9C3F-8A2A42CD6F86}"/>
    <cellStyle name="Percent 10 2 4 4 4" xfId="22239" xr:uid="{72252CB7-CBC2-49E7-A9DC-BAEA49B163A6}"/>
    <cellStyle name="Percent 10 2 4 4 4 2" xfId="22240" xr:uid="{F03FBBA1-06DE-45A6-A068-A809B637B746}"/>
    <cellStyle name="Percent 10 2 4 4 5" xfId="22241" xr:uid="{EDCDA5D4-E804-4ACE-BE34-E72E96F95D00}"/>
    <cellStyle name="Percent 10 2 4 5" xfId="22242" xr:uid="{FB9D1FA9-786A-40FE-9B22-AEC9BB4F73D0}"/>
    <cellStyle name="Percent 10 2 4 5 2" xfId="22243" xr:uid="{AB4B51E3-F070-4EE9-8040-D23FC4EB48AF}"/>
    <cellStyle name="Percent 10 2 4 5 2 2" xfId="22244" xr:uid="{7F233AFB-3C84-42F1-B849-8F73B983DB91}"/>
    <cellStyle name="Percent 10 2 4 5 3" xfId="22245" xr:uid="{47EC6756-31ED-4BE0-8CE8-8A2D3BD754BE}"/>
    <cellStyle name="Percent 10 2 4 5 3 2" xfId="22246" xr:uid="{473DA461-7065-49BB-9414-C0C22C2F19D4}"/>
    <cellStyle name="Percent 10 2 4 5 4" xfId="22247" xr:uid="{AC97B0CB-DE00-451F-811F-C9ED75448029}"/>
    <cellStyle name="Percent 10 2 4 5 4 2" xfId="22248" xr:uid="{526BD556-E9ED-44C6-993D-A210C40EC89D}"/>
    <cellStyle name="Percent 10 2 4 5 5" xfId="22249" xr:uid="{DF904400-73C8-4B97-AE5B-25E575EBC177}"/>
    <cellStyle name="Percent 10 2 4 6" xfId="22250" xr:uid="{78A49AD6-C085-413E-8C83-B6538CF75F3D}"/>
    <cellStyle name="Percent 10 2 4 6 2" xfId="22251" xr:uid="{0D8866E2-4327-48B8-BDB6-AFB0C0B000AA}"/>
    <cellStyle name="Percent 10 2 4 7" xfId="22252" xr:uid="{BEA4257A-7FEF-4776-A7AC-493FFB4E1994}"/>
    <cellStyle name="Percent 10 2 4 7 2" xfId="22253" xr:uid="{681261A2-0CCC-46D5-AE0D-13089E24442A}"/>
    <cellStyle name="Percent 10 2 4 8" xfId="22254" xr:uid="{78C04093-ABCB-49F4-9C06-1CF4E28A8A8C}"/>
    <cellStyle name="Percent 10 2 4 8 2" xfId="22255" xr:uid="{A3E177F3-771C-4872-8CEE-FD954F34EF6E}"/>
    <cellStyle name="Percent 10 2 4 9" xfId="22256" xr:uid="{4CB9C299-5812-4B34-A49C-C0633C557E70}"/>
    <cellStyle name="Percent 10 2 4 9 2" xfId="22257" xr:uid="{F2BE7E7D-D438-4908-8868-570D19071387}"/>
    <cellStyle name="Percent 10 2 5" xfId="22258" xr:uid="{085AC009-AF98-4D08-A8DC-A24FD2E103C3}"/>
    <cellStyle name="Percent 10 2 5 10" xfId="22259" xr:uid="{1CAE14F7-805A-4710-B1C6-183CE430645F}"/>
    <cellStyle name="Percent 10 2 5 10 2" xfId="22260" xr:uid="{90B6602E-CD3C-46D2-9F61-D1C63272E0AA}"/>
    <cellStyle name="Percent 10 2 5 11" xfId="22261" xr:uid="{AC838DDA-E2FD-415F-82F1-584F8B3EF349}"/>
    <cellStyle name="Percent 10 2 5 2" xfId="22262" xr:uid="{D104A235-E779-4F2C-8848-6816C8393C52}"/>
    <cellStyle name="Percent 10 2 5 2 10" xfId="22263" xr:uid="{A720E22D-3FEE-450B-AFAF-25DE6DB75D3C}"/>
    <cellStyle name="Percent 10 2 5 2 2" xfId="22264" xr:uid="{B57A330D-009C-4BCB-BB99-88D4517BE274}"/>
    <cellStyle name="Percent 10 2 5 2 2 2" xfId="22265" xr:uid="{F5BE6A41-ACF5-4991-895B-848A3C34B749}"/>
    <cellStyle name="Percent 10 2 5 2 2 2 2" xfId="22266" xr:uid="{2B14A709-56ED-4C3B-9AD8-646CBBDDE387}"/>
    <cellStyle name="Percent 10 2 5 2 2 2 2 2" xfId="22267" xr:uid="{8CFA0338-1977-4435-A3FA-8C0787573D9F}"/>
    <cellStyle name="Percent 10 2 5 2 2 2 3" xfId="22268" xr:uid="{19DBEB9C-59A1-4325-9027-AE07A8EA48EC}"/>
    <cellStyle name="Percent 10 2 5 2 2 2 3 2" xfId="22269" xr:uid="{B7F2DF9F-1A9F-40E8-AAA9-AE2826DD5507}"/>
    <cellStyle name="Percent 10 2 5 2 2 2 4" xfId="22270" xr:uid="{ACA7D681-43A5-4BE1-84A4-C8D3E43D500A}"/>
    <cellStyle name="Percent 10 2 5 2 2 2 4 2" xfId="22271" xr:uid="{3A409391-DE51-4D95-B64E-DA2D73937907}"/>
    <cellStyle name="Percent 10 2 5 2 2 2 5" xfId="22272" xr:uid="{6A9C8732-B86B-4F65-9721-780A2EF9D613}"/>
    <cellStyle name="Percent 10 2 5 2 2 3" xfId="22273" xr:uid="{5CC0645B-3338-4B8A-A0F2-B27ECC39D22C}"/>
    <cellStyle name="Percent 10 2 5 2 2 3 2" xfId="22274" xr:uid="{8005AB1C-F949-42C3-9F17-30A91C934FF6}"/>
    <cellStyle name="Percent 10 2 5 2 2 3 2 2" xfId="22275" xr:uid="{42495699-97AF-4136-9D28-7621F2DD8298}"/>
    <cellStyle name="Percent 10 2 5 2 2 3 3" xfId="22276" xr:uid="{3EFAC1AC-8C1F-4564-AB0D-FDE078A0E64E}"/>
    <cellStyle name="Percent 10 2 5 2 2 3 3 2" xfId="22277" xr:uid="{531ABC3C-0B38-484B-84DA-9EAC70D6BFCD}"/>
    <cellStyle name="Percent 10 2 5 2 2 3 4" xfId="22278" xr:uid="{44FE6854-6A3B-4D2C-9DEC-2AA0BC517E36}"/>
    <cellStyle name="Percent 10 2 5 2 2 3 4 2" xfId="22279" xr:uid="{CBB71222-2F81-4062-9BEF-85B2F1433C5D}"/>
    <cellStyle name="Percent 10 2 5 2 2 3 5" xfId="22280" xr:uid="{EA6F0C9B-5C07-490D-92B6-4163C6D48886}"/>
    <cellStyle name="Percent 10 2 5 2 2 4" xfId="22281" xr:uid="{D0639922-7989-4506-8E89-913ECF5A1A05}"/>
    <cellStyle name="Percent 10 2 5 2 2 4 2" xfId="22282" xr:uid="{9DA153AB-D992-4DD3-9C8E-6CE0A0C74B93}"/>
    <cellStyle name="Percent 10 2 5 2 2 5" xfId="22283" xr:uid="{92FE0ED3-CC00-4C11-98F4-EBAA08A7009C}"/>
    <cellStyle name="Percent 10 2 5 2 2 5 2" xfId="22284" xr:uid="{5C4D690F-C4CB-4B3D-86EB-7C5AB4F8ADF0}"/>
    <cellStyle name="Percent 10 2 5 2 2 6" xfId="22285" xr:uid="{4618CF14-ECAC-4DD6-8071-2F364720EB1C}"/>
    <cellStyle name="Percent 10 2 5 2 2 6 2" xfId="22286" xr:uid="{A0257640-78BA-43BB-B590-024D5645E586}"/>
    <cellStyle name="Percent 10 2 5 2 2 7" xfId="22287" xr:uid="{9A0F07DF-18F8-4740-BB47-0E29AF2F7D0A}"/>
    <cellStyle name="Percent 10 2 5 2 2 7 2" xfId="22288" xr:uid="{53D6693E-822C-4264-A9CD-6F5F96B03496}"/>
    <cellStyle name="Percent 10 2 5 2 2 8" xfId="22289" xr:uid="{3E47B109-6943-4DFD-BB52-E9F8E1C4E477}"/>
    <cellStyle name="Percent 10 2 5 2 2 8 2" xfId="22290" xr:uid="{E4ACA95C-090E-4AF9-9651-D97DD5F29DC0}"/>
    <cellStyle name="Percent 10 2 5 2 2 9" xfId="22291" xr:uid="{84FDB27D-3CA0-4E3F-9963-A0F4892D993D}"/>
    <cellStyle name="Percent 10 2 5 2 3" xfId="22292" xr:uid="{90BB925B-5F0A-4993-B755-060842486FAC}"/>
    <cellStyle name="Percent 10 2 5 2 3 2" xfId="22293" xr:uid="{7CDA0ED5-7B55-47F0-BEDE-AA5FA01CCB4B}"/>
    <cellStyle name="Percent 10 2 5 2 3 2 2" xfId="22294" xr:uid="{F79B9B25-4759-463C-8FEA-57D4141C1119}"/>
    <cellStyle name="Percent 10 2 5 2 3 3" xfId="22295" xr:uid="{C08271E6-F859-4856-BACF-C23487C9275F}"/>
    <cellStyle name="Percent 10 2 5 2 3 3 2" xfId="22296" xr:uid="{46F2E2B3-B36F-4353-BFD7-226FEA249C25}"/>
    <cellStyle name="Percent 10 2 5 2 3 4" xfId="22297" xr:uid="{06DC2662-2169-42B6-8635-8FFA223F7B27}"/>
    <cellStyle name="Percent 10 2 5 2 3 4 2" xfId="22298" xr:uid="{6F2B4EDF-611D-4F51-8995-59E27BC68B89}"/>
    <cellStyle name="Percent 10 2 5 2 3 5" xfId="22299" xr:uid="{B4B21B2E-3C70-4485-808E-8683922ADBF6}"/>
    <cellStyle name="Percent 10 2 5 2 4" xfId="22300" xr:uid="{24EF3B2A-CC50-499F-AB74-65D764E30D3D}"/>
    <cellStyle name="Percent 10 2 5 2 4 2" xfId="22301" xr:uid="{62660F31-5509-4D75-9E56-702839C2808C}"/>
    <cellStyle name="Percent 10 2 5 2 4 2 2" xfId="22302" xr:uid="{33CC6603-EE63-40E8-9B14-831BE5483908}"/>
    <cellStyle name="Percent 10 2 5 2 4 3" xfId="22303" xr:uid="{F675B247-A761-4208-8B54-3CDCE63D8BD1}"/>
    <cellStyle name="Percent 10 2 5 2 4 3 2" xfId="22304" xr:uid="{8BCFBC24-B08B-4A30-8A34-4ADFA2C086F3}"/>
    <cellStyle name="Percent 10 2 5 2 4 4" xfId="22305" xr:uid="{1D19EBD2-FAEC-445E-AAC3-C310F56CCFC2}"/>
    <cellStyle name="Percent 10 2 5 2 4 4 2" xfId="22306" xr:uid="{5FA674C9-AE8D-482F-84B3-FC0B1634EC44}"/>
    <cellStyle name="Percent 10 2 5 2 4 5" xfId="22307" xr:uid="{CF7D62BD-5601-4371-81BE-6282D53C9982}"/>
    <cellStyle name="Percent 10 2 5 2 5" xfId="22308" xr:uid="{1C779DE5-3AB3-446D-8CB0-1712FC07F42D}"/>
    <cellStyle name="Percent 10 2 5 2 5 2" xfId="22309" xr:uid="{C336DAE1-C720-4A2A-BC2F-A6E683A3D2AC}"/>
    <cellStyle name="Percent 10 2 5 2 6" xfId="22310" xr:uid="{648A96EA-1E5E-4741-839D-F300E4F20A41}"/>
    <cellStyle name="Percent 10 2 5 2 6 2" xfId="22311" xr:uid="{2CFD893D-C0F3-4770-A154-49CDB1D1ABAE}"/>
    <cellStyle name="Percent 10 2 5 2 7" xfId="22312" xr:uid="{B022C282-6D12-488C-9A97-FB7ED7E389A8}"/>
    <cellStyle name="Percent 10 2 5 2 7 2" xfId="22313" xr:uid="{27F868BB-A3F2-4882-A3E0-70EB7B919A65}"/>
    <cellStyle name="Percent 10 2 5 2 8" xfId="22314" xr:uid="{A1743201-B65E-4AF9-A089-3FC402AF6D38}"/>
    <cellStyle name="Percent 10 2 5 2 8 2" xfId="22315" xr:uid="{B5BE694B-D2C3-46C0-8627-BB308E8C92BB}"/>
    <cellStyle name="Percent 10 2 5 2 9" xfId="22316" xr:uid="{727C66C6-F32B-4390-9A81-6F45C5016E72}"/>
    <cellStyle name="Percent 10 2 5 2 9 2" xfId="22317" xr:uid="{20350380-27B3-4D1C-A01B-5065A16BB7FC}"/>
    <cellStyle name="Percent 10 2 5 3" xfId="22318" xr:uid="{B2B64E1B-0503-4BC0-A24A-D95D0FE73CCD}"/>
    <cellStyle name="Percent 10 2 5 3 2" xfId="22319" xr:uid="{0B760D26-19BC-42FD-BE3B-6A73B09671F9}"/>
    <cellStyle name="Percent 10 2 5 3 2 2" xfId="22320" xr:uid="{8EDDD923-7756-486F-B3D2-B01C491EFA82}"/>
    <cellStyle name="Percent 10 2 5 3 2 2 2" xfId="22321" xr:uid="{ABBD22F0-DDDD-430A-9493-0A32ACA9A4DA}"/>
    <cellStyle name="Percent 10 2 5 3 2 3" xfId="22322" xr:uid="{D9025AB3-E20A-4438-9948-5924BD845A91}"/>
    <cellStyle name="Percent 10 2 5 3 2 3 2" xfId="22323" xr:uid="{E4B61A58-BAF6-471C-A7E9-4E8B5CCDF25F}"/>
    <cellStyle name="Percent 10 2 5 3 2 4" xfId="22324" xr:uid="{FB880088-81E5-4D10-BE9A-F15EE1EBCC8F}"/>
    <cellStyle name="Percent 10 2 5 3 2 4 2" xfId="22325" xr:uid="{AA91D183-B4A6-489B-8D45-462B9F41F254}"/>
    <cellStyle name="Percent 10 2 5 3 2 5" xfId="22326" xr:uid="{11FC1439-2886-4C56-9484-2C07432C9B74}"/>
    <cellStyle name="Percent 10 2 5 3 3" xfId="22327" xr:uid="{8B4103BF-B132-4A08-B8F0-A385AB6EE620}"/>
    <cellStyle name="Percent 10 2 5 3 3 2" xfId="22328" xr:uid="{0D87BF65-726F-4713-B9DB-05DE747DF455}"/>
    <cellStyle name="Percent 10 2 5 3 3 2 2" xfId="22329" xr:uid="{01A36A9E-5FEC-48CD-82BF-A4904EF9C1AD}"/>
    <cellStyle name="Percent 10 2 5 3 3 3" xfId="22330" xr:uid="{6192992F-EDEA-450D-A933-AF83848E6A10}"/>
    <cellStyle name="Percent 10 2 5 3 3 3 2" xfId="22331" xr:uid="{F64DCFB8-1F97-4396-AC54-BE9125420B97}"/>
    <cellStyle name="Percent 10 2 5 3 3 4" xfId="22332" xr:uid="{83137410-3ED0-4D60-9C1C-790D8BE5AAFE}"/>
    <cellStyle name="Percent 10 2 5 3 3 4 2" xfId="22333" xr:uid="{C454E416-6D87-4B79-9C7B-51E6AF14151D}"/>
    <cellStyle name="Percent 10 2 5 3 3 5" xfId="22334" xr:uid="{CD46DCD5-1F0A-49B2-B081-C4C686719199}"/>
    <cellStyle name="Percent 10 2 5 3 4" xfId="22335" xr:uid="{C1EF253E-2CD1-4F9B-8590-C9F42DB87E11}"/>
    <cellStyle name="Percent 10 2 5 3 4 2" xfId="22336" xr:uid="{7D76B871-EADE-4428-AD06-3787A7CC0CAF}"/>
    <cellStyle name="Percent 10 2 5 3 5" xfId="22337" xr:uid="{8DD64B39-9E65-4419-8A79-7FD60BE9365B}"/>
    <cellStyle name="Percent 10 2 5 3 5 2" xfId="22338" xr:uid="{C04C1B56-D289-46D3-A9DC-03D4333DA654}"/>
    <cellStyle name="Percent 10 2 5 3 6" xfId="22339" xr:uid="{D9841CC8-BAFC-4364-8D1E-849434F08CC7}"/>
    <cellStyle name="Percent 10 2 5 3 6 2" xfId="22340" xr:uid="{09FFF49F-15F9-498E-A564-90EE815F8103}"/>
    <cellStyle name="Percent 10 2 5 3 7" xfId="22341" xr:uid="{9987D9F5-2759-4C83-A33E-AD407EF07E41}"/>
    <cellStyle name="Percent 10 2 5 3 7 2" xfId="22342" xr:uid="{42BF0F35-F994-4936-81A1-0E32C253477F}"/>
    <cellStyle name="Percent 10 2 5 3 8" xfId="22343" xr:uid="{33F5D511-0B85-4ECD-B371-D2FD36120F41}"/>
    <cellStyle name="Percent 10 2 5 3 8 2" xfId="22344" xr:uid="{3FC82D75-31E7-48F2-919A-EA9A378FD529}"/>
    <cellStyle name="Percent 10 2 5 3 9" xfId="22345" xr:uid="{6C5A003C-948F-4648-8049-5E5033BC5C77}"/>
    <cellStyle name="Percent 10 2 5 4" xfId="22346" xr:uid="{EF5ECCC6-F2B5-474D-9978-64E716DE49F6}"/>
    <cellStyle name="Percent 10 2 5 4 2" xfId="22347" xr:uid="{4DC588F3-113B-4C00-A2AD-31C718736466}"/>
    <cellStyle name="Percent 10 2 5 4 2 2" xfId="22348" xr:uid="{DBAC6B2B-E48C-400B-BF9A-9B29DB9F9FC4}"/>
    <cellStyle name="Percent 10 2 5 4 3" xfId="22349" xr:uid="{23DC4C9A-41E1-483B-93FA-1ABD6D65E117}"/>
    <cellStyle name="Percent 10 2 5 4 3 2" xfId="22350" xr:uid="{ECCF5448-577B-4F01-90EA-D064C4931FA6}"/>
    <cellStyle name="Percent 10 2 5 4 4" xfId="22351" xr:uid="{C8000D1A-730C-4824-AFC9-7026A1C102F2}"/>
    <cellStyle name="Percent 10 2 5 4 4 2" xfId="22352" xr:uid="{BE3D8AFC-C315-42CD-878E-B863EA98BFC6}"/>
    <cellStyle name="Percent 10 2 5 4 5" xfId="22353" xr:uid="{4F42AB8D-F267-4EB5-91F8-C7A5CD5D50DA}"/>
    <cellStyle name="Percent 10 2 5 5" xfId="22354" xr:uid="{5E285C7F-1EDA-42DD-9AE7-B2663787280F}"/>
    <cellStyle name="Percent 10 2 5 5 2" xfId="22355" xr:uid="{307C0EE9-5EFB-409D-B854-DBCC2B03DC54}"/>
    <cellStyle name="Percent 10 2 5 5 2 2" xfId="22356" xr:uid="{51E08088-DA9B-41C2-8453-8789D50AD19B}"/>
    <cellStyle name="Percent 10 2 5 5 3" xfId="22357" xr:uid="{1688C653-86D8-44ED-849D-0F8702AC4942}"/>
    <cellStyle name="Percent 10 2 5 5 3 2" xfId="22358" xr:uid="{98F68FCC-98DF-44B0-AB3C-3C0C7206613F}"/>
    <cellStyle name="Percent 10 2 5 5 4" xfId="22359" xr:uid="{C13CC697-002B-4A9D-ACAD-B566DC0CEB63}"/>
    <cellStyle name="Percent 10 2 5 5 4 2" xfId="22360" xr:uid="{26BE4E11-90AC-4E3D-BDA1-602096B9D6E6}"/>
    <cellStyle name="Percent 10 2 5 5 5" xfId="22361" xr:uid="{908ED4B5-048C-4D9D-BCA5-D2E7AB719D95}"/>
    <cellStyle name="Percent 10 2 5 6" xfId="22362" xr:uid="{9AAE36AF-218D-48BD-91DB-ECBF21869F2D}"/>
    <cellStyle name="Percent 10 2 5 6 2" xfId="22363" xr:uid="{822930D1-DE70-4B2D-9B01-31AA7E4D504D}"/>
    <cellStyle name="Percent 10 2 5 7" xfId="22364" xr:uid="{6F66CC52-A220-4D27-A956-99F05D94BFE3}"/>
    <cellStyle name="Percent 10 2 5 7 2" xfId="22365" xr:uid="{5EEE4606-27E4-43E6-858A-49467DC6D3CE}"/>
    <cellStyle name="Percent 10 2 5 8" xfId="22366" xr:uid="{8E4BCAF0-9E5E-45A1-A8CE-13734E6A5827}"/>
    <cellStyle name="Percent 10 2 5 8 2" xfId="22367" xr:uid="{02F75D96-3939-4D8B-96F7-EA0FC046347D}"/>
    <cellStyle name="Percent 10 2 5 9" xfId="22368" xr:uid="{2622E1E1-A9D7-4AE2-8390-C05C26E2BCCE}"/>
    <cellStyle name="Percent 10 2 5 9 2" xfId="22369" xr:uid="{F799668A-ED7F-4721-94DC-EF00F00EEBED}"/>
    <cellStyle name="Percent 10 2 6" xfId="22370" xr:uid="{F6FDD6A4-8F05-4C83-8B91-7AD2D5DBA56E}"/>
    <cellStyle name="Percent 10 2 6 10" xfId="22371" xr:uid="{CA127F1F-2A51-43A4-88BF-27F154B0D629}"/>
    <cellStyle name="Percent 10 2 6 2" xfId="22372" xr:uid="{9906646C-E7A9-48C8-A37C-D883FB6E56B2}"/>
    <cellStyle name="Percent 10 2 6 2 2" xfId="22373" xr:uid="{3E3C809C-03B4-459A-A44F-F98B411DEC0F}"/>
    <cellStyle name="Percent 10 2 6 2 2 2" xfId="22374" xr:uid="{BC4BD181-94E4-4A60-B1A6-2246AE92D7B9}"/>
    <cellStyle name="Percent 10 2 6 2 2 2 2" xfId="22375" xr:uid="{ABBF44EC-B05E-4EF0-8463-C941ED9AB944}"/>
    <cellStyle name="Percent 10 2 6 2 2 3" xfId="22376" xr:uid="{354F4DA6-B781-4EC3-AD8C-06A3D0517895}"/>
    <cellStyle name="Percent 10 2 6 2 2 3 2" xfId="22377" xr:uid="{67FA0A8F-9B4A-4487-8E7F-B832E89D5E75}"/>
    <cellStyle name="Percent 10 2 6 2 2 4" xfId="22378" xr:uid="{CCDEB0F6-5267-4913-A846-6F0024D73C59}"/>
    <cellStyle name="Percent 10 2 6 2 2 4 2" xfId="22379" xr:uid="{1A4F82A3-034F-4B30-AFE9-F3BAC83F7044}"/>
    <cellStyle name="Percent 10 2 6 2 2 5" xfId="22380" xr:uid="{915E0278-7847-473C-8102-10920FCDEC64}"/>
    <cellStyle name="Percent 10 2 6 2 3" xfId="22381" xr:uid="{5E95F609-2A35-434D-9607-5A8D9D253E5E}"/>
    <cellStyle name="Percent 10 2 6 2 3 2" xfId="22382" xr:uid="{A8080136-AFDB-49B6-9E20-A7DB4A6BA81F}"/>
    <cellStyle name="Percent 10 2 6 2 3 2 2" xfId="22383" xr:uid="{91D3D2EA-1D25-457C-ABCD-95A271024D83}"/>
    <cellStyle name="Percent 10 2 6 2 3 3" xfId="22384" xr:uid="{CF85D156-A60A-40FB-BF45-49383971A36E}"/>
    <cellStyle name="Percent 10 2 6 2 3 3 2" xfId="22385" xr:uid="{6F2E8CBA-8BC0-4A98-A211-E8F45929466D}"/>
    <cellStyle name="Percent 10 2 6 2 3 4" xfId="22386" xr:uid="{96E5FA96-D98B-48E8-81B8-8B27C91F21EC}"/>
    <cellStyle name="Percent 10 2 6 2 3 4 2" xfId="22387" xr:uid="{549140D9-F994-4068-8E00-C5946A49E52B}"/>
    <cellStyle name="Percent 10 2 6 2 3 5" xfId="22388" xr:uid="{FB624ED6-12EF-49C5-A567-EE53CD23C1EB}"/>
    <cellStyle name="Percent 10 2 6 2 4" xfId="22389" xr:uid="{7D0684C1-4DF1-4500-93D2-F0878E17CDD2}"/>
    <cellStyle name="Percent 10 2 6 2 4 2" xfId="22390" xr:uid="{624A03ED-CCB0-4F1D-8552-A1707F960059}"/>
    <cellStyle name="Percent 10 2 6 2 5" xfId="22391" xr:uid="{DA237374-926F-440B-BB84-8486D8D94B65}"/>
    <cellStyle name="Percent 10 2 6 2 5 2" xfId="22392" xr:uid="{6DABEC45-8FA4-4CBE-851A-861C92A58D14}"/>
    <cellStyle name="Percent 10 2 6 2 6" xfId="22393" xr:uid="{7314B852-332E-46BB-AC6F-496289DFFB1C}"/>
    <cellStyle name="Percent 10 2 6 2 6 2" xfId="22394" xr:uid="{18D5B31A-E237-4EEF-BB3D-040EDD7F899E}"/>
    <cellStyle name="Percent 10 2 6 2 7" xfId="22395" xr:uid="{9D67654A-66BE-4456-BE44-1E6C09FE76B7}"/>
    <cellStyle name="Percent 10 2 6 2 7 2" xfId="22396" xr:uid="{0F4370A4-7B82-46DD-B06E-A94F3E627742}"/>
    <cellStyle name="Percent 10 2 6 2 8" xfId="22397" xr:uid="{4423F180-2DAA-4553-BE15-6BDDC83A750D}"/>
    <cellStyle name="Percent 10 2 6 2 8 2" xfId="22398" xr:uid="{1286E77C-55F1-4F7F-9281-8598A1041159}"/>
    <cellStyle name="Percent 10 2 6 2 9" xfId="22399" xr:uid="{5FEE3F2C-6043-4652-A626-A236B0B7BF81}"/>
    <cellStyle name="Percent 10 2 6 3" xfId="22400" xr:uid="{5E6E23DD-03BE-40B3-A975-7F5272CBE78E}"/>
    <cellStyle name="Percent 10 2 6 3 2" xfId="22401" xr:uid="{42A3B0AA-46B2-42A2-A4FE-D92BECE61D59}"/>
    <cellStyle name="Percent 10 2 6 3 2 2" xfId="22402" xr:uid="{4C119A7F-DACC-4414-9C15-2F6BF2BB3D37}"/>
    <cellStyle name="Percent 10 2 6 3 3" xfId="22403" xr:uid="{5C83ADF4-824D-4908-850F-BEC77E36EAFC}"/>
    <cellStyle name="Percent 10 2 6 3 3 2" xfId="22404" xr:uid="{CF71C84D-8DBC-4111-8CC1-E34C23711729}"/>
    <cellStyle name="Percent 10 2 6 3 4" xfId="22405" xr:uid="{A81EDE3F-D74B-4A27-9410-D4073F51209A}"/>
    <cellStyle name="Percent 10 2 6 3 4 2" xfId="22406" xr:uid="{CA897B02-21D4-4D69-B923-34F82F754BBC}"/>
    <cellStyle name="Percent 10 2 6 3 5" xfId="22407" xr:uid="{46A8E135-1B52-41C2-A8DB-A74154E06FBF}"/>
    <cellStyle name="Percent 10 2 6 4" xfId="22408" xr:uid="{0CED2344-985D-4721-84C5-919F5B58C025}"/>
    <cellStyle name="Percent 10 2 6 4 2" xfId="22409" xr:uid="{17AD9739-E42A-4F32-A438-5F6E19DB1275}"/>
    <cellStyle name="Percent 10 2 6 4 2 2" xfId="22410" xr:uid="{AC2389A8-2B73-47B2-BD1B-1294593EC49B}"/>
    <cellStyle name="Percent 10 2 6 4 3" xfId="22411" xr:uid="{F20931C3-505A-43B4-96B4-2D5E1B76E864}"/>
    <cellStyle name="Percent 10 2 6 4 3 2" xfId="22412" xr:uid="{C29FF6AB-1EE1-4CA8-9529-1B0514FFCDDF}"/>
    <cellStyle name="Percent 10 2 6 4 4" xfId="22413" xr:uid="{E8A5046C-719B-421A-AD8F-97803B92A8CF}"/>
    <cellStyle name="Percent 10 2 6 4 4 2" xfId="22414" xr:uid="{C66221C3-8F13-42CC-8F27-856F4F198EE8}"/>
    <cellStyle name="Percent 10 2 6 4 5" xfId="22415" xr:uid="{B1A5B4FC-C05D-4C5A-BDB6-F7D4BD8DAC76}"/>
    <cellStyle name="Percent 10 2 6 5" xfId="22416" xr:uid="{4EFF8988-2AB7-485C-B23D-1A9B77D5CD2C}"/>
    <cellStyle name="Percent 10 2 6 5 2" xfId="22417" xr:uid="{61350262-129D-4EA1-AB77-BAB4433F0E3D}"/>
    <cellStyle name="Percent 10 2 6 6" xfId="22418" xr:uid="{A56C6A92-3D06-4BED-9960-BEB44017013C}"/>
    <cellStyle name="Percent 10 2 6 6 2" xfId="22419" xr:uid="{AD47E813-4BB2-4229-B36E-FDA920280449}"/>
    <cellStyle name="Percent 10 2 6 7" xfId="22420" xr:uid="{4AD08787-F6B4-4124-B803-5BAA8D982C7C}"/>
    <cellStyle name="Percent 10 2 6 7 2" xfId="22421" xr:uid="{199B598F-F268-4C9C-BF70-007A90E592ED}"/>
    <cellStyle name="Percent 10 2 6 8" xfId="22422" xr:uid="{D0B46723-FDE2-475E-819B-B067000F1172}"/>
    <cellStyle name="Percent 10 2 6 8 2" xfId="22423" xr:uid="{9ECF3D3E-F7B8-4F81-A14A-AF498BC543D5}"/>
    <cellStyle name="Percent 10 2 6 9" xfId="22424" xr:uid="{9412C0EB-A269-4E30-BDF3-632E4EEF5760}"/>
    <cellStyle name="Percent 10 2 6 9 2" xfId="22425" xr:uid="{ACD2EA2C-2418-4FC9-BD08-7649FBFF407C}"/>
    <cellStyle name="Percent 10 2 7" xfId="22426" xr:uid="{FD100BE6-6C0C-447C-8754-C782B6E0277C}"/>
    <cellStyle name="Percent 10 2 7 2" xfId="22427" xr:uid="{8FF47C19-5C6D-4AAC-B927-78449BC50D7B}"/>
    <cellStyle name="Percent 10 2 7 2 2" xfId="22428" xr:uid="{B119D497-9A56-4681-B13E-35381891C6D0}"/>
    <cellStyle name="Percent 10 2 7 2 2 2" xfId="22429" xr:uid="{72DC0453-DBF3-4239-BBA5-1E8C3609B202}"/>
    <cellStyle name="Percent 10 2 7 2 3" xfId="22430" xr:uid="{573B6883-FC72-4D2B-B4EB-B1C8DB4F2796}"/>
    <cellStyle name="Percent 10 2 7 2 3 2" xfId="22431" xr:uid="{2B166673-6532-4943-81B8-6137482C65BC}"/>
    <cellStyle name="Percent 10 2 7 2 4" xfId="22432" xr:uid="{A6E55FD0-6CB9-45C4-894B-799ED3BF6B1F}"/>
    <cellStyle name="Percent 10 2 7 2 4 2" xfId="22433" xr:uid="{F6BF522C-2113-4A2E-9C71-173D3EBF8B24}"/>
    <cellStyle name="Percent 10 2 7 2 5" xfId="22434" xr:uid="{02A77450-6C84-477B-939A-F3FE80270FE3}"/>
    <cellStyle name="Percent 10 2 7 3" xfId="22435" xr:uid="{1D80B025-EA69-483E-AC50-C7D943AD603D}"/>
    <cellStyle name="Percent 10 2 7 3 2" xfId="22436" xr:uid="{5FB8FA18-F525-417A-AA04-183D239BADCA}"/>
    <cellStyle name="Percent 10 2 7 3 2 2" xfId="22437" xr:uid="{B0AA3C7B-5215-4A5E-8FE0-372560F1E9A6}"/>
    <cellStyle name="Percent 10 2 7 3 3" xfId="22438" xr:uid="{A137302D-25F1-4862-AD62-9334481B0053}"/>
    <cellStyle name="Percent 10 2 7 3 3 2" xfId="22439" xr:uid="{8A5B0C2D-A049-4984-8578-782CBF276EAE}"/>
    <cellStyle name="Percent 10 2 7 3 4" xfId="22440" xr:uid="{532444F1-9D0B-4FD8-B9B5-8F1FAE812C50}"/>
    <cellStyle name="Percent 10 2 7 3 4 2" xfId="22441" xr:uid="{97366917-E783-4E72-9584-CC26FA5B379F}"/>
    <cellStyle name="Percent 10 2 7 3 5" xfId="22442" xr:uid="{A89687A7-DD5E-4514-A794-FD83FF5B45E2}"/>
    <cellStyle name="Percent 10 2 7 4" xfId="22443" xr:uid="{93DC5F85-5CA1-4E7F-BCB5-6A35C2DEEDB2}"/>
    <cellStyle name="Percent 10 2 7 4 2" xfId="22444" xr:uid="{F5B003A4-2BFD-481F-B402-7F7779A0CF3A}"/>
    <cellStyle name="Percent 10 2 7 5" xfId="22445" xr:uid="{37351DCC-0CD4-4F24-BC76-714020D569A3}"/>
    <cellStyle name="Percent 10 2 7 5 2" xfId="22446" xr:uid="{E84ADC7B-F224-4740-8F40-50C5E8AFF95C}"/>
    <cellStyle name="Percent 10 2 7 6" xfId="22447" xr:uid="{681F8441-4175-4672-9401-805FB61C4567}"/>
    <cellStyle name="Percent 10 2 7 6 2" xfId="22448" xr:uid="{DDAFE072-2AB7-4A30-934C-37483F276931}"/>
    <cellStyle name="Percent 10 2 7 7" xfId="22449" xr:uid="{84E67AD0-37DC-408A-AD82-135720C55430}"/>
    <cellStyle name="Percent 10 2 7 7 2" xfId="22450" xr:uid="{DC3AA239-8DDC-4E0D-96A1-3B5B4E9DD9A6}"/>
    <cellStyle name="Percent 10 2 7 8" xfId="22451" xr:uid="{2D03704B-4CD0-4C57-9250-28B48BF12884}"/>
    <cellStyle name="Percent 10 2 7 8 2" xfId="22452" xr:uid="{6D4B8F2A-23CE-4414-8F7C-F80993C166D8}"/>
    <cellStyle name="Percent 10 2 7 9" xfId="22453" xr:uid="{55568921-BFE2-4FE1-A6A9-301AA3155530}"/>
    <cellStyle name="Percent 10 2 8" xfId="22454" xr:uid="{98D374BE-879E-4339-AAB5-FFAB0AABC876}"/>
    <cellStyle name="Percent 10 2 8 2" xfId="22455" xr:uid="{66BFF146-68B3-4F22-A2EC-C1C6C5F0C987}"/>
    <cellStyle name="Percent 10 2 8 2 2" xfId="22456" xr:uid="{73DE7932-7FEB-4DE5-BC74-0C7F0333834F}"/>
    <cellStyle name="Percent 10 2 8 3" xfId="22457" xr:uid="{83F1400A-AA24-4C8E-A114-79E716ADFB9D}"/>
    <cellStyle name="Percent 10 2 8 3 2" xfId="22458" xr:uid="{6066BAD3-52DD-45F3-AFC4-371A2EFF56F4}"/>
    <cellStyle name="Percent 10 2 8 4" xfId="22459" xr:uid="{0318FAB4-F22B-4274-A8FE-635E7DD62718}"/>
    <cellStyle name="Percent 10 2 8 4 2" xfId="22460" xr:uid="{47611808-A00B-44B7-9A57-18F83B016F5B}"/>
    <cellStyle name="Percent 10 2 8 5" xfId="22461" xr:uid="{EF32989D-199D-4C96-B95B-F2CD690A225B}"/>
    <cellStyle name="Percent 10 2 9" xfId="22462" xr:uid="{0596B86C-A6D5-4715-B106-8F5E12893400}"/>
    <cellStyle name="Percent 10 2 9 2" xfId="22463" xr:uid="{DA209125-3B97-4602-B0BB-239957EF48E6}"/>
    <cellStyle name="Percent 10 2 9 2 2" xfId="22464" xr:uid="{E81C72EB-5F07-46A8-963C-71CD7CAC8406}"/>
    <cellStyle name="Percent 10 2 9 3" xfId="22465" xr:uid="{CAA37617-8546-486A-BC9B-D0B52C9FA686}"/>
    <cellStyle name="Percent 10 2 9 3 2" xfId="22466" xr:uid="{6BD0B088-13F3-4FA0-8ADA-565E88902160}"/>
    <cellStyle name="Percent 10 2 9 4" xfId="22467" xr:uid="{E1945737-AC18-4895-853D-D49069318D1F}"/>
    <cellStyle name="Percent 10 2 9 4 2" xfId="22468" xr:uid="{DA1803AE-1C8E-44DB-B77D-FB95CA920110}"/>
    <cellStyle name="Percent 10 2 9 5" xfId="22469" xr:uid="{E24CC9D0-1189-4DA0-A60D-CFE1B622AEBD}"/>
    <cellStyle name="Percent 10 20" xfId="22470" xr:uid="{F61D2C4E-2AAC-4466-9410-7688E49D9BCE}"/>
    <cellStyle name="Percent 10 20 2" xfId="22471" xr:uid="{376E82B8-47F9-4074-ACBA-ECF564DE6F30}"/>
    <cellStyle name="Percent 10 21" xfId="22472" xr:uid="{FD53B882-C47B-4A41-AB97-0A852C3FCBEE}"/>
    <cellStyle name="Percent 10 22" xfId="22473" xr:uid="{C6755579-EC10-4021-A54D-20B447A63A43}"/>
    <cellStyle name="Percent 10 23" xfId="22474" xr:uid="{A0075275-3836-4494-A01C-ACBC0F21033D}"/>
    <cellStyle name="Percent 10 26" xfId="43054" xr:uid="{BEFC2B97-A1BF-41CE-B123-EC807222226D}"/>
    <cellStyle name="Percent 10 3" xfId="22475" xr:uid="{C69D22A9-FEF1-431C-87CF-43C01990653D}"/>
    <cellStyle name="Percent 10 3 10" xfId="22476" xr:uid="{C4209D26-82E7-4E79-84C4-ABBA15D4482F}"/>
    <cellStyle name="Percent 10 3 10 2" xfId="22477" xr:uid="{D441B303-4A32-45AB-A8F8-40E0E91C24F6}"/>
    <cellStyle name="Percent 10 3 11" xfId="22478" xr:uid="{D1E598CA-54F7-4E7B-A88B-84E49025E12C}"/>
    <cellStyle name="Percent 10 3 11 2" xfId="22479" xr:uid="{CAA92914-A0CF-426F-BBD6-8FE96623867E}"/>
    <cellStyle name="Percent 10 3 12" xfId="22480" xr:uid="{8B9275C0-632D-4B5E-A318-AA5829986EC4}"/>
    <cellStyle name="Percent 10 3 12 2" xfId="22481" xr:uid="{E8D66D2F-C27C-4565-9BFF-CD1E8DFF6151}"/>
    <cellStyle name="Percent 10 3 13" xfId="22482" xr:uid="{78517C26-5161-4D1B-B106-7E2246105607}"/>
    <cellStyle name="Percent 10 3 13 2" xfId="22483" xr:uid="{63477B90-CA71-4A28-947B-DFE8AE5C146C}"/>
    <cellStyle name="Percent 10 3 14" xfId="22484" xr:uid="{2F1BB1D7-6813-46D6-8EA7-0FE98F780E3B}"/>
    <cellStyle name="Percent 10 3 14 2" xfId="22485" xr:uid="{B111D9A1-DD7C-4CCA-A1E6-8B82A941BC89}"/>
    <cellStyle name="Percent 10 3 15" xfId="22486" xr:uid="{31168F47-6E00-4B21-BA20-F0654103C6DB}"/>
    <cellStyle name="Percent 10 3 16" xfId="22487" xr:uid="{2D286998-6992-4B19-8354-F4A6089A3D50}"/>
    <cellStyle name="Percent 10 3 17" xfId="43055" xr:uid="{4CF1999D-16BF-4319-9685-2E7A30D5DBEC}"/>
    <cellStyle name="Percent 10 3 2" xfId="22488" xr:uid="{AF18E44C-B6AC-4210-B18D-D1C834F82D3A}"/>
    <cellStyle name="Percent 10 3 2 10" xfId="22489" xr:uid="{B2AE4A2C-C0F7-4FA5-8487-100329038D88}"/>
    <cellStyle name="Percent 10 3 2 10 2" xfId="22490" xr:uid="{230BA330-DCAE-45F2-BAA3-08956616C4C0}"/>
    <cellStyle name="Percent 10 3 2 11" xfId="22491" xr:uid="{10BA5D5C-6362-43F5-A633-51EAC7F309BB}"/>
    <cellStyle name="Percent 10 3 2 12" xfId="43056" xr:uid="{BDB17ACD-FF75-49D8-A9B8-BDC19DEFE925}"/>
    <cellStyle name="Percent 10 3 2 2" xfId="22492" xr:uid="{C1C7B5A2-17D7-4BA7-BC58-4113F388744F}"/>
    <cellStyle name="Percent 10 3 2 2 10" xfId="22493" xr:uid="{CD1D9ABF-0CFA-4C57-B1C2-209734404DA8}"/>
    <cellStyle name="Percent 10 3 2 2 2" xfId="22494" xr:uid="{F6974672-97C7-41CA-8BA3-DB7B99260B78}"/>
    <cellStyle name="Percent 10 3 2 2 2 2" xfId="22495" xr:uid="{5A45C97D-F3ED-4337-A612-567CB7A470BA}"/>
    <cellStyle name="Percent 10 3 2 2 2 2 2" xfId="22496" xr:uid="{E6B7DF2A-5ABC-4BC8-9A9C-B1EA1CD745C2}"/>
    <cellStyle name="Percent 10 3 2 2 2 2 2 2" xfId="22497" xr:uid="{0B77427C-9DDB-497A-BB1E-F1361AEDA3CD}"/>
    <cellStyle name="Percent 10 3 2 2 2 2 3" xfId="22498" xr:uid="{B13B483C-896A-4BD2-A5BC-3088AFE2F692}"/>
    <cellStyle name="Percent 10 3 2 2 2 2 3 2" xfId="22499" xr:uid="{D4E2E7B5-12EF-454C-959A-175161DE9C38}"/>
    <cellStyle name="Percent 10 3 2 2 2 2 4" xfId="22500" xr:uid="{C7955E36-895C-4984-AE6C-34C14DE26DF4}"/>
    <cellStyle name="Percent 10 3 2 2 2 2 4 2" xfId="22501" xr:uid="{45E69893-C3A8-45EF-A77D-CCA17BEC2A54}"/>
    <cellStyle name="Percent 10 3 2 2 2 2 5" xfId="22502" xr:uid="{0FC8C5E8-5B3C-4D76-A712-C041CABE6EED}"/>
    <cellStyle name="Percent 10 3 2 2 2 3" xfId="22503" xr:uid="{56EF782F-101C-4B75-B303-4DB677DF780F}"/>
    <cellStyle name="Percent 10 3 2 2 2 3 2" xfId="22504" xr:uid="{7F48962D-472B-4F9C-8433-12E9166A0F5C}"/>
    <cellStyle name="Percent 10 3 2 2 2 3 2 2" xfId="22505" xr:uid="{42950FB8-0464-4D0C-96E2-AB167D521CD6}"/>
    <cellStyle name="Percent 10 3 2 2 2 3 3" xfId="22506" xr:uid="{8AECD847-9366-43A0-98B1-939AC2905188}"/>
    <cellStyle name="Percent 10 3 2 2 2 3 3 2" xfId="22507" xr:uid="{C92F87F2-15F6-485A-A45B-1309E64C2DB5}"/>
    <cellStyle name="Percent 10 3 2 2 2 3 4" xfId="22508" xr:uid="{5441F849-FFBA-417D-9EB1-363CC61532F4}"/>
    <cellStyle name="Percent 10 3 2 2 2 3 4 2" xfId="22509" xr:uid="{1DC0AA88-AE30-499D-B7E1-C7BCE3183AC7}"/>
    <cellStyle name="Percent 10 3 2 2 2 3 5" xfId="22510" xr:uid="{C451ED51-D95C-4BFC-AE24-842B300B9868}"/>
    <cellStyle name="Percent 10 3 2 2 2 4" xfId="22511" xr:uid="{82396EBB-A405-4E74-8C2D-351E8245D18A}"/>
    <cellStyle name="Percent 10 3 2 2 2 4 2" xfId="22512" xr:uid="{83AEA9C6-4309-4EBC-B769-AE970936868F}"/>
    <cellStyle name="Percent 10 3 2 2 2 5" xfId="22513" xr:uid="{DBE0583C-452C-40F3-92C8-A608DCE3728F}"/>
    <cellStyle name="Percent 10 3 2 2 2 5 2" xfId="22514" xr:uid="{9BE9D1BC-97C9-4CA3-AEB7-B9CB2AF6DC2B}"/>
    <cellStyle name="Percent 10 3 2 2 2 6" xfId="22515" xr:uid="{C489D31F-FE49-4D18-87FB-8771A8688D34}"/>
    <cellStyle name="Percent 10 3 2 2 2 6 2" xfId="22516" xr:uid="{DB3B0590-0D8B-4FCE-B7EF-D534403BFF46}"/>
    <cellStyle name="Percent 10 3 2 2 2 7" xfId="22517" xr:uid="{F55895BA-D6B3-4B6B-99BF-CEC45C9E3003}"/>
    <cellStyle name="Percent 10 3 2 2 2 7 2" xfId="22518" xr:uid="{C4887ECB-25B0-4E29-8D05-2E4545F0C8D7}"/>
    <cellStyle name="Percent 10 3 2 2 2 8" xfId="22519" xr:uid="{1CAA4917-D96D-49A5-ABBA-6B4D6CD29245}"/>
    <cellStyle name="Percent 10 3 2 2 2 8 2" xfId="22520" xr:uid="{0538A4B4-348F-4067-A4BA-4C02CD3CAB6B}"/>
    <cellStyle name="Percent 10 3 2 2 2 9" xfId="22521" xr:uid="{76E90CFF-A901-4D84-92C3-7C1B782984FD}"/>
    <cellStyle name="Percent 10 3 2 2 3" xfId="22522" xr:uid="{CA36D09A-0E42-4F3E-ADD9-A5B55011070B}"/>
    <cellStyle name="Percent 10 3 2 2 3 2" xfId="22523" xr:uid="{E983078C-71E9-4D9D-82D7-A00386BDAA87}"/>
    <cellStyle name="Percent 10 3 2 2 3 2 2" xfId="22524" xr:uid="{E9A27614-0BEF-4068-97C8-320FE4DBDA45}"/>
    <cellStyle name="Percent 10 3 2 2 3 3" xfId="22525" xr:uid="{82DA9A7A-E3C5-49C8-B6B2-F4F2B708A33D}"/>
    <cellStyle name="Percent 10 3 2 2 3 3 2" xfId="22526" xr:uid="{E55BBF71-66F6-4D40-AC3C-E090AE9E1E82}"/>
    <cellStyle name="Percent 10 3 2 2 3 4" xfId="22527" xr:uid="{73B64596-44DE-4FEF-AFA9-3F893DF945A7}"/>
    <cellStyle name="Percent 10 3 2 2 3 4 2" xfId="22528" xr:uid="{BC72961D-8DF6-4ACD-BF12-F1543A477382}"/>
    <cellStyle name="Percent 10 3 2 2 3 5" xfId="22529" xr:uid="{9397F929-F689-44B3-B631-31EF8B50384C}"/>
    <cellStyle name="Percent 10 3 2 2 4" xfId="22530" xr:uid="{549343DB-E5BC-4989-95D4-CCF1D62497D2}"/>
    <cellStyle name="Percent 10 3 2 2 4 2" xfId="22531" xr:uid="{0AA90C33-77AC-453C-BD4D-25791F58B988}"/>
    <cellStyle name="Percent 10 3 2 2 4 2 2" xfId="22532" xr:uid="{FEF1AFE0-D864-428D-8FA8-3A82D6C09E5A}"/>
    <cellStyle name="Percent 10 3 2 2 4 3" xfId="22533" xr:uid="{F0481E3B-C96B-40FE-B9ED-93F673A93D54}"/>
    <cellStyle name="Percent 10 3 2 2 4 3 2" xfId="22534" xr:uid="{F966D3DE-C14E-4E1F-AC60-850D2958F740}"/>
    <cellStyle name="Percent 10 3 2 2 4 4" xfId="22535" xr:uid="{EC02C18C-489E-40DD-B5FE-535543686782}"/>
    <cellStyle name="Percent 10 3 2 2 4 4 2" xfId="22536" xr:uid="{C22CE39A-5B9E-4E08-A0D7-B8692EDAAD42}"/>
    <cellStyle name="Percent 10 3 2 2 4 5" xfId="22537" xr:uid="{42A6A5F9-8584-4D5C-9FF2-0E08A3B367CA}"/>
    <cellStyle name="Percent 10 3 2 2 5" xfId="22538" xr:uid="{2A6206C5-F2EA-4F4E-BFDA-AFA9E6368EFC}"/>
    <cellStyle name="Percent 10 3 2 2 5 2" xfId="22539" xr:uid="{74BB59E8-AEE5-4366-A5AD-CBA190915D12}"/>
    <cellStyle name="Percent 10 3 2 2 6" xfId="22540" xr:uid="{DD3D7C74-943F-4C3E-A40C-9E6A476CAF31}"/>
    <cellStyle name="Percent 10 3 2 2 6 2" xfId="22541" xr:uid="{88FE2CB7-7223-4C68-8044-0EC7A667D046}"/>
    <cellStyle name="Percent 10 3 2 2 7" xfId="22542" xr:uid="{F8AF5A63-C5E3-4938-989F-715D4D391212}"/>
    <cellStyle name="Percent 10 3 2 2 7 2" xfId="22543" xr:uid="{FB0343FA-6FCE-4FD4-8B90-1182D1566C65}"/>
    <cellStyle name="Percent 10 3 2 2 8" xfId="22544" xr:uid="{A14A4259-EE84-44BD-947A-097B6EB1E011}"/>
    <cellStyle name="Percent 10 3 2 2 8 2" xfId="22545" xr:uid="{4AAA696D-153B-4361-8190-F4810A759C31}"/>
    <cellStyle name="Percent 10 3 2 2 9" xfId="22546" xr:uid="{278262D1-6DD9-468D-B042-EBFDC94FA22E}"/>
    <cellStyle name="Percent 10 3 2 2 9 2" xfId="22547" xr:uid="{F32CA46D-BEF4-4F7B-A16B-8F9F0E30CC87}"/>
    <cellStyle name="Percent 10 3 2 3" xfId="22548" xr:uid="{04A76CD8-8D90-4729-97D1-1A538CF6D312}"/>
    <cellStyle name="Percent 10 3 2 3 2" xfId="22549" xr:uid="{2021DF1B-02B3-4AE8-9305-65C9926DCF57}"/>
    <cellStyle name="Percent 10 3 2 3 2 2" xfId="22550" xr:uid="{E39776F8-68C7-4C08-80A8-BD17930EB643}"/>
    <cellStyle name="Percent 10 3 2 3 2 2 2" xfId="22551" xr:uid="{97F7254B-CD7C-41A4-A01F-EABFD9C10027}"/>
    <cellStyle name="Percent 10 3 2 3 2 3" xfId="22552" xr:uid="{3DD61DC8-7212-4723-882D-9A3EEDD44817}"/>
    <cellStyle name="Percent 10 3 2 3 2 3 2" xfId="22553" xr:uid="{B4DC88FF-AE90-4E00-9063-74BDB6C03779}"/>
    <cellStyle name="Percent 10 3 2 3 2 4" xfId="22554" xr:uid="{8EB2A854-FFCB-4CEC-85CC-55B99A70CF81}"/>
    <cellStyle name="Percent 10 3 2 3 2 4 2" xfId="22555" xr:uid="{4D20C1E6-04A5-4FCF-8E2E-04B3CB96EC3F}"/>
    <cellStyle name="Percent 10 3 2 3 2 5" xfId="22556" xr:uid="{54E1F5D6-F53C-4FB2-8D6F-5ADB358132A3}"/>
    <cellStyle name="Percent 10 3 2 3 3" xfId="22557" xr:uid="{7F6EB223-230A-414C-A2C5-E7B451A0169C}"/>
    <cellStyle name="Percent 10 3 2 3 3 2" xfId="22558" xr:uid="{3AAE8DAD-706C-48CC-81DB-562CAF6AF9CD}"/>
    <cellStyle name="Percent 10 3 2 3 3 2 2" xfId="22559" xr:uid="{09706D93-E267-4546-B3E1-BF0A059C6ABE}"/>
    <cellStyle name="Percent 10 3 2 3 3 3" xfId="22560" xr:uid="{F6BB6540-5E7E-424A-B4AC-E11A3DA72B0B}"/>
    <cellStyle name="Percent 10 3 2 3 3 3 2" xfId="22561" xr:uid="{3B9559C8-96B3-4ED8-83AF-C0C5FFB42027}"/>
    <cellStyle name="Percent 10 3 2 3 3 4" xfId="22562" xr:uid="{6D45420D-ED22-4ABC-A6EA-B353607B66ED}"/>
    <cellStyle name="Percent 10 3 2 3 3 4 2" xfId="22563" xr:uid="{D9619E40-4F2C-49B3-A512-0BE95F6A35E9}"/>
    <cellStyle name="Percent 10 3 2 3 3 5" xfId="22564" xr:uid="{C15B5611-377D-4FEE-819D-5F1F297DD123}"/>
    <cellStyle name="Percent 10 3 2 3 4" xfId="22565" xr:uid="{9DA7F938-9410-4D48-B4ED-CD62B25A0E88}"/>
    <cellStyle name="Percent 10 3 2 3 4 2" xfId="22566" xr:uid="{E9FE4DEB-3F9A-480F-9E37-98BD0494521D}"/>
    <cellStyle name="Percent 10 3 2 3 5" xfId="22567" xr:uid="{C77102BB-F211-47FB-AE01-C1690C164251}"/>
    <cellStyle name="Percent 10 3 2 3 5 2" xfId="22568" xr:uid="{2231DE5B-E31B-46AE-8468-FD5B112BEAAF}"/>
    <cellStyle name="Percent 10 3 2 3 6" xfId="22569" xr:uid="{3B155709-BC6A-488A-916C-0FBA30DF6C14}"/>
    <cellStyle name="Percent 10 3 2 3 6 2" xfId="22570" xr:uid="{29DD4098-5E4C-48A6-981E-48BF89A667CC}"/>
    <cellStyle name="Percent 10 3 2 3 7" xfId="22571" xr:uid="{0FDC0E6E-F862-44EF-A76E-6B41800C8CA9}"/>
    <cellStyle name="Percent 10 3 2 3 7 2" xfId="22572" xr:uid="{6419A443-EEF3-493F-AD46-B52D0E8B5E35}"/>
    <cellStyle name="Percent 10 3 2 3 8" xfId="22573" xr:uid="{842498EF-0B67-465D-B7FC-98AEB4C9C094}"/>
    <cellStyle name="Percent 10 3 2 3 8 2" xfId="22574" xr:uid="{E497B7D7-F81B-4530-B5DE-E9EB7F04E351}"/>
    <cellStyle name="Percent 10 3 2 3 9" xfId="22575" xr:uid="{E6FCF4C8-3908-4A24-B35F-4F1737171658}"/>
    <cellStyle name="Percent 10 3 2 4" xfId="22576" xr:uid="{C6FF98A9-FE8A-405A-9FE7-4A6C86B687F4}"/>
    <cellStyle name="Percent 10 3 2 4 2" xfId="22577" xr:uid="{FD542F9D-7FEC-4BD7-88B3-B9BAEDA70508}"/>
    <cellStyle name="Percent 10 3 2 4 2 2" xfId="22578" xr:uid="{5EDBF06B-3986-42A0-9C78-1627A5B40989}"/>
    <cellStyle name="Percent 10 3 2 4 3" xfId="22579" xr:uid="{8F9CC0C4-53C9-454B-83FA-293736CF80D3}"/>
    <cellStyle name="Percent 10 3 2 4 3 2" xfId="22580" xr:uid="{509A5DA4-CA51-436E-97A3-ECEC2C082A6D}"/>
    <cellStyle name="Percent 10 3 2 4 4" xfId="22581" xr:uid="{DAE04D25-A109-40E9-9478-D77299499961}"/>
    <cellStyle name="Percent 10 3 2 4 4 2" xfId="22582" xr:uid="{06BFF7B8-EA7E-4887-A5CE-29535F1B490B}"/>
    <cellStyle name="Percent 10 3 2 4 5" xfId="22583" xr:uid="{7665F2AB-753D-4B7D-A475-A27054ADB7A1}"/>
    <cellStyle name="Percent 10 3 2 5" xfId="22584" xr:uid="{FFD3B836-003B-4C8D-B1EA-3718EF72934D}"/>
    <cellStyle name="Percent 10 3 2 5 2" xfId="22585" xr:uid="{00857CE3-F0CD-4699-8509-67626B5CFF77}"/>
    <cellStyle name="Percent 10 3 2 5 2 2" xfId="22586" xr:uid="{4DD398CC-289E-4AE4-964F-3DDCBA2EE2D6}"/>
    <cellStyle name="Percent 10 3 2 5 3" xfId="22587" xr:uid="{EE3C7937-D758-489B-999E-880020B5A6B5}"/>
    <cellStyle name="Percent 10 3 2 5 3 2" xfId="22588" xr:uid="{08F27C3A-5C56-4BD4-9D1D-2D5CA75CD0F3}"/>
    <cellStyle name="Percent 10 3 2 5 4" xfId="22589" xr:uid="{C6CF1F2B-66DE-49D2-B4F2-C1291F4FC936}"/>
    <cellStyle name="Percent 10 3 2 5 4 2" xfId="22590" xr:uid="{915DC993-327C-407E-B575-804494E25BAC}"/>
    <cellStyle name="Percent 10 3 2 5 5" xfId="22591" xr:uid="{B9339767-A88E-4798-86EF-C9128D8A76EE}"/>
    <cellStyle name="Percent 10 3 2 6" xfId="22592" xr:uid="{FFF10962-8808-458E-B0C8-D358C6439ACF}"/>
    <cellStyle name="Percent 10 3 2 6 2" xfId="22593" xr:uid="{BF275018-0D24-46C3-AE19-912202C0B42F}"/>
    <cellStyle name="Percent 10 3 2 7" xfId="22594" xr:uid="{A97ABFB4-703C-4605-B427-C768E0AE1BF8}"/>
    <cellStyle name="Percent 10 3 2 7 2" xfId="22595" xr:uid="{322F5FDA-1EF5-4629-B9FC-F5369111EB5C}"/>
    <cellStyle name="Percent 10 3 2 8" xfId="22596" xr:uid="{CB576871-7C69-4D08-860C-8535FA58370D}"/>
    <cellStyle name="Percent 10 3 2 8 2" xfId="22597" xr:uid="{6FFE4438-F491-4528-B169-57BBED79DA14}"/>
    <cellStyle name="Percent 10 3 2 9" xfId="22598" xr:uid="{96C57952-1347-422E-A99F-9D3AC991CFD7}"/>
    <cellStyle name="Percent 10 3 2 9 2" xfId="22599" xr:uid="{6CF413DF-F019-4A97-854A-5EE175298225}"/>
    <cellStyle name="Percent 10 3 3" xfId="22600" xr:uid="{40BC4218-0B27-4C25-961F-FB7A59E45CC2}"/>
    <cellStyle name="Percent 10 3 3 10" xfId="22601" xr:uid="{8B1F9612-6CA1-40E5-924D-82E13C3D6DB3}"/>
    <cellStyle name="Percent 10 3 3 10 2" xfId="22602" xr:uid="{9C80C8F5-1DD8-42CA-9CCB-6CB7390F67A3}"/>
    <cellStyle name="Percent 10 3 3 11" xfId="22603" xr:uid="{A7DA2F6D-6767-4938-A56D-CE3449B92FE7}"/>
    <cellStyle name="Percent 10 3 3 2" xfId="22604" xr:uid="{EADD611D-4AE6-455F-9A44-8E86F9BCDD14}"/>
    <cellStyle name="Percent 10 3 3 2 10" xfId="22605" xr:uid="{A7BCEBFF-91D3-47D5-A55B-513D0B73796F}"/>
    <cellStyle name="Percent 10 3 3 2 2" xfId="22606" xr:uid="{EB0D1AFD-C280-4084-983C-52EA47E3470A}"/>
    <cellStyle name="Percent 10 3 3 2 2 2" xfId="22607" xr:uid="{48BB7316-F4F1-4F75-90C7-23C79C97BBC4}"/>
    <cellStyle name="Percent 10 3 3 2 2 2 2" xfId="22608" xr:uid="{9E9442AD-E168-4674-823B-F1403137262B}"/>
    <cellStyle name="Percent 10 3 3 2 2 2 2 2" xfId="22609" xr:uid="{E55D39D5-821D-49A4-84E7-A4EB9AAA2775}"/>
    <cellStyle name="Percent 10 3 3 2 2 2 3" xfId="22610" xr:uid="{1895878E-C25B-48A6-A80C-C1F15FE4B05F}"/>
    <cellStyle name="Percent 10 3 3 2 2 2 3 2" xfId="22611" xr:uid="{21FA97ED-A73E-485C-9719-96A40E23BB98}"/>
    <cellStyle name="Percent 10 3 3 2 2 2 4" xfId="22612" xr:uid="{D1CE81A1-AE86-48A5-A49D-D60457B7F49F}"/>
    <cellStyle name="Percent 10 3 3 2 2 2 4 2" xfId="22613" xr:uid="{ADD94506-CEFE-4F57-AC63-D6277D535F6A}"/>
    <cellStyle name="Percent 10 3 3 2 2 2 5" xfId="22614" xr:uid="{33956B0E-BFED-4E82-82DD-690D40384E12}"/>
    <cellStyle name="Percent 10 3 3 2 2 3" xfId="22615" xr:uid="{392A6317-C627-4F59-8F7F-44BB1FC62329}"/>
    <cellStyle name="Percent 10 3 3 2 2 3 2" xfId="22616" xr:uid="{78E51C21-CCAF-4CD4-A081-4B2CA3D1331C}"/>
    <cellStyle name="Percent 10 3 3 2 2 3 2 2" xfId="22617" xr:uid="{F09EB877-CB40-4B93-95F5-400B0A0923FD}"/>
    <cellStyle name="Percent 10 3 3 2 2 3 3" xfId="22618" xr:uid="{3AFA9BCC-EE45-4E0D-A898-A9184586FE47}"/>
    <cellStyle name="Percent 10 3 3 2 2 3 3 2" xfId="22619" xr:uid="{3F0A01C0-20BD-4DB3-AD5F-09C40CAB6927}"/>
    <cellStyle name="Percent 10 3 3 2 2 3 4" xfId="22620" xr:uid="{71AF1EBE-BD73-4FEF-B0D9-9DBCDC973E1B}"/>
    <cellStyle name="Percent 10 3 3 2 2 3 4 2" xfId="22621" xr:uid="{190F406D-8A95-4987-BF68-A94E4370C497}"/>
    <cellStyle name="Percent 10 3 3 2 2 3 5" xfId="22622" xr:uid="{1C8FF20B-7BC4-4EA4-9890-E61BCA46AE98}"/>
    <cellStyle name="Percent 10 3 3 2 2 4" xfId="22623" xr:uid="{BE6097E4-1E19-4DD9-87C8-8DF3129715A8}"/>
    <cellStyle name="Percent 10 3 3 2 2 4 2" xfId="22624" xr:uid="{6DE1F468-89E2-48A5-A901-BC7E713FE65C}"/>
    <cellStyle name="Percent 10 3 3 2 2 5" xfId="22625" xr:uid="{FD7DF2AB-A05C-4D1A-9BC0-2ECB8C83F07A}"/>
    <cellStyle name="Percent 10 3 3 2 2 5 2" xfId="22626" xr:uid="{3334240E-9CF8-4CCD-9391-5B4301B8AFB1}"/>
    <cellStyle name="Percent 10 3 3 2 2 6" xfId="22627" xr:uid="{8D52227E-7EAF-475D-B3FA-298D251AFACE}"/>
    <cellStyle name="Percent 10 3 3 2 2 6 2" xfId="22628" xr:uid="{CA08EEEA-2FD2-4D9A-BECF-9C0F785866C5}"/>
    <cellStyle name="Percent 10 3 3 2 2 7" xfId="22629" xr:uid="{00616F58-DA1C-4355-BC14-F8B173832C04}"/>
    <cellStyle name="Percent 10 3 3 2 2 7 2" xfId="22630" xr:uid="{947C3B68-BEF0-4762-89BF-77B53BACF954}"/>
    <cellStyle name="Percent 10 3 3 2 2 8" xfId="22631" xr:uid="{85098188-D51A-41B6-AD0D-63FB8DD70DDF}"/>
    <cellStyle name="Percent 10 3 3 2 2 8 2" xfId="22632" xr:uid="{DD86EEDF-4C51-4CD4-83BC-20D3AF8DE711}"/>
    <cellStyle name="Percent 10 3 3 2 2 9" xfId="22633" xr:uid="{5D31B9BC-6273-4045-8259-553FD9EAF706}"/>
    <cellStyle name="Percent 10 3 3 2 3" xfId="22634" xr:uid="{E56D97D1-92C0-4488-98B6-B23D8CB6EAEF}"/>
    <cellStyle name="Percent 10 3 3 2 3 2" xfId="22635" xr:uid="{58F86B5B-1913-4965-BFAA-F2D82E71E4BE}"/>
    <cellStyle name="Percent 10 3 3 2 3 2 2" xfId="22636" xr:uid="{56EEBBC9-8D94-45F6-8C86-CEFA67DC098F}"/>
    <cellStyle name="Percent 10 3 3 2 3 3" xfId="22637" xr:uid="{0F060EB0-B08E-4AF6-BFF3-18F536C8E875}"/>
    <cellStyle name="Percent 10 3 3 2 3 3 2" xfId="22638" xr:uid="{B14BEF1B-E8D6-4BE9-A378-1A408F54BF13}"/>
    <cellStyle name="Percent 10 3 3 2 3 4" xfId="22639" xr:uid="{3168C1CE-634A-4493-B19D-C1D7AEBB5CF3}"/>
    <cellStyle name="Percent 10 3 3 2 3 4 2" xfId="22640" xr:uid="{716A8B0B-A9EC-4419-8F30-8037662EDB48}"/>
    <cellStyle name="Percent 10 3 3 2 3 5" xfId="22641" xr:uid="{CCF9AA46-2DF0-4292-994C-8504E85E511D}"/>
    <cellStyle name="Percent 10 3 3 2 4" xfId="22642" xr:uid="{4F1FA4FB-54D2-45AA-ADAB-F569F08427E7}"/>
    <cellStyle name="Percent 10 3 3 2 4 2" xfId="22643" xr:uid="{4BBD3778-B6AC-4E26-A5F8-C3A804F3C887}"/>
    <cellStyle name="Percent 10 3 3 2 4 2 2" xfId="22644" xr:uid="{C459FEFD-8765-43AD-AE9B-E2305EB94BCF}"/>
    <cellStyle name="Percent 10 3 3 2 4 3" xfId="22645" xr:uid="{156788F3-CC46-4C38-BCAF-25A6CCBFC9DF}"/>
    <cellStyle name="Percent 10 3 3 2 4 3 2" xfId="22646" xr:uid="{F9B6FDD7-A438-47ED-B3F1-33FCF0498B4A}"/>
    <cellStyle name="Percent 10 3 3 2 4 4" xfId="22647" xr:uid="{DA98AFC5-1FBA-4A05-B094-22B0C8CC7C41}"/>
    <cellStyle name="Percent 10 3 3 2 4 4 2" xfId="22648" xr:uid="{4C86AB1D-9F54-45FC-AF84-7B0BC88F5CBC}"/>
    <cellStyle name="Percent 10 3 3 2 4 5" xfId="22649" xr:uid="{A43C9E2A-5CBF-4A3D-85CA-B9C0B9E7169B}"/>
    <cellStyle name="Percent 10 3 3 2 5" xfId="22650" xr:uid="{CC47FCF9-2B11-4F4C-BC61-3A4379409088}"/>
    <cellStyle name="Percent 10 3 3 2 5 2" xfId="22651" xr:uid="{96DFF7B5-E956-4E81-A032-DA2A49508D35}"/>
    <cellStyle name="Percent 10 3 3 2 6" xfId="22652" xr:uid="{66ADDE22-27A5-41D0-BABC-DE326E07A07C}"/>
    <cellStyle name="Percent 10 3 3 2 6 2" xfId="22653" xr:uid="{FB0CD8C7-2AD6-424B-9427-008C4CF3FD1C}"/>
    <cellStyle name="Percent 10 3 3 2 7" xfId="22654" xr:uid="{B436EDC8-4B2D-4899-AFA5-1C4519ECAF62}"/>
    <cellStyle name="Percent 10 3 3 2 7 2" xfId="22655" xr:uid="{EE03901B-EA6F-458A-B23B-88E6C199BD7E}"/>
    <cellStyle name="Percent 10 3 3 2 8" xfId="22656" xr:uid="{62F5DCB1-1129-42CE-B84F-630D1AAEF500}"/>
    <cellStyle name="Percent 10 3 3 2 8 2" xfId="22657" xr:uid="{582210EB-7A81-474C-82AB-12FC3390AD34}"/>
    <cellStyle name="Percent 10 3 3 2 9" xfId="22658" xr:uid="{A392109A-8B83-4D35-B5A0-5F77139E05FA}"/>
    <cellStyle name="Percent 10 3 3 2 9 2" xfId="22659" xr:uid="{DCE347DA-2800-40E4-AEE9-195BA5710BE4}"/>
    <cellStyle name="Percent 10 3 3 3" xfId="22660" xr:uid="{6058A923-C710-42A5-A5D6-C53D4CDBFF4D}"/>
    <cellStyle name="Percent 10 3 3 3 2" xfId="22661" xr:uid="{2CBE86A8-3AE3-4D24-8853-A68A7EFE003D}"/>
    <cellStyle name="Percent 10 3 3 3 2 2" xfId="22662" xr:uid="{D1F592E5-9103-4083-A3C6-021971B91669}"/>
    <cellStyle name="Percent 10 3 3 3 2 2 2" xfId="22663" xr:uid="{C208F9A7-E8DC-4A68-9C32-1E0211C85585}"/>
    <cellStyle name="Percent 10 3 3 3 2 3" xfId="22664" xr:uid="{07F1577A-7190-49FE-AEA4-7B794739518D}"/>
    <cellStyle name="Percent 10 3 3 3 2 3 2" xfId="22665" xr:uid="{2E0AB177-201F-44B9-8238-A529F422432D}"/>
    <cellStyle name="Percent 10 3 3 3 2 4" xfId="22666" xr:uid="{B7255EF5-4020-482A-9D13-E0780276351F}"/>
    <cellStyle name="Percent 10 3 3 3 2 4 2" xfId="22667" xr:uid="{9F93941F-D8FF-4374-9257-AF302C0D3F89}"/>
    <cellStyle name="Percent 10 3 3 3 2 5" xfId="22668" xr:uid="{60A11497-1788-4D12-B1FA-26B145895C23}"/>
    <cellStyle name="Percent 10 3 3 3 3" xfId="22669" xr:uid="{D88E1A8F-4582-4109-B476-65DFA6FDC408}"/>
    <cellStyle name="Percent 10 3 3 3 3 2" xfId="22670" xr:uid="{07834FB8-A137-47B7-8977-CE258F29C427}"/>
    <cellStyle name="Percent 10 3 3 3 3 2 2" xfId="22671" xr:uid="{ECC64447-A4C2-4E28-8293-E4F5702E6315}"/>
    <cellStyle name="Percent 10 3 3 3 3 3" xfId="22672" xr:uid="{D5C0B251-1E09-4F1F-B684-28682BF46FB0}"/>
    <cellStyle name="Percent 10 3 3 3 3 3 2" xfId="22673" xr:uid="{B5FB9F46-2E80-40EE-91A7-FE7A69ACE33B}"/>
    <cellStyle name="Percent 10 3 3 3 3 4" xfId="22674" xr:uid="{F8BC314D-B942-4903-9F5A-A4EBC96C42C1}"/>
    <cellStyle name="Percent 10 3 3 3 3 4 2" xfId="22675" xr:uid="{6F9579B9-FC37-41FF-8912-5BE36D1F494E}"/>
    <cellStyle name="Percent 10 3 3 3 3 5" xfId="22676" xr:uid="{2FB5863D-1DBF-4D0A-929C-C91D521276A5}"/>
    <cellStyle name="Percent 10 3 3 3 4" xfId="22677" xr:uid="{A7F08BE9-CEB1-4CBA-AE86-A13D3B490B7C}"/>
    <cellStyle name="Percent 10 3 3 3 4 2" xfId="22678" xr:uid="{DF6CB494-946E-4C44-A248-83CE8AC8AA16}"/>
    <cellStyle name="Percent 10 3 3 3 5" xfId="22679" xr:uid="{F85E245C-8A5D-4DE7-9A7A-1330833FCF02}"/>
    <cellStyle name="Percent 10 3 3 3 5 2" xfId="22680" xr:uid="{9B6F4FB4-A0FD-46D7-A9C5-964F9F7514DE}"/>
    <cellStyle name="Percent 10 3 3 3 6" xfId="22681" xr:uid="{746A9B8C-6E05-4CEE-8445-C37A6DE4B137}"/>
    <cellStyle name="Percent 10 3 3 3 6 2" xfId="22682" xr:uid="{B8DBD8F8-CE90-4CC3-8BF5-EDC8E8BC5871}"/>
    <cellStyle name="Percent 10 3 3 3 7" xfId="22683" xr:uid="{08F2F754-12FC-4A2E-9873-F74D29E67138}"/>
    <cellStyle name="Percent 10 3 3 3 7 2" xfId="22684" xr:uid="{5302B045-8E4B-4F99-A666-CDA4F1BD217D}"/>
    <cellStyle name="Percent 10 3 3 3 8" xfId="22685" xr:uid="{E1A5F412-F3C0-4AF2-A6A9-B31E0761BFA9}"/>
    <cellStyle name="Percent 10 3 3 3 8 2" xfId="22686" xr:uid="{98C8E5FA-02CB-48F6-8C93-D073E7092D0D}"/>
    <cellStyle name="Percent 10 3 3 3 9" xfId="22687" xr:uid="{BF0C604C-5F64-4912-A378-9EF3A56DA1CD}"/>
    <cellStyle name="Percent 10 3 3 4" xfId="22688" xr:uid="{209F77C3-0341-4264-99E7-6F20C42A28B1}"/>
    <cellStyle name="Percent 10 3 3 4 2" xfId="22689" xr:uid="{FAA88D7A-6F41-444E-94E5-C2A87766FECD}"/>
    <cellStyle name="Percent 10 3 3 4 2 2" xfId="22690" xr:uid="{7AF8AF7F-D9A0-4921-9E32-BF75E22E936F}"/>
    <cellStyle name="Percent 10 3 3 4 3" xfId="22691" xr:uid="{16FA8D9A-677D-465A-BE52-7095964D782C}"/>
    <cellStyle name="Percent 10 3 3 4 3 2" xfId="22692" xr:uid="{AF386F89-B80D-4400-9D64-53C604D12FD9}"/>
    <cellStyle name="Percent 10 3 3 4 4" xfId="22693" xr:uid="{AAB63BED-D948-4ACA-A453-F6C652C05F77}"/>
    <cellStyle name="Percent 10 3 3 4 4 2" xfId="22694" xr:uid="{FBDFB890-8A81-437A-9F64-1A53E3BD734D}"/>
    <cellStyle name="Percent 10 3 3 4 5" xfId="22695" xr:uid="{4B032971-6A0F-4650-8FD0-4D5AF73B41BA}"/>
    <cellStyle name="Percent 10 3 3 5" xfId="22696" xr:uid="{C0DB9ECE-CBEB-4CA3-9DC0-9013FFCBFBAE}"/>
    <cellStyle name="Percent 10 3 3 5 2" xfId="22697" xr:uid="{1EE8C802-DCA9-4AE6-B959-DF6D997ED6A5}"/>
    <cellStyle name="Percent 10 3 3 5 2 2" xfId="22698" xr:uid="{F5C79679-3BE8-418A-815C-E3868D4DF823}"/>
    <cellStyle name="Percent 10 3 3 5 3" xfId="22699" xr:uid="{A55F7789-34F7-48A7-809B-7D82524C2318}"/>
    <cellStyle name="Percent 10 3 3 5 3 2" xfId="22700" xr:uid="{774B2F86-1544-4F7F-AF7D-0FBD85B7B780}"/>
    <cellStyle name="Percent 10 3 3 5 4" xfId="22701" xr:uid="{F612386B-1D45-4340-83E6-E0C470FA4174}"/>
    <cellStyle name="Percent 10 3 3 5 4 2" xfId="22702" xr:uid="{2FC1AC60-941C-4A18-B877-376ABF2F2997}"/>
    <cellStyle name="Percent 10 3 3 5 5" xfId="22703" xr:uid="{89DAA524-03CC-4A09-86D2-EC7F0A9B19EC}"/>
    <cellStyle name="Percent 10 3 3 6" xfId="22704" xr:uid="{46F5F54E-A044-4469-A752-BC7F12EC3116}"/>
    <cellStyle name="Percent 10 3 3 6 2" xfId="22705" xr:uid="{535F32B5-9641-4E41-B0DF-7CFA40896ECC}"/>
    <cellStyle name="Percent 10 3 3 7" xfId="22706" xr:uid="{9FFED78B-70A1-4143-A0E1-E84976E5BF92}"/>
    <cellStyle name="Percent 10 3 3 7 2" xfId="22707" xr:uid="{527EB167-06D8-4AF7-8F58-FF2C9457B873}"/>
    <cellStyle name="Percent 10 3 3 8" xfId="22708" xr:uid="{240CE56D-AC63-4E53-AD02-D18A4D6E67D1}"/>
    <cellStyle name="Percent 10 3 3 8 2" xfId="22709" xr:uid="{2830C5FC-3E08-432F-B347-6371673BA9AC}"/>
    <cellStyle name="Percent 10 3 3 9" xfId="22710" xr:uid="{47E3DDDF-2D73-4E9E-8E1D-594FA156FA87}"/>
    <cellStyle name="Percent 10 3 3 9 2" xfId="22711" xr:uid="{B1C98CBD-6097-42A1-9E96-56C31AAC0026}"/>
    <cellStyle name="Percent 10 3 4" xfId="22712" xr:uid="{A8236E12-7E01-47D9-80C4-994DB28F3EA2}"/>
    <cellStyle name="Percent 10 3 4 10" xfId="22713" xr:uid="{3B8B2D54-CED3-4215-923B-6CEF35D75A01}"/>
    <cellStyle name="Percent 10 3 4 10 2" xfId="22714" xr:uid="{420FA7A2-78E4-4CD4-8DBA-4D443BAE0699}"/>
    <cellStyle name="Percent 10 3 4 11" xfId="22715" xr:uid="{00675735-A34C-451B-8D68-86BD6DD82B4C}"/>
    <cellStyle name="Percent 10 3 4 2" xfId="22716" xr:uid="{C50AD26C-E3D4-4619-9F8D-5AA8C1C5BB10}"/>
    <cellStyle name="Percent 10 3 4 2 10" xfId="22717" xr:uid="{52A9718F-0E0F-402F-8CC4-7EE4EF3E36BA}"/>
    <cellStyle name="Percent 10 3 4 2 2" xfId="22718" xr:uid="{8612B3DA-2B1F-4F59-AE57-0828697C55E2}"/>
    <cellStyle name="Percent 10 3 4 2 2 2" xfId="22719" xr:uid="{7F30F466-353D-47A4-B8FF-6E69A058E441}"/>
    <cellStyle name="Percent 10 3 4 2 2 2 2" xfId="22720" xr:uid="{4F5DA018-7FDD-4122-9364-A8C90D3ABBD9}"/>
    <cellStyle name="Percent 10 3 4 2 2 2 2 2" xfId="22721" xr:uid="{8EF96BC6-01ED-4776-8792-AE02A619DCFE}"/>
    <cellStyle name="Percent 10 3 4 2 2 2 3" xfId="22722" xr:uid="{6BF1918B-4AE0-4AC2-8C70-06AFF5B96DCE}"/>
    <cellStyle name="Percent 10 3 4 2 2 2 3 2" xfId="22723" xr:uid="{C7C1C58F-3FC9-4842-B07E-E6C280C94908}"/>
    <cellStyle name="Percent 10 3 4 2 2 2 4" xfId="22724" xr:uid="{632C9151-72F2-491F-8C4B-5919AF23059A}"/>
    <cellStyle name="Percent 10 3 4 2 2 2 4 2" xfId="22725" xr:uid="{5E455B37-21C3-48D5-8CBC-C62509292A2F}"/>
    <cellStyle name="Percent 10 3 4 2 2 2 5" xfId="22726" xr:uid="{4C1D8F47-5530-489F-8312-18F1F4EA9945}"/>
    <cellStyle name="Percent 10 3 4 2 2 3" xfId="22727" xr:uid="{AC6BF1E2-39BC-4A95-9348-1BE611BFCC25}"/>
    <cellStyle name="Percent 10 3 4 2 2 3 2" xfId="22728" xr:uid="{54044E09-4795-43DE-A7B7-6EE4288B38A4}"/>
    <cellStyle name="Percent 10 3 4 2 2 3 2 2" xfId="22729" xr:uid="{19F1EB31-24A3-490B-AD89-116FC07DB530}"/>
    <cellStyle name="Percent 10 3 4 2 2 3 3" xfId="22730" xr:uid="{88874BAA-2587-467B-900E-2EDEB2FB9E8B}"/>
    <cellStyle name="Percent 10 3 4 2 2 3 3 2" xfId="22731" xr:uid="{D46295BD-6C64-4918-9C01-E097A51697F2}"/>
    <cellStyle name="Percent 10 3 4 2 2 3 4" xfId="22732" xr:uid="{D07410C2-28CC-4783-AC1F-0AEFF9749DFC}"/>
    <cellStyle name="Percent 10 3 4 2 2 3 4 2" xfId="22733" xr:uid="{E40CA22D-EC92-4DAE-B5C2-1BAF23B2D303}"/>
    <cellStyle name="Percent 10 3 4 2 2 3 5" xfId="22734" xr:uid="{03AC5DF5-3A72-4082-AE33-E330CFD73F8B}"/>
    <cellStyle name="Percent 10 3 4 2 2 4" xfId="22735" xr:uid="{C8F9F73D-4D83-4A56-8A59-AB5535491646}"/>
    <cellStyle name="Percent 10 3 4 2 2 4 2" xfId="22736" xr:uid="{5D990FE3-CE2B-4370-B2B0-8E59119F43A1}"/>
    <cellStyle name="Percent 10 3 4 2 2 5" xfId="22737" xr:uid="{BE8AD6CE-57F0-4A0D-A0F7-CC61CD00E74B}"/>
    <cellStyle name="Percent 10 3 4 2 2 5 2" xfId="22738" xr:uid="{C927A916-9AF8-48D8-831D-29396A21F604}"/>
    <cellStyle name="Percent 10 3 4 2 2 6" xfId="22739" xr:uid="{8CE4CC08-A4D7-43C3-9C8A-09F25679C9C9}"/>
    <cellStyle name="Percent 10 3 4 2 2 6 2" xfId="22740" xr:uid="{64B7E105-9E70-44CC-BD5F-676B2D7DB998}"/>
    <cellStyle name="Percent 10 3 4 2 2 7" xfId="22741" xr:uid="{511E4778-6187-4CBC-A231-2A85EE43606E}"/>
    <cellStyle name="Percent 10 3 4 2 2 7 2" xfId="22742" xr:uid="{E50C17D7-6A84-42D8-9EE1-C5555EBF575F}"/>
    <cellStyle name="Percent 10 3 4 2 2 8" xfId="22743" xr:uid="{E3C17668-2B68-4FA5-893A-DD19E2CC7289}"/>
    <cellStyle name="Percent 10 3 4 2 2 8 2" xfId="22744" xr:uid="{0363DF34-18C0-49CB-9DCD-B01C3CF2C8D5}"/>
    <cellStyle name="Percent 10 3 4 2 2 9" xfId="22745" xr:uid="{B854387B-C947-4E02-B86C-F58F6E3B234E}"/>
    <cellStyle name="Percent 10 3 4 2 3" xfId="22746" xr:uid="{CF4FD3E1-7F8F-4648-9306-C398891D26D0}"/>
    <cellStyle name="Percent 10 3 4 2 3 2" xfId="22747" xr:uid="{A0223ACB-56F5-47B2-9B99-0B9B0E553053}"/>
    <cellStyle name="Percent 10 3 4 2 3 2 2" xfId="22748" xr:uid="{E44BEC1B-32E5-44A0-94F1-F0AA657EA7F1}"/>
    <cellStyle name="Percent 10 3 4 2 3 3" xfId="22749" xr:uid="{7E8B7E68-4A87-49C5-88FC-57808BE674DE}"/>
    <cellStyle name="Percent 10 3 4 2 3 3 2" xfId="22750" xr:uid="{E36935AC-5BA1-4F79-ADBD-2CD4F97C5703}"/>
    <cellStyle name="Percent 10 3 4 2 3 4" xfId="22751" xr:uid="{BECF33FD-312C-4D5E-A236-327E22D3AF4A}"/>
    <cellStyle name="Percent 10 3 4 2 3 4 2" xfId="22752" xr:uid="{42F0A4D8-4AFB-40D5-AD82-5BFA8648E73D}"/>
    <cellStyle name="Percent 10 3 4 2 3 5" xfId="22753" xr:uid="{C8732276-FBCE-4041-B080-2F09186C9059}"/>
    <cellStyle name="Percent 10 3 4 2 4" xfId="22754" xr:uid="{6FF30894-CE64-470F-8D39-DC590448EC15}"/>
    <cellStyle name="Percent 10 3 4 2 4 2" xfId="22755" xr:uid="{E6BC3454-4129-4571-8693-D844D02FA038}"/>
    <cellStyle name="Percent 10 3 4 2 4 2 2" xfId="22756" xr:uid="{08C4AF27-DA62-436F-97CA-1F965E3C14C7}"/>
    <cellStyle name="Percent 10 3 4 2 4 3" xfId="22757" xr:uid="{35A5C11F-BCF0-49B6-91EF-C86C09294CFA}"/>
    <cellStyle name="Percent 10 3 4 2 4 3 2" xfId="22758" xr:uid="{7672831D-3466-481B-AE35-64D56BA00DEE}"/>
    <cellStyle name="Percent 10 3 4 2 4 4" xfId="22759" xr:uid="{A4E42BFB-8C09-41CA-9A6C-891910465439}"/>
    <cellStyle name="Percent 10 3 4 2 4 4 2" xfId="22760" xr:uid="{63E2E536-1D1E-4007-9014-942BB53F7104}"/>
    <cellStyle name="Percent 10 3 4 2 4 5" xfId="22761" xr:uid="{C8EAC268-4111-4B98-B871-B3C7356F2224}"/>
    <cellStyle name="Percent 10 3 4 2 5" xfId="22762" xr:uid="{FFA70544-A2B6-4697-93BB-D158D5BD9190}"/>
    <cellStyle name="Percent 10 3 4 2 5 2" xfId="22763" xr:uid="{6B6FF4B8-68DF-4A1E-B4C8-B044724D19B6}"/>
    <cellStyle name="Percent 10 3 4 2 6" xfId="22764" xr:uid="{DA43E061-878E-4DA8-94F7-B40E9F214410}"/>
    <cellStyle name="Percent 10 3 4 2 6 2" xfId="22765" xr:uid="{69028BD7-34A8-4252-B9BB-F32277E0D133}"/>
    <cellStyle name="Percent 10 3 4 2 7" xfId="22766" xr:uid="{23349EA5-12BB-462F-AA6F-8555074D4E9D}"/>
    <cellStyle name="Percent 10 3 4 2 7 2" xfId="22767" xr:uid="{F18CA666-A1A1-4D54-9BA9-035C7B6B8916}"/>
    <cellStyle name="Percent 10 3 4 2 8" xfId="22768" xr:uid="{5F9DEB2A-44E8-419C-8FB4-70F9D6A6AD5B}"/>
    <cellStyle name="Percent 10 3 4 2 8 2" xfId="22769" xr:uid="{CA7A8D7B-EAFB-45A9-BF61-4AEF89760974}"/>
    <cellStyle name="Percent 10 3 4 2 9" xfId="22770" xr:uid="{8D804892-469E-4129-972A-FB4F62C4241E}"/>
    <cellStyle name="Percent 10 3 4 2 9 2" xfId="22771" xr:uid="{8D6061C3-A3A0-44DC-87CA-F557B7933897}"/>
    <cellStyle name="Percent 10 3 4 3" xfId="22772" xr:uid="{E821DC44-84FE-4B1E-B6FC-D6E4B1386CF6}"/>
    <cellStyle name="Percent 10 3 4 3 2" xfId="22773" xr:uid="{E4BC21DD-7B19-4BEA-96BD-68C043A282B6}"/>
    <cellStyle name="Percent 10 3 4 3 2 2" xfId="22774" xr:uid="{98F3B91B-8BEC-4B11-83A0-08322EB707B2}"/>
    <cellStyle name="Percent 10 3 4 3 2 2 2" xfId="22775" xr:uid="{7614CE09-20A0-4ACA-BF01-9DC734D8334C}"/>
    <cellStyle name="Percent 10 3 4 3 2 3" xfId="22776" xr:uid="{4E2BC2A6-5074-4D0E-897B-2CFEB99D4101}"/>
    <cellStyle name="Percent 10 3 4 3 2 3 2" xfId="22777" xr:uid="{8C339B49-2872-4721-BEAC-BB66A1758C60}"/>
    <cellStyle name="Percent 10 3 4 3 2 4" xfId="22778" xr:uid="{B87D1561-8089-40B2-9D83-5A8A01366C02}"/>
    <cellStyle name="Percent 10 3 4 3 2 4 2" xfId="22779" xr:uid="{FB133A21-ECAF-45C7-9E63-023662DACDF3}"/>
    <cellStyle name="Percent 10 3 4 3 2 5" xfId="22780" xr:uid="{76556EF9-04C1-44F8-A945-BC4899F0A6EA}"/>
    <cellStyle name="Percent 10 3 4 3 3" xfId="22781" xr:uid="{F6752E61-17F3-4BC3-9872-A74F3EF270C7}"/>
    <cellStyle name="Percent 10 3 4 3 3 2" xfId="22782" xr:uid="{7E4D0545-EC44-4CE2-A7A9-E4B776B23D40}"/>
    <cellStyle name="Percent 10 3 4 3 3 2 2" xfId="22783" xr:uid="{2B7F0147-3F79-4A4D-9BCF-25EEEEE1C303}"/>
    <cellStyle name="Percent 10 3 4 3 3 3" xfId="22784" xr:uid="{526D67D9-FCB9-41E6-8ED3-32A6C3373CBF}"/>
    <cellStyle name="Percent 10 3 4 3 3 3 2" xfId="22785" xr:uid="{E06E8BF5-96AC-45BF-A559-D1DF30718C8F}"/>
    <cellStyle name="Percent 10 3 4 3 3 4" xfId="22786" xr:uid="{563E0FF4-327A-4382-A4DB-2C22AAE037CF}"/>
    <cellStyle name="Percent 10 3 4 3 3 4 2" xfId="22787" xr:uid="{94BAE21D-7706-4BE7-9ACD-858772F28A26}"/>
    <cellStyle name="Percent 10 3 4 3 3 5" xfId="22788" xr:uid="{F1147733-F65B-41A0-BA67-3E9205FE52B5}"/>
    <cellStyle name="Percent 10 3 4 3 4" xfId="22789" xr:uid="{2C933DDA-3B16-4EFA-87B7-1391B4F3DF2B}"/>
    <cellStyle name="Percent 10 3 4 3 4 2" xfId="22790" xr:uid="{820B9A07-E197-4CE5-974B-72AF0C0020A5}"/>
    <cellStyle name="Percent 10 3 4 3 5" xfId="22791" xr:uid="{0E0C3438-90D7-45E8-85E5-178911794072}"/>
    <cellStyle name="Percent 10 3 4 3 5 2" xfId="22792" xr:uid="{1382047D-C653-4910-9F0E-21371EAABDDB}"/>
    <cellStyle name="Percent 10 3 4 3 6" xfId="22793" xr:uid="{13F77320-ABC3-4E47-A6D8-47E39B4E7241}"/>
    <cellStyle name="Percent 10 3 4 3 6 2" xfId="22794" xr:uid="{2A8D2B2D-2009-4539-9F19-254B66362D71}"/>
    <cellStyle name="Percent 10 3 4 3 7" xfId="22795" xr:uid="{4069D272-7FF5-44EA-A7A4-EF7EB4FA03CA}"/>
    <cellStyle name="Percent 10 3 4 3 7 2" xfId="22796" xr:uid="{B7DE301B-8620-4A9C-B9C6-764993611FE4}"/>
    <cellStyle name="Percent 10 3 4 3 8" xfId="22797" xr:uid="{E1B49FDF-443B-466A-A8AB-EBCE5D46B661}"/>
    <cellStyle name="Percent 10 3 4 3 8 2" xfId="22798" xr:uid="{1B8A1375-70D0-43A8-BC8A-2AAED999B1CA}"/>
    <cellStyle name="Percent 10 3 4 3 9" xfId="22799" xr:uid="{6CAA0E5A-B24C-4487-9385-33C249EAD1D7}"/>
    <cellStyle name="Percent 10 3 4 4" xfId="22800" xr:uid="{32DA8A46-0D97-48BD-98CB-6DCEBF5C036E}"/>
    <cellStyle name="Percent 10 3 4 4 2" xfId="22801" xr:uid="{01ADD7E2-D0E9-4B45-A4B7-071A37ECFB82}"/>
    <cellStyle name="Percent 10 3 4 4 2 2" xfId="22802" xr:uid="{4DC28D60-AE56-46DE-89B3-0C3F0FACD73B}"/>
    <cellStyle name="Percent 10 3 4 4 3" xfId="22803" xr:uid="{D8DD300E-3FD4-4276-8BC0-0BA72DCF6608}"/>
    <cellStyle name="Percent 10 3 4 4 3 2" xfId="22804" xr:uid="{032FDD37-D027-47EE-B35F-534E471815EF}"/>
    <cellStyle name="Percent 10 3 4 4 4" xfId="22805" xr:uid="{0696F89D-263C-4CEE-9D81-47B71A618924}"/>
    <cellStyle name="Percent 10 3 4 4 4 2" xfId="22806" xr:uid="{700327D0-960A-4791-85EE-E8B77C739259}"/>
    <cellStyle name="Percent 10 3 4 4 5" xfId="22807" xr:uid="{B6A0BCB5-E740-46A8-8ED1-4E4D20F0DABE}"/>
    <cellStyle name="Percent 10 3 4 5" xfId="22808" xr:uid="{C3B37576-36D9-414D-ACA4-63BA734E14CC}"/>
    <cellStyle name="Percent 10 3 4 5 2" xfId="22809" xr:uid="{09CCD0A6-3B46-4D3A-A703-7CA7AA08D6F2}"/>
    <cellStyle name="Percent 10 3 4 5 2 2" xfId="22810" xr:uid="{46B0F9EE-A2C1-48FF-97DC-A7E4C6BDCD3C}"/>
    <cellStyle name="Percent 10 3 4 5 3" xfId="22811" xr:uid="{1D938BF2-4AD8-4824-B52A-177598EC1089}"/>
    <cellStyle name="Percent 10 3 4 5 3 2" xfId="22812" xr:uid="{96B82F6A-7076-4C48-BF6B-984B837D2468}"/>
    <cellStyle name="Percent 10 3 4 5 4" xfId="22813" xr:uid="{A3E7770D-D451-401B-8B24-0704C5AD8B9E}"/>
    <cellStyle name="Percent 10 3 4 5 4 2" xfId="22814" xr:uid="{CE4982C0-6D25-40F2-AAAB-201A8A7EA978}"/>
    <cellStyle name="Percent 10 3 4 5 5" xfId="22815" xr:uid="{7F8B757C-6CB3-4567-B1F5-28BB45E85C74}"/>
    <cellStyle name="Percent 10 3 4 6" xfId="22816" xr:uid="{EACFC4F9-B1D6-4FD8-A3D4-DC95D84EA2BA}"/>
    <cellStyle name="Percent 10 3 4 6 2" xfId="22817" xr:uid="{FCCD3D8B-F755-49CB-ACBF-B9443C2132D8}"/>
    <cellStyle name="Percent 10 3 4 7" xfId="22818" xr:uid="{D5B3279C-AC00-4657-9495-702B7FA03709}"/>
    <cellStyle name="Percent 10 3 4 7 2" xfId="22819" xr:uid="{DC5FEF4E-5338-4416-A5AF-34EAEE0CF8A3}"/>
    <cellStyle name="Percent 10 3 4 8" xfId="22820" xr:uid="{E2A6829B-D254-4863-B2B3-159FE3280C80}"/>
    <cellStyle name="Percent 10 3 4 8 2" xfId="22821" xr:uid="{43F1B400-CA4C-4E33-89AB-1C465351B769}"/>
    <cellStyle name="Percent 10 3 4 9" xfId="22822" xr:uid="{E5BD48D3-742E-4D24-8096-268B65A580DE}"/>
    <cellStyle name="Percent 10 3 4 9 2" xfId="22823" xr:uid="{EA8A2193-F266-4CB4-A25A-E9CAF156DD09}"/>
    <cellStyle name="Percent 10 3 5" xfId="22824" xr:uid="{9C19FA3B-3467-4939-B11D-5723AC3D0E24}"/>
    <cellStyle name="Percent 10 3 5 10" xfId="22825" xr:uid="{909DF3F6-BCBB-4EB6-A97D-A4A02AC30645}"/>
    <cellStyle name="Percent 10 3 5 10 2" xfId="22826" xr:uid="{D3804255-62D4-4670-8935-7007D2169041}"/>
    <cellStyle name="Percent 10 3 5 11" xfId="22827" xr:uid="{EABBC5E3-1E6E-4DAE-A7B0-A00242C47540}"/>
    <cellStyle name="Percent 10 3 5 2" xfId="22828" xr:uid="{52CEB18F-E257-48C3-96D9-607065ADDA2C}"/>
    <cellStyle name="Percent 10 3 5 2 10" xfId="22829" xr:uid="{A32EDD9B-25FA-495C-AB53-CBF4EC8BC628}"/>
    <cellStyle name="Percent 10 3 5 2 2" xfId="22830" xr:uid="{4EA82EB0-B38A-442A-B518-483B00898CBB}"/>
    <cellStyle name="Percent 10 3 5 2 2 2" xfId="22831" xr:uid="{50C6FF53-40FD-4115-B136-13CA1A4532A2}"/>
    <cellStyle name="Percent 10 3 5 2 2 2 2" xfId="22832" xr:uid="{4F9D82F6-ED23-482F-9FC6-C289F8EE176C}"/>
    <cellStyle name="Percent 10 3 5 2 2 2 2 2" xfId="22833" xr:uid="{53AEB9FE-87E0-4072-B1BF-D6C7BDCE759F}"/>
    <cellStyle name="Percent 10 3 5 2 2 2 3" xfId="22834" xr:uid="{AD4712BE-05E1-4E4D-9EFE-B2E581B57F47}"/>
    <cellStyle name="Percent 10 3 5 2 2 2 3 2" xfId="22835" xr:uid="{C26B031D-3947-4A27-A0C4-BC8A4BF579E4}"/>
    <cellStyle name="Percent 10 3 5 2 2 2 4" xfId="22836" xr:uid="{34EECABB-E755-49E3-9850-D76F4AA3A7EE}"/>
    <cellStyle name="Percent 10 3 5 2 2 2 4 2" xfId="22837" xr:uid="{23AAC4CA-A287-4A06-AD67-02582F344657}"/>
    <cellStyle name="Percent 10 3 5 2 2 2 5" xfId="22838" xr:uid="{269EC1A4-A3B5-4782-97C1-9B701134C43A}"/>
    <cellStyle name="Percent 10 3 5 2 2 3" xfId="22839" xr:uid="{8A40CDB1-3EE8-4753-B29F-DFC5A335F9B7}"/>
    <cellStyle name="Percent 10 3 5 2 2 3 2" xfId="22840" xr:uid="{5F9159E8-CE7F-454A-A6DE-D52317607246}"/>
    <cellStyle name="Percent 10 3 5 2 2 3 2 2" xfId="22841" xr:uid="{CF35BDDA-B279-4E6C-B4AE-909D6DE06849}"/>
    <cellStyle name="Percent 10 3 5 2 2 3 3" xfId="22842" xr:uid="{01835297-1343-446F-AA99-B462722E4E88}"/>
    <cellStyle name="Percent 10 3 5 2 2 3 3 2" xfId="22843" xr:uid="{432AF2CA-9133-4A64-9545-7862AE1958E0}"/>
    <cellStyle name="Percent 10 3 5 2 2 3 4" xfId="22844" xr:uid="{A33CFE5E-3A1A-4877-BD73-DBC145BDFF01}"/>
    <cellStyle name="Percent 10 3 5 2 2 3 4 2" xfId="22845" xr:uid="{517FCE35-3DDF-43BB-A3A8-E6A9CB407C06}"/>
    <cellStyle name="Percent 10 3 5 2 2 3 5" xfId="22846" xr:uid="{8866AFF4-F201-45D6-9207-0C98B4098100}"/>
    <cellStyle name="Percent 10 3 5 2 2 4" xfId="22847" xr:uid="{6F5CD42E-8B75-40E0-8C0F-92F78DC627D0}"/>
    <cellStyle name="Percent 10 3 5 2 2 4 2" xfId="22848" xr:uid="{762B40F7-C503-4B15-8BE2-659D271132D7}"/>
    <cellStyle name="Percent 10 3 5 2 2 5" xfId="22849" xr:uid="{97E5CE5C-9B48-4124-B46A-2A3E1B931E85}"/>
    <cellStyle name="Percent 10 3 5 2 2 5 2" xfId="22850" xr:uid="{ED02DAE9-9C56-42A5-B274-8373E2A5B637}"/>
    <cellStyle name="Percent 10 3 5 2 2 6" xfId="22851" xr:uid="{8A97CF40-86B2-473D-B9C7-551FCF36D321}"/>
    <cellStyle name="Percent 10 3 5 2 2 6 2" xfId="22852" xr:uid="{C55813BC-1FCD-43F6-A936-86D7C7F65B32}"/>
    <cellStyle name="Percent 10 3 5 2 2 7" xfId="22853" xr:uid="{10973CB6-9D47-4F9E-92C7-2E9ACB72456E}"/>
    <cellStyle name="Percent 10 3 5 2 2 7 2" xfId="22854" xr:uid="{6C0CAE47-EAC9-4793-A10F-6173F06DBD9F}"/>
    <cellStyle name="Percent 10 3 5 2 2 8" xfId="22855" xr:uid="{AA112875-2055-4B1E-8B1F-FD3ED378E9E5}"/>
    <cellStyle name="Percent 10 3 5 2 2 8 2" xfId="22856" xr:uid="{B57BCEA7-DE90-49AC-820E-59FC659D659D}"/>
    <cellStyle name="Percent 10 3 5 2 2 9" xfId="22857" xr:uid="{E32ECEB9-FC03-4703-8580-4C1C0A6E2805}"/>
    <cellStyle name="Percent 10 3 5 2 3" xfId="22858" xr:uid="{D5C6B49F-94DC-4AFA-BA3D-81670B276AC7}"/>
    <cellStyle name="Percent 10 3 5 2 3 2" xfId="22859" xr:uid="{A0A857C4-6C50-4FEC-BD2B-ED81B3AE3C8B}"/>
    <cellStyle name="Percent 10 3 5 2 3 2 2" xfId="22860" xr:uid="{AFD21A13-9889-474F-AFE5-2994B3FB2F18}"/>
    <cellStyle name="Percent 10 3 5 2 3 3" xfId="22861" xr:uid="{90730A4F-CD44-4289-B20E-6952181B27D7}"/>
    <cellStyle name="Percent 10 3 5 2 3 3 2" xfId="22862" xr:uid="{C9E8C8DD-6E33-4B2D-92E6-94DBDAABFE71}"/>
    <cellStyle name="Percent 10 3 5 2 3 4" xfId="22863" xr:uid="{7CA44FBC-F454-4339-B0A4-7BA304D4C732}"/>
    <cellStyle name="Percent 10 3 5 2 3 4 2" xfId="22864" xr:uid="{0FCF8132-CA5F-4904-B061-5932B6572C58}"/>
    <cellStyle name="Percent 10 3 5 2 3 5" xfId="22865" xr:uid="{0207A527-BAAF-4B0B-B258-14F246D2BF68}"/>
    <cellStyle name="Percent 10 3 5 2 4" xfId="22866" xr:uid="{69593DAF-64E4-42F3-B581-E717D032C961}"/>
    <cellStyle name="Percent 10 3 5 2 4 2" xfId="22867" xr:uid="{93FDB79A-28D0-4E27-B853-4BBD44DA85E0}"/>
    <cellStyle name="Percent 10 3 5 2 4 2 2" xfId="22868" xr:uid="{CA55B5BC-0766-483C-BD57-C28360D1F71F}"/>
    <cellStyle name="Percent 10 3 5 2 4 3" xfId="22869" xr:uid="{80924A41-95CD-4FB6-B1AC-3A6F51D042DA}"/>
    <cellStyle name="Percent 10 3 5 2 4 3 2" xfId="22870" xr:uid="{E174B5B0-677B-47F7-8393-B5C263936733}"/>
    <cellStyle name="Percent 10 3 5 2 4 4" xfId="22871" xr:uid="{3021BF1D-AC65-4F1B-85A9-20AFB34DC668}"/>
    <cellStyle name="Percent 10 3 5 2 4 4 2" xfId="22872" xr:uid="{1A1BF051-3B7A-4727-8A2E-621FB2247E2A}"/>
    <cellStyle name="Percent 10 3 5 2 4 5" xfId="22873" xr:uid="{F289CEEC-90E3-4490-8F12-6D3A08BCBB9C}"/>
    <cellStyle name="Percent 10 3 5 2 5" xfId="22874" xr:uid="{239B103B-B525-4234-804A-7A48A5F76894}"/>
    <cellStyle name="Percent 10 3 5 2 5 2" xfId="22875" xr:uid="{7DA4E001-F561-47DF-9E03-B638EB637605}"/>
    <cellStyle name="Percent 10 3 5 2 6" xfId="22876" xr:uid="{B1B981D9-233E-4F8C-869D-F1AFB901DD30}"/>
    <cellStyle name="Percent 10 3 5 2 6 2" xfId="22877" xr:uid="{CAA667DF-EFD3-4761-9573-8D7CD808AFC5}"/>
    <cellStyle name="Percent 10 3 5 2 7" xfId="22878" xr:uid="{7AD6FA80-E3D4-4F4B-A4A3-DD3F50866A58}"/>
    <cellStyle name="Percent 10 3 5 2 7 2" xfId="22879" xr:uid="{8D2547EE-CDCA-4C12-AD15-375061CCE438}"/>
    <cellStyle name="Percent 10 3 5 2 8" xfId="22880" xr:uid="{2B90018F-D722-44C8-B786-B38A80A5B2DE}"/>
    <cellStyle name="Percent 10 3 5 2 8 2" xfId="22881" xr:uid="{E44BA3BD-1054-477A-9A64-4EA458630685}"/>
    <cellStyle name="Percent 10 3 5 2 9" xfId="22882" xr:uid="{DAC71F09-9110-4CF1-9A42-1EA93B53691F}"/>
    <cellStyle name="Percent 10 3 5 2 9 2" xfId="22883" xr:uid="{5DF87B35-EDB3-4972-BB87-D89D8A708D34}"/>
    <cellStyle name="Percent 10 3 5 3" xfId="22884" xr:uid="{740CD2D1-4EE6-4E7E-A0CC-8D04BA28FD7F}"/>
    <cellStyle name="Percent 10 3 5 3 2" xfId="22885" xr:uid="{FED890B0-3062-45A1-9A2B-F8B2D6B160A8}"/>
    <cellStyle name="Percent 10 3 5 3 2 2" xfId="22886" xr:uid="{35BBAB2E-C7AF-41A1-9FED-58F18C293DB4}"/>
    <cellStyle name="Percent 10 3 5 3 2 2 2" xfId="22887" xr:uid="{4AA8FB3C-948C-48D1-928E-4A99318BAD1C}"/>
    <cellStyle name="Percent 10 3 5 3 2 3" xfId="22888" xr:uid="{B2953D95-AF6C-4C6B-ADFC-7A45DEFE1C93}"/>
    <cellStyle name="Percent 10 3 5 3 2 3 2" xfId="22889" xr:uid="{242A1D42-7957-42BB-B9A2-188388284090}"/>
    <cellStyle name="Percent 10 3 5 3 2 4" xfId="22890" xr:uid="{476C288F-F82D-4B54-91A5-FB12E07A6C98}"/>
    <cellStyle name="Percent 10 3 5 3 2 4 2" xfId="22891" xr:uid="{F3F8D5E3-8C74-4130-9F9D-789DF3C42FFB}"/>
    <cellStyle name="Percent 10 3 5 3 2 5" xfId="22892" xr:uid="{9D9759CE-9D44-4C69-A399-13D0E7A27C2D}"/>
    <cellStyle name="Percent 10 3 5 3 3" xfId="22893" xr:uid="{AE97E68D-F75A-41BD-BDE4-6E1199D08E29}"/>
    <cellStyle name="Percent 10 3 5 3 3 2" xfId="22894" xr:uid="{76F8615D-8154-45B5-ACE2-41B58E210451}"/>
    <cellStyle name="Percent 10 3 5 3 3 2 2" xfId="22895" xr:uid="{D04116D4-C698-4BD1-A104-6CAD5F296201}"/>
    <cellStyle name="Percent 10 3 5 3 3 3" xfId="22896" xr:uid="{636BC470-8C25-4D23-A148-DC22514EDDC0}"/>
    <cellStyle name="Percent 10 3 5 3 3 3 2" xfId="22897" xr:uid="{31A38057-09C1-48EF-A7D3-CC8C7AF698FE}"/>
    <cellStyle name="Percent 10 3 5 3 3 4" xfId="22898" xr:uid="{4BC4FEFD-8E56-4955-941D-682423D1FE6C}"/>
    <cellStyle name="Percent 10 3 5 3 3 4 2" xfId="22899" xr:uid="{86B15DED-78C0-45E6-8F8F-6A9568C982AA}"/>
    <cellStyle name="Percent 10 3 5 3 3 5" xfId="22900" xr:uid="{1E1CBA0C-0E94-4C4F-AD77-43A7376A9F4B}"/>
    <cellStyle name="Percent 10 3 5 3 4" xfId="22901" xr:uid="{ABAE8675-C562-46ED-8864-0E9D7128619D}"/>
    <cellStyle name="Percent 10 3 5 3 4 2" xfId="22902" xr:uid="{C1046BF5-FF64-45B4-9E57-1CB43FB45453}"/>
    <cellStyle name="Percent 10 3 5 3 5" xfId="22903" xr:uid="{E409D2B5-D624-46D9-92A5-2BF23B01ADB4}"/>
    <cellStyle name="Percent 10 3 5 3 5 2" xfId="22904" xr:uid="{E887AC0B-6575-4684-BEA6-F277D73BCC1C}"/>
    <cellStyle name="Percent 10 3 5 3 6" xfId="22905" xr:uid="{94F740DF-FE19-466E-ADD7-F51D032AE93C}"/>
    <cellStyle name="Percent 10 3 5 3 6 2" xfId="22906" xr:uid="{7B553474-A384-4956-93E1-ECA50B8EB382}"/>
    <cellStyle name="Percent 10 3 5 3 7" xfId="22907" xr:uid="{76BB1548-7DC7-490B-956D-AFF46E645B0A}"/>
    <cellStyle name="Percent 10 3 5 3 7 2" xfId="22908" xr:uid="{36A87201-5C8F-4488-86C8-4C1AD416B313}"/>
    <cellStyle name="Percent 10 3 5 3 8" xfId="22909" xr:uid="{0427AD6B-4E23-4FA0-8A37-08D643E35D27}"/>
    <cellStyle name="Percent 10 3 5 3 8 2" xfId="22910" xr:uid="{99FC9C91-A08B-4A12-9CF7-77626784C852}"/>
    <cellStyle name="Percent 10 3 5 3 9" xfId="22911" xr:uid="{971CD4A7-1FE0-4957-BC75-CA71B68E532A}"/>
    <cellStyle name="Percent 10 3 5 4" xfId="22912" xr:uid="{5D1507A2-E30D-41DF-8E69-043B1A19F002}"/>
    <cellStyle name="Percent 10 3 5 4 2" xfId="22913" xr:uid="{70A11EA4-185B-401D-B9B8-2B2DCDEDB970}"/>
    <cellStyle name="Percent 10 3 5 4 2 2" xfId="22914" xr:uid="{2A1477AF-9D09-47FE-B404-1B75E5CE5F7F}"/>
    <cellStyle name="Percent 10 3 5 4 3" xfId="22915" xr:uid="{F2A02609-6BB9-40DF-A1DB-BB7AA0A0E0F2}"/>
    <cellStyle name="Percent 10 3 5 4 3 2" xfId="22916" xr:uid="{E2BB4DFE-856A-4BBF-B9E9-D407DA63951B}"/>
    <cellStyle name="Percent 10 3 5 4 4" xfId="22917" xr:uid="{81666B41-1F51-4DB2-A01D-18796ACAA5A5}"/>
    <cellStyle name="Percent 10 3 5 4 4 2" xfId="22918" xr:uid="{2F933357-1CDE-4D7C-826C-CD632FE09E4C}"/>
    <cellStyle name="Percent 10 3 5 4 5" xfId="22919" xr:uid="{CFE0F332-EF7D-446A-9B1C-54AFAB8C8D88}"/>
    <cellStyle name="Percent 10 3 5 5" xfId="22920" xr:uid="{4CC87E0F-8B40-4D79-8359-14F8C4B45627}"/>
    <cellStyle name="Percent 10 3 5 5 2" xfId="22921" xr:uid="{85ABDEED-5454-4E57-809B-E536BEECB93A}"/>
    <cellStyle name="Percent 10 3 5 5 2 2" xfId="22922" xr:uid="{1CAB7BB8-919D-47AA-B38A-BF84344D3EA4}"/>
    <cellStyle name="Percent 10 3 5 5 3" xfId="22923" xr:uid="{194E73BC-3441-47E1-A050-C77990D0383F}"/>
    <cellStyle name="Percent 10 3 5 5 3 2" xfId="22924" xr:uid="{E048E479-2D85-437E-B6B2-E8AE520A9E6B}"/>
    <cellStyle name="Percent 10 3 5 5 4" xfId="22925" xr:uid="{05EFD045-7D32-4D0D-9FDF-45AE28278074}"/>
    <cellStyle name="Percent 10 3 5 5 4 2" xfId="22926" xr:uid="{34F361DB-5441-4AA4-B7B7-BEA4F0962061}"/>
    <cellStyle name="Percent 10 3 5 5 5" xfId="22927" xr:uid="{856E7FB4-F5B4-4635-879A-7D477F671069}"/>
    <cellStyle name="Percent 10 3 5 6" xfId="22928" xr:uid="{24D984F1-BA0B-4560-B093-C8E4C5218CB6}"/>
    <cellStyle name="Percent 10 3 5 6 2" xfId="22929" xr:uid="{FAEB535B-79B1-4617-A013-3D814E334FAE}"/>
    <cellStyle name="Percent 10 3 5 7" xfId="22930" xr:uid="{3064DE2E-F540-4D1C-A3A5-26811927F40C}"/>
    <cellStyle name="Percent 10 3 5 7 2" xfId="22931" xr:uid="{6072B7AB-BBA4-4C65-AC4E-7201936F6AFF}"/>
    <cellStyle name="Percent 10 3 5 8" xfId="22932" xr:uid="{A3EB5478-99DF-42F7-A877-7BF2ACC63623}"/>
    <cellStyle name="Percent 10 3 5 8 2" xfId="22933" xr:uid="{213586F7-BF77-4848-89C8-D01B24C39A3F}"/>
    <cellStyle name="Percent 10 3 5 9" xfId="22934" xr:uid="{5CB5FC5E-8A05-4FA2-8F9F-CA3A7259AA65}"/>
    <cellStyle name="Percent 10 3 5 9 2" xfId="22935" xr:uid="{18FE7EFB-5177-4436-97A4-6AC276596D68}"/>
    <cellStyle name="Percent 10 3 6" xfId="22936" xr:uid="{C94897EC-E811-4851-8010-B193879471E1}"/>
    <cellStyle name="Percent 10 3 6 10" xfId="22937" xr:uid="{DC864BBC-A541-4DE3-B524-8AD6BDD81BF4}"/>
    <cellStyle name="Percent 10 3 6 2" xfId="22938" xr:uid="{A67FFB34-9136-48B3-A7D1-64FEA9187347}"/>
    <cellStyle name="Percent 10 3 6 2 2" xfId="22939" xr:uid="{A6534D6C-1AFC-4E42-9C5F-EE02AC4D64F5}"/>
    <cellStyle name="Percent 10 3 6 2 2 2" xfId="22940" xr:uid="{638FECB4-72C0-425D-8BBF-977507391C4A}"/>
    <cellStyle name="Percent 10 3 6 2 2 2 2" xfId="22941" xr:uid="{5C57446A-0E0D-4542-A52D-9BACE724A3E2}"/>
    <cellStyle name="Percent 10 3 6 2 2 3" xfId="22942" xr:uid="{27689794-9D01-462B-AAF4-DF3826E0DE13}"/>
    <cellStyle name="Percent 10 3 6 2 2 3 2" xfId="22943" xr:uid="{8816126E-037C-46DB-8A3E-91E78A163B21}"/>
    <cellStyle name="Percent 10 3 6 2 2 4" xfId="22944" xr:uid="{13CB8E3C-14E0-47E7-B65F-F4DB28B93383}"/>
    <cellStyle name="Percent 10 3 6 2 2 4 2" xfId="22945" xr:uid="{9EA0831C-B305-4AD3-827B-91E1C26911C8}"/>
    <cellStyle name="Percent 10 3 6 2 2 5" xfId="22946" xr:uid="{669D342F-0240-4FE5-9B23-8A099A221670}"/>
    <cellStyle name="Percent 10 3 6 2 3" xfId="22947" xr:uid="{0D569C50-408E-4E86-9C93-DB1626269E08}"/>
    <cellStyle name="Percent 10 3 6 2 3 2" xfId="22948" xr:uid="{3345BABF-BDC3-4ACB-8E6C-B947F80DFDD2}"/>
    <cellStyle name="Percent 10 3 6 2 3 2 2" xfId="22949" xr:uid="{2CEE3B9B-D2D3-4746-88FE-062F43E7A49F}"/>
    <cellStyle name="Percent 10 3 6 2 3 3" xfId="22950" xr:uid="{342F5335-CA2A-4B98-982F-8F0D8E350295}"/>
    <cellStyle name="Percent 10 3 6 2 3 3 2" xfId="22951" xr:uid="{10816075-8DF8-4671-8AE5-12B2AB8F9018}"/>
    <cellStyle name="Percent 10 3 6 2 3 4" xfId="22952" xr:uid="{9F038954-94E4-47A7-B8FA-9C3077E79746}"/>
    <cellStyle name="Percent 10 3 6 2 3 4 2" xfId="22953" xr:uid="{0478E707-02AC-48D0-869C-1F5224E7BCF7}"/>
    <cellStyle name="Percent 10 3 6 2 3 5" xfId="22954" xr:uid="{ED306C4A-DD42-48CE-B5E1-B15F53482A7F}"/>
    <cellStyle name="Percent 10 3 6 2 4" xfId="22955" xr:uid="{21B72B04-507C-4609-AB0A-19DB5351918A}"/>
    <cellStyle name="Percent 10 3 6 2 4 2" xfId="22956" xr:uid="{AA63B1A9-6A16-4B9A-9EA0-A784F428ED65}"/>
    <cellStyle name="Percent 10 3 6 2 5" xfId="22957" xr:uid="{127D6BEF-68FC-4315-A8B9-6CD2C917C1A0}"/>
    <cellStyle name="Percent 10 3 6 2 5 2" xfId="22958" xr:uid="{58FF5A24-2D00-48EB-9416-A6DC05094741}"/>
    <cellStyle name="Percent 10 3 6 2 6" xfId="22959" xr:uid="{F16F146A-06D1-42F1-B1D8-A0672416BCD3}"/>
    <cellStyle name="Percent 10 3 6 2 6 2" xfId="22960" xr:uid="{DDD991A3-33E8-48CE-BBA7-7887E813DF03}"/>
    <cellStyle name="Percent 10 3 6 2 7" xfId="22961" xr:uid="{12935F44-EC2A-4746-8992-8E6607AE3359}"/>
    <cellStyle name="Percent 10 3 6 2 7 2" xfId="22962" xr:uid="{0E1D5FB5-9AB9-4206-A2CE-25FB4F3B9BFB}"/>
    <cellStyle name="Percent 10 3 6 2 8" xfId="22963" xr:uid="{E1B01DEA-9179-4530-BC2F-084524DE797C}"/>
    <cellStyle name="Percent 10 3 6 2 8 2" xfId="22964" xr:uid="{5EB554DE-825E-4D07-BCC1-AE7F07DA56C2}"/>
    <cellStyle name="Percent 10 3 6 2 9" xfId="22965" xr:uid="{A1E2D7D6-33CC-46A0-9100-5D73CE6122CD}"/>
    <cellStyle name="Percent 10 3 6 3" xfId="22966" xr:uid="{33C252AB-1FFF-4F5F-8B81-B20878334EC9}"/>
    <cellStyle name="Percent 10 3 6 3 2" xfId="22967" xr:uid="{F2B8653D-021A-4A06-93EB-80940600ED82}"/>
    <cellStyle name="Percent 10 3 6 3 2 2" xfId="22968" xr:uid="{82B49C89-E199-4C55-9638-86DF89D1B33C}"/>
    <cellStyle name="Percent 10 3 6 3 3" xfId="22969" xr:uid="{43831A77-E5FA-42F2-A720-CEA8983C7F23}"/>
    <cellStyle name="Percent 10 3 6 3 3 2" xfId="22970" xr:uid="{B0FB43F7-6E32-4C0D-8ED5-88C2DC783611}"/>
    <cellStyle name="Percent 10 3 6 3 4" xfId="22971" xr:uid="{7ADD7250-3D30-4F67-9AA0-A57A2D6710CA}"/>
    <cellStyle name="Percent 10 3 6 3 4 2" xfId="22972" xr:uid="{0761B5B5-29D7-40DD-A730-66A8D4EF4B79}"/>
    <cellStyle name="Percent 10 3 6 3 5" xfId="22973" xr:uid="{0FBB6B01-CEBD-490D-A5DB-F0EBE18A79E7}"/>
    <cellStyle name="Percent 10 3 6 4" xfId="22974" xr:uid="{4B24DB22-4087-4F45-8E87-FF8D76AFA622}"/>
    <cellStyle name="Percent 10 3 6 4 2" xfId="22975" xr:uid="{2CE40B2F-63E3-4767-915B-3B134DFB51E4}"/>
    <cellStyle name="Percent 10 3 6 4 2 2" xfId="22976" xr:uid="{74C0A122-7B40-499A-A6EA-0A421A24DDE5}"/>
    <cellStyle name="Percent 10 3 6 4 3" xfId="22977" xr:uid="{EFD3E72E-70C1-43CF-8475-5FEBF81F9A50}"/>
    <cellStyle name="Percent 10 3 6 4 3 2" xfId="22978" xr:uid="{1B2778B2-9388-446E-9616-3A36D7535869}"/>
    <cellStyle name="Percent 10 3 6 4 4" xfId="22979" xr:uid="{541F41CE-C89B-41B0-8878-B7E73D3E3119}"/>
    <cellStyle name="Percent 10 3 6 4 4 2" xfId="22980" xr:uid="{6AFFAD08-1AAA-4FCB-BED8-F09C8E45DFBD}"/>
    <cellStyle name="Percent 10 3 6 4 5" xfId="22981" xr:uid="{6C3B7176-EBF3-4198-8E36-FF9BFC9E4D74}"/>
    <cellStyle name="Percent 10 3 6 5" xfId="22982" xr:uid="{8FDD9FFF-ABDC-4A92-B238-D06E0C67FA8C}"/>
    <cellStyle name="Percent 10 3 6 5 2" xfId="22983" xr:uid="{F98F7508-7F2B-4373-B33C-0544F59ED524}"/>
    <cellStyle name="Percent 10 3 6 6" xfId="22984" xr:uid="{0A5B42B9-3F37-441C-B249-FDD850DB9198}"/>
    <cellStyle name="Percent 10 3 6 6 2" xfId="22985" xr:uid="{99680FCF-E5B8-459A-B934-A83C4C613A2F}"/>
    <cellStyle name="Percent 10 3 6 7" xfId="22986" xr:uid="{3AE39113-5BB7-4B75-9FD7-CF25B715B9A0}"/>
    <cellStyle name="Percent 10 3 6 7 2" xfId="22987" xr:uid="{F66D2EE6-E458-448A-BCDC-B3658AC8EACD}"/>
    <cellStyle name="Percent 10 3 6 8" xfId="22988" xr:uid="{1782DD96-8CA5-4A81-BD41-8A0762E37D94}"/>
    <cellStyle name="Percent 10 3 6 8 2" xfId="22989" xr:uid="{D44BCA8A-1D81-4146-B223-86F0E7C96E58}"/>
    <cellStyle name="Percent 10 3 6 9" xfId="22990" xr:uid="{180863B5-4124-404A-8B7F-2AD00CA9DFDB}"/>
    <cellStyle name="Percent 10 3 6 9 2" xfId="22991" xr:uid="{3DCA2E38-699B-41FF-9DE5-193051230435}"/>
    <cellStyle name="Percent 10 3 7" xfId="22992" xr:uid="{CE7093A9-3D06-499E-9213-7D994E7F6387}"/>
    <cellStyle name="Percent 10 3 7 2" xfId="22993" xr:uid="{6D8FE34A-82DC-4BF9-9E67-6D83273BBE25}"/>
    <cellStyle name="Percent 10 3 7 2 2" xfId="22994" xr:uid="{40BF30F6-D60A-41DB-8326-314B33833FE5}"/>
    <cellStyle name="Percent 10 3 7 2 2 2" xfId="22995" xr:uid="{E8708944-7A40-45EF-86B5-F4262626B651}"/>
    <cellStyle name="Percent 10 3 7 2 3" xfId="22996" xr:uid="{E0FB3FE4-42C5-409C-8A5D-F7325FEA7B5D}"/>
    <cellStyle name="Percent 10 3 7 2 3 2" xfId="22997" xr:uid="{54A694AD-7768-46B7-ADAF-DE7063234E30}"/>
    <cellStyle name="Percent 10 3 7 2 4" xfId="22998" xr:uid="{C8512D42-9A87-49A0-AA47-CDF4A6112B77}"/>
    <cellStyle name="Percent 10 3 7 2 4 2" xfId="22999" xr:uid="{F3CE6000-8DDE-4929-8B80-68B7CB999256}"/>
    <cellStyle name="Percent 10 3 7 2 5" xfId="23000" xr:uid="{E5D00177-B8EC-41B1-8829-CE1B20B109E9}"/>
    <cellStyle name="Percent 10 3 7 3" xfId="23001" xr:uid="{C87854B1-A477-41E2-AF43-BFFA39DF2230}"/>
    <cellStyle name="Percent 10 3 7 3 2" xfId="23002" xr:uid="{79B4B159-EB6A-43E4-98A0-01B6372715B5}"/>
    <cellStyle name="Percent 10 3 7 3 2 2" xfId="23003" xr:uid="{C0D4165D-163F-4C12-98A2-BD8DE63F6761}"/>
    <cellStyle name="Percent 10 3 7 3 3" xfId="23004" xr:uid="{7F00A478-81C0-45BE-8475-55418DF4ED45}"/>
    <cellStyle name="Percent 10 3 7 3 3 2" xfId="23005" xr:uid="{124D0E48-0E4A-47FE-AACF-949B452BDAC6}"/>
    <cellStyle name="Percent 10 3 7 3 4" xfId="23006" xr:uid="{DAA1FB39-4BE7-46CF-A9E8-E0B00BC1F0E0}"/>
    <cellStyle name="Percent 10 3 7 3 4 2" xfId="23007" xr:uid="{D6B5AE3F-8268-4F5F-835E-86C65830BC12}"/>
    <cellStyle name="Percent 10 3 7 3 5" xfId="23008" xr:uid="{638D9D8A-005B-4919-85B3-87156AEB5E15}"/>
    <cellStyle name="Percent 10 3 7 4" xfId="23009" xr:uid="{6002D97E-DABB-46EF-A5B6-F04A512522F0}"/>
    <cellStyle name="Percent 10 3 7 4 2" xfId="23010" xr:uid="{F7BCA265-93A1-41BA-BB90-D21FD59E442E}"/>
    <cellStyle name="Percent 10 3 7 5" xfId="23011" xr:uid="{F2C5C843-535C-4BEE-8DAC-41685C4E445B}"/>
    <cellStyle name="Percent 10 3 7 5 2" xfId="23012" xr:uid="{E1E07329-DAC4-44BB-B739-3A7AB3FC4687}"/>
    <cellStyle name="Percent 10 3 7 6" xfId="23013" xr:uid="{DE0ED5C7-4B34-416C-808A-F4E92D49AD9C}"/>
    <cellStyle name="Percent 10 3 7 6 2" xfId="23014" xr:uid="{D7B354C2-1A74-4F65-BE4F-F4CCF0F467AC}"/>
    <cellStyle name="Percent 10 3 7 7" xfId="23015" xr:uid="{D443FA16-C42A-43CA-9C54-853F88F6478C}"/>
    <cellStyle name="Percent 10 3 7 7 2" xfId="23016" xr:uid="{48512EAE-D83E-4A3A-B15B-AB406C4FC37B}"/>
    <cellStyle name="Percent 10 3 7 8" xfId="23017" xr:uid="{E547EB96-4597-48D1-8E4A-139F37F68A0F}"/>
    <cellStyle name="Percent 10 3 7 8 2" xfId="23018" xr:uid="{097391D3-F079-49A0-944A-3DBB39C9770D}"/>
    <cellStyle name="Percent 10 3 7 9" xfId="23019" xr:uid="{45FC46B0-D584-48BD-86AC-5AF8AE4B5989}"/>
    <cellStyle name="Percent 10 3 8" xfId="23020" xr:uid="{887CCAD5-FF19-43C5-BEAB-87FCA0D5CE94}"/>
    <cellStyle name="Percent 10 3 8 2" xfId="23021" xr:uid="{88611425-4B32-401E-BA63-C10624D5A6ED}"/>
    <cellStyle name="Percent 10 3 8 2 2" xfId="23022" xr:uid="{067273B1-F1DE-4141-9874-18BD3ED377EE}"/>
    <cellStyle name="Percent 10 3 8 3" xfId="23023" xr:uid="{9E1E9311-3FA4-40E3-9C56-9512219DCDB0}"/>
    <cellStyle name="Percent 10 3 8 3 2" xfId="23024" xr:uid="{281660CC-1BF7-42C5-B6EF-6778106508E6}"/>
    <cellStyle name="Percent 10 3 8 4" xfId="23025" xr:uid="{6B787003-A0EC-4D0A-AF6A-898EA49E3DF8}"/>
    <cellStyle name="Percent 10 3 8 4 2" xfId="23026" xr:uid="{EB62272E-0FCC-407A-90EA-335CE6A928BB}"/>
    <cellStyle name="Percent 10 3 8 5" xfId="23027" xr:uid="{5A95FC92-8DEF-4228-9C29-7485FC25CEB5}"/>
    <cellStyle name="Percent 10 3 9" xfId="23028" xr:uid="{D0E36A1E-F8E2-4E27-AC90-AB0ACE75A0FB}"/>
    <cellStyle name="Percent 10 3 9 2" xfId="23029" xr:uid="{78D74F02-0348-4C83-99A7-5AF9DBAA9F20}"/>
    <cellStyle name="Percent 10 3 9 2 2" xfId="23030" xr:uid="{3C926782-0ABD-4305-8D96-A25454F2988D}"/>
    <cellStyle name="Percent 10 3 9 3" xfId="23031" xr:uid="{CAB1C3D8-F5A0-44C7-B4A7-2EC6CE3B821E}"/>
    <cellStyle name="Percent 10 3 9 3 2" xfId="23032" xr:uid="{41A60247-0851-42F8-B6E7-5A6027700599}"/>
    <cellStyle name="Percent 10 3 9 4" xfId="23033" xr:uid="{01424AAF-E33B-445B-8351-8B33854F42AB}"/>
    <cellStyle name="Percent 10 3 9 4 2" xfId="23034" xr:uid="{9918A30A-0E74-4B9A-8080-EEAA5801C0F2}"/>
    <cellStyle name="Percent 10 3 9 5" xfId="23035" xr:uid="{5D2F55CF-1D72-4844-A6CF-B032781D23A1}"/>
    <cellStyle name="Percent 10 4" xfId="23036" xr:uid="{91C91C91-E4A4-4F82-AD59-D06FF0D13899}"/>
    <cellStyle name="Percent 10 4 10" xfId="23037" xr:uid="{3FD107E4-91BC-41E5-877C-CCEFBF418E19}"/>
    <cellStyle name="Percent 10 4 10 2" xfId="23038" xr:uid="{8498A9FD-C5C9-4A0D-BF2E-7FBF74AA872C}"/>
    <cellStyle name="Percent 10 4 11" xfId="23039" xr:uid="{13E797C9-2994-4F38-8221-19DCFC5E37B5}"/>
    <cellStyle name="Percent 10 4 12" xfId="43057" xr:uid="{3A679843-F9EC-49C4-9773-4771CE025CE1}"/>
    <cellStyle name="Percent 10 4 2" xfId="23040" xr:uid="{81F4E578-31D9-4E58-B33F-943A569F9CCC}"/>
    <cellStyle name="Percent 10 4 2 10" xfId="23041" xr:uid="{C5C7EAAC-431E-4FAE-828D-FB25163C7A9C}"/>
    <cellStyle name="Percent 10 4 2 11" xfId="43058" xr:uid="{C11FC380-2C89-4014-8CE9-2B00856F324F}"/>
    <cellStyle name="Percent 10 4 2 2" xfId="23042" xr:uid="{2A81C004-23A7-4743-8D0A-694F4A5B585E}"/>
    <cellStyle name="Percent 10 4 2 2 2" xfId="23043" xr:uid="{E849182E-33C4-4D44-A1F6-D576ADED066F}"/>
    <cellStyle name="Percent 10 4 2 2 2 2" xfId="23044" xr:uid="{B4165B34-8E13-4FE6-9DB0-A960529A69CB}"/>
    <cellStyle name="Percent 10 4 2 2 2 2 2" xfId="23045" xr:uid="{07E8A4B5-002E-4A9C-9215-6728B9D97213}"/>
    <cellStyle name="Percent 10 4 2 2 2 3" xfId="23046" xr:uid="{C4665722-725E-4B7F-A45E-C84C02F54619}"/>
    <cellStyle name="Percent 10 4 2 2 2 3 2" xfId="23047" xr:uid="{1F589DD8-8F62-4A24-92B5-310985F95C5A}"/>
    <cellStyle name="Percent 10 4 2 2 2 4" xfId="23048" xr:uid="{E4DFB7DE-90B7-4A18-B598-6154A1FC218E}"/>
    <cellStyle name="Percent 10 4 2 2 2 4 2" xfId="23049" xr:uid="{A4254D43-D199-4C9B-BB71-1BE4E34902A4}"/>
    <cellStyle name="Percent 10 4 2 2 2 5" xfId="23050" xr:uid="{99564968-D492-4546-ACDC-47284D58BF1D}"/>
    <cellStyle name="Percent 10 4 2 2 3" xfId="23051" xr:uid="{39E1E50F-7245-4047-B5FC-9EEDA984E9AE}"/>
    <cellStyle name="Percent 10 4 2 2 3 2" xfId="23052" xr:uid="{CBDC9233-4684-4E7E-B627-D1BA23DE5B25}"/>
    <cellStyle name="Percent 10 4 2 2 3 2 2" xfId="23053" xr:uid="{01904B70-838C-4446-80F3-7D0872878797}"/>
    <cellStyle name="Percent 10 4 2 2 3 3" xfId="23054" xr:uid="{0EAAC723-9DC4-4E62-B36B-D3FE53BD70E3}"/>
    <cellStyle name="Percent 10 4 2 2 3 3 2" xfId="23055" xr:uid="{7CC4776D-5B1F-484E-94EB-5BB493B94039}"/>
    <cellStyle name="Percent 10 4 2 2 3 4" xfId="23056" xr:uid="{3C6E777B-1DB7-4D56-A67C-3D556E87133A}"/>
    <cellStyle name="Percent 10 4 2 2 3 4 2" xfId="23057" xr:uid="{6F36DC97-FD36-4620-8251-81CC26038BBE}"/>
    <cellStyle name="Percent 10 4 2 2 3 5" xfId="23058" xr:uid="{10DF8E1B-0FC5-4D72-A117-CBF584DE5C44}"/>
    <cellStyle name="Percent 10 4 2 2 4" xfId="23059" xr:uid="{4910B527-2818-4475-A11D-3D5E7C36F951}"/>
    <cellStyle name="Percent 10 4 2 2 4 2" xfId="23060" xr:uid="{84AC80AE-4623-4F87-AA4F-C44E83F866FE}"/>
    <cellStyle name="Percent 10 4 2 2 5" xfId="23061" xr:uid="{F2C71635-CFA6-4284-9199-F34DC3F160A1}"/>
    <cellStyle name="Percent 10 4 2 2 5 2" xfId="23062" xr:uid="{AF2C4198-280F-4A18-B8CB-DA1467B67E13}"/>
    <cellStyle name="Percent 10 4 2 2 6" xfId="23063" xr:uid="{0C6166B7-00EA-4056-A60B-3646B997C5A8}"/>
    <cellStyle name="Percent 10 4 2 2 6 2" xfId="23064" xr:uid="{0CA5CB8C-D0E4-4255-BEA9-D39D6287E7AD}"/>
    <cellStyle name="Percent 10 4 2 2 7" xfId="23065" xr:uid="{19A2D194-4655-4857-BABC-C4428A69B686}"/>
    <cellStyle name="Percent 10 4 2 2 7 2" xfId="23066" xr:uid="{BE074798-8715-4583-99F7-84336F2F09EF}"/>
    <cellStyle name="Percent 10 4 2 2 8" xfId="23067" xr:uid="{EA21F929-1439-4DEC-8237-4C8D9962B26D}"/>
    <cellStyle name="Percent 10 4 2 2 8 2" xfId="23068" xr:uid="{E2978C1B-979C-4525-9A7B-1082221581E4}"/>
    <cellStyle name="Percent 10 4 2 2 9" xfId="23069" xr:uid="{E3F06BC7-A42F-4851-891C-646EF953842F}"/>
    <cellStyle name="Percent 10 4 2 3" xfId="23070" xr:uid="{7D0932CC-D032-4CE1-A3F0-BACB5E168BCD}"/>
    <cellStyle name="Percent 10 4 2 3 2" xfId="23071" xr:uid="{2F882EE3-0DAD-4795-97C4-452998F59043}"/>
    <cellStyle name="Percent 10 4 2 3 2 2" xfId="23072" xr:uid="{900583BE-5C03-48AE-8F11-71C74B3671AD}"/>
    <cellStyle name="Percent 10 4 2 3 3" xfId="23073" xr:uid="{E63DC64A-35F3-4F40-B830-B00F9E154C8B}"/>
    <cellStyle name="Percent 10 4 2 3 3 2" xfId="23074" xr:uid="{1233F671-B6CF-4793-B8C0-24B32619E2B7}"/>
    <cellStyle name="Percent 10 4 2 3 4" xfId="23075" xr:uid="{59B7C13F-A245-4FF8-927C-BA6CB6D9F956}"/>
    <cellStyle name="Percent 10 4 2 3 4 2" xfId="23076" xr:uid="{FED679E9-B847-4E3B-9E03-9BA7E4092E02}"/>
    <cellStyle name="Percent 10 4 2 3 5" xfId="23077" xr:uid="{325FE33F-54C3-417F-BEB7-F3DC608D19BE}"/>
    <cellStyle name="Percent 10 4 2 4" xfId="23078" xr:uid="{76030D49-AC5C-4BE1-8AE9-55A71F3300C2}"/>
    <cellStyle name="Percent 10 4 2 4 2" xfId="23079" xr:uid="{BCFB6122-CF83-4BA8-96A8-644748B15A04}"/>
    <cellStyle name="Percent 10 4 2 4 2 2" xfId="23080" xr:uid="{D6968BE2-41D8-458F-A84D-7926575DD959}"/>
    <cellStyle name="Percent 10 4 2 4 3" xfId="23081" xr:uid="{94D43DFF-14AC-45B5-94C0-2939A935A8BB}"/>
    <cellStyle name="Percent 10 4 2 4 3 2" xfId="23082" xr:uid="{E7200694-D9BC-4240-8204-6A5210101917}"/>
    <cellStyle name="Percent 10 4 2 4 4" xfId="23083" xr:uid="{1580926D-4A8F-405D-9446-982B6A3DC094}"/>
    <cellStyle name="Percent 10 4 2 4 4 2" xfId="23084" xr:uid="{2632D94B-6CAC-4228-96A6-919B09424ED9}"/>
    <cellStyle name="Percent 10 4 2 4 5" xfId="23085" xr:uid="{72F66BBF-90F2-46AD-BE7A-C190DD8FF5B8}"/>
    <cellStyle name="Percent 10 4 2 5" xfId="23086" xr:uid="{7CAE6982-A563-46A5-9028-183048123161}"/>
    <cellStyle name="Percent 10 4 2 5 2" xfId="23087" xr:uid="{A3E31D47-19EC-4A4D-877A-2D1091DC696E}"/>
    <cellStyle name="Percent 10 4 2 6" xfId="23088" xr:uid="{2BA12372-8E22-4AE4-8EE6-DD68BCE7039A}"/>
    <cellStyle name="Percent 10 4 2 6 2" xfId="23089" xr:uid="{17D493AF-5876-4E03-8347-B2BE06829C31}"/>
    <cellStyle name="Percent 10 4 2 7" xfId="23090" xr:uid="{ED4E1B74-B8DE-4DFC-AF4B-E791C4FD5D6A}"/>
    <cellStyle name="Percent 10 4 2 7 2" xfId="23091" xr:uid="{8F04F95C-A5B0-4788-BC84-699E72092C19}"/>
    <cellStyle name="Percent 10 4 2 8" xfId="23092" xr:uid="{CD38C643-5676-4CC0-958B-5E432C4ABE4E}"/>
    <cellStyle name="Percent 10 4 2 8 2" xfId="23093" xr:uid="{FA519B23-85EE-49EF-BA36-9FF6A6C574EC}"/>
    <cellStyle name="Percent 10 4 2 9" xfId="23094" xr:uid="{456D1736-3147-4BD6-A06B-C7E7E31D9AE3}"/>
    <cellStyle name="Percent 10 4 2 9 2" xfId="23095" xr:uid="{6E1ED4E5-9DD7-4044-9285-F4AEF3419DF5}"/>
    <cellStyle name="Percent 10 4 3" xfId="23096" xr:uid="{27383832-EF92-437C-AFD4-ECF560F14EED}"/>
    <cellStyle name="Percent 10 4 3 2" xfId="23097" xr:uid="{ACC788D8-1D03-42BE-8909-08614ED9D3D7}"/>
    <cellStyle name="Percent 10 4 3 2 2" xfId="23098" xr:uid="{4CA20FC7-5576-44D0-8E3C-CDE2BCAADBB2}"/>
    <cellStyle name="Percent 10 4 3 2 2 2" xfId="23099" xr:uid="{38C6ACF0-2FD4-49D6-A0F2-576368523541}"/>
    <cellStyle name="Percent 10 4 3 2 3" xfId="23100" xr:uid="{AF71FC79-F82B-4147-B14F-29C1454473DE}"/>
    <cellStyle name="Percent 10 4 3 2 3 2" xfId="23101" xr:uid="{5B1C7CC2-C054-4994-9469-D70DB1A36121}"/>
    <cellStyle name="Percent 10 4 3 2 4" xfId="23102" xr:uid="{E2E53D13-D276-4B14-9D0B-0B614A93A166}"/>
    <cellStyle name="Percent 10 4 3 2 4 2" xfId="23103" xr:uid="{8B5735D2-0B39-41FF-B7ED-6AEBF875D270}"/>
    <cellStyle name="Percent 10 4 3 2 5" xfId="23104" xr:uid="{A10BB791-1CBD-464B-A1D5-CEE69008C358}"/>
    <cellStyle name="Percent 10 4 3 3" xfId="23105" xr:uid="{2BDC9AED-AF96-4A98-BF22-0C603DFCB3F1}"/>
    <cellStyle name="Percent 10 4 3 3 2" xfId="23106" xr:uid="{BD2A9A43-CCD9-4BE9-9B12-949E9FD84E4D}"/>
    <cellStyle name="Percent 10 4 3 3 2 2" xfId="23107" xr:uid="{2ADDAA2D-5086-47EF-9F98-52FE723ADC77}"/>
    <cellStyle name="Percent 10 4 3 3 3" xfId="23108" xr:uid="{DFE791FD-DF29-4E15-9041-015F1291FF64}"/>
    <cellStyle name="Percent 10 4 3 3 3 2" xfId="23109" xr:uid="{FA5DB051-BCB5-4B5E-BB6A-60851EFC700F}"/>
    <cellStyle name="Percent 10 4 3 3 4" xfId="23110" xr:uid="{8F1F4C2B-E4A9-43B4-AEB6-5606B20FC392}"/>
    <cellStyle name="Percent 10 4 3 3 4 2" xfId="23111" xr:uid="{34B40D88-8AA9-4F76-845F-FB74B8D60544}"/>
    <cellStyle name="Percent 10 4 3 3 5" xfId="23112" xr:uid="{DACDD6A3-76E2-4635-83AD-C6EAA9D76018}"/>
    <cellStyle name="Percent 10 4 3 4" xfId="23113" xr:uid="{793EE1F7-5F2A-4E5C-96B6-9B40F42936E9}"/>
    <cellStyle name="Percent 10 4 3 4 2" xfId="23114" xr:uid="{4CFAA7F0-2C98-4F6F-BE2F-BA091E4E64AB}"/>
    <cellStyle name="Percent 10 4 3 5" xfId="23115" xr:uid="{4306CF8C-E828-4687-B395-7DDDE8614C0E}"/>
    <cellStyle name="Percent 10 4 3 5 2" xfId="23116" xr:uid="{27FD170A-DD10-47E2-B390-D2E0D2076E59}"/>
    <cellStyle name="Percent 10 4 3 6" xfId="23117" xr:uid="{1634FC7B-1272-40AC-B0EC-210CEC625100}"/>
    <cellStyle name="Percent 10 4 3 6 2" xfId="23118" xr:uid="{C52FE5A3-F926-4188-BDB4-8AC6085D1C20}"/>
    <cellStyle name="Percent 10 4 3 7" xfId="23119" xr:uid="{21AEBA7C-ED1F-46CF-8B39-E3EED6841610}"/>
    <cellStyle name="Percent 10 4 3 7 2" xfId="23120" xr:uid="{D6C354BC-291F-4B32-9DE3-E453E420DEB4}"/>
    <cellStyle name="Percent 10 4 3 8" xfId="23121" xr:uid="{0461A900-FDFD-4193-9C3A-1F4AF24273E3}"/>
    <cellStyle name="Percent 10 4 3 8 2" xfId="23122" xr:uid="{75856B58-403D-4D5A-A843-106609EF7359}"/>
    <cellStyle name="Percent 10 4 3 9" xfId="23123" xr:uid="{591FEE00-2336-491F-A048-98FC32833C9D}"/>
    <cellStyle name="Percent 10 4 4" xfId="23124" xr:uid="{34743CC4-301F-4C57-B488-AED47B41E8DE}"/>
    <cellStyle name="Percent 10 4 4 2" xfId="23125" xr:uid="{5B227649-53DF-49D1-B2CF-02AC2208EBED}"/>
    <cellStyle name="Percent 10 4 4 2 2" xfId="23126" xr:uid="{FC392C9B-3E28-447D-8549-CC5F929DEAF0}"/>
    <cellStyle name="Percent 10 4 4 3" xfId="23127" xr:uid="{2E5BEB92-55B6-464B-8CF7-64FEF2D45CAF}"/>
    <cellStyle name="Percent 10 4 4 3 2" xfId="23128" xr:uid="{E1CB52F0-3102-4561-BE81-CBC093F23F59}"/>
    <cellStyle name="Percent 10 4 4 4" xfId="23129" xr:uid="{EF6B6A4A-0ADA-430B-8DB8-5E1615C13172}"/>
    <cellStyle name="Percent 10 4 4 4 2" xfId="23130" xr:uid="{B3E4C0EC-E937-4C48-AB08-D254AA69DD4A}"/>
    <cellStyle name="Percent 10 4 4 5" xfId="23131" xr:uid="{5E79D352-F044-483E-9F0C-E9581A49CB3B}"/>
    <cellStyle name="Percent 10 4 5" xfId="23132" xr:uid="{8CE80C40-7263-4A50-BE70-C3495530586A}"/>
    <cellStyle name="Percent 10 4 5 2" xfId="23133" xr:uid="{A68F5A83-52CA-4BBA-AA80-FD59FCC66A3D}"/>
    <cellStyle name="Percent 10 4 5 2 2" xfId="23134" xr:uid="{48C1642B-774E-46B4-A732-E3E2443EBE2A}"/>
    <cellStyle name="Percent 10 4 5 3" xfId="23135" xr:uid="{1A5E4096-CFEA-427A-8714-53A30621CE56}"/>
    <cellStyle name="Percent 10 4 5 3 2" xfId="23136" xr:uid="{E360AC2F-D1F6-41B8-A953-D6146FD50328}"/>
    <cellStyle name="Percent 10 4 5 4" xfId="23137" xr:uid="{E3578474-56CC-47D1-A10F-C3C91DDBAE72}"/>
    <cellStyle name="Percent 10 4 5 4 2" xfId="23138" xr:uid="{42C8941B-7345-47C4-BE7F-88E00E3D6D4C}"/>
    <cellStyle name="Percent 10 4 5 5" xfId="23139" xr:uid="{50419376-4E5B-41D9-A5E2-34D2E36B1F2F}"/>
    <cellStyle name="Percent 10 4 6" xfId="23140" xr:uid="{AD981F63-D97C-495A-AD19-4A33C6603EC4}"/>
    <cellStyle name="Percent 10 4 6 2" xfId="23141" xr:uid="{86827EA5-2FF8-45E7-85F2-08235EC59E2E}"/>
    <cellStyle name="Percent 10 4 7" xfId="23142" xr:uid="{29454B61-D863-4E0A-8839-191819BB36F9}"/>
    <cellStyle name="Percent 10 4 7 2" xfId="23143" xr:uid="{B2CC247D-CD36-42AC-AFE4-8A1EC12F42A7}"/>
    <cellStyle name="Percent 10 4 8" xfId="23144" xr:uid="{3E022BB1-1F0B-4FC6-9CE3-E5AB5F2A0374}"/>
    <cellStyle name="Percent 10 4 8 2" xfId="23145" xr:uid="{6E56A059-B88E-4A5C-9124-E9E3F0BC5560}"/>
    <cellStyle name="Percent 10 4 9" xfId="23146" xr:uid="{EC35DB48-9D42-4F61-8771-DF6AD9DA4BD9}"/>
    <cellStyle name="Percent 10 4 9 2" xfId="23147" xr:uid="{617E3CBE-3075-4889-A565-330E7DF775E8}"/>
    <cellStyle name="Percent 10 5" xfId="23148" xr:uid="{B70D1613-391D-474A-8F24-78BC480019A2}"/>
    <cellStyle name="Percent 10 5 10" xfId="23149" xr:uid="{8055C341-99E9-466D-8075-7B4591A2EFBC}"/>
    <cellStyle name="Percent 10 5 10 2" xfId="23150" xr:uid="{FA993D93-6D23-4A8F-82A8-6C8AA9003C67}"/>
    <cellStyle name="Percent 10 5 11" xfId="23151" xr:uid="{4030BB68-61C0-4350-9DD9-91B9B7D0B214}"/>
    <cellStyle name="Percent 10 5 12" xfId="43059" xr:uid="{88EF2325-658F-40A0-8549-6700D6372491}"/>
    <cellStyle name="Percent 10 5 2" xfId="23152" xr:uid="{6F8FE36F-5841-4A86-B777-62A2794FE8BA}"/>
    <cellStyle name="Percent 10 5 2 10" xfId="23153" xr:uid="{E011C637-A1F8-4D22-BCB5-D03EAD8D1150}"/>
    <cellStyle name="Percent 10 5 2 2" xfId="23154" xr:uid="{4FFE3CB7-BA4C-485A-82AC-0E7F74F6544D}"/>
    <cellStyle name="Percent 10 5 2 2 2" xfId="23155" xr:uid="{25698A09-BAF6-453F-9FBD-02B2E605351B}"/>
    <cellStyle name="Percent 10 5 2 2 2 2" xfId="23156" xr:uid="{7B83E0A0-4C7F-4FD8-B637-7E0C725CF48A}"/>
    <cellStyle name="Percent 10 5 2 2 2 2 2" xfId="23157" xr:uid="{31D39360-6A54-41BD-9A0D-663E72A29D6A}"/>
    <cellStyle name="Percent 10 5 2 2 2 3" xfId="23158" xr:uid="{65A546B7-839B-4518-A879-319C198C0D9B}"/>
    <cellStyle name="Percent 10 5 2 2 2 3 2" xfId="23159" xr:uid="{941B4521-7818-448E-89E9-C48840B2A185}"/>
    <cellStyle name="Percent 10 5 2 2 2 4" xfId="23160" xr:uid="{88980063-0347-4EBF-BC79-A5BFEEDE2BCA}"/>
    <cellStyle name="Percent 10 5 2 2 2 4 2" xfId="23161" xr:uid="{63D13E80-222B-484F-A660-F6D33EFA2C53}"/>
    <cellStyle name="Percent 10 5 2 2 2 5" xfId="23162" xr:uid="{B608F06D-11EC-438D-A0F2-5ECA3C16D157}"/>
    <cellStyle name="Percent 10 5 2 2 3" xfId="23163" xr:uid="{C7ECA037-241A-4856-AB51-38EB79584164}"/>
    <cellStyle name="Percent 10 5 2 2 3 2" xfId="23164" xr:uid="{E88E8CFB-216C-4F11-ADE1-717960954A16}"/>
    <cellStyle name="Percent 10 5 2 2 3 2 2" xfId="23165" xr:uid="{98BF8E9B-99BD-433E-A9F1-EF30FEF55C85}"/>
    <cellStyle name="Percent 10 5 2 2 3 3" xfId="23166" xr:uid="{21E4F817-FEA4-4EDB-AD46-5B1E996746FB}"/>
    <cellStyle name="Percent 10 5 2 2 3 3 2" xfId="23167" xr:uid="{B2D7C347-3253-4CE4-A6C6-796F53F795D7}"/>
    <cellStyle name="Percent 10 5 2 2 3 4" xfId="23168" xr:uid="{5B88DFB3-E5C4-4E5C-9903-DAE5D43A0A8C}"/>
    <cellStyle name="Percent 10 5 2 2 3 4 2" xfId="23169" xr:uid="{49CD6438-6D15-4611-B896-A746417C7608}"/>
    <cellStyle name="Percent 10 5 2 2 3 5" xfId="23170" xr:uid="{DF11DAF0-C647-481F-B84B-0A87F51552F6}"/>
    <cellStyle name="Percent 10 5 2 2 4" xfId="23171" xr:uid="{A518593B-520D-458F-A231-6CC542D55FF0}"/>
    <cellStyle name="Percent 10 5 2 2 4 2" xfId="23172" xr:uid="{CD57304B-FF15-42A3-AB15-F1854AB98E05}"/>
    <cellStyle name="Percent 10 5 2 2 5" xfId="23173" xr:uid="{4C997DB2-D676-4DD0-B951-AF1E94039D38}"/>
    <cellStyle name="Percent 10 5 2 2 5 2" xfId="23174" xr:uid="{D3C91B55-8663-4E2A-B9BE-C35751D20410}"/>
    <cellStyle name="Percent 10 5 2 2 6" xfId="23175" xr:uid="{275C26B9-406C-4F2E-BEF7-ED665635A63A}"/>
    <cellStyle name="Percent 10 5 2 2 6 2" xfId="23176" xr:uid="{B6F77A66-50ED-4F1C-B886-CCAC405405D1}"/>
    <cellStyle name="Percent 10 5 2 2 7" xfId="23177" xr:uid="{8FF39E02-C4D6-48A9-A9DB-E406CB55DE2F}"/>
    <cellStyle name="Percent 10 5 2 2 7 2" xfId="23178" xr:uid="{D1D2CE01-143A-48E2-9D90-ADD8331F7FDF}"/>
    <cellStyle name="Percent 10 5 2 2 8" xfId="23179" xr:uid="{3FA6A8A5-B229-43F7-AC11-666496A22A56}"/>
    <cellStyle name="Percent 10 5 2 2 8 2" xfId="23180" xr:uid="{7D17E4FE-CAEE-4AB5-BAC2-27D0160F4BB5}"/>
    <cellStyle name="Percent 10 5 2 2 9" xfId="23181" xr:uid="{B79B31B5-595F-41E6-AB1E-7D5FE06D9A3E}"/>
    <cellStyle name="Percent 10 5 2 3" xfId="23182" xr:uid="{B439AFEF-FB51-47CA-B427-CDDB0BD65888}"/>
    <cellStyle name="Percent 10 5 2 3 2" xfId="23183" xr:uid="{2280DE3B-D112-48BE-BFE3-C60708B6D2D5}"/>
    <cellStyle name="Percent 10 5 2 3 2 2" xfId="23184" xr:uid="{8D8BE4C6-9535-4B7D-AA1C-69F7F255C8C2}"/>
    <cellStyle name="Percent 10 5 2 3 3" xfId="23185" xr:uid="{11B98AD4-EDC6-4193-8A9F-29FDF2ACC7C7}"/>
    <cellStyle name="Percent 10 5 2 3 3 2" xfId="23186" xr:uid="{79BEB21A-E13D-4367-828D-E70DC049E6DA}"/>
    <cellStyle name="Percent 10 5 2 3 4" xfId="23187" xr:uid="{2969C7CB-3E07-4229-936F-D2AC33189F5C}"/>
    <cellStyle name="Percent 10 5 2 3 4 2" xfId="23188" xr:uid="{15883EB6-74BC-466C-96C6-23478BFB5794}"/>
    <cellStyle name="Percent 10 5 2 3 5" xfId="23189" xr:uid="{5569C4C7-4BC1-479B-BA37-19C2146F85D8}"/>
    <cellStyle name="Percent 10 5 2 4" xfId="23190" xr:uid="{CE5DAEB5-2885-4FE4-8756-F84C93146D26}"/>
    <cellStyle name="Percent 10 5 2 4 2" xfId="23191" xr:uid="{75596B6F-CD1E-4767-BA5D-087AC078F3B5}"/>
    <cellStyle name="Percent 10 5 2 4 2 2" xfId="23192" xr:uid="{751A11DF-BC42-4B18-BFAF-94AF3746945C}"/>
    <cellStyle name="Percent 10 5 2 4 3" xfId="23193" xr:uid="{7C34DE1A-3019-49AF-92E9-A782F659CD45}"/>
    <cellStyle name="Percent 10 5 2 4 3 2" xfId="23194" xr:uid="{56AFD8D5-0A24-47D6-83E4-1637C02D10AE}"/>
    <cellStyle name="Percent 10 5 2 4 4" xfId="23195" xr:uid="{541145BA-AC38-467B-B0FF-F60303A8FCBB}"/>
    <cellStyle name="Percent 10 5 2 4 4 2" xfId="23196" xr:uid="{99DEE0EB-5245-497E-A78E-F99297F4CDDD}"/>
    <cellStyle name="Percent 10 5 2 4 5" xfId="23197" xr:uid="{8AB0816C-44D6-4E40-B14D-80E43C6F0233}"/>
    <cellStyle name="Percent 10 5 2 5" xfId="23198" xr:uid="{3676ED07-DB77-4363-8FA9-B644B0236EE8}"/>
    <cellStyle name="Percent 10 5 2 5 2" xfId="23199" xr:uid="{4961D429-C03C-48E0-A15E-8E829EF6D66F}"/>
    <cellStyle name="Percent 10 5 2 6" xfId="23200" xr:uid="{3F97BDA5-163A-49AA-A682-8BEBCD938B1C}"/>
    <cellStyle name="Percent 10 5 2 6 2" xfId="23201" xr:uid="{FB2BF8DD-EBE0-494C-BAEE-949E8FE3B479}"/>
    <cellStyle name="Percent 10 5 2 7" xfId="23202" xr:uid="{A7790544-DB5A-4B65-B7FD-C13DD7E1F30A}"/>
    <cellStyle name="Percent 10 5 2 7 2" xfId="23203" xr:uid="{48D92690-35DF-4645-98CC-28102F2FA235}"/>
    <cellStyle name="Percent 10 5 2 8" xfId="23204" xr:uid="{DCC15E08-481F-4B4E-A06E-16025A07B6D8}"/>
    <cellStyle name="Percent 10 5 2 8 2" xfId="23205" xr:uid="{9E71614B-1B18-49F6-887D-0B5294601DEE}"/>
    <cellStyle name="Percent 10 5 2 9" xfId="23206" xr:uid="{956A7457-6E5D-42D8-928A-46B25DE40027}"/>
    <cellStyle name="Percent 10 5 2 9 2" xfId="23207" xr:uid="{38AA4E81-8575-4FAA-AEC6-9F61929465AC}"/>
    <cellStyle name="Percent 10 5 3" xfId="23208" xr:uid="{DBB341D0-9200-4AD0-9D7D-7180974F06CF}"/>
    <cellStyle name="Percent 10 5 3 2" xfId="23209" xr:uid="{995D20EB-8EEC-4C55-8AA0-4B93BB13DB88}"/>
    <cellStyle name="Percent 10 5 3 2 2" xfId="23210" xr:uid="{B15FA9B3-45E6-46B1-96D3-E0FEDB7905FA}"/>
    <cellStyle name="Percent 10 5 3 2 2 2" xfId="23211" xr:uid="{6BCBCEC7-66B0-44E8-B443-215A68AE3A15}"/>
    <cellStyle name="Percent 10 5 3 2 3" xfId="23212" xr:uid="{DF98DC02-3F2C-435C-AA68-DDA8DB788A21}"/>
    <cellStyle name="Percent 10 5 3 2 3 2" xfId="23213" xr:uid="{4814A4C1-1856-4A71-ADBA-77B32D55E900}"/>
    <cellStyle name="Percent 10 5 3 2 4" xfId="23214" xr:uid="{FC65C22F-7103-4E29-8E68-C307DF976051}"/>
    <cellStyle name="Percent 10 5 3 2 4 2" xfId="23215" xr:uid="{C7110DFC-1C5C-4540-BF1A-31C4ECE8C639}"/>
    <cellStyle name="Percent 10 5 3 2 5" xfId="23216" xr:uid="{BE44AF7D-6AE0-4552-B9ED-D7454AC16611}"/>
    <cellStyle name="Percent 10 5 3 3" xfId="23217" xr:uid="{85D4D578-8B74-44D1-9217-C2DEB10F0E81}"/>
    <cellStyle name="Percent 10 5 3 3 2" xfId="23218" xr:uid="{B2F05C4E-534A-4E93-9F20-79FEAFADCD91}"/>
    <cellStyle name="Percent 10 5 3 3 2 2" xfId="23219" xr:uid="{EF6CB978-B0FD-413B-B5C5-97ADFE45A17C}"/>
    <cellStyle name="Percent 10 5 3 3 3" xfId="23220" xr:uid="{772FC310-9E53-479F-B60C-9552E1432887}"/>
    <cellStyle name="Percent 10 5 3 3 3 2" xfId="23221" xr:uid="{A40C7FBB-D2C1-4354-84FE-2C0FBE857655}"/>
    <cellStyle name="Percent 10 5 3 3 4" xfId="23222" xr:uid="{E00E45B6-D5EC-442A-AA74-7044342D0316}"/>
    <cellStyle name="Percent 10 5 3 3 4 2" xfId="23223" xr:uid="{E56DB1DE-9A96-44F0-B657-AE12FE19E1AB}"/>
    <cellStyle name="Percent 10 5 3 3 5" xfId="23224" xr:uid="{28953B0F-B0C8-4F72-BA76-E9592660F048}"/>
    <cellStyle name="Percent 10 5 3 4" xfId="23225" xr:uid="{EF74E85F-81A5-47D0-97CB-8556BD9FCE8F}"/>
    <cellStyle name="Percent 10 5 3 4 2" xfId="23226" xr:uid="{44CA4457-8CA2-4C4F-A928-82E903FB9FCE}"/>
    <cellStyle name="Percent 10 5 3 5" xfId="23227" xr:uid="{78068CF3-1799-41D2-A255-2EE7929CB559}"/>
    <cellStyle name="Percent 10 5 3 5 2" xfId="23228" xr:uid="{6016444F-1797-4E86-AC7B-04FA28D7F49F}"/>
    <cellStyle name="Percent 10 5 3 6" xfId="23229" xr:uid="{8BB6EAF3-CD21-4A5A-80B1-BA4817E25D76}"/>
    <cellStyle name="Percent 10 5 3 6 2" xfId="23230" xr:uid="{1A9BC57D-B918-4FD7-A998-CAF89B2C3F3B}"/>
    <cellStyle name="Percent 10 5 3 7" xfId="23231" xr:uid="{4A565B58-F26C-4DFC-945D-3FE304B1325B}"/>
    <cellStyle name="Percent 10 5 3 7 2" xfId="23232" xr:uid="{B22B664A-B212-4FB3-B78B-F25147D103CC}"/>
    <cellStyle name="Percent 10 5 3 8" xfId="23233" xr:uid="{572F7097-C3A5-43C0-B00A-661844270B3E}"/>
    <cellStyle name="Percent 10 5 3 8 2" xfId="23234" xr:uid="{99E47EB7-3CB0-4C91-A559-86337C57D884}"/>
    <cellStyle name="Percent 10 5 3 9" xfId="23235" xr:uid="{0640342A-154D-498E-A274-FE086562169E}"/>
    <cellStyle name="Percent 10 5 4" xfId="23236" xr:uid="{3419917D-DEE7-4F0C-9F78-C7DC7451065B}"/>
    <cellStyle name="Percent 10 5 4 2" xfId="23237" xr:uid="{071EBBFD-617C-4B2E-AF12-58F4E74592F5}"/>
    <cellStyle name="Percent 10 5 4 2 2" xfId="23238" xr:uid="{01447B96-4F8A-43AE-B5CC-A12BB4BD5A35}"/>
    <cellStyle name="Percent 10 5 4 3" xfId="23239" xr:uid="{1480AB39-BD13-4E3E-90BD-BAB3C84AC4A8}"/>
    <cellStyle name="Percent 10 5 4 3 2" xfId="23240" xr:uid="{C2063EA2-EF6F-4A3B-AEED-A67252895C4C}"/>
    <cellStyle name="Percent 10 5 4 4" xfId="23241" xr:uid="{C6160E58-E157-4176-B811-416925727079}"/>
    <cellStyle name="Percent 10 5 4 4 2" xfId="23242" xr:uid="{F18BB5CD-9ABF-4D30-B764-13A35B1687C0}"/>
    <cellStyle name="Percent 10 5 4 5" xfId="23243" xr:uid="{21B340DE-6615-4263-9FE6-3037B92AB315}"/>
    <cellStyle name="Percent 10 5 5" xfId="23244" xr:uid="{3B4ECA7E-6A7A-4FAC-AB72-251B5D560F7C}"/>
    <cellStyle name="Percent 10 5 5 2" xfId="23245" xr:uid="{5B6EF0A9-3AFC-4B01-BF4C-BE822508664F}"/>
    <cellStyle name="Percent 10 5 5 2 2" xfId="23246" xr:uid="{D9A41BB0-127A-4C27-88B7-D26C47366602}"/>
    <cellStyle name="Percent 10 5 5 3" xfId="23247" xr:uid="{7BDF5DD2-BE0B-4F7B-8F26-9658BBB170CB}"/>
    <cellStyle name="Percent 10 5 5 3 2" xfId="23248" xr:uid="{C1B45D31-EB2B-4262-AC63-6BCD4A440510}"/>
    <cellStyle name="Percent 10 5 5 4" xfId="23249" xr:uid="{C903F877-6DA7-4325-9E28-70FC91F1CD04}"/>
    <cellStyle name="Percent 10 5 5 4 2" xfId="23250" xr:uid="{58AB5227-3AD6-4782-9BBA-D265F6BA9059}"/>
    <cellStyle name="Percent 10 5 5 5" xfId="23251" xr:uid="{45517980-1872-4FDA-B5ED-4860A8663036}"/>
    <cellStyle name="Percent 10 5 6" xfId="23252" xr:uid="{C2D15F09-0621-49E7-857A-698CE1EF96BE}"/>
    <cellStyle name="Percent 10 5 6 2" xfId="23253" xr:uid="{0836B7C5-F5DE-4B92-8CD7-1A71C9F05DB5}"/>
    <cellStyle name="Percent 10 5 7" xfId="23254" xr:uid="{615CA567-743F-45FF-ADF1-23167331810A}"/>
    <cellStyle name="Percent 10 5 7 2" xfId="23255" xr:uid="{710DE015-8B88-4924-B2FB-60CC7117D2D4}"/>
    <cellStyle name="Percent 10 5 8" xfId="23256" xr:uid="{8F5ADD71-70EB-4072-88FD-CFF70A1DBBEC}"/>
    <cellStyle name="Percent 10 5 8 2" xfId="23257" xr:uid="{2F6DF1E5-2997-45AE-97D9-0F2797BDCC8B}"/>
    <cellStyle name="Percent 10 5 9" xfId="23258" xr:uid="{E1A18840-55E7-4F53-91A7-46423BF092DF}"/>
    <cellStyle name="Percent 10 5 9 2" xfId="23259" xr:uid="{232C9281-2E8C-4E25-9E49-A9F6CF20C38F}"/>
    <cellStyle name="Percent 10 6" xfId="23260" xr:uid="{DAB48D93-C629-4E41-96DE-611183E4BBD3}"/>
    <cellStyle name="Percent 10 6 10" xfId="23261" xr:uid="{054CFAAC-A100-4A66-9317-5971C58E5DA8}"/>
    <cellStyle name="Percent 10 6 10 2" xfId="23262" xr:uid="{CDDBAB72-26D9-48B6-BD55-3F41456B60B6}"/>
    <cellStyle name="Percent 10 6 11" xfId="23263" xr:uid="{3AE72759-0878-40BB-94C7-48F683A4818C}"/>
    <cellStyle name="Percent 10 6 2" xfId="23264" xr:uid="{BE2BCBF0-0B12-4F6A-8C92-CFD44C78CBDF}"/>
    <cellStyle name="Percent 10 6 2 10" xfId="23265" xr:uid="{60445231-0B51-4480-A868-08D04127E7CD}"/>
    <cellStyle name="Percent 10 6 2 2" xfId="23266" xr:uid="{F558705D-2A61-41E6-8B77-B69A6958D95E}"/>
    <cellStyle name="Percent 10 6 2 2 2" xfId="23267" xr:uid="{6A865C33-C8D5-44EA-8483-C5CAF8EC2AE6}"/>
    <cellStyle name="Percent 10 6 2 2 2 2" xfId="23268" xr:uid="{99CAF7A6-492B-4C8F-B618-82DDD4DC69B3}"/>
    <cellStyle name="Percent 10 6 2 2 2 2 2" xfId="23269" xr:uid="{C5FFD21A-B39F-414A-A963-D9B9F9D30EE3}"/>
    <cellStyle name="Percent 10 6 2 2 2 3" xfId="23270" xr:uid="{A4ED3832-3696-4FC9-8D50-64A503088351}"/>
    <cellStyle name="Percent 10 6 2 2 2 3 2" xfId="23271" xr:uid="{45B9025F-FB5F-4C58-9E07-F641B2DA4F10}"/>
    <cellStyle name="Percent 10 6 2 2 2 4" xfId="23272" xr:uid="{834DE4C8-CD39-4BDC-939E-8CB3ED484E59}"/>
    <cellStyle name="Percent 10 6 2 2 2 4 2" xfId="23273" xr:uid="{B453130A-4826-4A81-AA1E-32DC56E7C73E}"/>
    <cellStyle name="Percent 10 6 2 2 2 5" xfId="23274" xr:uid="{0AB4E7FB-BE6A-455D-A2CB-BA60D8863EEC}"/>
    <cellStyle name="Percent 10 6 2 2 3" xfId="23275" xr:uid="{6134FD1D-3EB0-458B-B04D-A143B5E7363A}"/>
    <cellStyle name="Percent 10 6 2 2 3 2" xfId="23276" xr:uid="{61CB06E9-A534-4B2E-933D-26CE18D7B3AD}"/>
    <cellStyle name="Percent 10 6 2 2 3 2 2" xfId="23277" xr:uid="{E7BCC69E-29D5-49E7-92DA-A41BA2639CCD}"/>
    <cellStyle name="Percent 10 6 2 2 3 3" xfId="23278" xr:uid="{A39F5472-4EC6-436E-86AD-25574D2EF07E}"/>
    <cellStyle name="Percent 10 6 2 2 3 3 2" xfId="23279" xr:uid="{6F7DF7F9-0F40-448C-96D4-FD84C30ADF27}"/>
    <cellStyle name="Percent 10 6 2 2 3 4" xfId="23280" xr:uid="{2A335981-091C-4EB4-A96F-7E8893510569}"/>
    <cellStyle name="Percent 10 6 2 2 3 4 2" xfId="23281" xr:uid="{D4EF5CD4-AB10-4F24-A2E7-E26F10C6EC95}"/>
    <cellStyle name="Percent 10 6 2 2 3 5" xfId="23282" xr:uid="{B72DC984-3195-4B66-99E6-4348BD4D4DE3}"/>
    <cellStyle name="Percent 10 6 2 2 4" xfId="23283" xr:uid="{73D3D64A-0F39-4BED-B763-A61331590ACC}"/>
    <cellStyle name="Percent 10 6 2 2 4 2" xfId="23284" xr:uid="{B57808D5-5BA2-4D3C-981B-5783E341DF64}"/>
    <cellStyle name="Percent 10 6 2 2 5" xfId="23285" xr:uid="{F6312C0D-135B-49C3-B837-4B589400D9E3}"/>
    <cellStyle name="Percent 10 6 2 2 5 2" xfId="23286" xr:uid="{B9A67434-4987-4EAC-938F-0699CE23684F}"/>
    <cellStyle name="Percent 10 6 2 2 6" xfId="23287" xr:uid="{F922A292-9058-4E0F-A3B5-80D81D350122}"/>
    <cellStyle name="Percent 10 6 2 2 6 2" xfId="23288" xr:uid="{4CBD7DCE-8CFB-4A84-BF76-DA27E7D7CCAC}"/>
    <cellStyle name="Percent 10 6 2 2 7" xfId="23289" xr:uid="{35BD3C99-A3CC-478F-BCD4-76EF2F2E7F66}"/>
    <cellStyle name="Percent 10 6 2 2 7 2" xfId="23290" xr:uid="{6C005937-0FF5-47BE-A9D4-8C74DF4467E3}"/>
    <cellStyle name="Percent 10 6 2 2 8" xfId="23291" xr:uid="{AA5BE106-4E9F-40A1-8980-2297CAA0046A}"/>
    <cellStyle name="Percent 10 6 2 2 8 2" xfId="23292" xr:uid="{6D4533D4-4AEC-467C-A9BC-AAA094DB8485}"/>
    <cellStyle name="Percent 10 6 2 2 9" xfId="23293" xr:uid="{750673C2-3658-4EB3-B58E-ECF4EB8D9DCE}"/>
    <cellStyle name="Percent 10 6 2 3" xfId="23294" xr:uid="{C8BFF023-F80E-4B6C-A08B-65E05EA9C61F}"/>
    <cellStyle name="Percent 10 6 2 3 2" xfId="23295" xr:uid="{EF1A4FB9-4CF7-4999-8156-8B48BAC11436}"/>
    <cellStyle name="Percent 10 6 2 3 2 2" xfId="23296" xr:uid="{1FB44993-449D-4D98-85D9-4C02129BFF43}"/>
    <cellStyle name="Percent 10 6 2 3 3" xfId="23297" xr:uid="{53CEEADC-14D1-48EA-B9F6-01EC40812D99}"/>
    <cellStyle name="Percent 10 6 2 3 3 2" xfId="23298" xr:uid="{2CD0CC5B-B6C3-4DBB-BD4C-CB3C5C743CA2}"/>
    <cellStyle name="Percent 10 6 2 3 4" xfId="23299" xr:uid="{11127FF0-4B3F-4B06-A40E-131A1988D15C}"/>
    <cellStyle name="Percent 10 6 2 3 4 2" xfId="23300" xr:uid="{E49E4F87-DDE6-427B-98F9-CC31C4CC3266}"/>
    <cellStyle name="Percent 10 6 2 3 5" xfId="23301" xr:uid="{E9569E7E-9E1D-4E26-B75E-B6A347CB24F8}"/>
    <cellStyle name="Percent 10 6 2 4" xfId="23302" xr:uid="{7217823B-0BA5-48F7-AAE8-524415F3FF4D}"/>
    <cellStyle name="Percent 10 6 2 4 2" xfId="23303" xr:uid="{D739FF84-56EA-4D73-9708-AB00BC8968AE}"/>
    <cellStyle name="Percent 10 6 2 4 2 2" xfId="23304" xr:uid="{074A75D0-58ED-4011-B3C4-856B64796435}"/>
    <cellStyle name="Percent 10 6 2 4 3" xfId="23305" xr:uid="{344C57D7-F8EA-473D-A02E-2F1CE539FEF0}"/>
    <cellStyle name="Percent 10 6 2 4 3 2" xfId="23306" xr:uid="{48FCF213-D01D-4101-852F-610E2F36FFAC}"/>
    <cellStyle name="Percent 10 6 2 4 4" xfId="23307" xr:uid="{9D2CAF53-FB63-42A1-B795-979932253708}"/>
    <cellStyle name="Percent 10 6 2 4 4 2" xfId="23308" xr:uid="{B59E6685-3D01-40AD-A54E-C14706E6A7B6}"/>
    <cellStyle name="Percent 10 6 2 4 5" xfId="23309" xr:uid="{3F653A6D-9C23-4EA7-B1B9-ED0D12B184E2}"/>
    <cellStyle name="Percent 10 6 2 5" xfId="23310" xr:uid="{3F96F685-5A8D-482F-9C68-136ABCD3127E}"/>
    <cellStyle name="Percent 10 6 2 5 2" xfId="23311" xr:uid="{27A6AC94-9F04-4E0E-B55A-563537010276}"/>
    <cellStyle name="Percent 10 6 2 6" xfId="23312" xr:uid="{1B8AF96C-1E2D-4213-9297-E20112847FB7}"/>
    <cellStyle name="Percent 10 6 2 6 2" xfId="23313" xr:uid="{2D541FBD-C25C-4A1D-82EE-0EEC8B6F91C7}"/>
    <cellStyle name="Percent 10 6 2 7" xfId="23314" xr:uid="{FE300DA2-32D3-4DE1-8039-C79E4BD13C9B}"/>
    <cellStyle name="Percent 10 6 2 7 2" xfId="23315" xr:uid="{C45C60CA-72EC-4FC3-AD52-E590A3D2AF54}"/>
    <cellStyle name="Percent 10 6 2 8" xfId="23316" xr:uid="{2A7FD29C-6C8D-4BB1-9ED8-93A97123AF3A}"/>
    <cellStyle name="Percent 10 6 2 8 2" xfId="23317" xr:uid="{3B4EB6AF-9D75-40AE-8083-7CE05B3718B4}"/>
    <cellStyle name="Percent 10 6 2 9" xfId="23318" xr:uid="{81336A2A-C6B1-4D75-9B36-0E44E58524D6}"/>
    <cellStyle name="Percent 10 6 2 9 2" xfId="23319" xr:uid="{5E90F0C4-99AA-4EEC-9267-4E50EA765A41}"/>
    <cellStyle name="Percent 10 6 3" xfId="23320" xr:uid="{2EDF9969-1ADF-485B-8DCB-209AAC791AA4}"/>
    <cellStyle name="Percent 10 6 3 2" xfId="23321" xr:uid="{1AE5BD00-3989-44E0-8D23-7B3BE3603503}"/>
    <cellStyle name="Percent 10 6 3 2 2" xfId="23322" xr:uid="{101F491E-105F-4556-B015-4862DC7B3759}"/>
    <cellStyle name="Percent 10 6 3 2 2 2" xfId="23323" xr:uid="{14365261-B928-433C-94A8-9032CABBD06A}"/>
    <cellStyle name="Percent 10 6 3 2 3" xfId="23324" xr:uid="{E7F7F58D-B78E-46EE-A7DE-F2AA7D8C5E7D}"/>
    <cellStyle name="Percent 10 6 3 2 3 2" xfId="23325" xr:uid="{D3CBB7E3-3614-48BC-AA4F-107A98348C82}"/>
    <cellStyle name="Percent 10 6 3 2 4" xfId="23326" xr:uid="{318519A1-5DE0-43C4-9D8C-0CF4CC9C15C2}"/>
    <cellStyle name="Percent 10 6 3 2 4 2" xfId="23327" xr:uid="{5D23A368-58E2-4A28-89BC-1C75B2B5B976}"/>
    <cellStyle name="Percent 10 6 3 2 5" xfId="23328" xr:uid="{1ED029DD-B3E9-45E5-9B5A-A5CEB859245D}"/>
    <cellStyle name="Percent 10 6 3 3" xfId="23329" xr:uid="{B3A3CEE2-C21E-48D9-8568-590A507666DB}"/>
    <cellStyle name="Percent 10 6 3 3 2" xfId="23330" xr:uid="{480B490B-1D70-49E9-BC21-5BD9E4EC7BD3}"/>
    <cellStyle name="Percent 10 6 3 3 2 2" xfId="23331" xr:uid="{D79F7F6F-0A83-4478-96F7-DA5CCD87B7B7}"/>
    <cellStyle name="Percent 10 6 3 3 3" xfId="23332" xr:uid="{7D82974C-2972-4A7F-BB45-E980A9B04C5D}"/>
    <cellStyle name="Percent 10 6 3 3 3 2" xfId="23333" xr:uid="{41AFE55C-F6CD-4024-91B9-5FF3CDD0F8D7}"/>
    <cellStyle name="Percent 10 6 3 3 4" xfId="23334" xr:uid="{E00EF783-A731-4F26-911B-C091EDD1DC71}"/>
    <cellStyle name="Percent 10 6 3 3 4 2" xfId="23335" xr:uid="{6BD1BFBE-3D91-4A8A-BC03-82A6E3766C52}"/>
    <cellStyle name="Percent 10 6 3 3 5" xfId="23336" xr:uid="{8A01D4BB-241C-42BF-863D-01886BC5755B}"/>
    <cellStyle name="Percent 10 6 3 4" xfId="23337" xr:uid="{E8E37B3D-AB1B-43A2-8D04-3B7A2AFC07F7}"/>
    <cellStyle name="Percent 10 6 3 4 2" xfId="23338" xr:uid="{7A521D48-6861-443A-9A37-01BEF4910F4A}"/>
    <cellStyle name="Percent 10 6 3 5" xfId="23339" xr:uid="{8E0BBCA2-E31F-4D99-95C3-14363AA0D3B2}"/>
    <cellStyle name="Percent 10 6 3 5 2" xfId="23340" xr:uid="{176784DE-858F-4A51-9705-E1C4AE0B689B}"/>
    <cellStyle name="Percent 10 6 3 6" xfId="23341" xr:uid="{732958FE-A9BC-4DE4-9176-9B57CF97BEA8}"/>
    <cellStyle name="Percent 10 6 3 6 2" xfId="23342" xr:uid="{DCC8D4FF-4F32-4AFD-9F63-7DE4EBEB2557}"/>
    <cellStyle name="Percent 10 6 3 7" xfId="23343" xr:uid="{83925497-AF18-45F0-8EAA-04E1A29EAC66}"/>
    <cellStyle name="Percent 10 6 3 7 2" xfId="23344" xr:uid="{41D87FC5-12D6-4028-BF08-3F0B4F928972}"/>
    <cellStyle name="Percent 10 6 3 8" xfId="23345" xr:uid="{0CEE3B11-DA8E-48B6-A55D-B009ED5B80DE}"/>
    <cellStyle name="Percent 10 6 3 8 2" xfId="23346" xr:uid="{E716B4D4-6F7F-438E-B013-B6072F85592C}"/>
    <cellStyle name="Percent 10 6 3 9" xfId="23347" xr:uid="{EDEF5AA1-90ED-4B0F-9486-876DD50677FB}"/>
    <cellStyle name="Percent 10 6 4" xfId="23348" xr:uid="{24D95CB5-6399-4083-9C09-B2337B20CBCE}"/>
    <cellStyle name="Percent 10 6 4 2" xfId="23349" xr:uid="{C72A5CA2-505A-44AE-BDBE-EC738E34F0C7}"/>
    <cellStyle name="Percent 10 6 4 2 2" xfId="23350" xr:uid="{36015F0C-6C81-47FB-A7A8-891F84F9EB77}"/>
    <cellStyle name="Percent 10 6 4 3" xfId="23351" xr:uid="{C01252DC-E890-4C0E-BE20-027981740CEF}"/>
    <cellStyle name="Percent 10 6 4 3 2" xfId="23352" xr:uid="{87D03681-0640-479B-96F0-FEBA5B06D35E}"/>
    <cellStyle name="Percent 10 6 4 4" xfId="23353" xr:uid="{4D0A65CB-91BC-43CE-81C5-9C2D93AB55DC}"/>
    <cellStyle name="Percent 10 6 4 4 2" xfId="23354" xr:uid="{542663CD-2B01-49F3-86D6-039D78A469AF}"/>
    <cellStyle name="Percent 10 6 4 5" xfId="23355" xr:uid="{C90F632C-4BCA-4331-90E3-50D0A5E1A56D}"/>
    <cellStyle name="Percent 10 6 5" xfId="23356" xr:uid="{CDE3AAA7-5E24-4FAB-9F46-99487FF94047}"/>
    <cellStyle name="Percent 10 6 5 2" xfId="23357" xr:uid="{F5C08249-4FB9-4E6E-BF70-BC105C695437}"/>
    <cellStyle name="Percent 10 6 5 2 2" xfId="23358" xr:uid="{30FFCCC4-47C0-4BB5-B767-4CD91C4A7900}"/>
    <cellStyle name="Percent 10 6 5 3" xfId="23359" xr:uid="{6E387D5D-7E00-416F-9F96-26B4C24B3442}"/>
    <cellStyle name="Percent 10 6 5 3 2" xfId="23360" xr:uid="{09FA2F72-1D89-4B76-9B9D-00BBB271C37A}"/>
    <cellStyle name="Percent 10 6 5 4" xfId="23361" xr:uid="{5BAA13C1-67B1-4F0A-A60E-946B87162A3F}"/>
    <cellStyle name="Percent 10 6 5 4 2" xfId="23362" xr:uid="{40DF91F7-36B7-4AD3-8BA4-59EA47B955F2}"/>
    <cellStyle name="Percent 10 6 5 5" xfId="23363" xr:uid="{32488AD0-3AF8-47F0-94DC-586BE0E8183E}"/>
    <cellStyle name="Percent 10 6 6" xfId="23364" xr:uid="{417692D2-FDBA-467D-943A-057B246395F5}"/>
    <cellStyle name="Percent 10 6 6 2" xfId="23365" xr:uid="{A19FCB1A-C455-4BB4-A830-615564DE183C}"/>
    <cellStyle name="Percent 10 6 7" xfId="23366" xr:uid="{114310B0-FFD5-4429-AA23-EA578C941635}"/>
    <cellStyle name="Percent 10 6 7 2" xfId="23367" xr:uid="{F61607AF-4381-44E1-90AB-B3E6C081B643}"/>
    <cellStyle name="Percent 10 6 8" xfId="23368" xr:uid="{AA1F1EED-0C5F-4D9C-8372-DF12F152CCEF}"/>
    <cellStyle name="Percent 10 6 8 2" xfId="23369" xr:uid="{2AE03EDF-649B-4C73-BC5B-9DE1029CA05E}"/>
    <cellStyle name="Percent 10 6 9" xfId="23370" xr:uid="{3F6097AD-DCCC-4F96-A2F3-68FF7327F64D}"/>
    <cellStyle name="Percent 10 6 9 2" xfId="23371" xr:uid="{5E5AFF25-E9CF-47F2-B6BC-A55D4919A040}"/>
    <cellStyle name="Percent 10 7" xfId="23372" xr:uid="{D0BBAE83-E844-43B1-AA68-A17A726B8F46}"/>
    <cellStyle name="Percent 10 7 10" xfId="23373" xr:uid="{2AB3C3EF-DDDE-4DAD-B92D-25FCEE07DD0E}"/>
    <cellStyle name="Percent 10 7 10 2" xfId="23374" xr:uid="{5F7739E6-8361-45BC-9BE5-685BE4A81CA7}"/>
    <cellStyle name="Percent 10 7 11" xfId="23375" xr:uid="{09C4C6EB-86D1-4182-849D-7FB7ED73C861}"/>
    <cellStyle name="Percent 10 7 2" xfId="23376" xr:uid="{627A3EC3-0F3C-49ED-9E92-F606B0AAD760}"/>
    <cellStyle name="Percent 10 7 2 10" xfId="23377" xr:uid="{2BC44606-67B5-4FD7-9F86-541DDC40937C}"/>
    <cellStyle name="Percent 10 7 2 2" xfId="23378" xr:uid="{DC63BB6D-6FFB-436B-BFAD-E27BF60BC3DA}"/>
    <cellStyle name="Percent 10 7 2 2 2" xfId="23379" xr:uid="{62E10C2F-0097-4FD3-BD04-98DA71497E67}"/>
    <cellStyle name="Percent 10 7 2 2 2 2" xfId="23380" xr:uid="{486DAF42-DF6D-4EA8-9EAE-A297F5CED6E7}"/>
    <cellStyle name="Percent 10 7 2 2 2 2 2" xfId="23381" xr:uid="{AE58AB04-5B9A-4AF9-882C-2570C20CDA75}"/>
    <cellStyle name="Percent 10 7 2 2 2 3" xfId="23382" xr:uid="{F9342049-EE34-4AF0-ADEE-19E82F408817}"/>
    <cellStyle name="Percent 10 7 2 2 2 3 2" xfId="23383" xr:uid="{15883535-4EAA-4C33-9AC4-C89B20CC02CB}"/>
    <cellStyle name="Percent 10 7 2 2 2 4" xfId="23384" xr:uid="{34FB0A6C-6378-4D35-A4A8-BE216089A453}"/>
    <cellStyle name="Percent 10 7 2 2 2 4 2" xfId="23385" xr:uid="{A1F8B945-EB38-4B00-94CE-14D197DC24C7}"/>
    <cellStyle name="Percent 10 7 2 2 2 5" xfId="23386" xr:uid="{4D7FD83B-451C-4311-8F0A-DC5835365EB9}"/>
    <cellStyle name="Percent 10 7 2 2 3" xfId="23387" xr:uid="{73A5FBF9-C646-45FD-8E9F-E58DF9FB1FC8}"/>
    <cellStyle name="Percent 10 7 2 2 3 2" xfId="23388" xr:uid="{6CB20CE0-85F5-4CAB-8F0E-3EBF5235F704}"/>
    <cellStyle name="Percent 10 7 2 2 3 2 2" xfId="23389" xr:uid="{9390D2CA-CA6F-4DB3-83B8-3D72FD8A8777}"/>
    <cellStyle name="Percent 10 7 2 2 3 3" xfId="23390" xr:uid="{4D4B1418-B78C-453C-839B-BF6AF8D23164}"/>
    <cellStyle name="Percent 10 7 2 2 3 3 2" xfId="23391" xr:uid="{33FA9434-CDFD-4573-A508-65F2FAB935D8}"/>
    <cellStyle name="Percent 10 7 2 2 3 4" xfId="23392" xr:uid="{80518B75-A8C9-42AF-AE52-F027DEB551F8}"/>
    <cellStyle name="Percent 10 7 2 2 3 4 2" xfId="23393" xr:uid="{F1009E96-0129-4F19-956B-09D5112BD205}"/>
    <cellStyle name="Percent 10 7 2 2 3 5" xfId="23394" xr:uid="{F8CE3444-DB19-426F-B59C-60FF3F7E4B6D}"/>
    <cellStyle name="Percent 10 7 2 2 4" xfId="23395" xr:uid="{68B65490-8E28-4964-AADB-DCAFDEA644ED}"/>
    <cellStyle name="Percent 10 7 2 2 4 2" xfId="23396" xr:uid="{C61F9043-3021-4A60-BA8B-C92FB202DE12}"/>
    <cellStyle name="Percent 10 7 2 2 5" xfId="23397" xr:uid="{46FBC85D-DD53-4144-809F-3C2064FA46F2}"/>
    <cellStyle name="Percent 10 7 2 2 5 2" xfId="23398" xr:uid="{AC9ACF85-9A73-4AFE-8B90-4BA4C0D81B64}"/>
    <cellStyle name="Percent 10 7 2 2 6" xfId="23399" xr:uid="{8F5F7C8C-87A7-4759-8B68-4779C1C082AB}"/>
    <cellStyle name="Percent 10 7 2 2 6 2" xfId="23400" xr:uid="{3E7C48B9-98C0-4F81-8AC2-00498BCC21EE}"/>
    <cellStyle name="Percent 10 7 2 2 7" xfId="23401" xr:uid="{CE59FE66-EBAF-4731-92C7-E831472498BD}"/>
    <cellStyle name="Percent 10 7 2 2 7 2" xfId="23402" xr:uid="{CAB360F6-AFC8-40D7-B419-423D92EB09BE}"/>
    <cellStyle name="Percent 10 7 2 2 8" xfId="23403" xr:uid="{5609B2F9-2B56-46D1-9370-39587EB5D7C2}"/>
    <cellStyle name="Percent 10 7 2 2 8 2" xfId="23404" xr:uid="{C1838C7F-8B46-4139-9B6D-FB7D0336D729}"/>
    <cellStyle name="Percent 10 7 2 2 9" xfId="23405" xr:uid="{2BFC8E5F-4AE8-4067-B962-E5C7BF737A68}"/>
    <cellStyle name="Percent 10 7 2 3" xfId="23406" xr:uid="{4B23EEDF-237F-4CBA-81E8-D0589CE5ED5C}"/>
    <cellStyle name="Percent 10 7 2 3 2" xfId="23407" xr:uid="{6B9F6D78-BB98-4793-A523-A04BD9E34AF1}"/>
    <cellStyle name="Percent 10 7 2 3 2 2" xfId="23408" xr:uid="{9CB1E36B-C6B4-45AF-BD06-D0D8E159D1C4}"/>
    <cellStyle name="Percent 10 7 2 3 3" xfId="23409" xr:uid="{C10B79E9-609D-42EC-9277-0BAFC14EE953}"/>
    <cellStyle name="Percent 10 7 2 3 3 2" xfId="23410" xr:uid="{CF37DC7A-6D4B-4718-80D0-5EF285319F57}"/>
    <cellStyle name="Percent 10 7 2 3 4" xfId="23411" xr:uid="{03C31D16-A6BE-45A9-B5B2-CFD47F0405BA}"/>
    <cellStyle name="Percent 10 7 2 3 4 2" xfId="23412" xr:uid="{E0C93397-FCC2-4329-8C51-EDD2F1397F61}"/>
    <cellStyle name="Percent 10 7 2 3 5" xfId="23413" xr:uid="{72BADD8D-4B90-4EE5-9A82-E1F53E9B002D}"/>
    <cellStyle name="Percent 10 7 2 4" xfId="23414" xr:uid="{6D9D0CB0-3C6E-4C80-BAD0-C5067E2AA122}"/>
    <cellStyle name="Percent 10 7 2 4 2" xfId="23415" xr:uid="{3BF5253A-A2F9-4697-8D67-90D815FD2011}"/>
    <cellStyle name="Percent 10 7 2 4 2 2" xfId="23416" xr:uid="{8FE620F7-CC20-47B3-9309-81DBFF87895B}"/>
    <cellStyle name="Percent 10 7 2 4 3" xfId="23417" xr:uid="{85310F96-8C13-45DF-AD77-82D2D0AAF70F}"/>
    <cellStyle name="Percent 10 7 2 4 3 2" xfId="23418" xr:uid="{3437DCC1-2B3C-45C6-B76C-81E22021201D}"/>
    <cellStyle name="Percent 10 7 2 4 4" xfId="23419" xr:uid="{72EFCC4A-1565-423C-844C-CA9F0C57BF21}"/>
    <cellStyle name="Percent 10 7 2 4 4 2" xfId="23420" xr:uid="{430E13D6-C9E0-4341-975E-3C409C81316F}"/>
    <cellStyle name="Percent 10 7 2 4 5" xfId="23421" xr:uid="{0F828A04-BDDA-41F9-85B5-4696A48D35C3}"/>
    <cellStyle name="Percent 10 7 2 5" xfId="23422" xr:uid="{5040023D-4EF4-45C9-8F2C-98724AF89791}"/>
    <cellStyle name="Percent 10 7 2 5 2" xfId="23423" xr:uid="{5EACB1EF-D2B1-43AF-A50A-1B6DCB01A0FC}"/>
    <cellStyle name="Percent 10 7 2 6" xfId="23424" xr:uid="{918975C1-B9C4-4DD1-AEED-3843A4B3FC27}"/>
    <cellStyle name="Percent 10 7 2 6 2" xfId="23425" xr:uid="{F168B9F8-CA97-4363-B084-30A39C5E98B0}"/>
    <cellStyle name="Percent 10 7 2 7" xfId="23426" xr:uid="{EC4BA257-E0AD-4936-8A6F-554B64C2DA00}"/>
    <cellStyle name="Percent 10 7 2 7 2" xfId="23427" xr:uid="{F05B91E6-98FD-43FA-AE6A-A247049D3D4A}"/>
    <cellStyle name="Percent 10 7 2 8" xfId="23428" xr:uid="{077FCC09-A9BF-416B-9F72-65971213ADB0}"/>
    <cellStyle name="Percent 10 7 2 8 2" xfId="23429" xr:uid="{AF07B208-A060-4017-B7F8-525F0CE040B7}"/>
    <cellStyle name="Percent 10 7 2 9" xfId="23430" xr:uid="{A15A508E-EB48-4CD0-B02B-80B5258AA693}"/>
    <cellStyle name="Percent 10 7 2 9 2" xfId="23431" xr:uid="{2723C1E8-39D4-49D4-8906-E0BFAA9741D6}"/>
    <cellStyle name="Percent 10 7 3" xfId="23432" xr:uid="{2FDD176A-18CD-4973-A867-6E43565BF74F}"/>
    <cellStyle name="Percent 10 7 3 2" xfId="23433" xr:uid="{4C3A0170-BEF6-4EA5-93CC-24CA8571EE07}"/>
    <cellStyle name="Percent 10 7 3 2 2" xfId="23434" xr:uid="{68FBCF10-6011-47A6-963E-AAEB61451411}"/>
    <cellStyle name="Percent 10 7 3 2 2 2" xfId="23435" xr:uid="{B019BA35-6048-4E37-B6D2-03124C69D1FA}"/>
    <cellStyle name="Percent 10 7 3 2 3" xfId="23436" xr:uid="{8FE67556-D8AE-4B17-8212-0DE91C25146E}"/>
    <cellStyle name="Percent 10 7 3 2 3 2" xfId="23437" xr:uid="{1C4C44B5-1FBE-4226-A42E-13629032E613}"/>
    <cellStyle name="Percent 10 7 3 2 4" xfId="23438" xr:uid="{C379CF4D-5CCA-41D8-B290-335505BDB894}"/>
    <cellStyle name="Percent 10 7 3 2 4 2" xfId="23439" xr:uid="{AB4CCE57-94B7-436E-83ED-2A44834687C8}"/>
    <cellStyle name="Percent 10 7 3 2 5" xfId="23440" xr:uid="{64385C64-6402-4AA8-B1C6-5333BB4D4761}"/>
    <cellStyle name="Percent 10 7 3 3" xfId="23441" xr:uid="{E2F29836-50AF-4D1C-9FB9-9119CBE0BC35}"/>
    <cellStyle name="Percent 10 7 3 3 2" xfId="23442" xr:uid="{20FB33F4-5056-497D-9CA3-9FF58F308E3C}"/>
    <cellStyle name="Percent 10 7 3 3 2 2" xfId="23443" xr:uid="{84C1AD61-2548-474D-918B-EC23880AE157}"/>
    <cellStyle name="Percent 10 7 3 3 3" xfId="23444" xr:uid="{EE3D9FE2-99E8-4BFF-9428-50A9431E658B}"/>
    <cellStyle name="Percent 10 7 3 3 3 2" xfId="23445" xr:uid="{938C0184-4BE3-4E2D-AA2A-6FD23ABC14A9}"/>
    <cellStyle name="Percent 10 7 3 3 4" xfId="23446" xr:uid="{CA7F3B90-F1A1-4396-A01C-61A5AFADF924}"/>
    <cellStyle name="Percent 10 7 3 3 4 2" xfId="23447" xr:uid="{2C6C0D5E-7617-4004-8A76-8DE772DE801B}"/>
    <cellStyle name="Percent 10 7 3 3 5" xfId="23448" xr:uid="{FF1C199C-392F-4AE4-8B8B-DE6678904E14}"/>
    <cellStyle name="Percent 10 7 3 4" xfId="23449" xr:uid="{20CD28BA-8D09-4F0C-9B49-BF5D992589FB}"/>
    <cellStyle name="Percent 10 7 3 4 2" xfId="23450" xr:uid="{73205D59-1720-467B-A9C4-F310E80F7411}"/>
    <cellStyle name="Percent 10 7 3 5" xfId="23451" xr:uid="{927D2A75-9447-4BA3-8FDF-50BA42B1C69E}"/>
    <cellStyle name="Percent 10 7 3 5 2" xfId="23452" xr:uid="{898E1B41-21B8-4993-BB11-53DD0F5B9FCB}"/>
    <cellStyle name="Percent 10 7 3 6" xfId="23453" xr:uid="{B494B931-8DE5-4D0D-8C9A-BAB46996B372}"/>
    <cellStyle name="Percent 10 7 3 6 2" xfId="23454" xr:uid="{4CBF8F1F-B3A1-46A2-9FA2-7471DDE6D456}"/>
    <cellStyle name="Percent 10 7 3 7" xfId="23455" xr:uid="{B9A5DEF9-7A29-4390-8676-66ADD3CC20B7}"/>
    <cellStyle name="Percent 10 7 3 7 2" xfId="23456" xr:uid="{149421D3-0996-4FB7-8DC3-1143C3C6A211}"/>
    <cellStyle name="Percent 10 7 3 8" xfId="23457" xr:uid="{C06F15A1-D9E3-49E5-8F1C-5DC4B695AC8E}"/>
    <cellStyle name="Percent 10 7 3 8 2" xfId="23458" xr:uid="{B5FC9E99-F802-4A9B-A013-6C1CA9DA1F14}"/>
    <cellStyle name="Percent 10 7 3 9" xfId="23459" xr:uid="{764B2954-048D-41CC-9825-E7EA6B1FCD4A}"/>
    <cellStyle name="Percent 10 7 4" xfId="23460" xr:uid="{A79602BE-2732-4503-87DC-BE88B36E8627}"/>
    <cellStyle name="Percent 10 7 4 2" xfId="23461" xr:uid="{FD9CD18F-17A9-4A35-9C2D-842DFB2C0354}"/>
    <cellStyle name="Percent 10 7 4 2 2" xfId="23462" xr:uid="{67A4E017-86CB-4700-8138-97638988F6F8}"/>
    <cellStyle name="Percent 10 7 4 3" xfId="23463" xr:uid="{AADF3BB8-4927-45D7-8C15-09AB5BE3DB2C}"/>
    <cellStyle name="Percent 10 7 4 3 2" xfId="23464" xr:uid="{6B890D03-8B08-4BD6-ACEB-7E3C0E0B452D}"/>
    <cellStyle name="Percent 10 7 4 4" xfId="23465" xr:uid="{1362689E-90FA-41B5-B153-09508CF26DBD}"/>
    <cellStyle name="Percent 10 7 4 4 2" xfId="23466" xr:uid="{66934A03-17CD-4A0F-805C-C12D894F6C08}"/>
    <cellStyle name="Percent 10 7 4 5" xfId="23467" xr:uid="{77A740C1-5501-4941-8232-788EED0BB374}"/>
    <cellStyle name="Percent 10 7 5" xfId="23468" xr:uid="{4010D35F-B326-4A1F-9BEA-3AE279CC4C2D}"/>
    <cellStyle name="Percent 10 7 5 2" xfId="23469" xr:uid="{AB1DAEEE-3D89-4F8E-870D-F1E5EBD45A59}"/>
    <cellStyle name="Percent 10 7 5 2 2" xfId="23470" xr:uid="{6E4C726C-A694-490E-BB82-9362C8C4FC19}"/>
    <cellStyle name="Percent 10 7 5 3" xfId="23471" xr:uid="{46F056D0-2D90-4A89-A5F3-200D00CF7F1E}"/>
    <cellStyle name="Percent 10 7 5 3 2" xfId="23472" xr:uid="{828950E6-59C1-4C59-85B1-B8C5339DF214}"/>
    <cellStyle name="Percent 10 7 5 4" xfId="23473" xr:uid="{EC0C920C-DDCF-49B9-B90B-742CA70F80DE}"/>
    <cellStyle name="Percent 10 7 5 4 2" xfId="23474" xr:uid="{AD8D6236-8685-4BEA-83C6-7603CD92949D}"/>
    <cellStyle name="Percent 10 7 5 5" xfId="23475" xr:uid="{2B6CBA7A-617D-4483-A97E-2737E02384E3}"/>
    <cellStyle name="Percent 10 7 6" xfId="23476" xr:uid="{2D4FFC19-4B04-46A8-A303-C9ED4A239DDF}"/>
    <cellStyle name="Percent 10 7 6 2" xfId="23477" xr:uid="{77AD9170-3CE8-4C10-842D-7334F1FBF083}"/>
    <cellStyle name="Percent 10 7 7" xfId="23478" xr:uid="{8E6DFF1E-648F-43C6-B5EE-813B02DDF6FB}"/>
    <cellStyle name="Percent 10 7 7 2" xfId="23479" xr:uid="{57D1E82B-B0D0-4C3E-BAA4-8D9EF04417DE}"/>
    <cellStyle name="Percent 10 7 8" xfId="23480" xr:uid="{9A4ADE5C-91D3-4DA8-B4DB-AA76C2376DF8}"/>
    <cellStyle name="Percent 10 7 8 2" xfId="23481" xr:uid="{27937152-D6E1-4541-BA7A-66D8253337D6}"/>
    <cellStyle name="Percent 10 7 9" xfId="23482" xr:uid="{25093CCD-F716-4D88-9397-DAE088C38667}"/>
    <cellStyle name="Percent 10 7 9 2" xfId="23483" xr:uid="{EF65D32F-0B2F-4D85-B730-D2E1559517D8}"/>
    <cellStyle name="Percent 10 8" xfId="23484" xr:uid="{2D508A5F-C48C-4080-9B43-8F3068362FEC}"/>
    <cellStyle name="Percent 10 8 10" xfId="23485" xr:uid="{BDAC130C-C24D-4FE8-8ADC-D412652E43E0}"/>
    <cellStyle name="Percent 10 8 2" xfId="23486" xr:uid="{47B2F651-DC34-4CD7-A502-E16323A89CAE}"/>
    <cellStyle name="Percent 10 8 2 2" xfId="23487" xr:uid="{BF0009D6-0F97-4D43-9D8C-A671E44C2039}"/>
    <cellStyle name="Percent 10 8 2 2 2" xfId="23488" xr:uid="{47844BA9-AAE2-423B-A07E-B65ED68C30C5}"/>
    <cellStyle name="Percent 10 8 2 2 2 2" xfId="23489" xr:uid="{D7D87ACF-DEA2-4974-A342-052E24B5405E}"/>
    <cellStyle name="Percent 10 8 2 2 3" xfId="23490" xr:uid="{3DD53178-1BE7-4C7F-900E-0AD87F43EAFD}"/>
    <cellStyle name="Percent 10 8 2 2 3 2" xfId="23491" xr:uid="{AA1A54E6-BFCA-4B6D-A6E3-4C31C6ED8E6E}"/>
    <cellStyle name="Percent 10 8 2 2 4" xfId="23492" xr:uid="{F98EC0E7-0363-444F-AE15-66AFD370A467}"/>
    <cellStyle name="Percent 10 8 2 2 4 2" xfId="23493" xr:uid="{B72541E8-7402-4FA1-9912-B617F2DEEFAE}"/>
    <cellStyle name="Percent 10 8 2 2 5" xfId="23494" xr:uid="{032E7912-3580-4257-B235-5A6B547D99B9}"/>
    <cellStyle name="Percent 10 8 2 3" xfId="23495" xr:uid="{10CBF8DC-9C53-4D31-8D53-3E17E496E66F}"/>
    <cellStyle name="Percent 10 8 2 3 2" xfId="23496" xr:uid="{EC14C5E5-1139-42CB-96F1-334DC818A54C}"/>
    <cellStyle name="Percent 10 8 2 3 2 2" xfId="23497" xr:uid="{7ED601BD-1CDE-41F5-A08B-EAA6AA498E6F}"/>
    <cellStyle name="Percent 10 8 2 3 3" xfId="23498" xr:uid="{279F2D2B-5D91-4094-8DAE-3065EDCB3EE9}"/>
    <cellStyle name="Percent 10 8 2 3 3 2" xfId="23499" xr:uid="{7D61A0B6-607A-49F2-960E-A1BCA3BF11C7}"/>
    <cellStyle name="Percent 10 8 2 3 4" xfId="23500" xr:uid="{0769336F-B704-4586-8B84-10C3454CCCF8}"/>
    <cellStyle name="Percent 10 8 2 3 4 2" xfId="23501" xr:uid="{A3DB1622-29DB-4409-8B77-D8716B13ECB4}"/>
    <cellStyle name="Percent 10 8 2 3 5" xfId="23502" xr:uid="{75AE2837-DCC5-436D-8D81-340E7323E351}"/>
    <cellStyle name="Percent 10 8 2 4" xfId="23503" xr:uid="{72A22790-7ACA-45B4-87EB-DA67B54B9C90}"/>
    <cellStyle name="Percent 10 8 2 4 2" xfId="23504" xr:uid="{04FBAC64-B981-487A-99E9-C6FE47E0C375}"/>
    <cellStyle name="Percent 10 8 2 5" xfId="23505" xr:uid="{355181D6-329B-493C-BBCF-F2BF525D4892}"/>
    <cellStyle name="Percent 10 8 2 5 2" xfId="23506" xr:uid="{2F948F74-CCF0-45F2-8727-6D98A3D59B8B}"/>
    <cellStyle name="Percent 10 8 2 6" xfId="23507" xr:uid="{55D071E7-01E0-4DEF-9813-7B29D8393205}"/>
    <cellStyle name="Percent 10 8 2 6 2" xfId="23508" xr:uid="{48B79F84-1712-4C50-AF9C-90BB43DE754A}"/>
    <cellStyle name="Percent 10 8 2 7" xfId="23509" xr:uid="{7B9F8D75-27C0-4FC2-8B27-FF45714D1FFB}"/>
    <cellStyle name="Percent 10 8 2 7 2" xfId="23510" xr:uid="{CE6E91B4-792E-4EC3-B069-7433BEF13FD8}"/>
    <cellStyle name="Percent 10 8 2 8" xfId="23511" xr:uid="{B63BA92C-AFDC-496D-84A2-7F6CE852C0DE}"/>
    <cellStyle name="Percent 10 8 2 8 2" xfId="23512" xr:uid="{A30BB6E0-051C-4C57-8E74-229CE9161AD1}"/>
    <cellStyle name="Percent 10 8 2 9" xfId="23513" xr:uid="{E3A1218C-2BC5-49C0-BE60-04A030C1DA25}"/>
    <cellStyle name="Percent 10 8 3" xfId="23514" xr:uid="{068295AC-E801-4405-B8F9-22180C6B3864}"/>
    <cellStyle name="Percent 10 8 3 2" xfId="23515" xr:uid="{F62EE2DE-2FC6-4CF0-A3A7-CE342FBF0668}"/>
    <cellStyle name="Percent 10 8 3 2 2" xfId="23516" xr:uid="{903CB346-D591-415A-9173-0077640ADAAC}"/>
    <cellStyle name="Percent 10 8 3 3" xfId="23517" xr:uid="{9719F7BE-894D-44B7-A8EE-9F975FF9D784}"/>
    <cellStyle name="Percent 10 8 3 3 2" xfId="23518" xr:uid="{8B1103C9-E878-4B83-926E-269A44B82714}"/>
    <cellStyle name="Percent 10 8 3 4" xfId="23519" xr:uid="{14FE704E-22AD-43F8-9F7E-FF49542A6759}"/>
    <cellStyle name="Percent 10 8 3 4 2" xfId="23520" xr:uid="{2FD8A176-CE8E-440A-87DD-0C8AB375D304}"/>
    <cellStyle name="Percent 10 8 3 5" xfId="23521" xr:uid="{931C2A81-B460-4358-96AE-FFEFB4EEE5F0}"/>
    <cellStyle name="Percent 10 8 4" xfId="23522" xr:uid="{D1AB0BD5-779A-494E-8F0E-A23AEC62B398}"/>
    <cellStyle name="Percent 10 8 4 2" xfId="23523" xr:uid="{A7CE729F-179C-4848-A54E-C5CFC77304B4}"/>
    <cellStyle name="Percent 10 8 4 2 2" xfId="23524" xr:uid="{774E2AC8-94AB-444D-91C9-C4014D960788}"/>
    <cellStyle name="Percent 10 8 4 3" xfId="23525" xr:uid="{D72D9F24-DB1D-4D7D-AEB3-72B868431217}"/>
    <cellStyle name="Percent 10 8 4 3 2" xfId="23526" xr:uid="{F7FE952D-1D5B-461D-B5FE-845AE861ECF7}"/>
    <cellStyle name="Percent 10 8 4 4" xfId="23527" xr:uid="{EA497986-7EB7-46E5-88B6-C1F0A04EDA01}"/>
    <cellStyle name="Percent 10 8 4 4 2" xfId="23528" xr:uid="{A7C53680-5B43-4025-9FE6-5C6D65DD1BD6}"/>
    <cellStyle name="Percent 10 8 4 5" xfId="23529" xr:uid="{04BEA9B5-7607-4480-8E35-F8EAB09C3357}"/>
    <cellStyle name="Percent 10 8 5" xfId="23530" xr:uid="{16D49A81-B6C2-44DA-87F4-9F904021381C}"/>
    <cellStyle name="Percent 10 8 5 2" xfId="23531" xr:uid="{228412F5-49FA-47DD-8026-10C710B17E2E}"/>
    <cellStyle name="Percent 10 8 6" xfId="23532" xr:uid="{5686A67A-8031-43C1-B881-CCC38902F449}"/>
    <cellStyle name="Percent 10 8 6 2" xfId="23533" xr:uid="{727ACF78-105F-4C68-87AC-E4B7A7CF36C7}"/>
    <cellStyle name="Percent 10 8 7" xfId="23534" xr:uid="{BBB95362-4D00-4C25-8191-CDCEC1A6F185}"/>
    <cellStyle name="Percent 10 8 7 2" xfId="23535" xr:uid="{1B33252B-718D-4F85-B0E5-9147BB24B00B}"/>
    <cellStyle name="Percent 10 8 8" xfId="23536" xr:uid="{290136D6-EFBF-480E-98EA-5358607CCBF6}"/>
    <cellStyle name="Percent 10 8 8 2" xfId="23537" xr:uid="{47A5301D-3978-4307-9120-660D03ED4618}"/>
    <cellStyle name="Percent 10 8 9" xfId="23538" xr:uid="{7E8289CE-6A83-4C69-9CB3-CD681EA6DACC}"/>
    <cellStyle name="Percent 10 8 9 2" xfId="23539" xr:uid="{AAF4601E-D5DA-4D46-ABE2-5A4394FCB83D}"/>
    <cellStyle name="Percent 10 9" xfId="23540" xr:uid="{4734F61A-BB13-436B-8BCB-4AD666C83B85}"/>
    <cellStyle name="Percent 10 9 2" xfId="23541" xr:uid="{4FA48430-2111-4C84-94E8-65982EFEBB1A}"/>
    <cellStyle name="Percent 10 9 2 2" xfId="23542" xr:uid="{80C06C32-9EBD-49C1-9A9B-33B695A9258D}"/>
    <cellStyle name="Percent 10 9 2 2 2" xfId="23543" xr:uid="{F43BAA13-0DD0-448F-A40F-4A7FE27C8FE5}"/>
    <cellStyle name="Percent 10 9 2 3" xfId="23544" xr:uid="{9D17F5B2-F4AE-4F08-AAB8-6BA9A8DEEB27}"/>
    <cellStyle name="Percent 10 9 2 3 2" xfId="23545" xr:uid="{A7A2BC5A-1E2F-4C2D-9088-8E281D419C54}"/>
    <cellStyle name="Percent 10 9 2 4" xfId="23546" xr:uid="{F8CD7B40-BD50-47C3-AD5E-D04762678663}"/>
    <cellStyle name="Percent 10 9 2 4 2" xfId="23547" xr:uid="{B2A2E5F4-7AD2-4510-BFAC-1EA67F873A02}"/>
    <cellStyle name="Percent 10 9 2 5" xfId="23548" xr:uid="{EF0D1158-5170-4F34-8D12-E164F42A909F}"/>
    <cellStyle name="Percent 10 9 3" xfId="23549" xr:uid="{1DBD0038-48C6-4525-8F69-E331014D1969}"/>
    <cellStyle name="Percent 10 9 3 2" xfId="23550" xr:uid="{6DE8BC9F-859E-4CD4-848E-4DD504B55D96}"/>
    <cellStyle name="Percent 10 9 3 2 2" xfId="23551" xr:uid="{717A8025-78C0-4917-B7ED-BA8B4576AAD0}"/>
    <cellStyle name="Percent 10 9 3 3" xfId="23552" xr:uid="{433D8B73-5616-4E0E-92E7-6A1EC5DEFB8B}"/>
    <cellStyle name="Percent 10 9 3 3 2" xfId="23553" xr:uid="{12745E1E-C19A-498B-A6EC-114CE6D6DE04}"/>
    <cellStyle name="Percent 10 9 3 4" xfId="23554" xr:uid="{782BC157-8FE4-41CB-9F1D-D8E2D9D1F464}"/>
    <cellStyle name="Percent 10 9 3 4 2" xfId="23555" xr:uid="{7460A8C0-A0A6-45AE-A413-E01635F167FB}"/>
    <cellStyle name="Percent 10 9 3 5" xfId="23556" xr:uid="{D9C13D2C-D4DB-485F-AFDD-6EB1E73A4042}"/>
    <cellStyle name="Percent 10 9 4" xfId="23557" xr:uid="{72835577-C580-432B-BAD2-23C4BDB2A9B6}"/>
    <cellStyle name="Percent 10 9 4 2" xfId="23558" xr:uid="{44FD4978-86D3-424B-A853-D3CCC84B3E1D}"/>
    <cellStyle name="Percent 10 9 5" xfId="23559" xr:uid="{855EDC34-DC3B-4742-88ED-4B31F0A6AAF4}"/>
    <cellStyle name="Percent 10 9 5 2" xfId="23560" xr:uid="{144232CE-24BC-41BB-B584-3E7C698DC481}"/>
    <cellStyle name="Percent 10 9 6" xfId="23561" xr:uid="{BFE010F7-694B-472E-A8B3-023AFB054C40}"/>
    <cellStyle name="Percent 10 9 6 2" xfId="23562" xr:uid="{630F67B7-7F3A-47A1-B96A-967B9692A275}"/>
    <cellStyle name="Percent 10 9 7" xfId="23563" xr:uid="{D2C5F7CF-DDB1-4662-B235-51D6B47C6DED}"/>
    <cellStyle name="Percent 10 9 7 2" xfId="23564" xr:uid="{A45A7F80-68E9-42FA-8650-D43506D54DA5}"/>
    <cellStyle name="Percent 10 9 8" xfId="23565" xr:uid="{6D08284D-FB0C-46AE-94D4-5BC258AD45E3}"/>
    <cellStyle name="Percent 10 9 8 2" xfId="23566" xr:uid="{49DD99DE-BF99-4336-8C61-FE68A1877246}"/>
    <cellStyle name="Percent 10 9 9" xfId="23567" xr:uid="{F9872E2E-F2EA-461F-ADAB-CDFD7BD87692}"/>
    <cellStyle name="Percent 100" xfId="23568" xr:uid="{FB3A5C23-89E8-47B6-8F02-B0F6D7DC5294}"/>
    <cellStyle name="Percent 101" xfId="23569" xr:uid="{D9277F23-2813-4B47-BD45-F48435EDDBF4}"/>
    <cellStyle name="Percent 102" xfId="23570" xr:uid="{BC1E1AE8-F58E-438E-B58A-EEDF53815915}"/>
    <cellStyle name="Percent 103" xfId="23571" xr:uid="{40F49603-0277-405E-9135-59BF964884E7}"/>
    <cellStyle name="Percent 104" xfId="23572" xr:uid="{9AC0253D-EBB2-4892-98FC-85010104C5DD}"/>
    <cellStyle name="Percent 105" xfId="23573" xr:uid="{500B6B79-819A-434C-9AAB-389B34F17EBE}"/>
    <cellStyle name="Percent 106" xfId="23574" xr:uid="{31495819-C9D1-4054-BB11-D7A9421F5DBD}"/>
    <cellStyle name="Percent 107" xfId="23575" xr:uid="{56A0C463-29FE-4572-A2E1-52CA914342C7}"/>
    <cellStyle name="Percent 108" xfId="23576" xr:uid="{F81EC58F-643E-4D9A-BEE5-3E1F6205EEF1}"/>
    <cellStyle name="Percent 109" xfId="69" xr:uid="{9B409385-2AB3-4193-80CE-6A71A999EC08}"/>
    <cellStyle name="Percent 109 2" xfId="43060" xr:uid="{34C06F5A-9A30-4385-9260-C51F86708826}"/>
    <cellStyle name="Percent 109 3" xfId="43640" xr:uid="{2A8203A1-14A6-4CBD-8948-BAE2F16B6F8D}"/>
    <cellStyle name="Percent 11" xfId="23577" xr:uid="{F6BD7703-9662-4EA2-A2E2-6D971E58D7AE}"/>
    <cellStyle name="Percent 11 2" xfId="23578" xr:uid="{32F36DAD-6CA6-420F-BBC9-2CEBFB1B1501}"/>
    <cellStyle name="Percent 11 2 2" xfId="23579" xr:uid="{C8C1A7D4-6AA8-45BF-A0D2-0049D2BB9566}"/>
    <cellStyle name="Percent 11 2 2 2" xfId="43061" xr:uid="{20F0C95E-F59A-450E-BAE6-A5F2E6477791}"/>
    <cellStyle name="Percent 11 2 3" xfId="23580" xr:uid="{7B0F3601-D5C2-4447-B60A-F38C0C112AA3}"/>
    <cellStyle name="Percent 11 2 4" xfId="43062" xr:uid="{06BB0A1E-E776-43FB-AEF1-6144BB78BBDE}"/>
    <cellStyle name="Percent 11 3" xfId="23581" xr:uid="{113A480B-AF4B-4307-8353-08CF9978319A}"/>
    <cellStyle name="Percent 11 3 2" xfId="43063" xr:uid="{C340EA4B-C214-42AE-A1FE-941FFDF3F8EB}"/>
    <cellStyle name="Percent 11 4" xfId="43064" xr:uid="{0542F46C-75EF-41F1-95C9-99B5950DD535}"/>
    <cellStyle name="Percent 110" xfId="43065" xr:uid="{96F4D517-8216-427A-9556-F4151415C6BD}"/>
    <cellStyle name="Percent 110 2" xfId="65" xr:uid="{BBBA8DF2-D622-4B90-AEF1-180A911E59CB}"/>
    <cellStyle name="Percent 111" xfId="43066" xr:uid="{5AA585E0-DE0B-40A6-AEC1-1EA71ABC2964}"/>
    <cellStyle name="Percent 112" xfId="43067" xr:uid="{F708B753-1B67-4C4A-AAF6-A9022AA35B1A}"/>
    <cellStyle name="Percent 113" xfId="43633" xr:uid="{B67328A9-D354-4DDD-A569-C4D28D533EB2}"/>
    <cellStyle name="Percent 118" xfId="43068" xr:uid="{A9EB189E-14E8-4FF8-A764-A3DB6A011901}"/>
    <cellStyle name="Percent 12" xfId="23582" xr:uid="{596269BF-F97E-4A04-8F92-CF759684C342}"/>
    <cellStyle name="Percent 12 2" xfId="23583" xr:uid="{B75FC67F-04B2-4849-BC45-21A9D88F4D53}"/>
    <cellStyle name="Percent 12 2 2" xfId="23584" xr:uid="{6E80AD0F-6DD4-4ACB-9DA4-5659C43F1C5D}"/>
    <cellStyle name="Percent 12 2 2 2" xfId="43069" xr:uid="{EFBB7D4D-95E0-49A2-A866-4A6C485F2939}"/>
    <cellStyle name="Percent 12 2 3" xfId="43070" xr:uid="{97073306-10BB-4FA1-AC7B-6FC274BE532C}"/>
    <cellStyle name="Percent 12 3" xfId="23585" xr:uid="{4AB6EBE6-85D7-44A8-AADD-20B103B71674}"/>
    <cellStyle name="Percent 12 3 2" xfId="43071" xr:uid="{76F15586-52E8-4AD1-A097-FFB7D7D51E2B}"/>
    <cellStyle name="Percent 12 4" xfId="43072" xr:uid="{EC89F4CA-3FE1-4B25-B4A3-01DBB247A75F}"/>
    <cellStyle name="Percent 13" xfId="23586" xr:uid="{B942550A-F899-4BED-8545-D204BF7F4843}"/>
    <cellStyle name="Percent 13 2" xfId="23587" xr:uid="{C730D92D-83EF-4348-BFB9-3E1D3E1B3717}"/>
    <cellStyle name="Percent 13 2 2" xfId="23588" xr:uid="{0B300A6B-B9B3-49B1-B7A1-59C1FD618BD9}"/>
    <cellStyle name="Percent 13 2 2 2" xfId="43073" xr:uid="{33A3E5DF-C31A-469B-AFAD-CAF451FD5ABE}"/>
    <cellStyle name="Percent 13 2 3" xfId="43074" xr:uid="{3452275C-73B6-4CB4-A963-C7491F8B31C9}"/>
    <cellStyle name="Percent 13 3" xfId="23589" xr:uid="{2A1A009C-5EA9-4CF2-B81E-ADE2B0F41FD2}"/>
    <cellStyle name="Percent 13 3 2" xfId="43075" xr:uid="{35BAC425-178F-4D07-94CF-1585ED6DBD8A}"/>
    <cellStyle name="Percent 13 4" xfId="43076" xr:uid="{8E04D1F0-0C1B-4479-9B26-D5C1B2F2EDCE}"/>
    <cellStyle name="Percent 130" xfId="43077" xr:uid="{36B8B721-BD77-4DEA-8661-0E35A71BEC39}"/>
    <cellStyle name="Percent 130 2" xfId="43078" xr:uid="{61C163B7-4AB7-4AB1-A56C-3EA3A55CE4B0}"/>
    <cellStyle name="Percent 130 2 2" xfId="43079" xr:uid="{E806C48A-452A-493C-94C1-08371C982956}"/>
    <cellStyle name="Percent 130 2 3" xfId="43080" xr:uid="{A5DBBCFE-DA9F-4C5A-B9CD-3CF26D5DD981}"/>
    <cellStyle name="Percent 14" xfId="23590" xr:uid="{84AD1ADB-9398-4937-BD32-279FFC515EBE}"/>
    <cellStyle name="Percent 14 2" xfId="23591" xr:uid="{269FF06C-8CDA-4AD4-A3FF-040F8F027C86}"/>
    <cellStyle name="Percent 14 2 2" xfId="23592" xr:uid="{64F2371F-7736-47EA-9432-9E544D10ABBB}"/>
    <cellStyle name="Percent 14 2 2 2" xfId="23593" xr:uid="{1EEC0CDE-7992-4D15-8945-CC70364CCD22}"/>
    <cellStyle name="Percent 14 2 2 2 2" xfId="43081" xr:uid="{0381990E-D604-4484-8611-56F16FEFB022}"/>
    <cellStyle name="Percent 14 2 2 3" xfId="23594" xr:uid="{06EE1DAE-8165-4FCB-B89F-0F3ECB521533}"/>
    <cellStyle name="Percent 14 2 2 3 2" xfId="43082" xr:uid="{D09B3A3F-4500-49B5-8F6D-8BDFBDF0C0AF}"/>
    <cellStyle name="Percent 14 2 2 4" xfId="43083" xr:uid="{CAF8EE67-DCDF-4453-AB18-FCB0A2F1E293}"/>
    <cellStyle name="Percent 14 2 2 5" xfId="43084" xr:uid="{722DC1DE-CF26-4A42-AC19-151AB519724A}"/>
    <cellStyle name="Percent 14 2 3" xfId="23595" xr:uid="{3D53F3AE-D25E-4387-A901-BEA75EC04A13}"/>
    <cellStyle name="Percent 14 2 3 2" xfId="23596" xr:uid="{08F6D9AA-59EA-47B0-BC48-50D998C91E35}"/>
    <cellStyle name="Percent 14 2 3 3" xfId="23597" xr:uid="{549829E8-7B07-45D0-A51B-8CF0B6F3969A}"/>
    <cellStyle name="Percent 14 2 4" xfId="43085" xr:uid="{E0E90AEC-B8F3-4A6B-8C91-CE68E0C2D0C9}"/>
    <cellStyle name="Percent 14 2 4 2" xfId="43086" xr:uid="{2464DD3D-9553-44CE-8F4D-2EFACC46C5C3}"/>
    <cellStyle name="Percent 14 2 4 2 2" xfId="43087" xr:uid="{4DC15876-A2BE-46FD-BA6D-3CACA7360A2A}"/>
    <cellStyle name="Percent 14 2 4 3" xfId="43088" xr:uid="{BEBCB305-8CA8-450D-97C4-A9505B95675C}"/>
    <cellStyle name="Percent 14 2 4 3 2" xfId="43089" xr:uid="{A678B470-C601-413B-9672-00608AC2EDC9}"/>
    <cellStyle name="Percent 14 2 4 4" xfId="43090" xr:uid="{EB8E8EF2-8C98-47EB-A59C-C2DDB931C5D1}"/>
    <cellStyle name="Percent 14 2 5" xfId="43091" xr:uid="{8AF2BF38-03C0-403A-A40D-00ACD58D4CB3}"/>
    <cellStyle name="Percent 14 2 6" xfId="43092" xr:uid="{51EBA4B6-D92B-4A48-9DB5-616963441D3C}"/>
    <cellStyle name="Percent 14 3" xfId="23598" xr:uid="{83DFBBE4-721E-439F-BD60-C10B447E8AE3}"/>
    <cellStyle name="Percent 14 3 2" xfId="23599" xr:uid="{A3661A19-CEC5-49C7-A882-2E8D53F38544}"/>
    <cellStyle name="Percent 14 3 2 2" xfId="23600" xr:uid="{271313FC-ACD3-400A-A99F-28DCDA424F0E}"/>
    <cellStyle name="Percent 14 3 2 3" xfId="23601" xr:uid="{F7F91723-6B06-489E-9C15-5DEBC81EBB00}"/>
    <cellStyle name="Percent 14 3 3" xfId="23602" xr:uid="{82A6FDC4-7E5A-4BA6-B93D-1DC06E047360}"/>
    <cellStyle name="Percent 14 3 3 2" xfId="43093" xr:uid="{F147AD95-5852-4E9F-A59B-7A6E06F0FB90}"/>
    <cellStyle name="Percent 14 3 4" xfId="23603" xr:uid="{760FABB2-3786-4A31-85B1-5DB847B7B4BE}"/>
    <cellStyle name="Percent 14 3 5" xfId="43094" xr:uid="{45B28CC8-2482-4C8A-8C56-D2085A3C1700}"/>
    <cellStyle name="Percent 14 4" xfId="43095" xr:uid="{35616A75-4BEB-4CB8-A0EF-577716A93834}"/>
    <cellStyle name="Percent 14 4 2" xfId="43096" xr:uid="{D36DE3B8-8E30-4A96-8AFB-70F706626749}"/>
    <cellStyle name="Percent 14 5" xfId="43097" xr:uid="{7E0895E5-A35F-457F-BD4D-39F777C8B7F6}"/>
    <cellStyle name="Percent 14 5 2" xfId="43098" xr:uid="{58338588-8755-4807-9342-4D20E38A904B}"/>
    <cellStyle name="Percent 14 5 2 2" xfId="43099" xr:uid="{E982D530-77AC-4CE1-8C02-0CADC3AB904D}"/>
    <cellStyle name="Percent 14 5 3" xfId="43100" xr:uid="{1B263D3A-FF7D-461A-A296-CE2BAFEC80FB}"/>
    <cellStyle name="Percent 14 5 3 2" xfId="43101" xr:uid="{8F14FCBA-4868-477B-885F-C754181A4C9D}"/>
    <cellStyle name="Percent 14 5 4" xfId="43102" xr:uid="{7263BDC3-FC58-4E4D-B595-C547DD33424B}"/>
    <cellStyle name="Percent 14 6" xfId="43103" xr:uid="{59F2CAAB-9D80-44F8-87C3-7D76D86B62B6}"/>
    <cellStyle name="Percent 14 7" xfId="43104" xr:uid="{368B363C-CF4F-406B-B4C7-A1F1CCBCAD4B}"/>
    <cellStyle name="Percent 15" xfId="23604" xr:uid="{B4A5E39E-9488-4EE3-A39B-886EB3A7822F}"/>
    <cellStyle name="Percent 15 2" xfId="23605" xr:uid="{16E2A5E0-E1A2-49A5-A823-49357558F89A}"/>
    <cellStyle name="Percent 15 2 2" xfId="23606" xr:uid="{B94B5BE7-ED9E-4F04-AE43-FFAA132013F8}"/>
    <cellStyle name="Percent 15 2 2 2" xfId="23607" xr:uid="{E2E77EE8-69F4-4E37-960E-8A12BECBAB07}"/>
    <cellStyle name="Percent 15 2 2 2 2" xfId="43105" xr:uid="{80E9F7FE-E0E2-40CA-8B1F-6AE8B62EA07E}"/>
    <cellStyle name="Percent 15 2 2 3" xfId="23608" xr:uid="{A748B3E8-A359-4A81-A6A6-8F819826F3FE}"/>
    <cellStyle name="Percent 15 2 2 3 2" xfId="43106" xr:uid="{ED3A8C6D-B2C2-4B63-96F4-A93DC5493544}"/>
    <cellStyle name="Percent 15 2 2 4" xfId="43107" xr:uid="{2F64021F-9246-4F4D-B5EC-302B94520BDC}"/>
    <cellStyle name="Percent 15 2 2 5" xfId="43108" xr:uid="{D51639E1-8AB7-4159-8FF7-1FA165D0070D}"/>
    <cellStyle name="Percent 15 2 3" xfId="23609" xr:uid="{758ED676-47A8-4476-8BE7-D4AAE11C3D41}"/>
    <cellStyle name="Percent 15 2 3 2" xfId="23610" xr:uid="{0E749FEC-593C-43E9-8A81-76B8DD3A55C8}"/>
    <cellStyle name="Percent 15 2 3 3" xfId="23611" xr:uid="{E066C0BC-628D-46C4-80D1-2529EEBFC272}"/>
    <cellStyle name="Percent 15 2 4" xfId="43109" xr:uid="{2F285E16-A79C-42B7-B4A1-DF9C005E0954}"/>
    <cellStyle name="Percent 15 2 4 2" xfId="43110" xr:uid="{31D4E832-2553-4033-9F3C-FC76CC0600EF}"/>
    <cellStyle name="Percent 15 2 4 2 2" xfId="43111" xr:uid="{0A099259-3B05-4ADA-A9CB-2DF5C8F0EE75}"/>
    <cellStyle name="Percent 15 2 4 3" xfId="43112" xr:uid="{F9616010-C9BD-4C7C-8C0E-8644E4AC1626}"/>
    <cellStyle name="Percent 15 2 4 3 2" xfId="43113" xr:uid="{1AA602AF-EB26-4869-83E6-B400BFECD36D}"/>
    <cellStyle name="Percent 15 2 4 4" xfId="43114" xr:uid="{553B3321-DA75-45EB-B9E4-6C7F0D5C651C}"/>
    <cellStyle name="Percent 15 2 5" xfId="43115" xr:uid="{DE943CF4-016B-40CE-A9CC-2255CB1A7F11}"/>
    <cellStyle name="Percent 15 2 6" xfId="43116" xr:uid="{E6078261-70DA-43E0-9C45-ADC98A0AAEEE}"/>
    <cellStyle name="Percent 15 3" xfId="23612" xr:uid="{A7BC3D33-0FAB-401E-8F22-0968D6FB9A07}"/>
    <cellStyle name="Percent 15 3 2" xfId="23613" xr:uid="{AA01A6DC-AF3B-484E-871B-0275F9C80D9B}"/>
    <cellStyle name="Percent 15 3 2 2" xfId="23614" xr:uid="{A0826D53-98F8-4C84-A364-989AA5669344}"/>
    <cellStyle name="Percent 15 3 2 3" xfId="23615" xr:uid="{3A34DD3F-9A4F-4946-9DCC-93CCFAB862A9}"/>
    <cellStyle name="Percent 15 3 3" xfId="23616" xr:uid="{42B0A341-D9B1-4AA8-9BD0-7503B2BEF8C6}"/>
    <cellStyle name="Percent 15 3 3 2" xfId="43117" xr:uid="{C6A976A1-3CEC-43AA-BD38-A299A8F5EC08}"/>
    <cellStyle name="Percent 15 3 4" xfId="23617" xr:uid="{EAC8C314-DB5F-48A9-85F4-3067F6A2749B}"/>
    <cellStyle name="Percent 15 3 5" xfId="43118" xr:uid="{6AABCE2C-2955-4720-9E20-73B691D345BB}"/>
    <cellStyle name="Percent 15 4" xfId="43119" xr:uid="{857FE913-2E45-4032-96E4-AD66DE879B2C}"/>
    <cellStyle name="Percent 15 4 2" xfId="43120" xr:uid="{05ACD516-7FA4-4C3E-B1FA-34B486468E8D}"/>
    <cellStyle name="Percent 15 5" xfId="43121" xr:uid="{DCAAE6F4-16F9-4480-954F-9F4C1AAD7987}"/>
    <cellStyle name="Percent 15 5 2" xfId="43122" xr:uid="{C06B4690-A812-4415-B2D1-CBC9541CEEF1}"/>
    <cellStyle name="Percent 15 5 2 2" xfId="43123" xr:uid="{88E38D21-53CF-4487-A638-9560B0730838}"/>
    <cellStyle name="Percent 15 5 3" xfId="43124" xr:uid="{C66621F0-146B-47A7-BC7C-0142F268D0BC}"/>
    <cellStyle name="Percent 15 5 3 2" xfId="43125" xr:uid="{00F78356-B575-4CCD-8519-A8793861A4D6}"/>
    <cellStyle name="Percent 15 5 4" xfId="43126" xr:uid="{355680F5-3AC6-40E5-B28A-059750759502}"/>
    <cellStyle name="Percent 15 6" xfId="43127" xr:uid="{F52F6BA4-390D-49F0-8CB1-D41DF79637BA}"/>
    <cellStyle name="Percent 15 7" xfId="43128" xr:uid="{5B53B9E0-25EC-4F33-890C-D0A623316026}"/>
    <cellStyle name="Percent 16" xfId="23618" xr:uid="{417894FE-8660-4937-98A1-A47A47DA5EFE}"/>
    <cellStyle name="Percent 16 2" xfId="23619" xr:uid="{12F46AA0-3DB9-4E1D-BE3F-9D7DD735385E}"/>
    <cellStyle name="Percent 16 2 2" xfId="23620" xr:uid="{7BAF18DE-90FA-4649-9727-844976701A8B}"/>
    <cellStyle name="Percent 16 2 2 2" xfId="43129" xr:uid="{565AC17F-3822-4DF8-8F62-56884038304B}"/>
    <cellStyle name="Percent 16 2 3" xfId="43130" xr:uid="{66CAD930-8064-4BD5-B62E-0BFBB85BB539}"/>
    <cellStyle name="Percent 16 2 4" xfId="43131" xr:uid="{25BE9D83-429F-4B39-B524-2FF4FA5ED21F}"/>
    <cellStyle name="Percent 16 3" xfId="23621" xr:uid="{ECA9AAD8-E2F0-4137-A8F6-1A6A236703C6}"/>
    <cellStyle name="Percent 16 3 2" xfId="43132" xr:uid="{9B9E8D6B-F9B0-4395-BE60-0775011CD571}"/>
    <cellStyle name="Percent 16 3 2 2" xfId="43133" xr:uid="{A3B0DFD6-4F58-479C-89A6-7F94BCD0D35B}"/>
    <cellStyle name="Percent 16 3 3" xfId="43134" xr:uid="{BBC0B37F-E4A7-4392-9CCB-3314E19AC275}"/>
    <cellStyle name="Percent 16 3 3 2" xfId="43135" xr:uid="{8C0B797C-A9B5-4F41-8C80-EE8F838AF8F8}"/>
    <cellStyle name="Percent 16 3 4" xfId="43136" xr:uid="{980896EC-0F6B-43BC-ADAF-FEB429FD896E}"/>
    <cellStyle name="Percent 16 3 5" xfId="43137" xr:uid="{FCE5FC83-EB2F-494A-B3B3-02BED7BADEE0}"/>
    <cellStyle name="Percent 16 4" xfId="43138" xr:uid="{A882DD7B-3F97-46FD-A1D7-F2A7E3EC9395}"/>
    <cellStyle name="Percent 16 5" xfId="43139" xr:uid="{4D1E9E61-3F48-4F98-9E22-484D4A7CCB85}"/>
    <cellStyle name="Percent 17" xfId="23622" xr:uid="{AFB05D2B-1B42-4FDD-9890-21F4882AA326}"/>
    <cellStyle name="Percent 17 2" xfId="23623" xr:uid="{756347A4-B878-4B11-B7FC-1B6091222CB4}"/>
    <cellStyle name="Percent 17 2 2" xfId="23624" xr:uid="{2B93AF45-536E-4830-B850-F50FAE73DF31}"/>
    <cellStyle name="Percent 17 2 2 2" xfId="43140" xr:uid="{9B4A4C40-1516-4E49-B5D9-9129E95B3C30}"/>
    <cellStyle name="Percent 17 2 3" xfId="43141" xr:uid="{F78DE88A-026B-4CC7-AF21-A2890DC47159}"/>
    <cellStyle name="Percent 17 3" xfId="23625" xr:uid="{B67BB689-3FF9-4709-96C7-93B74111866E}"/>
    <cellStyle name="Percent 17 3 2" xfId="43142" xr:uid="{2A101E3E-CFD4-4527-B4EE-FAD8315946D1}"/>
    <cellStyle name="Percent 17 4" xfId="23626" xr:uid="{D2D95B39-3AF4-4126-93D6-9E630E1DEDC9}"/>
    <cellStyle name="Percent 17 5" xfId="43143" xr:uid="{20B73A51-5747-4D2D-8286-1A389AFE5AB6}"/>
    <cellStyle name="Percent 18" xfId="23627" xr:uid="{36E5C958-6CC2-4237-83B2-AB9B65A1F45A}"/>
    <cellStyle name="Percent 18 2" xfId="23628" xr:uid="{7F8CAD35-2168-4169-8CED-E0136200A379}"/>
    <cellStyle name="Percent 18 2 2" xfId="43144" xr:uid="{B5774DD2-B537-4BE4-A9E9-CACD54C9AC3E}"/>
    <cellStyle name="Percent 18 3" xfId="23629" xr:uid="{48589122-25B7-4996-BCAC-9FEDD6FA894A}"/>
    <cellStyle name="Percent 19" xfId="23630" xr:uid="{55A60272-12C7-483C-A680-D80AB7B5B94C}"/>
    <cellStyle name="Percent 19 2" xfId="23631" xr:uid="{C2569FB6-4F87-4E3C-84F1-936FDA1A9D10}"/>
    <cellStyle name="Percent 19 2 2" xfId="43145" xr:uid="{9DC38722-2800-4513-9A65-CAAB6E811256}"/>
    <cellStyle name="Percent 19 3" xfId="23632" xr:uid="{943F894E-783C-46E5-9912-E0053477A96E}"/>
    <cellStyle name="Percent 2" xfId="12" xr:uid="{00000000-0005-0000-0000-000018000000}"/>
    <cellStyle name="Percent 2 10" xfId="153" xr:uid="{F0088B70-972B-4855-AED6-0FCB95D50778}"/>
    <cellStyle name="Percent 2 10 2" xfId="23633" xr:uid="{F2BD23CC-A4FC-4BC3-B896-967130E0F337}"/>
    <cellStyle name="Percent 2 10 2 2" xfId="43146" xr:uid="{27E7E55A-C8BB-4F1F-B727-716E5AB222E6}"/>
    <cellStyle name="Percent 2 10 3" xfId="43147" xr:uid="{D3873AE3-E07A-4C7F-9CB2-89CF16B3D4D6}"/>
    <cellStyle name="Percent 2 11" xfId="23634" xr:uid="{1AE11F3D-9447-4240-AF57-D595A4413820}"/>
    <cellStyle name="Percent 2 11 2" xfId="23635" xr:uid="{5A22C929-6ED0-4840-AC70-6D810C94709A}"/>
    <cellStyle name="Percent 2 11 2 2" xfId="43148" xr:uid="{863CC597-A5F3-4B79-AC5A-3E7A40F1E289}"/>
    <cellStyle name="Percent 2 11 3" xfId="43149" xr:uid="{0B739DCC-DCE8-49DC-8416-4B533DA3F43F}"/>
    <cellStyle name="Percent 2 12" xfId="23636" xr:uid="{82F97F83-1F5B-49C9-BDD4-EEFC302AB537}"/>
    <cellStyle name="Percent 2 12 2" xfId="23637" xr:uid="{A0CD8315-220B-40DD-BBF4-A9AD1A968622}"/>
    <cellStyle name="Percent 2 12 2 2" xfId="43150" xr:uid="{03140733-5CB2-45FF-89D4-F68E2F4914CB}"/>
    <cellStyle name="Percent 2 12 3" xfId="43151" xr:uid="{A4D0289E-15ED-4C16-BBB6-59E0603D636B}"/>
    <cellStyle name="Percent 2 13" xfId="23638" xr:uid="{3D35B878-CE25-4D79-9CE1-C21A91BE075A}"/>
    <cellStyle name="Percent 2 13 2" xfId="23639" xr:uid="{4CA02D59-5698-46DE-A0B1-FD8CA504EEBC}"/>
    <cellStyle name="Percent 2 13 2 2" xfId="43152" xr:uid="{D6944320-A275-4482-AE9A-59FD3AF24FDA}"/>
    <cellStyle name="Percent 2 13 3" xfId="43153" xr:uid="{3F7403D1-2286-4F22-88A0-4E29AF942531}"/>
    <cellStyle name="Percent 2 14" xfId="23640" xr:uid="{1B50D267-0FBB-4756-A730-3F5A955BAA3F}"/>
    <cellStyle name="Percent 2 14 2" xfId="23641" xr:uid="{628830A8-7CC1-491E-A7F1-8271887BADBD}"/>
    <cellStyle name="Percent 2 14 2 2" xfId="43154" xr:uid="{20CB1529-35FC-424E-830A-2F9626AE7339}"/>
    <cellStyle name="Percent 2 14 3" xfId="43155" xr:uid="{E7849298-8159-4192-8F04-59DBBD0CCB47}"/>
    <cellStyle name="Percent 2 15" xfId="23642" xr:uid="{E5660A45-1CA1-4BC3-9C36-09EF181F9A22}"/>
    <cellStyle name="Percent 2 15 2" xfId="23643" xr:uid="{51FE8712-A7DB-4D2E-B2FA-7599D1DAB264}"/>
    <cellStyle name="Percent 2 15 2 2" xfId="43156" xr:uid="{8E604CA5-344B-4A58-BCBC-DF14C8884452}"/>
    <cellStyle name="Percent 2 15 3" xfId="43157" xr:uid="{23FA129A-F520-4E90-8E5B-F3828F91031E}"/>
    <cellStyle name="Percent 2 16" xfId="23644" xr:uid="{95800C23-42EA-4152-BF86-BBAC7149655D}"/>
    <cellStyle name="Percent 2 16 2" xfId="23645" xr:uid="{221F2B9C-839B-4FBB-8219-B002497BE4C6}"/>
    <cellStyle name="Percent 2 16 2 2" xfId="43158" xr:uid="{B72BCFF5-F77C-4786-A255-DCD1DB4BA458}"/>
    <cellStyle name="Percent 2 16 3" xfId="43159" xr:uid="{AB0882A3-7C22-4E29-A96F-32D575F669AE}"/>
    <cellStyle name="Percent 2 17" xfId="23646" xr:uid="{15C8A762-6934-4A15-8EB8-91D323A3B1FA}"/>
    <cellStyle name="Percent 2 17 2" xfId="23647" xr:uid="{9139D1E6-44CB-438F-B672-6499B9211F7C}"/>
    <cellStyle name="Percent 2 17 2 2" xfId="43160" xr:uid="{2A8DB28E-7D6C-447D-B44C-0CB4EE2B0C81}"/>
    <cellStyle name="Percent 2 17 3" xfId="43161" xr:uid="{0BFB6D7F-5341-4716-88F4-1FF9B1626988}"/>
    <cellStyle name="Percent 2 18" xfId="23648" xr:uid="{F9D2FE82-4C48-434B-9877-C532CE473006}"/>
    <cellStyle name="Percent 2 18 2" xfId="23649" xr:uid="{CB67A887-7163-4D53-87AC-F860604FFFE6}"/>
    <cellStyle name="Percent 2 18 2 2" xfId="43162" xr:uid="{424CCE5A-114C-4442-B6E4-E284BE706C0B}"/>
    <cellStyle name="Percent 2 18 3" xfId="43163" xr:uid="{704B9395-5B83-4B59-B596-5311C83B16EA}"/>
    <cellStyle name="Percent 2 19" xfId="23650" xr:uid="{9830C4D7-FE50-4176-A312-B403FE5B2B33}"/>
    <cellStyle name="Percent 2 19 2" xfId="23651" xr:uid="{ADA1B397-86E8-480E-A615-DF7B19B35137}"/>
    <cellStyle name="Percent 2 19 2 2" xfId="43164" xr:uid="{7F033AC0-1914-45D2-A384-7C7CB25433D6}"/>
    <cellStyle name="Percent 2 19 3" xfId="43165" xr:uid="{C61418C1-BC74-42C5-9F77-EFFDB28E80BD}"/>
    <cellStyle name="Percent 2 2" xfId="258" xr:uid="{BF7C5FD9-B919-4C6A-B4F4-845150BB812D}"/>
    <cellStyle name="Percent 2 2 2" xfId="23652" xr:uid="{262B12EA-6EE3-4B07-8149-F73F46576AC2}"/>
    <cellStyle name="Percent 2 2 2 2" xfId="23653" xr:uid="{2B63D719-634E-45AF-9A18-14C760A67B20}"/>
    <cellStyle name="Percent 2 2 2 2 2" xfId="23654" xr:uid="{601C0800-E01A-461B-9ED2-795978E4596B}"/>
    <cellStyle name="Percent 2 2 2 2 2 2" xfId="23655" xr:uid="{F23B1D12-3AC0-4596-82EA-B43CADF07C33}"/>
    <cellStyle name="Percent 2 2 2 2 3" xfId="23656" xr:uid="{3823CE95-AEF1-4FEA-BE77-4B63533E9A4D}"/>
    <cellStyle name="Percent 2 2 2 2 4" xfId="23657" xr:uid="{28F2FAAC-7254-4817-B15F-C83A99DB37A4}"/>
    <cellStyle name="Percent 2 2 2 2 5" xfId="43166" xr:uid="{FFDAD49B-C295-4D39-849D-32EB2DB8FCB8}"/>
    <cellStyle name="Percent 2 2 2 3" xfId="23658" xr:uid="{7DC30E2B-2B99-4D2E-BB61-CAA5046F90ED}"/>
    <cellStyle name="Percent 2 2 2 3 2" xfId="23659" xr:uid="{D0222D63-718D-4104-9E50-5FCFD7DED272}"/>
    <cellStyle name="Percent 2 2 2 3 3" xfId="23660" xr:uid="{7A8770BB-8BDC-4C24-887E-285CE08F1007}"/>
    <cellStyle name="Percent 2 2 2 3 4" xfId="43167" xr:uid="{D490878A-83A0-47E1-B283-7377F4C6B8ED}"/>
    <cellStyle name="Percent 2 2 2 4" xfId="23661" xr:uid="{5AFAF62E-4A82-4CB3-93A0-7D8A3ACB9D50}"/>
    <cellStyle name="Percent 2 2 2 5" xfId="23662" xr:uid="{176F9049-ED3B-4135-B01D-F5053C179C3E}"/>
    <cellStyle name="Percent 2 2 2 6" xfId="43168" xr:uid="{12621E41-DB1C-41DE-97B0-D51E3667AE2B}"/>
    <cellStyle name="Percent 2 2 3" xfId="23663" xr:uid="{9CAC8B88-D0AE-4234-A0E6-DBD05E809386}"/>
    <cellStyle name="Percent 2 2 3 2" xfId="23664" xr:uid="{510DEA4C-970A-4155-AB38-EFD1B15B81AE}"/>
    <cellStyle name="Percent 2 2 3 2 2" xfId="23665" xr:uid="{CA54A31D-8DBF-456F-9338-8FD735805EC8}"/>
    <cellStyle name="Percent 2 2 3 2 2 2" xfId="23666" xr:uid="{8E0B6ED0-317E-41C0-B38B-93A05B9AD34F}"/>
    <cellStyle name="Percent 2 2 3 2 3" xfId="23667" xr:uid="{076F884D-F279-4D6D-B67B-A85A36A94EA8}"/>
    <cellStyle name="Percent 2 2 3 3" xfId="23668" xr:uid="{38E6C928-B19F-49A8-88DC-F97EA4F6E0C4}"/>
    <cellStyle name="Percent 2 2 3 3 2" xfId="23669" xr:uid="{2CC24369-3AC1-4487-BC95-FD0A08B20EE0}"/>
    <cellStyle name="Percent 2 2 3 4" xfId="23670" xr:uid="{541F67E1-30ED-4F34-9AD9-E08131F67C69}"/>
    <cellStyle name="Percent 2 2 3 5" xfId="23671" xr:uid="{C043D5F7-24A8-414E-A11D-E1C0E731918C}"/>
    <cellStyle name="Percent 2 2 3 6" xfId="43169" xr:uid="{DA1A2D28-5698-46A8-8EEA-F2360268220E}"/>
    <cellStyle name="Percent 2 2 4" xfId="23672" xr:uid="{8292DDF4-E53C-47CB-8910-4F866B2C9644}"/>
    <cellStyle name="Percent 2 2 4 2" xfId="43170" xr:uid="{F9B82FFF-CD11-45DF-8ADB-E221D445D9F6}"/>
    <cellStyle name="Percent 2 2 5" xfId="23673" xr:uid="{010A5ECF-BBFD-424F-8DB7-451F42FD1969}"/>
    <cellStyle name="Percent 2 2 6" xfId="43171" xr:uid="{D6BB13F2-4413-4BB3-BC45-D3F0BBA38B8C}"/>
    <cellStyle name="Percent 2 20" xfId="23674" xr:uid="{C7400D2E-8BDD-4805-9965-AD47B153406B}"/>
    <cellStyle name="Percent 2 20 2" xfId="23675" xr:uid="{4B443016-3FCC-4212-AC19-DB51B56FB8E8}"/>
    <cellStyle name="Percent 2 20 2 2" xfId="43172" xr:uid="{0517304B-932E-4A5C-9ABE-CEAC5E5AE1F6}"/>
    <cellStyle name="Percent 2 20 3" xfId="43173" xr:uid="{C605047D-27C7-443D-BC49-F5254C85258C}"/>
    <cellStyle name="Percent 2 21" xfId="23676" xr:uid="{3507836D-CC93-4132-BE5A-1B1C0FB17A8C}"/>
    <cellStyle name="Percent 2 21 2" xfId="23677" xr:uid="{C9FF673A-EB04-4246-9709-491839B26BF4}"/>
    <cellStyle name="Percent 2 21 2 2" xfId="43174" xr:uid="{DBE6D7FF-886C-4993-A4BA-72F258919E64}"/>
    <cellStyle name="Percent 2 21 3" xfId="43175" xr:uid="{63D5C776-E644-48B5-B3D7-9AFC0C12918E}"/>
    <cellStyle name="Percent 2 22" xfId="23678" xr:uid="{A5717927-41DB-4E80-AAFC-0C2BBEC7E998}"/>
    <cellStyle name="Percent 2 22 2" xfId="23679" xr:uid="{DD1D46F4-D27E-4C4E-97BC-8F7C5E467313}"/>
    <cellStyle name="Percent 2 22 2 2" xfId="43176" xr:uid="{025AF22D-5367-415B-9683-88AD828FE8D6}"/>
    <cellStyle name="Percent 2 22 3" xfId="43177" xr:uid="{314BB84E-B714-4824-9C5B-A0C6B49F3AEC}"/>
    <cellStyle name="Percent 2 23" xfId="23680" xr:uid="{6A524BB7-B769-4477-BFF0-D7540D68178C}"/>
    <cellStyle name="Percent 2 23 2" xfId="23681" xr:uid="{CFB04B40-A934-43B8-8E7B-E4DD87C5DBC3}"/>
    <cellStyle name="Percent 2 23 2 2" xfId="43178" xr:uid="{D6F4D5F9-D91E-402E-A581-4CE149538D4F}"/>
    <cellStyle name="Percent 2 23 3" xfId="43179" xr:uid="{CD16460E-0354-40D2-9D69-C29F65E9BF74}"/>
    <cellStyle name="Percent 2 24" xfId="23682" xr:uid="{DC28459C-7822-42AE-8A2D-2304EEFFEA09}"/>
    <cellStyle name="Percent 2 24 2" xfId="23683" xr:uid="{7F3BDC78-48C3-4F6E-A7F6-3FEC3B8B4032}"/>
    <cellStyle name="Percent 2 24 2 2" xfId="43180" xr:uid="{E8CB972D-EC21-4412-A100-E675DC7A9324}"/>
    <cellStyle name="Percent 2 24 3" xfId="43181" xr:uid="{E5F5B2C3-8909-48BE-9644-CF363BCA2F45}"/>
    <cellStyle name="Percent 2 25" xfId="23684" xr:uid="{7FCC0026-EFFD-4CB5-A47D-B28ED0B1B281}"/>
    <cellStyle name="Percent 2 25 2" xfId="23685" xr:uid="{3437838E-0ABC-4FD1-9DE1-415901D21B67}"/>
    <cellStyle name="Percent 2 25 2 2" xfId="43182" xr:uid="{EECEFC5C-0204-4F6E-9452-99AB36CE1668}"/>
    <cellStyle name="Percent 2 25 3" xfId="43183" xr:uid="{FB952554-A319-408A-A0FC-247FAE032EC8}"/>
    <cellStyle name="Percent 2 26" xfId="23686" xr:uid="{466C77A3-353D-49A2-A83D-00916D6D83DE}"/>
    <cellStyle name="Percent 2 26 2" xfId="23687" xr:uid="{B3277E75-1208-4CA4-91B4-24D6841BB8C9}"/>
    <cellStyle name="Percent 2 26 2 2" xfId="43184" xr:uid="{E2C0D940-3BB7-41B1-A00C-78AE730760C9}"/>
    <cellStyle name="Percent 2 26 3" xfId="43185" xr:uid="{F43C2E30-761E-4CBC-9BBB-F233C3E9D864}"/>
    <cellStyle name="Percent 2 27" xfId="23688" xr:uid="{98B32A01-04FD-49F8-972A-6BCEFB5F6EA4}"/>
    <cellStyle name="Percent 2 27 2" xfId="23689" xr:uid="{51F38CD6-80B8-48E4-850C-E2CA48399C39}"/>
    <cellStyle name="Percent 2 27 2 2" xfId="43186" xr:uid="{E1B2A9CF-5C63-48E7-B144-104CC129ABAA}"/>
    <cellStyle name="Percent 2 27 3" xfId="43187" xr:uid="{89E1C326-0355-40B0-B9F7-78A31BBE909A}"/>
    <cellStyle name="Percent 2 28" xfId="23690" xr:uid="{DD3B2AF2-73C3-48BE-B79D-62300471E295}"/>
    <cellStyle name="Percent 2 28 2" xfId="23691" xr:uid="{1301550F-E06A-478B-95C5-2A9E1B3FB0C0}"/>
    <cellStyle name="Percent 2 28 2 2" xfId="43188" xr:uid="{B61B133A-A1DC-4C1B-B2BD-9970540B75ED}"/>
    <cellStyle name="Percent 2 28 3" xfId="43189" xr:uid="{45637D32-80AA-48F4-A88A-8D73DC6816F2}"/>
    <cellStyle name="Percent 2 29" xfId="23692" xr:uid="{E0497626-FED0-4D12-A53B-673909A45A57}"/>
    <cellStyle name="Percent 2 29 2" xfId="23693" xr:uid="{FCF7693A-9967-4DC1-846E-9BC5EC3E4C6A}"/>
    <cellStyle name="Percent 2 29 2 2" xfId="43190" xr:uid="{BC89E955-32DA-474E-8BBD-2824BBA092CD}"/>
    <cellStyle name="Percent 2 29 3" xfId="43191" xr:uid="{F17601CB-4DE7-4940-B8DD-006920001EFF}"/>
    <cellStyle name="Percent 2 3" xfId="23694" xr:uid="{61F99C31-04FF-46C7-AE3B-58B3BDFAE0BA}"/>
    <cellStyle name="Percent 2 3 2" xfId="23695" xr:uid="{20593EB6-D5FF-42B1-9CFE-535B70610FB8}"/>
    <cellStyle name="Percent 2 3 2 2" xfId="23696" xr:uid="{74C392CC-F5CD-492A-8C3C-C45C2917EFB0}"/>
    <cellStyle name="Percent 2 3 2 2 2" xfId="43192" xr:uid="{7B40386C-F92C-4395-A260-331E1CDAE80B}"/>
    <cellStyle name="Percent 2 3 2 3" xfId="23697" xr:uid="{7C56CF16-A431-4F30-8B09-0948559858C5}"/>
    <cellStyle name="Percent 2 3 2 3 2" xfId="43193" xr:uid="{17F070B1-10E7-4230-AB9A-B15869132751}"/>
    <cellStyle name="Percent 2 3 2 4" xfId="43194" xr:uid="{A59FB149-0E04-433D-801C-AF36A5305FA7}"/>
    <cellStyle name="Percent 2 3 3" xfId="23698" xr:uid="{197B7C0A-ABED-432A-9A39-7A3458D73347}"/>
    <cellStyle name="Percent 2 3 3 2" xfId="43195" xr:uid="{8972AA3A-3479-4898-93AB-53584959CF16}"/>
    <cellStyle name="Percent 2 3 4" xfId="23699" xr:uid="{7304EF69-78D4-427D-BD1D-3C2E1562B87A}"/>
    <cellStyle name="Percent 2 3 4 2" xfId="43196" xr:uid="{60CFFA8C-A18B-40AC-B96D-F0B402E181B6}"/>
    <cellStyle name="Percent 2 3 5" xfId="43197" xr:uid="{8821006F-F129-447A-9802-A902EB8F5EF6}"/>
    <cellStyle name="Percent 2 30" xfId="23700" xr:uid="{5C1E5DF7-052A-4C25-87A4-0197A9C3E685}"/>
    <cellStyle name="Percent 2 30 2" xfId="23701" xr:uid="{013A4937-A89B-4D53-99F4-452EDD6BED07}"/>
    <cellStyle name="Percent 2 30 2 2" xfId="43198" xr:uid="{429BC8EA-41AF-4EA7-A507-05CAB526B8C2}"/>
    <cellStyle name="Percent 2 30 3" xfId="43199" xr:uid="{9EDB6CDD-AF10-4EBF-98F3-8A7DDEEB4958}"/>
    <cellStyle name="Percent 2 31" xfId="23702" xr:uid="{F94F3A92-1F14-4725-A68B-0E35EB224067}"/>
    <cellStyle name="Percent 2 31 2" xfId="23703" xr:uid="{9B969A96-CA69-43FE-970E-88D36FA82CF7}"/>
    <cellStyle name="Percent 2 31 2 2" xfId="43200" xr:uid="{601056C6-70B4-4102-8A70-3582BBDDCD47}"/>
    <cellStyle name="Percent 2 31 3" xfId="43201" xr:uid="{B19F823D-3168-4DDD-B951-CD7513A03C12}"/>
    <cellStyle name="Percent 2 32" xfId="23704" xr:uid="{AF931CB8-CD94-4922-89A1-8B5D77908AD2}"/>
    <cellStyle name="Percent 2 32 2" xfId="23705" xr:uid="{1F515F83-7AFF-4762-8D2C-15E39F44429D}"/>
    <cellStyle name="Percent 2 32 2 2" xfId="43202" xr:uid="{8761D5D8-B35C-4E59-9894-586B0343095A}"/>
    <cellStyle name="Percent 2 32 3" xfId="43203" xr:uid="{7FB5F951-1C3D-41C5-98A7-705E84D259FF}"/>
    <cellStyle name="Percent 2 33" xfId="23706" xr:uid="{D9DF9783-DBD0-404E-A181-95B3976BB7C6}"/>
    <cellStyle name="Percent 2 33 2" xfId="23707" xr:uid="{766C5C3F-C1C2-4466-A884-D6F564BF007F}"/>
    <cellStyle name="Percent 2 33 2 2" xfId="43204" xr:uid="{92A24298-6EE6-4A69-B483-84DCDC54FCB3}"/>
    <cellStyle name="Percent 2 33 3" xfId="43205" xr:uid="{3D45088C-294F-47A9-9F76-829DE61DADFD}"/>
    <cellStyle name="Percent 2 34" xfId="23708" xr:uid="{8EDADEC8-F8FB-4A07-ABA1-92F5BB33456C}"/>
    <cellStyle name="Percent 2 34 2" xfId="23709" xr:uid="{63A0D112-3975-4C16-8EFD-506ABFE5A995}"/>
    <cellStyle name="Percent 2 34 2 2" xfId="43206" xr:uid="{EDEF4397-4D05-487D-A688-076659300E7E}"/>
    <cellStyle name="Percent 2 34 3" xfId="43207" xr:uid="{FC69663F-05F6-4962-8AB0-2756CB72D395}"/>
    <cellStyle name="Percent 2 35" xfId="23710" xr:uid="{5ACA5061-24C3-40CF-96DB-CA03D927CA42}"/>
    <cellStyle name="Percent 2 35 2" xfId="23711" xr:uid="{C0550253-CFDE-49DB-B8FA-9EBEBA990E60}"/>
    <cellStyle name="Percent 2 35 2 2" xfId="43208" xr:uid="{C85783DA-1ECC-4B61-9909-8F65DC179B5E}"/>
    <cellStyle name="Percent 2 35 3" xfId="43209" xr:uid="{1B3D5AAB-A432-4161-B7D7-5AE8B39B4FCB}"/>
    <cellStyle name="Percent 2 36" xfId="23712" xr:uid="{D6BE85AB-6568-4FEF-8839-FB385C3E303E}"/>
    <cellStyle name="Percent 2 36 2" xfId="23713" xr:uid="{CB55F158-3B54-4909-8305-4CD39EE48BED}"/>
    <cellStyle name="Percent 2 36 2 2" xfId="43210" xr:uid="{6BBB9E61-A41C-47EB-8054-8ADBCFBEC941}"/>
    <cellStyle name="Percent 2 36 3" xfId="43211" xr:uid="{71373AC4-00EE-47B5-9C71-8C272510A695}"/>
    <cellStyle name="Percent 2 37" xfId="23714" xr:uid="{C27046F8-BD80-4978-8DB8-8D43FB2AA57F}"/>
    <cellStyle name="Percent 2 37 2" xfId="23715" xr:uid="{DA1490C9-2BDB-4695-9D09-02E42331A8A4}"/>
    <cellStyle name="Percent 2 37 2 2" xfId="43212" xr:uid="{D5C3CB8E-18CA-43D3-B3B5-2985E3E30F19}"/>
    <cellStyle name="Percent 2 37 3" xfId="43213" xr:uid="{68612A04-409B-4218-8C65-7618863149C7}"/>
    <cellStyle name="Percent 2 38" xfId="23716" xr:uid="{5D312A8F-BE19-4F14-A58C-D76FCB6C1758}"/>
    <cellStyle name="Percent 2 38 2" xfId="23717" xr:uid="{63A4B19E-D877-4CF5-8DB7-2EFBEE1D708B}"/>
    <cellStyle name="Percent 2 38 2 2" xfId="43214" xr:uid="{2F24B5DF-DB6F-4C8F-9C0F-412649318EBD}"/>
    <cellStyle name="Percent 2 38 3" xfId="43215" xr:uid="{FEC3814D-0E63-427C-8661-8055D337A597}"/>
    <cellStyle name="Percent 2 39" xfId="23718" xr:uid="{53B90905-E08C-4CCB-9E24-F4AFE9965ED4}"/>
    <cellStyle name="Percent 2 39 2" xfId="23719" xr:uid="{243DECEC-A9C7-4587-8875-39EB87FDA0DB}"/>
    <cellStyle name="Percent 2 39 2 2" xfId="43216" xr:uid="{519F303B-B285-4967-A282-3189B9634025}"/>
    <cellStyle name="Percent 2 39 3" xfId="43217" xr:uid="{A42AC78F-91C8-4D88-BFC6-72E47F7E1A7C}"/>
    <cellStyle name="Percent 2 4" xfId="23720" xr:uid="{5B016DE7-40DB-404A-AA61-21C73326FC64}"/>
    <cellStyle name="Percent 2 4 2" xfId="23721" xr:uid="{183C48CB-F2CD-4E1F-B673-A331539A3B30}"/>
    <cellStyle name="Percent 2 4 2 2" xfId="23722" xr:uid="{F7564B3F-ABC0-4790-8171-B36B5C59F750}"/>
    <cellStyle name="Percent 2 4 2 2 2" xfId="23723" xr:uid="{4B9AA3A6-252D-4100-8B93-6E619AF76D17}"/>
    <cellStyle name="Percent 2 4 2 2 3" xfId="23724" xr:uid="{CDFBB5CD-92AF-4BEB-A751-DC01F3762F5A}"/>
    <cellStyle name="Percent 2 4 2 2 4" xfId="43218" xr:uid="{390EF68E-D81F-400A-8DD1-C559B5CF4893}"/>
    <cellStyle name="Percent 2 4 2 3" xfId="23725" xr:uid="{3FDE390B-1272-49B6-BAE2-F50E583FF65D}"/>
    <cellStyle name="Percent 2 4 2 3 2" xfId="23726" xr:uid="{F23970E0-6EB1-4E71-94C4-7D7CF4071E2D}"/>
    <cellStyle name="Percent 2 4 2 3 3" xfId="43219" xr:uid="{1F6BD496-97CF-4682-B37E-4A0EBC10A02B}"/>
    <cellStyle name="Percent 2 4 2 4" xfId="23727" xr:uid="{2F477C44-EF8B-4228-92C8-0D1956177300}"/>
    <cellStyle name="Percent 2 4 2 5" xfId="43220" xr:uid="{A1CF545C-D8DC-4443-A895-337755751A6F}"/>
    <cellStyle name="Percent 2 4 3" xfId="23728" xr:uid="{CD21A134-FCF8-41C2-884C-F91B6BE791A9}"/>
    <cellStyle name="Percent 2 4 3 2" xfId="23729" xr:uid="{4E0E43B1-D1B6-4058-ADDD-0F3907456FDD}"/>
    <cellStyle name="Percent 2 4 3 2 2" xfId="23730" xr:uid="{0477B037-74EF-4690-BF22-596C37FA582C}"/>
    <cellStyle name="Percent 2 4 3 3" xfId="23731" xr:uid="{85E44061-A3B7-4E0B-BA85-B2F090257576}"/>
    <cellStyle name="Percent 2 4 3 4" xfId="23732" xr:uid="{21D05706-0497-4991-8536-0A8CDCCFC686}"/>
    <cellStyle name="Percent 2 4 3 5" xfId="43221" xr:uid="{3E7C74F5-8492-4DB2-BF07-B3D3A60A18DE}"/>
    <cellStyle name="Percent 2 4 4" xfId="23733" xr:uid="{2CB4A7EB-47FE-4C8B-98C0-261101C43703}"/>
    <cellStyle name="Percent 2 4 4 2" xfId="43222" xr:uid="{3EE88160-7B1A-4B2C-B626-4AC719117105}"/>
    <cellStyle name="Percent 2 4 5" xfId="43223" xr:uid="{A25ED196-D616-4A7B-95BD-4F1B2D74F592}"/>
    <cellStyle name="Percent 2 40" xfId="23734" xr:uid="{E53B15D6-BCEA-4060-B36D-4EE53220E1B3}"/>
    <cellStyle name="Percent 2 40 2" xfId="23735" xr:uid="{45EFC6EA-ACE3-46E7-9B25-2B4FD08E0D5F}"/>
    <cellStyle name="Percent 2 40 2 2" xfId="43224" xr:uid="{F974C99E-D2F6-4B00-8BA4-734DD1564332}"/>
    <cellStyle name="Percent 2 40 3" xfId="43225" xr:uid="{D1573468-3CFE-4F39-9FC7-D55C40D6D280}"/>
    <cellStyle name="Percent 2 41" xfId="23736" xr:uid="{44DED3B3-2B64-494E-A92A-C7E3101A2C4D}"/>
    <cellStyle name="Percent 2 41 2" xfId="23737" xr:uid="{3485A7E1-C181-491E-94B1-2BD611F9BEBE}"/>
    <cellStyle name="Percent 2 41 2 2" xfId="43226" xr:uid="{6BCEAA06-9B6D-44A1-9A7B-F4926D59D408}"/>
    <cellStyle name="Percent 2 41 3" xfId="43227" xr:uid="{0F616401-57EC-4831-8F9A-AE755E2DFBEA}"/>
    <cellStyle name="Percent 2 42" xfId="23738" xr:uid="{97A36F90-A6FB-496F-9C06-9A482DEF2FE8}"/>
    <cellStyle name="Percent 2 42 2" xfId="23739" xr:uid="{12AD3075-BC48-4F27-9A28-CEA9973BA2C2}"/>
    <cellStyle name="Percent 2 42 2 2" xfId="43228" xr:uid="{A74D8B44-11E2-42AA-8DE6-B4796D62AEBE}"/>
    <cellStyle name="Percent 2 42 3" xfId="43229" xr:uid="{99E95BD7-E9C3-4265-9F60-33B5839824BB}"/>
    <cellStyle name="Percent 2 43" xfId="23740" xr:uid="{823F32EE-BEC7-4316-A8A7-54FD4180D851}"/>
    <cellStyle name="Percent 2 43 2" xfId="23741" xr:uid="{F61F25AC-E943-4679-A52E-4F31260DECAA}"/>
    <cellStyle name="Percent 2 43 2 2" xfId="43230" xr:uid="{E999A6B6-86C1-4250-AEFD-721224BAE150}"/>
    <cellStyle name="Percent 2 43 3" xfId="43231" xr:uid="{67B1F1F7-D250-4107-80C1-FFB01A62C6D4}"/>
    <cellStyle name="Percent 2 44" xfId="23742" xr:uid="{012692CB-0315-465D-AE3E-D00B98488E1A}"/>
    <cellStyle name="Percent 2 44 2" xfId="23743" xr:uid="{67828D2C-3B3F-4831-BB9A-073D8AEE2A71}"/>
    <cellStyle name="Percent 2 44 2 2" xfId="43232" xr:uid="{792F1364-B5BE-4BD8-A0EC-4FB53A1464A6}"/>
    <cellStyle name="Percent 2 44 3" xfId="43233" xr:uid="{E190C5EC-D03B-4003-8B7B-D91ABC491125}"/>
    <cellStyle name="Percent 2 45" xfId="23744" xr:uid="{D9745774-6FE2-42E2-BB61-2714D59F1B68}"/>
    <cellStyle name="Percent 2 45 2" xfId="23745" xr:uid="{B844776B-CF25-41BC-999F-F29C238168C8}"/>
    <cellStyle name="Percent 2 45 2 2" xfId="43234" xr:uid="{A9C95713-5875-4D3A-BCA1-EA63C29CAEA8}"/>
    <cellStyle name="Percent 2 45 3" xfId="43235" xr:uid="{6F7435ED-92F6-4A01-A21D-11B74D0DD0D6}"/>
    <cellStyle name="Percent 2 46" xfId="23746" xr:uid="{987FE948-C309-4C7F-818C-B1168C0C518C}"/>
    <cellStyle name="Percent 2 46 2" xfId="23747" xr:uid="{DAAF2E5A-1E3E-4F0B-89C2-5938EFADFC0E}"/>
    <cellStyle name="Percent 2 46 2 2" xfId="43236" xr:uid="{49ACAC31-F938-4CA7-BCD1-370612D1AD55}"/>
    <cellStyle name="Percent 2 46 3" xfId="43237" xr:uid="{F5F9B3B3-9BC8-4ACA-932D-3806DF3F7730}"/>
    <cellStyle name="Percent 2 47" xfId="23748" xr:uid="{255048AA-55D5-47D2-99B9-67F75C87B9E1}"/>
    <cellStyle name="Percent 2 47 2" xfId="23749" xr:uid="{7E18178F-382D-44F4-9E07-7198A05767EC}"/>
    <cellStyle name="Percent 2 47 2 2" xfId="43238" xr:uid="{FEC34AC9-4E89-4BB5-BD83-55D08FE7C855}"/>
    <cellStyle name="Percent 2 47 3" xfId="43239" xr:uid="{336BBF4C-DAFB-46D7-902C-3CC3EFD04F75}"/>
    <cellStyle name="Percent 2 48" xfId="23750" xr:uid="{0AF62E6F-B1EA-4F92-914B-6293B3781785}"/>
    <cellStyle name="Percent 2 48 2" xfId="23751" xr:uid="{3B47F46F-8D88-454C-90F4-13601507755E}"/>
    <cellStyle name="Percent 2 48 2 2" xfId="43240" xr:uid="{BFB24521-07FD-47FD-A7FB-643534B548AA}"/>
    <cellStyle name="Percent 2 48 3" xfId="43241" xr:uid="{486A1ED6-98FF-4788-B296-07E13E19884A}"/>
    <cellStyle name="Percent 2 49" xfId="23752" xr:uid="{BC58ECC4-9AC9-4887-9144-B27F6EEAC2CF}"/>
    <cellStyle name="Percent 2 49 2" xfId="23753" xr:uid="{D28106C6-1652-4A6A-A76B-4344D04AC1B8}"/>
    <cellStyle name="Percent 2 49 2 2" xfId="43242" xr:uid="{56BE4963-F5D3-42B4-A1E4-3A755888E53B}"/>
    <cellStyle name="Percent 2 49 3" xfId="43243" xr:uid="{C87EF905-AFD4-41DD-980F-7747A0B239FD}"/>
    <cellStyle name="Percent 2 5" xfId="23754" xr:uid="{539A9EC8-670B-4AA2-951A-7967EF1FD41C}"/>
    <cellStyle name="Percent 2 5 2" xfId="23755" xr:uid="{C5C946A0-CC55-4E4E-99A6-76E6B248101A}"/>
    <cellStyle name="Percent 2 5 2 2" xfId="23756" xr:uid="{496008B9-58D1-4967-A8DD-B2D485713A0E}"/>
    <cellStyle name="Percent 2 5 2 2 2" xfId="23757" xr:uid="{B9B2E75F-020A-4C6F-AF3F-8F1A537D498B}"/>
    <cellStyle name="Percent 2 5 2 2 3" xfId="23758" xr:uid="{A6A77309-199A-44F3-851C-F36291123483}"/>
    <cellStyle name="Percent 2 5 2 2 4" xfId="43244" xr:uid="{7D63AF14-3697-41D2-91A7-C0F502695F5D}"/>
    <cellStyle name="Percent 2 5 2 3" xfId="23759" xr:uid="{29536C0F-C66E-46BC-B2A0-93E01375A172}"/>
    <cellStyle name="Percent 2 5 2 3 2" xfId="23760" xr:uid="{A7CAE923-1B77-4B80-B6BB-2C5CDD7184BB}"/>
    <cellStyle name="Percent 2 5 2 3 3" xfId="43245" xr:uid="{906C7F21-FC53-42AC-97A5-D6FE515022DA}"/>
    <cellStyle name="Percent 2 5 2 4" xfId="23761" xr:uid="{AE423437-97E2-4976-A58B-96E4A6FE6F7C}"/>
    <cellStyle name="Percent 2 5 2 5" xfId="43246" xr:uid="{FEBE8A9D-6121-4ED5-B8C3-7B40686DD10C}"/>
    <cellStyle name="Percent 2 5 3" xfId="23762" xr:uid="{C7886B6A-AEAC-432F-9732-829C6CA77976}"/>
    <cellStyle name="Percent 2 5 3 2" xfId="23763" xr:uid="{1A0D21D4-0C3E-4096-8888-724F4914C1D4}"/>
    <cellStyle name="Percent 2 5 3 2 2" xfId="23764" xr:uid="{43ACE083-6B5A-4F8E-8DB4-7326B791935F}"/>
    <cellStyle name="Percent 2 5 3 3" xfId="23765" xr:uid="{EF97315D-4DB1-4A77-966C-74C051654813}"/>
    <cellStyle name="Percent 2 5 3 4" xfId="23766" xr:uid="{97BF6670-B891-451C-8B26-F077DDB460D0}"/>
    <cellStyle name="Percent 2 5 3 5" xfId="43247" xr:uid="{DE19D4F4-A43E-473F-954E-AB2823A48B3C}"/>
    <cellStyle name="Percent 2 5 4" xfId="23767" xr:uid="{1C486B28-5C91-4D3B-98EA-4CC3723D9250}"/>
    <cellStyle name="Percent 2 5 4 2" xfId="43248" xr:uid="{27CFD23D-C259-418F-9092-35CB2B291B55}"/>
    <cellStyle name="Percent 2 5 5" xfId="43249" xr:uid="{3AA6902A-E8D4-4A93-8C15-C535DB6991DF}"/>
    <cellStyle name="Percent 2 50" xfId="23768" xr:uid="{E58BA372-FEA6-4DFD-AD25-D87EB6F4A46F}"/>
    <cellStyle name="Percent 2 50 2" xfId="23769" xr:uid="{F10D2CAB-C2F5-40BB-844D-44FE090572FB}"/>
    <cellStyle name="Percent 2 50 2 2" xfId="43250" xr:uid="{3EC43CFC-BFDD-4394-BDC6-0B607AFA1607}"/>
    <cellStyle name="Percent 2 50 3" xfId="43251" xr:uid="{B01BD4A9-03E1-4FE0-8E8F-3EA1D9B4D5D0}"/>
    <cellStyle name="Percent 2 51" xfId="23770" xr:uid="{572E69CF-365C-43DD-9101-DFE84BE781EC}"/>
    <cellStyle name="Percent 2 51 2" xfId="23771" xr:uid="{1C7D4A00-4E6F-4F59-A4C5-82C357D157A9}"/>
    <cellStyle name="Percent 2 51 2 2" xfId="43252" xr:uid="{67248769-2226-4A6C-9EE0-3124CA17E76E}"/>
    <cellStyle name="Percent 2 51 3" xfId="43253" xr:uid="{DE557DEC-7D0E-47FD-B6DD-D05C12D9B89A}"/>
    <cellStyle name="Percent 2 52" xfId="23772" xr:uid="{CEB749A8-478C-4ED1-A4CA-8A33C1AE2A9C}"/>
    <cellStyle name="Percent 2 52 2" xfId="23773" xr:uid="{72FE7FE9-2719-44E1-9144-1C251657791D}"/>
    <cellStyle name="Percent 2 52 2 2" xfId="43254" xr:uid="{B6498308-6EC4-40C3-A4EB-9F5271A8290E}"/>
    <cellStyle name="Percent 2 52 3" xfId="43255" xr:uid="{54C6DA4D-77CE-48D2-AE02-1C05C021BE73}"/>
    <cellStyle name="Percent 2 53" xfId="23774" xr:uid="{3574182F-C8F4-4565-B6BF-06761D8727DD}"/>
    <cellStyle name="Percent 2 53 2" xfId="23775" xr:uid="{A82160AB-9D18-4043-B955-F0713E1DA215}"/>
    <cellStyle name="Percent 2 53 2 2" xfId="43256" xr:uid="{084C385D-387E-465D-AC5D-230BEC16867B}"/>
    <cellStyle name="Percent 2 53 3" xfId="43257" xr:uid="{B67227F8-E552-4F67-A589-4CB9D53619A0}"/>
    <cellStyle name="Percent 2 54" xfId="23776" xr:uid="{327F0694-EDA6-477C-BB57-402C0AFFB495}"/>
    <cellStyle name="Percent 2 54 2" xfId="23777" xr:uid="{B2AD3B3B-3A23-428E-AFB1-8EBB7D42B8F4}"/>
    <cellStyle name="Percent 2 54 2 2" xfId="43258" xr:uid="{4D1CD6C1-26DE-468B-AEEC-62C655A4EB28}"/>
    <cellStyle name="Percent 2 54 3" xfId="43259" xr:uid="{838DC442-9E88-43EA-8155-FBFC91DFE59F}"/>
    <cellStyle name="Percent 2 55" xfId="23778" xr:uid="{CF2EE8B9-4D91-48AF-8106-2ABB4FE31AB2}"/>
    <cellStyle name="Percent 2 55 2" xfId="23779" xr:uid="{5A47982B-1E6C-4496-BAB3-9BAD67ACDE9F}"/>
    <cellStyle name="Percent 2 55 2 2" xfId="43260" xr:uid="{5372100D-FD6B-4299-B270-E746A0615CDA}"/>
    <cellStyle name="Percent 2 55 3" xfId="43261" xr:uid="{FA53F691-8B94-4127-A929-04223A5D79F1}"/>
    <cellStyle name="Percent 2 56" xfId="23780" xr:uid="{8037664F-438D-45EB-8A26-59FF964F0C4A}"/>
    <cellStyle name="Percent 2 56 2" xfId="23781" xr:uid="{374FCB81-51E7-416C-A435-C46AF2F84303}"/>
    <cellStyle name="Percent 2 56 2 2" xfId="43262" xr:uid="{5CBDC9ED-845A-4CB9-A7C2-CC96E466239A}"/>
    <cellStyle name="Percent 2 56 3" xfId="43263" xr:uid="{C7E7125B-7AE2-4F2F-8240-849F5F0C67B7}"/>
    <cellStyle name="Percent 2 57" xfId="23782" xr:uid="{E63F4BD6-2E57-4CBF-B576-24BB20A3A2A0}"/>
    <cellStyle name="Percent 2 57 2" xfId="23783" xr:uid="{6FC460B1-4D19-488B-A0C3-CF0B7D51C05F}"/>
    <cellStyle name="Percent 2 57 2 2" xfId="43264" xr:uid="{B16E0F15-16A2-47D7-80E2-EF25B8457D82}"/>
    <cellStyle name="Percent 2 57 3" xfId="43265" xr:uid="{EE588390-1A8E-4504-AF00-4B4EF074E97F}"/>
    <cellStyle name="Percent 2 58" xfId="23784" xr:uid="{119A0C39-A8C6-4CE1-913D-326DACE74781}"/>
    <cellStyle name="Percent 2 58 2" xfId="23785" xr:uid="{1F23D42A-2E50-4AAB-8C9F-A61B23B051A7}"/>
    <cellStyle name="Percent 2 58 2 2" xfId="43266" xr:uid="{E10FC250-740E-45DE-90D1-B5F2306AD404}"/>
    <cellStyle name="Percent 2 58 3" xfId="43267" xr:uid="{EFF4E393-3415-4440-B684-30BC2203C9C3}"/>
    <cellStyle name="Percent 2 59" xfId="23786" xr:uid="{6AC3FD0A-D348-42D0-89C6-950576F7C93E}"/>
    <cellStyle name="Percent 2 59 2" xfId="23787" xr:uid="{E423C8FD-0A1E-4F01-B8A0-B505AE3A91E3}"/>
    <cellStyle name="Percent 2 59 2 2" xfId="43268" xr:uid="{F8910C81-4350-45D3-8C27-B69050A0C28F}"/>
    <cellStyle name="Percent 2 59 3" xfId="43269" xr:uid="{74F05CAE-FB1E-4483-BA69-8D8C69226DAF}"/>
    <cellStyle name="Percent 2 6" xfId="23788" xr:uid="{D5576628-33AA-44B2-A8D2-5DCA2CDAF8E2}"/>
    <cellStyle name="Percent 2 6 2" xfId="23789" xr:uid="{2F8F7961-B1CC-4465-BBBF-14E23C945EC1}"/>
    <cellStyle name="Percent 2 6 2 2" xfId="23790" xr:uid="{D3FBEAC1-76F5-4FC8-BB4F-9B640326C2E8}"/>
    <cellStyle name="Percent 2 6 2 2 2" xfId="23791" xr:uid="{5037FDB2-4A01-4C97-8573-A6766E86C4B3}"/>
    <cellStyle name="Percent 2 6 2 3" xfId="23792" xr:uid="{54F04FE2-FFD0-4A52-BE2F-303DBF427361}"/>
    <cellStyle name="Percent 2 6 2 4" xfId="23793" xr:uid="{DCB89ABA-99D4-48EE-8A6A-4CE146F01FBD}"/>
    <cellStyle name="Percent 2 6 2 5" xfId="43270" xr:uid="{D70AF2E8-BEB8-4AE3-9EB2-96810741840B}"/>
    <cellStyle name="Percent 2 6 3" xfId="23794" xr:uid="{3C6F22D5-4872-488B-92E4-9654CA03F04C}"/>
    <cellStyle name="Percent 2 6 3 2" xfId="23795" xr:uid="{8169D227-136F-4F61-9EB9-0EA3DAD3FC07}"/>
    <cellStyle name="Percent 2 6 3 2 2" xfId="23796" xr:uid="{0535C324-AAFB-4CF2-BE8B-EB3DDFF60ADF}"/>
    <cellStyle name="Percent 2 6 3 3" xfId="23797" xr:uid="{C089C52E-BC3A-49B5-B349-E0A7D042EABC}"/>
    <cellStyle name="Percent 2 6 3 4" xfId="23798" xr:uid="{5B6B3EC9-6606-4A6A-88EC-4859D3C44FC9}"/>
    <cellStyle name="Percent 2 6 3 5" xfId="43271" xr:uid="{BD6CFA7B-98BB-487B-91D0-E9D2198696DF}"/>
    <cellStyle name="Percent 2 6 4" xfId="43272" xr:uid="{8C189502-CEAA-445D-9021-9FFC0577F1AD}"/>
    <cellStyle name="Percent 2 60" xfId="23799" xr:uid="{08727A99-0FB5-4B0F-8E83-789FDC3DA1B5}"/>
    <cellStyle name="Percent 2 60 2" xfId="23800" xr:uid="{540282E7-25FC-4A60-859D-8D9DE7232903}"/>
    <cellStyle name="Percent 2 60 2 2" xfId="43273" xr:uid="{6299168E-C9A3-4466-A7E0-76B92C7D6A6A}"/>
    <cellStyle name="Percent 2 60 3" xfId="43274" xr:uid="{C51A1EF0-2AFA-4718-B133-C7ED1E636A3B}"/>
    <cellStyle name="Percent 2 61" xfId="23801" xr:uid="{627D0204-EDA6-4B52-86EE-72400D462B49}"/>
    <cellStyle name="Percent 2 61 2" xfId="23802" xr:uid="{FEAA4B88-C217-44F8-A2E1-D1B5B1EBD258}"/>
    <cellStyle name="Percent 2 61 2 2" xfId="43275" xr:uid="{9A92352F-6210-411C-9CD0-59BDAE67AB9E}"/>
    <cellStyle name="Percent 2 61 3" xfId="43276" xr:uid="{7844D739-07C0-4F62-9A2B-D21027F4CBCB}"/>
    <cellStyle name="Percent 2 62" xfId="23803" xr:uid="{F8C9E232-BAB7-4E1A-A5E0-5310F7872599}"/>
    <cellStyle name="Percent 2 62 2" xfId="23804" xr:uid="{0C4E3562-7219-4700-A198-3A377F272DAE}"/>
    <cellStyle name="Percent 2 62 2 2" xfId="43277" xr:uid="{6D70D36D-0B5B-4264-AAF4-F07F19FFE2C1}"/>
    <cellStyle name="Percent 2 62 3" xfId="43278" xr:uid="{A08D79EE-52D0-4FE8-8F43-29A62D3689E7}"/>
    <cellStyle name="Percent 2 63" xfId="23805" xr:uid="{3D929AB3-C44C-405D-9341-A4243878E9F4}"/>
    <cellStyle name="Percent 2 63 2" xfId="23806" xr:uid="{F58BDC32-F6CD-42FC-999C-826C32560698}"/>
    <cellStyle name="Percent 2 63 2 2" xfId="43279" xr:uid="{D20BCD44-BDEF-4D02-9128-AD9BF373ADBF}"/>
    <cellStyle name="Percent 2 63 3" xfId="43280" xr:uid="{94DC579B-BD23-4C1C-B03F-31D3578FE6F6}"/>
    <cellStyle name="Percent 2 64" xfId="23807" xr:uid="{BEEEB008-B132-423A-A35C-072D735559C5}"/>
    <cellStyle name="Percent 2 64 2" xfId="23808" xr:uid="{A8E9DABA-D8F5-4BA6-BFA8-60DE45DC9993}"/>
    <cellStyle name="Percent 2 64 2 2" xfId="43281" xr:uid="{DCC4E5FB-6F4A-4171-9471-9FE9C03678FC}"/>
    <cellStyle name="Percent 2 64 3" xfId="43282" xr:uid="{BE394660-2B17-4975-8BAD-44E01EE0DBCB}"/>
    <cellStyle name="Percent 2 65" xfId="23809" xr:uid="{6580ECE6-573F-419E-84E4-26D6D67AEC4A}"/>
    <cellStyle name="Percent 2 65 2" xfId="23810" xr:uid="{F78EAA8A-9742-4135-8695-0AE13C9F09E6}"/>
    <cellStyle name="Percent 2 65 2 2" xfId="43283" xr:uid="{638C3502-9514-48AD-B53E-5F746EF50A51}"/>
    <cellStyle name="Percent 2 65 3" xfId="43284" xr:uid="{C9BD6497-CFFD-432B-9322-2B918633B4CB}"/>
    <cellStyle name="Percent 2 66" xfId="23811" xr:uid="{48F264AD-880F-4F4B-8DCE-DEAFB20D26EE}"/>
    <cellStyle name="Percent 2 66 2" xfId="23812" xr:uid="{602F872B-585A-4FF1-8597-8956CF1F76F4}"/>
    <cellStyle name="Percent 2 66 2 2" xfId="43285" xr:uid="{32DB3863-7760-48FD-B101-E4FD758AFDF3}"/>
    <cellStyle name="Percent 2 66 3" xfId="43286" xr:uid="{6C72E7DF-0489-40C4-967E-4845B889280A}"/>
    <cellStyle name="Percent 2 67" xfId="23813" xr:uid="{C751C525-7E9E-4178-B030-982609E4D605}"/>
    <cellStyle name="Percent 2 67 2" xfId="23814" xr:uid="{2903B340-F912-40F7-AEE3-B27C3725E3DB}"/>
    <cellStyle name="Percent 2 67 2 2" xfId="43287" xr:uid="{08929DFD-0B05-4ADF-AD9F-A9EFC72E2E56}"/>
    <cellStyle name="Percent 2 67 3" xfId="43288" xr:uid="{BCECB48F-40F0-4783-A9CE-93A7047F4168}"/>
    <cellStyle name="Percent 2 68" xfId="23815" xr:uid="{FEEC0AA3-FC70-4178-91F6-574E7B668BBF}"/>
    <cellStyle name="Percent 2 68 2" xfId="23816" xr:uid="{0B2D31A0-79A8-42F1-8720-50B5A9B91AAE}"/>
    <cellStyle name="Percent 2 68 2 2" xfId="43289" xr:uid="{F0B6CC2F-2A89-4076-A8BA-00CE9C4ED127}"/>
    <cellStyle name="Percent 2 68 3" xfId="43290" xr:uid="{97A78733-EB31-43B5-B111-5FF86E1B2AFB}"/>
    <cellStyle name="Percent 2 69" xfId="23817" xr:uid="{EDD75F98-11FC-4AF6-BF40-BA9A82B9890B}"/>
    <cellStyle name="Percent 2 69 2" xfId="23818" xr:uid="{27DA5C4A-27DD-4655-816A-6D69416B6DB2}"/>
    <cellStyle name="Percent 2 69 2 2" xfId="43291" xr:uid="{B241FF60-2EDC-4E67-B3EA-5E224F08D539}"/>
    <cellStyle name="Percent 2 69 3" xfId="43292" xr:uid="{3D70F0F0-7B53-48D6-A03E-39B35F10F94F}"/>
    <cellStyle name="Percent 2 7" xfId="23819" xr:uid="{57C22BAA-9EFB-47BA-9C75-4DA89DF3D885}"/>
    <cellStyle name="Percent 2 7 2" xfId="23820" xr:uid="{83CE37D8-2394-4D12-B362-C056FC45FC24}"/>
    <cellStyle name="Percent 2 7 2 2" xfId="43293" xr:uid="{5BCDF856-B3B2-4B39-87C0-0543C70C04D8}"/>
    <cellStyle name="Percent 2 7 3" xfId="43294" xr:uid="{E8D11CF2-5A04-4C1C-870E-EE0CBA60E8C6}"/>
    <cellStyle name="Percent 2 70" xfId="23821" xr:uid="{F5A4BC8A-366D-4F6F-BE57-5C4F32BA6DC7}"/>
    <cellStyle name="Percent 2 70 2" xfId="23822" xr:uid="{7C1A0205-A3BB-4EF6-9D0E-53B742B7EA36}"/>
    <cellStyle name="Percent 2 70 2 2" xfId="43295" xr:uid="{0FD7E02B-EEC6-40B3-A9EC-855CC0EF31EE}"/>
    <cellStyle name="Percent 2 70 3" xfId="43296" xr:uid="{24008E92-A31F-4E20-AA8B-2C4C26395B28}"/>
    <cellStyle name="Percent 2 71" xfId="23823" xr:uid="{D67AF2B8-2A47-4FCB-A954-AB4A3C49C03C}"/>
    <cellStyle name="Percent 2 71 2" xfId="23824" xr:uid="{84D8E35C-E551-46A6-B394-23ABF0E5D02A}"/>
    <cellStyle name="Percent 2 71 2 2" xfId="43297" xr:uid="{166A3847-7EC9-47D4-9BB6-2E710DF529AC}"/>
    <cellStyle name="Percent 2 71 3" xfId="43298" xr:uid="{35FEFB43-0C00-4B32-8AD8-73E35B3687EB}"/>
    <cellStyle name="Percent 2 72" xfId="23825" xr:uid="{3578D016-B4D9-4A8C-999F-2E14FADBE01E}"/>
    <cellStyle name="Percent 2 72 2" xfId="23826" xr:uid="{FA7CDE9D-0862-4584-BC4B-2ED9DC2224E9}"/>
    <cellStyle name="Percent 2 72 2 2" xfId="43299" xr:uid="{E5B73E4B-3D7D-49D6-836E-A9EA4E2BD019}"/>
    <cellStyle name="Percent 2 72 3" xfId="43300" xr:uid="{DD4E1670-0B68-44C4-A221-F7434D4F43CF}"/>
    <cellStyle name="Percent 2 73" xfId="23827" xr:uid="{39CF68CB-11B7-4668-BF33-85BC853740F6}"/>
    <cellStyle name="Percent 2 73 2" xfId="23828" xr:uid="{13B7C92D-504F-425B-BE8F-B40A231FE294}"/>
    <cellStyle name="Percent 2 73 2 2" xfId="43301" xr:uid="{8ED34E43-7CEE-45F6-ACF4-93A33D8963F8}"/>
    <cellStyle name="Percent 2 73 3" xfId="43302" xr:uid="{460B7C71-8123-4771-B3C0-E5463FEBB2C6}"/>
    <cellStyle name="Percent 2 74" xfId="23829" xr:uid="{97F7EDAD-7CF1-4F21-B369-3F43DF0A550A}"/>
    <cellStyle name="Percent 2 74 2" xfId="23830" xr:uid="{E32E58ED-77E3-4762-8F99-8C899A68E922}"/>
    <cellStyle name="Percent 2 74 2 2" xfId="43303" xr:uid="{2C855533-2FE0-47BC-950A-4E09D6FAA2DF}"/>
    <cellStyle name="Percent 2 74 3" xfId="43304" xr:uid="{8C7FF386-CA33-4F53-9D5B-855066CEDF65}"/>
    <cellStyle name="Percent 2 75" xfId="23831" xr:uid="{1855A561-C6A3-4C63-85DC-C1A1373ED761}"/>
    <cellStyle name="Percent 2 75 2" xfId="23832" xr:uid="{5DEBEB43-DEBA-4474-82B5-3EA067529B57}"/>
    <cellStyle name="Percent 2 75 2 2" xfId="43305" xr:uid="{F375E37A-362C-41DD-B73C-5736470D08A7}"/>
    <cellStyle name="Percent 2 75 3" xfId="43306" xr:uid="{94C04725-B75D-4EF0-9DCC-1062B104F589}"/>
    <cellStyle name="Percent 2 76" xfId="23833" xr:uid="{CED8E044-9B7C-47C0-888E-8417EC757A4D}"/>
    <cellStyle name="Percent 2 76 2" xfId="23834" xr:uid="{8364591A-6601-4298-A583-8BD98F4E9447}"/>
    <cellStyle name="Percent 2 76 2 2" xfId="43307" xr:uid="{577258A6-8D8F-45CA-982D-70E3475E67D7}"/>
    <cellStyle name="Percent 2 76 3" xfId="43308" xr:uid="{3E803CA8-FEC8-47C7-8891-6D440DDD3DDC}"/>
    <cellStyle name="Percent 2 77" xfId="23835" xr:uid="{136B12E8-00F5-46C2-80EF-47A364235BCE}"/>
    <cellStyle name="Percent 2 77 2" xfId="23836" xr:uid="{A9CECB8B-2D3B-4861-93EA-D82581F67C2B}"/>
    <cellStyle name="Percent 2 77 2 2" xfId="43309" xr:uid="{8AC656A7-3B91-4828-81A4-C5F794779D34}"/>
    <cellStyle name="Percent 2 77 3" xfId="43310" xr:uid="{6E750D3E-3616-4E8A-B8DF-CDAB9B82F62C}"/>
    <cellStyle name="Percent 2 78" xfId="23837" xr:uid="{04176264-18DB-4C94-84BE-6407A308DE67}"/>
    <cellStyle name="Percent 2 78 2" xfId="23838" xr:uid="{35CD4E16-4EA6-49D1-8EC4-D3C738D1B09D}"/>
    <cellStyle name="Percent 2 78 2 2" xfId="43311" xr:uid="{02221988-3ED0-4412-8FB6-7BC9EBD49E53}"/>
    <cellStyle name="Percent 2 78 3" xfId="43312" xr:uid="{FFF6E90A-C503-49C0-A245-C04233EDE34F}"/>
    <cellStyle name="Percent 2 79" xfId="23839" xr:uid="{E1F96BEF-FB83-401A-A1D6-FB0E5F798EE9}"/>
    <cellStyle name="Percent 2 79 2" xfId="43313" xr:uid="{CBBAEC13-F5EF-4D88-9B2C-4828B28C00BA}"/>
    <cellStyle name="Percent 2 8" xfId="23840" xr:uid="{BAE6EBF1-4022-49DA-9316-47E72E54106B}"/>
    <cellStyle name="Percent 2 8 2" xfId="23841" xr:uid="{6A47F930-0950-4F0C-B85D-4E27C03EFC89}"/>
    <cellStyle name="Percent 2 8 2 2" xfId="43314" xr:uid="{F03DFA5A-7633-4F92-9F51-866F4D72C546}"/>
    <cellStyle name="Percent 2 8 3" xfId="43315" xr:uid="{3BDBD566-19D5-4710-9C45-BA2825359DC2}"/>
    <cellStyle name="Percent 2 80" xfId="23842" xr:uid="{9D9DDC50-9841-44A7-B636-D87831807079}"/>
    <cellStyle name="Percent 2 80 2" xfId="23843" xr:uid="{7D2ABE73-EAE5-4C49-9B7A-4E25A9937CE5}"/>
    <cellStyle name="Percent 2 80 3" xfId="43316" xr:uid="{8228E45F-13AD-42E1-9A6E-0BA17EE017D6}"/>
    <cellStyle name="Percent 2 81" xfId="23844" xr:uid="{72BBB27C-3933-4F68-8806-B9C4A9306607}"/>
    <cellStyle name="Percent 2 82" xfId="43317" xr:uid="{1A2F5E4A-2B88-4BB6-8891-61C3361A3DC2}"/>
    <cellStyle name="Percent 2 9" xfId="23845" xr:uid="{B2006BEC-3D66-4AAC-B3C9-0D128135AEFD}"/>
    <cellStyle name="Percent 2 9 2" xfId="23846" xr:uid="{43858492-3562-43AA-8F6F-FD7F5A22F3B2}"/>
    <cellStyle name="Percent 2 9 2 2" xfId="43318" xr:uid="{CE50E776-6F70-42EA-8A3C-48058EDBE05E}"/>
    <cellStyle name="Percent 2 9 3" xfId="43319" xr:uid="{46AF07C1-2A50-422A-B799-236D3840DE2B}"/>
    <cellStyle name="Percent 20" xfId="23847" xr:uid="{280E0894-9865-439A-A10C-F8F914DC57FD}"/>
    <cellStyle name="Percent 20 2" xfId="23848" xr:uid="{F40033CF-CC39-41B5-9990-0FF4814CC78E}"/>
    <cellStyle name="Percent 20 2 2" xfId="23849" xr:uid="{40F8A2AE-961D-4363-85E2-146DE925F905}"/>
    <cellStyle name="Percent 20 2 3" xfId="43320" xr:uid="{11A134D1-1668-424B-BAFE-11FCD72D9D67}"/>
    <cellStyle name="Percent 20 3" xfId="23850" xr:uid="{FED3A122-A7CC-4FF2-8C31-10A8DA8D3F79}"/>
    <cellStyle name="Percent 21" xfId="23851" xr:uid="{B26226B2-7CFF-4E00-AEED-B9EE14C2ED6E}"/>
    <cellStyle name="Percent 21 2" xfId="23852" xr:uid="{7E55E33E-0977-48DB-9715-9682AA217118}"/>
    <cellStyle name="Percent 21 2 2" xfId="43321" xr:uid="{725C14DC-3944-4716-A02C-8D541AEDFA9A}"/>
    <cellStyle name="Percent 21 3" xfId="23853" xr:uid="{E64EA478-305B-4553-9422-4AAE8D117846}"/>
    <cellStyle name="Percent 22" xfId="23854" xr:uid="{743D733F-A418-42A7-824A-1C192A182488}"/>
    <cellStyle name="Percent 22 2" xfId="23855" xr:uid="{65FB4920-B07A-4540-AF91-953DB3E0FB98}"/>
    <cellStyle name="Percent 22 2 2" xfId="43322" xr:uid="{1B945FCF-3A8C-4A65-8E11-7BBBC53D4B66}"/>
    <cellStyle name="Percent 22 3" xfId="23856" xr:uid="{53640464-E4D4-42D4-8864-137607C70DDA}"/>
    <cellStyle name="Percent 23" xfId="23857" xr:uid="{0BE892C0-05ED-4127-BC54-003B2F052782}"/>
    <cellStyle name="Percent 23 2" xfId="23858" xr:uid="{36DDE25D-7E57-44C1-B4C9-407AF3963387}"/>
    <cellStyle name="Percent 23 2 2" xfId="43323" xr:uid="{893F3904-F4FC-476F-BC18-E70A18C89525}"/>
    <cellStyle name="Percent 23 3" xfId="23859" xr:uid="{22A9D288-0B82-4184-8D82-D1DD9970FC90}"/>
    <cellStyle name="Percent 24" xfId="15" xr:uid="{00000000-0005-0000-0000-000019000000}"/>
    <cellStyle name="Percent 24 2" xfId="23860" xr:uid="{AE30FD8C-0B04-43E5-A5F5-8207F8163580}"/>
    <cellStyle name="Percent 24 2 2" xfId="43324" xr:uid="{EEC534CE-41DF-4839-81F3-EB0DE93B5E44}"/>
    <cellStyle name="Percent 24 3" xfId="23861" xr:uid="{3D36200C-F662-4EA3-B73F-C6414312DECB}"/>
    <cellStyle name="Percent 25" xfId="23862" xr:uid="{45236589-BBA4-41A9-9224-4CABAC76EA86}"/>
    <cellStyle name="Percent 25 2" xfId="23863" xr:uid="{16EFD8BB-02B6-463C-A318-F7403920DB63}"/>
    <cellStyle name="Percent 25 3" xfId="23864" xr:uid="{7AB69215-7571-4C03-84AD-B08B8D12B0D2}"/>
    <cellStyle name="Percent 26" xfId="23865" xr:uid="{DAE95DE9-DEBD-4379-985F-EF9E3739913D}"/>
    <cellStyle name="Percent 26 2" xfId="23866" xr:uid="{2A3C03AF-4BBD-4B8B-BBAC-57C6512A84A7}"/>
    <cellStyle name="Percent 26 3" xfId="23867" xr:uid="{2191D16B-997F-4EA6-9182-05EE89E7BAEF}"/>
    <cellStyle name="Percent 26 4" xfId="23868" xr:uid="{B6262C05-56EA-47B2-9EF0-6A89D5172840}"/>
    <cellStyle name="Percent 26 5" xfId="43325" xr:uid="{E7065ADA-858E-40EE-ACD2-A8030E5A56B5}"/>
    <cellStyle name="Percent 27" xfId="23869" xr:uid="{2A82CD4D-455B-4181-B673-9BC750308D3F}"/>
    <cellStyle name="Percent 27 2" xfId="23870" xr:uid="{6297637C-DD23-4B89-B4F0-C6BC7D0CF74C}"/>
    <cellStyle name="Percent 27 3" xfId="23871" xr:uid="{5F4E4919-D0BE-4DB9-9436-E30162630E5E}"/>
    <cellStyle name="Percent 27 4" xfId="23872" xr:uid="{E4106FFA-0B5C-40D8-856C-6A867B845D91}"/>
    <cellStyle name="Percent 27 5" xfId="43326" xr:uid="{01B56744-ABCF-46E9-8E46-A4877EC51D1B}"/>
    <cellStyle name="Percent 28" xfId="23873" xr:uid="{5E1EFD23-141A-47E2-8A66-1C9B6954A802}"/>
    <cellStyle name="Percent 28 2" xfId="23874" xr:uid="{7C392AED-D2EF-4F41-AF1A-892F208C311F}"/>
    <cellStyle name="Percent 28 3" xfId="23875" xr:uid="{4F016B41-AA62-4AC3-85FC-844AC34DF967}"/>
    <cellStyle name="Percent 28 4" xfId="43327" xr:uid="{57A195BD-67E8-4118-A8F6-BCA49CC2CE0E}"/>
    <cellStyle name="Percent 28 5" xfId="43328" xr:uid="{664994DC-B4A8-43B8-AE0C-C49389BBD562}"/>
    <cellStyle name="Percent 29" xfId="259" xr:uid="{453E7339-0D5F-43DF-8CDE-23104BBF0193}"/>
    <cellStyle name="Percent 29 2" xfId="23876" xr:uid="{9C60B535-C39C-4673-B566-A513B3408622}"/>
    <cellStyle name="Percent 29 2 2" xfId="23877" xr:uid="{79B4172B-0FC2-47E8-BD40-6E22C6462A0A}"/>
    <cellStyle name="Percent 29 2 2 2" xfId="43329" xr:uid="{F1F6430B-24AB-4D9F-A0A7-0574BF3D5386}"/>
    <cellStyle name="Percent 29 2 3" xfId="43330" xr:uid="{6BE3E92C-23C6-4544-A500-66C7F1D61C3A}"/>
    <cellStyle name="Percent 29 3" xfId="23878" xr:uid="{4830FED9-93F0-4CB1-8853-2D2AED4BEFA7}"/>
    <cellStyle name="Percent 29 3 2" xfId="23879" xr:uid="{3BD6DE80-51D0-47C1-8EE4-413263BD547C}"/>
    <cellStyle name="Percent 29 3 2 2" xfId="43331" xr:uid="{3399E413-6CE3-4848-9381-AE22D2BA5387}"/>
    <cellStyle name="Percent 29 3 3" xfId="43332" xr:uid="{01236788-2238-4D64-ADBD-DE2081DEE006}"/>
    <cellStyle name="Percent 29 4" xfId="23880" xr:uid="{7ACD1B0A-C038-4D88-A8A4-717FC40E8819}"/>
    <cellStyle name="Percent 29 4 2" xfId="23881" xr:uid="{70EDC1DD-0DE0-494B-8869-672FF3EB2D3A}"/>
    <cellStyle name="Percent 29 4 2 2" xfId="43333" xr:uid="{0AE050C1-4C00-4921-B48F-38B43D37B79F}"/>
    <cellStyle name="Percent 29 4 3" xfId="43334" xr:uid="{B1E870D9-D8D3-408B-B7C7-FE5B3BC28973}"/>
    <cellStyle name="Percent 29 5" xfId="23882" xr:uid="{F3EAF8DF-511F-499D-A826-6B84B55C1F06}"/>
    <cellStyle name="Percent 29 5 2" xfId="43335" xr:uid="{D857D8DA-242C-4680-BEC3-EC23B7406932}"/>
    <cellStyle name="Percent 29 6" xfId="43336" xr:uid="{2523DFA1-6238-4A0B-A2FB-7E6FEBC03BB2}"/>
    <cellStyle name="Percent 3" xfId="202" xr:uid="{1A412FBA-FF57-4847-8FA1-9E91899ECB3B}"/>
    <cellStyle name="Percent 3 2" xfId="2" xr:uid="{00000000-0005-0000-0000-00001A000000}"/>
    <cellStyle name="Percent 3 2 2" xfId="23883" xr:uid="{51D838C6-9E29-4E34-B39E-F0E6BF6C2A98}"/>
    <cellStyle name="Percent 3 2 2 2" xfId="23884" xr:uid="{916A0ED2-F860-41B2-A5A2-43257329F9A2}"/>
    <cellStyle name="Percent 3 2 2 3" xfId="23885" xr:uid="{4A0DB28F-041A-4C28-9BD5-6C7E249473CB}"/>
    <cellStyle name="Percent 3 2 2 4" xfId="43337" xr:uid="{103DBB70-9AF1-4905-9173-EE3A554030E4}"/>
    <cellStyle name="Percent 3 2 3" xfId="23886" xr:uid="{432452C8-3072-4F9A-A9E9-6E45B077F9ED}"/>
    <cellStyle name="Percent 3 2 3 2" xfId="23887" xr:uid="{33592D66-92A6-4E39-8E5D-117179B653B5}"/>
    <cellStyle name="Percent 3 2 4" xfId="23888" xr:uid="{85EE6E1B-62C4-4350-88D5-7516DC69D21E}"/>
    <cellStyle name="Percent 3 2 5" xfId="23889" xr:uid="{4C287E73-52AE-449B-AE51-3E7D7F4A72B1}"/>
    <cellStyle name="Percent 3 2 6" xfId="23890" xr:uid="{5A68D550-A6D2-404F-A4A7-714E2508B544}"/>
    <cellStyle name="Percent 3 3" xfId="23891" xr:uid="{F721B25F-8C44-4E09-976F-200C2B4A663B}"/>
    <cellStyle name="Percent 3 3 2" xfId="23892" xr:uid="{06B38B9D-50E1-4D5A-A0FD-C4CE5720A5AF}"/>
    <cellStyle name="Percent 3 3 2 2" xfId="23893" xr:uid="{E09FED35-2266-44CA-8658-901FFEC7F78C}"/>
    <cellStyle name="Percent 3 3 2 3" xfId="43338" xr:uid="{84BE6B42-80BA-496D-8535-566A45A40351}"/>
    <cellStyle name="Percent 3 3 3" xfId="43339" xr:uid="{59ED13FD-96AB-4B6F-92D6-1AC4027998D9}"/>
    <cellStyle name="Percent 3 3 4" xfId="43340" xr:uid="{607090E2-BF0A-40DC-A814-9B6CCF478540}"/>
    <cellStyle name="Percent 3 4" xfId="23894" xr:uid="{11F29C69-A93A-4EC1-9839-2F01945FBD30}"/>
    <cellStyle name="Percent 3 4 2" xfId="23895" xr:uid="{EA9F4FC3-F2CB-4ECA-BB8F-0DD02FD4B74C}"/>
    <cellStyle name="Percent 3 4 2 2" xfId="43341" xr:uid="{B1E34775-398A-49D2-A315-E351B870215F}"/>
    <cellStyle name="Percent 3 4 3" xfId="43342" xr:uid="{E07DD8F8-9B01-4E33-A883-A58D5418DBB3}"/>
    <cellStyle name="Percent 3 5" xfId="23896" xr:uid="{3AB44D73-D641-428F-9B5B-470EAECF5DA3}"/>
    <cellStyle name="Percent 3 5 2" xfId="23897" xr:uid="{673E2651-CF3D-4E67-BD14-97BAD859327E}"/>
    <cellStyle name="Percent 3 5 3" xfId="43343" xr:uid="{EC329529-E17C-49CA-81FB-46238819F0D6}"/>
    <cellStyle name="Percent 3 6" xfId="23898" xr:uid="{A6779478-4C53-4C79-9AD0-03A30FEB66C5}"/>
    <cellStyle name="Percent 3 6 2" xfId="23899" xr:uid="{1733D566-979F-4EEA-9BC8-77FB3C4C9F22}"/>
    <cellStyle name="Percent 3 7" xfId="23900" xr:uid="{A92B879D-3461-475A-9E14-F57B330368C2}"/>
    <cellStyle name="Percent 3 8" xfId="23901" xr:uid="{5E5402D8-EDB4-469A-919C-0BA26AA405CC}"/>
    <cellStyle name="Percent 3 9" xfId="23902" xr:uid="{EE1FB1C8-C2AF-449A-821F-EC96DB80F350}"/>
    <cellStyle name="Percent 30" xfId="23903" xr:uid="{CC4F4DA2-E115-42DA-A2E8-F69BD5640FFE}"/>
    <cellStyle name="Percent 30 2" xfId="23904" xr:uid="{763CC838-8946-42EA-AB16-D15CC6CD66B8}"/>
    <cellStyle name="Percent 30 3" xfId="23905" xr:uid="{42762E54-9DD7-4A28-8C93-3D4AEC4E4B9B}"/>
    <cellStyle name="Percent 31" xfId="23906" xr:uid="{CE865CFB-0EE7-432C-B7FD-F43682975217}"/>
    <cellStyle name="Percent 31 2" xfId="23907" xr:uid="{37649802-C242-4D17-A551-F464B9E43BD6}"/>
    <cellStyle name="Percent 31 3" xfId="23908" xr:uid="{6C24B252-9A51-42DD-B675-B9B4098553AE}"/>
    <cellStyle name="Percent 32" xfId="23909" xr:uid="{2D37C368-1E13-45BD-BD00-4B30B63D817B}"/>
    <cellStyle name="Percent 32 2" xfId="23910" xr:uid="{941DEBA4-A717-4B0F-ABB1-784F47000129}"/>
    <cellStyle name="Percent 32 3" xfId="23911" xr:uid="{0EC72816-2094-4CDD-8181-BCE80A93BA04}"/>
    <cellStyle name="Percent 33" xfId="23912" xr:uid="{1D7B172C-C072-4651-A38F-65D689C8DAD1}"/>
    <cellStyle name="Percent 33 2" xfId="23913" xr:uid="{D8FDB954-886C-4793-BD1F-06D9B9FDA14C}"/>
    <cellStyle name="Percent 33 3" xfId="23914" xr:uid="{296646ED-D5F6-46CD-8782-467CC6D67077}"/>
    <cellStyle name="Percent 34" xfId="23915" xr:uid="{E6AAA099-83AD-4369-B429-DC475E4E85E0}"/>
    <cellStyle name="Percent 34 2" xfId="23916" xr:uid="{10784F29-2F1F-4993-A3B2-8AA428158093}"/>
    <cellStyle name="Percent 34 3" xfId="23917" xr:uid="{FBA14593-235B-4F66-A73D-DB00E11F97BE}"/>
    <cellStyle name="Percent 35" xfId="23918" xr:uid="{041FF154-26B0-4F9F-AD58-4848A7C775F5}"/>
    <cellStyle name="Percent 35 2" xfId="23919" xr:uid="{5257C177-E09B-4AB2-B1DD-B959839EE4D9}"/>
    <cellStyle name="Percent 35 3" xfId="23920" xr:uid="{C10A1AB3-A676-417C-BBD9-B063A4A6AE6F}"/>
    <cellStyle name="Percent 36" xfId="23921" xr:uid="{57E3502B-31D6-48E3-AB93-B9D3486D98C2}"/>
    <cellStyle name="Percent 36 2" xfId="23922" xr:uid="{65366415-1E76-4996-9EEB-67D07FADEB76}"/>
    <cellStyle name="Percent 36 3" xfId="23923" xr:uid="{B5E68E01-07F9-4800-B28A-940112B9DCD6}"/>
    <cellStyle name="Percent 37" xfId="23924" xr:uid="{5EA936DF-163E-498C-B0DD-BD86E7B39594}"/>
    <cellStyle name="Percent 37 2" xfId="23925" xr:uid="{18D12472-D9F6-4813-818A-0B015C038321}"/>
    <cellStyle name="Percent 37 3" xfId="23926" xr:uid="{530F3E0B-E558-4AA8-95ED-ED17A2F68498}"/>
    <cellStyle name="Percent 38" xfId="93" xr:uid="{2E8E0232-E2B5-4A2E-BDF3-C7F154FDB518}"/>
    <cellStyle name="Percent 38 2" xfId="23927" xr:uid="{B606640D-BA3B-4DE7-91B7-A567D0F8A32B}"/>
    <cellStyle name="Percent 38 3" xfId="23928" xr:uid="{6CB7549B-CBB1-4363-953C-977415F86E26}"/>
    <cellStyle name="Percent 39" xfId="23929" xr:uid="{1A172E71-8BE6-43CD-8968-C4B100562C90}"/>
    <cellStyle name="Percent 39 2" xfId="23930" xr:uid="{CD497184-06E9-46CA-B5AE-943D94857D62}"/>
    <cellStyle name="Percent 39 3" xfId="23931" xr:uid="{BF0E18D2-BD55-463B-8BA8-0EFACFBED90A}"/>
    <cellStyle name="Percent 4" xfId="260" xr:uid="{0E37859E-1C97-49E9-BB49-F444798441AB}"/>
    <cellStyle name="Percent 4 2" xfId="261" xr:uid="{D0FD30D2-CEFF-49F2-8435-41DABAF348F7}"/>
    <cellStyle name="Percent 4 2 2" xfId="23932" xr:uid="{2DEAD18F-22F0-4EBF-A65E-EED7E8315FC1}"/>
    <cellStyle name="Percent 4 2 2 2" xfId="23933" xr:uid="{53D08963-C7E5-41FA-8B78-EEE3966700A8}"/>
    <cellStyle name="Percent 4 2 2 2 2" xfId="43344" xr:uid="{CBCACC9D-05FD-4FDF-A09E-46527355203F}"/>
    <cellStyle name="Percent 4 2 2 3" xfId="43345" xr:uid="{AD2AB3AF-8C2A-467D-9F82-CC084D97465B}"/>
    <cellStyle name="Percent 4 2 3" xfId="23934" xr:uid="{3F3AD817-4C05-4BB7-B6BB-A88E4147F821}"/>
    <cellStyle name="Percent 4 2 3 2" xfId="23935" xr:uid="{BF6F5C32-928B-4E9E-BEBF-15B8AB758D6E}"/>
    <cellStyle name="Percent 4 2 3 2 2" xfId="43346" xr:uid="{F242ABC2-3728-4441-94BB-3CF85E6ADA37}"/>
    <cellStyle name="Percent 4 2 3 3" xfId="43347" xr:uid="{475E87C9-5E0A-4041-A680-9D3EA1BA79A8}"/>
    <cellStyle name="Percent 4 2 4" xfId="23936" xr:uid="{0E849B55-062F-4F59-9C06-B077F3B59A38}"/>
    <cellStyle name="Percent 4 2 4 2" xfId="23937" xr:uid="{C060776C-7FEB-465E-9E35-6F94E0FFEE4F}"/>
    <cellStyle name="Percent 4 2 4 2 2" xfId="43348" xr:uid="{DAE2A0CD-D2F1-42CC-BB6D-7D2B4755D64A}"/>
    <cellStyle name="Percent 4 2 4 3" xfId="43349" xr:uid="{52A6B8B7-DD62-41D6-9739-2B69DB4362B7}"/>
    <cellStyle name="Percent 4 2 5" xfId="23938" xr:uid="{DFB741DD-BCEF-41A1-B7D9-D2F00E521A4D}"/>
    <cellStyle name="Percent 4 2 5 2" xfId="43350" xr:uid="{E8C3D5FC-0154-47A1-BA5D-21BB99C493E4}"/>
    <cellStyle name="Percent 4 2 6" xfId="43351" xr:uid="{9CBB6F1E-FDED-4233-9616-FC76EF33D443}"/>
    <cellStyle name="Percent 4 3" xfId="23939" xr:uid="{909AB3B7-763A-4AB9-ABDF-AD312BBC18F0}"/>
    <cellStyle name="Percent 4 3 2" xfId="23940" xr:uid="{A08526ED-BA20-4E5D-BA4E-947E94540F01}"/>
    <cellStyle name="Percent 4 3 2 2" xfId="43352" xr:uid="{D064EC66-3C94-4B75-A222-A3747B071062}"/>
    <cellStyle name="Percent 4 3 3" xfId="23941" xr:uid="{C417531E-5C08-4D11-9513-F8A03676523F}"/>
    <cellStyle name="Percent 4 3 4" xfId="43353" xr:uid="{7A9EBCED-04ED-4F9A-8EE0-0F50F9751B1F}"/>
    <cellStyle name="Percent 4 4" xfId="23942" xr:uid="{C7230023-DFF9-4EB2-BB06-BDCF7C296E61}"/>
    <cellStyle name="Percent 4 4 2" xfId="43354" xr:uid="{E9FA85A7-4528-4DFC-8C09-BD4F3063ECF9}"/>
    <cellStyle name="Percent 4 5" xfId="43355" xr:uid="{5E642A82-67D1-4B3E-B02D-D5570A53B596}"/>
    <cellStyle name="Percent 4 5 2" xfId="43356" xr:uid="{A1833F78-CCF7-4A31-AF62-0B08BBE0917D}"/>
    <cellStyle name="Percent 4 6" xfId="43357" xr:uid="{0211994F-22D8-47A8-9BA6-C0390BA3DE83}"/>
    <cellStyle name="Percent 4 6 2" xfId="43358" xr:uid="{73E8CAF7-E25C-4EFA-B880-FCCAF06133AC}"/>
    <cellStyle name="Percent 4 7" xfId="43359" xr:uid="{B733C404-F925-4902-A833-629F6D9D7606}"/>
    <cellStyle name="Percent 40" xfId="23943" xr:uid="{041681E9-4B95-4686-9233-4C4011C5D2A9}"/>
    <cellStyle name="Percent 40 2" xfId="23944" xr:uid="{4619B0F1-DEEB-4147-A896-486A9194778C}"/>
    <cellStyle name="Percent 40 3" xfId="23945" xr:uid="{60B0D092-E138-4B93-8767-669E3E4D4F6A}"/>
    <cellStyle name="Percent 41" xfId="23946" xr:uid="{2E6B1A79-EB14-4A73-8FF4-A62EAFB98AB6}"/>
    <cellStyle name="Percent 41 2" xfId="23947" xr:uid="{4EBA92A5-24FD-4C74-8FD8-979370B3BD58}"/>
    <cellStyle name="Percent 41 3" xfId="23948" xr:uid="{032862E6-CD5C-4EA1-AF8E-20087A0F2BEE}"/>
    <cellStyle name="Percent 42" xfId="23949" xr:uid="{2BC9BB8E-E616-439D-A632-867D34C35B8B}"/>
    <cellStyle name="Percent 42 2" xfId="23950" xr:uid="{5C49449D-B7A9-4F39-BA12-0A3532EF1D82}"/>
    <cellStyle name="Percent 42 3" xfId="23951" xr:uid="{C36E80A7-5B48-44D2-BD3A-24CEB3224651}"/>
    <cellStyle name="Percent 43" xfId="23952" xr:uid="{7217CCC5-2336-4926-87CF-ADB12614A082}"/>
    <cellStyle name="Percent 43 2" xfId="23953" xr:uid="{08C8166D-7FE1-4740-9A4D-A0DC9B06A548}"/>
    <cellStyle name="Percent 43 3" xfId="23954" xr:uid="{58C8B13E-0C88-4BD9-989E-466B63B7D5BC}"/>
    <cellStyle name="Percent 44" xfId="23955" xr:uid="{D1D633A1-027F-432D-B0F3-B0413B67C97A}"/>
    <cellStyle name="Percent 44 2" xfId="23956" xr:uid="{216BE70C-5080-4913-9D8D-94B27C48CD66}"/>
    <cellStyle name="Percent 44 3" xfId="23957" xr:uid="{593B7281-02F5-4CCB-B52D-4AA15701C197}"/>
    <cellStyle name="Percent 45" xfId="23958" xr:uid="{A972EF28-4B50-4A31-953F-C235698006B5}"/>
    <cellStyle name="Percent 45 2" xfId="23959" xr:uid="{877EB0CD-8488-47E6-8FDC-C2C0717214B6}"/>
    <cellStyle name="Percent 45 3" xfId="23960" xr:uid="{18EDEBB2-7A53-480D-BA5F-4E642B9BFDDE}"/>
    <cellStyle name="Percent 46" xfId="23961" xr:uid="{E57AECB1-F5F2-4D02-A03F-CDDCD94F13EC}"/>
    <cellStyle name="Percent 46 2" xfId="23962" xr:uid="{87225977-B0FA-486F-B6E8-1A5DEF95E0E9}"/>
    <cellStyle name="Percent 46 3" xfId="23963" xr:uid="{27C3BB4F-EC4B-4A9D-AF12-4457B80721A7}"/>
    <cellStyle name="Percent 47" xfId="23964" xr:uid="{7F67E5DB-1635-4490-A34C-567BA1CF0420}"/>
    <cellStyle name="Percent 47 2" xfId="23965" xr:uid="{3D9F9E07-A343-4EA7-8A72-48632BEE645B}"/>
    <cellStyle name="Percent 47 3" xfId="23966" xr:uid="{22A7BE78-20F2-4274-8789-81D671960CEC}"/>
    <cellStyle name="Percent 48" xfId="23967" xr:uid="{60E7DC30-E9F3-4EA0-93EC-942583BF3025}"/>
    <cellStyle name="Percent 48 2" xfId="23968" xr:uid="{54F768F8-C835-42BD-8DB6-50D16DC5B3E7}"/>
    <cellStyle name="Percent 48 3" xfId="23969" xr:uid="{99618950-F35D-4989-B483-68804C345210}"/>
    <cellStyle name="Percent 49" xfId="23970" xr:uid="{44351337-52B4-448F-90CB-1326920978EF}"/>
    <cellStyle name="Percent 49 2" xfId="23971" xr:uid="{5BFA5AA9-F889-48C9-87EC-D057533525C0}"/>
    <cellStyle name="Percent 49 3" xfId="23972" xr:uid="{AA97527E-F4DA-4C6F-9EF7-1D5C16254C6F}"/>
    <cellStyle name="Percent 5" xfId="23973" xr:uid="{5C30C872-2C2F-4AE0-B106-19FD3A31F306}"/>
    <cellStyle name="Percent 5 2" xfId="23974" xr:uid="{35038E09-A836-43D9-85E4-663976FC16D9}"/>
    <cellStyle name="Percent 5 2 2" xfId="23975" xr:uid="{A1561B72-6E9F-4261-9C5F-2DB294E6F0A8}"/>
    <cellStyle name="Percent 5 2 2 2" xfId="43360" xr:uid="{D7E80D08-23E5-4607-8611-BABE19F7FBB1}"/>
    <cellStyle name="Percent 5 2 3" xfId="23976" xr:uid="{12C9FC2E-FCB5-40E2-89B5-1F31711F985B}"/>
    <cellStyle name="Percent 5 2 3 2" xfId="23977" xr:uid="{A03694E7-E224-4AB0-AE2D-C6E49B3E1549}"/>
    <cellStyle name="Percent 5 2 3 3" xfId="23978" xr:uid="{278E487E-0232-455F-B2A1-64548E4C3355}"/>
    <cellStyle name="Percent 5 2 4" xfId="23979" xr:uid="{76CDCCD2-5991-4C24-AD3E-A371BE36E0D6}"/>
    <cellStyle name="Percent 5 2 4 2" xfId="23980" xr:uid="{19E33157-C2E8-4894-83B3-BA2F6605391B}"/>
    <cellStyle name="Percent 5 2 4 3" xfId="23981" xr:uid="{5D0D7B60-8D0D-4B46-A42D-904E55D2CAF6}"/>
    <cellStyle name="Percent 5 2 5" xfId="23982" xr:uid="{91D4210F-AE1B-4B4B-BD9F-518273EC8F10}"/>
    <cellStyle name="Percent 5 2 6" xfId="43361" xr:uid="{C31DDEC7-21DF-4828-95AB-1997D833D0B5}"/>
    <cellStyle name="Percent 5 3" xfId="23983" xr:uid="{3C983239-4FAE-44B1-939A-FBBF19A16849}"/>
    <cellStyle name="Percent 5 3 2" xfId="23984" xr:uid="{61183C29-A976-4266-8928-FA0D538813AB}"/>
    <cellStyle name="Percent 5 3 2 2" xfId="43362" xr:uid="{C2003232-18F1-45CD-9C66-490D1B437AFE}"/>
    <cellStyle name="Percent 5 3 3" xfId="43363" xr:uid="{463853FF-CC53-404F-A025-40D951F56547}"/>
    <cellStyle name="Percent 5 4" xfId="23985" xr:uid="{F5369B1F-0AA1-4AA7-8F5C-6996580F8930}"/>
    <cellStyle name="Percent 5 4 2" xfId="23986" xr:uid="{03F95FFC-0E41-4DC0-B391-F35F08C1DB63}"/>
    <cellStyle name="Percent 5 4 2 2" xfId="23987" xr:uid="{E1319912-124F-4668-8E8C-79082D9BDFD9}"/>
    <cellStyle name="Percent 5 4 2 3" xfId="23988" xr:uid="{11B8B7C4-A2C7-4583-AB90-931014C98A75}"/>
    <cellStyle name="Percent 5 4 3" xfId="23989" xr:uid="{7AE9B559-5B9F-4C2F-91B4-8C4CE395B1AF}"/>
    <cellStyle name="Percent 5 4 4" xfId="23990" xr:uid="{7E060D48-483B-4BB5-A014-32C4BBC07AA9}"/>
    <cellStyle name="Percent 5 4 5" xfId="43364" xr:uid="{1304835E-39D7-43E9-8A29-96B693CD9537}"/>
    <cellStyle name="Percent 5 5" xfId="43365" xr:uid="{CBAA5F0D-7DFD-4762-880B-D026DD039EF1}"/>
    <cellStyle name="Percent 5 5 2" xfId="43366" xr:uid="{7E42A4A9-CB5D-4305-B140-523C7CCB84B8}"/>
    <cellStyle name="Percent 5 6" xfId="43367" xr:uid="{2168D582-B6F3-46C4-AE27-08013124CE86}"/>
    <cellStyle name="Percent 5 7" xfId="43368" xr:uid="{ECF85D35-30EA-4DD5-B761-61EC9D0C70DD}"/>
    <cellStyle name="Percent 5 8" xfId="43369" xr:uid="{C0DE141C-1B80-49D4-9F96-863F3810C443}"/>
    <cellStyle name="Percent 5 9" xfId="43370" xr:uid="{82CE0CB5-B95F-40D3-8995-D40C4129E046}"/>
    <cellStyle name="Percent 50" xfId="23991" xr:uid="{95864A29-69BE-4B85-BB2D-9CAC3C8B90C2}"/>
    <cellStyle name="Percent 51" xfId="23992" xr:uid="{803418CD-D03E-4043-94C4-15286D45F13A}"/>
    <cellStyle name="Percent 52" xfId="23993" xr:uid="{C209EE6E-8A37-4406-9572-1DBBD74233A6}"/>
    <cellStyle name="Percent 53" xfId="23994" xr:uid="{445D79B7-E121-4AFE-9967-1C13E465B128}"/>
    <cellStyle name="Percent 53 2" xfId="23995" xr:uid="{11AAA47A-B487-46A1-9F8F-B7BB4C5225AE}"/>
    <cellStyle name="Percent 54" xfId="23996" xr:uid="{E80F1737-ED95-4476-9BDC-3A3047648236}"/>
    <cellStyle name="Percent 54 2" xfId="23997" xr:uid="{B385C631-2195-4FAC-91C9-C972C5207B40}"/>
    <cellStyle name="Percent 55" xfId="23998" xr:uid="{7C24265B-9B5A-47BB-9D1F-397B0F2295AF}"/>
    <cellStyle name="Percent 55 2" xfId="23999" xr:uid="{8F105DBC-CFF0-47FA-AE4F-2BE59A365B94}"/>
    <cellStyle name="Percent 56" xfId="24000" xr:uid="{9E801AFC-A90A-4CDD-AAD1-EE892F00C2ED}"/>
    <cellStyle name="Percent 56 2" xfId="24001" xr:uid="{98432DAA-FA8D-4DC2-B972-54B5F5BE4409}"/>
    <cellStyle name="Percent 57" xfId="24002" xr:uid="{8C83E466-3A36-47A3-ADEC-526CD3E69923}"/>
    <cellStyle name="Percent 57 2" xfId="24003" xr:uid="{D742F049-E9F9-434A-842A-FA31684082DD}"/>
    <cellStyle name="Percent 58" xfId="24004" xr:uid="{E4A9547B-3308-4166-84CB-7363A01669F3}"/>
    <cellStyle name="Percent 58 2" xfId="24005" xr:uid="{44BEAF60-E130-4EEA-91BF-E39FD9F99E7A}"/>
    <cellStyle name="Percent 59" xfId="24006" xr:uid="{57A6EC01-20B8-4F46-92D9-7EB822BDD7B3}"/>
    <cellStyle name="Percent 59 2" xfId="24007" xr:uid="{432BB196-CD06-4F6B-8834-F3EDDD66DE6C}"/>
    <cellStyle name="Percent 6" xfId="24008" xr:uid="{E5F3D1EE-AF8C-4805-A037-DE6394D2CEF9}"/>
    <cellStyle name="Percent 6 2" xfId="24009" xr:uid="{E272B68A-2549-4913-8E43-5077075C3304}"/>
    <cellStyle name="Percent 6 2 2" xfId="24010" xr:uid="{33B6D1B3-992F-4B77-9A57-FE7F1927E92A}"/>
    <cellStyle name="Percent 6 2 2 2" xfId="43371" xr:uid="{736D8CD2-D06F-47D1-9126-EEBD5E4390A2}"/>
    <cellStyle name="Percent 6 2 3" xfId="24011" xr:uid="{66E12F34-5DE6-45B6-8813-6DA2C1E5D6F5}"/>
    <cellStyle name="Percent 6 2 4" xfId="24012" xr:uid="{D37F8CC7-8918-4046-AA90-C698F497D946}"/>
    <cellStyle name="Percent 6 2 5" xfId="43372" xr:uid="{5169C3D0-FB73-46E1-B4CF-DBDB032A637E}"/>
    <cellStyle name="Percent 6 3" xfId="24013" xr:uid="{DB8450CC-EE94-4CD6-8D20-91038CFF19C1}"/>
    <cellStyle name="Percent 6 3 2" xfId="24014" xr:uid="{E1C14005-B8B4-4E07-8AB6-80C8E7C54C2A}"/>
    <cellStyle name="Percent 6 3 3" xfId="24015" xr:uid="{EDE04A5F-96CB-43E3-81E8-3B90067A45F7}"/>
    <cellStyle name="Percent 6 3 4" xfId="24016" xr:uid="{8FCFB61A-1A48-4497-8319-2E5DDC8E9F9D}"/>
    <cellStyle name="Percent 6 3 5" xfId="43501" xr:uid="{D77088CD-2595-412D-BC67-E618E2822DD2}"/>
    <cellStyle name="Percent 6 4" xfId="24017" xr:uid="{0AEEDC72-A271-4987-B9F5-03F52BB89466}"/>
    <cellStyle name="Percent 6 4 2" xfId="43373" xr:uid="{B6A6EEE8-82E2-4F42-A1E4-51E8D1804ACF}"/>
    <cellStyle name="Percent 6 4 3" xfId="43374" xr:uid="{5CB13FE2-3499-4B19-9632-0DD1F6B29E37}"/>
    <cellStyle name="Percent 6 5" xfId="24018" xr:uid="{04CFF271-6587-4544-A828-27B4E2C4DA5F}"/>
    <cellStyle name="Percent 6 6" xfId="24019" xr:uid="{41F9ECA5-CEB7-4C2C-8792-A03763A7C752}"/>
    <cellStyle name="Percent 6 7" xfId="43375" xr:uid="{F309A305-B0E9-4F2F-91CC-5AE9FC6FBE32}"/>
    <cellStyle name="Percent 60" xfId="24020" xr:uid="{496DCE0C-6CE4-4911-A4D3-B96DC215CB01}"/>
    <cellStyle name="Percent 60 2" xfId="24021" xr:uid="{21293A93-6304-4DB2-9776-9F1C4B1052F7}"/>
    <cellStyle name="Percent 61" xfId="24022" xr:uid="{7B6599F9-1C02-4318-915E-24EFB4973935}"/>
    <cellStyle name="Percent 61 2" xfId="24023" xr:uid="{6BDDCA4F-7AC3-41E6-8A53-CD19579E3252}"/>
    <cellStyle name="Percent 62" xfId="24024" xr:uid="{9C9DA6A6-5D78-41B5-A78E-672DA2168AA1}"/>
    <cellStyle name="Percent 62 2" xfId="24025" xr:uid="{DF6129F4-F26F-4255-9101-58C5D8054C49}"/>
    <cellStyle name="Percent 63" xfId="24026" xr:uid="{9DA14D34-08DD-4B69-8933-F0047FEA67A1}"/>
    <cellStyle name="Percent 63 2" xfId="24027" xr:uid="{B3BC8DA8-698A-4979-A401-AF5C97C8680A}"/>
    <cellStyle name="Percent 64" xfId="24028" xr:uid="{9AD2339F-03AF-4197-B452-A9D6F4AA98D9}"/>
    <cellStyle name="Percent 64 2" xfId="24029" xr:uid="{6A3459FB-70E7-44D9-A892-1D9515E519AF}"/>
    <cellStyle name="Percent 65" xfId="24030" xr:uid="{A9F349A0-954C-4186-A6B0-A6F7C4A250FA}"/>
    <cellStyle name="Percent 66" xfId="24031" xr:uid="{8F6A420C-91FE-47B9-8307-850A1D975462}"/>
    <cellStyle name="Percent 67" xfId="24032" xr:uid="{EE87A160-9651-4BB0-BB71-A7B640A33EA4}"/>
    <cellStyle name="Percent 68" xfId="24033" xr:uid="{14BA73AD-267E-4F73-80BB-6055F593EEE2}"/>
    <cellStyle name="Percent 69" xfId="24034" xr:uid="{8B4699EB-31B4-433A-BA5B-C79B083B8847}"/>
    <cellStyle name="Percent 7" xfId="24035" xr:uid="{F1B3FE71-15F3-493F-ACA1-399495E337E7}"/>
    <cellStyle name="Percent 7 2" xfId="24036" xr:uid="{487574AC-15DF-4029-9101-F3ECE5A40D1B}"/>
    <cellStyle name="Percent 7 2 2" xfId="24037" xr:uid="{98B085F6-5047-4544-81D1-1CE78921A9A6}"/>
    <cellStyle name="Percent 7 2 2 2" xfId="43376" xr:uid="{8C0C7FFA-6DFF-4654-8C37-AEF74CA3E071}"/>
    <cellStyle name="Percent 7 2 2 3" xfId="43516" xr:uid="{D1AB00B6-87AD-4209-AE68-2487841B9483}"/>
    <cellStyle name="Percent 7 2 3" xfId="24038" xr:uid="{0EA42ACD-BF20-41A8-8515-F3E9153216F3}"/>
    <cellStyle name="Percent 7 2 4" xfId="24039" xr:uid="{EA86D039-B318-450C-8BB9-B9B4C1FDDC64}"/>
    <cellStyle name="Percent 7 2 5" xfId="43377" xr:uid="{2FBA7090-135E-4B82-A6AF-2EABEFBF163D}"/>
    <cellStyle name="Percent 7 3" xfId="24040" xr:uid="{FE78F897-7DA0-4647-A959-FB2C8A9C3B4E}"/>
    <cellStyle name="Percent 7 3 2" xfId="24041" xr:uid="{C0C61970-1694-4383-9397-6B145AD79613}"/>
    <cellStyle name="Percent 7 3 2 2" xfId="24042" xr:uid="{E697345D-EC13-440D-8A8A-FDA55DF2980E}"/>
    <cellStyle name="Percent 7 3 2 3" xfId="24043" xr:uid="{5D5DC1B9-9DA7-4BAF-A673-AC8F40BA0B41}"/>
    <cellStyle name="Percent 7 3 3" xfId="24044" xr:uid="{F80A6749-1CED-4FC5-8137-3E39EC16B6BB}"/>
    <cellStyle name="Percent 7 3 4" xfId="24045" xr:uid="{2E11A54A-CC0B-465E-81C6-6ECA7048A2D1}"/>
    <cellStyle name="Percent 7 3 5" xfId="43500" xr:uid="{3628BDEF-7ED3-4200-9352-282BA791246E}"/>
    <cellStyle name="Percent 7 4" xfId="24046" xr:uid="{150F4289-117F-402F-A7A3-D41354F30008}"/>
    <cellStyle name="Percent 7 5" xfId="24047" xr:uid="{5928D933-7F46-4DA4-90E1-6B324AC5738A}"/>
    <cellStyle name="Percent 7 6" xfId="24048" xr:uid="{B2522906-A9C4-47FC-B3AD-26AE97E379B5}"/>
    <cellStyle name="Percent 70" xfId="24049" xr:uid="{D63C652B-8398-4F61-ADFD-F28221BA7403}"/>
    <cellStyle name="Percent 70 2" xfId="24050" xr:uid="{92F06F4F-CD36-49EC-9F90-6F78C8846FCF}"/>
    <cellStyle name="Percent 71" xfId="24051" xr:uid="{85CD2E6D-EC08-4FCD-9F25-812AE228EF42}"/>
    <cellStyle name="Percent 71 2" xfId="24052" xr:uid="{43696444-087F-4ED9-ACE0-3409EAD1ABC9}"/>
    <cellStyle name="Percent 72" xfId="24053" xr:uid="{FDC24A05-D7BE-4F9A-BE18-4BF47D18CF36}"/>
    <cellStyle name="Percent 73" xfId="24054" xr:uid="{8F1B72BC-B6EE-4D38-AFBE-2CACD62141FE}"/>
    <cellStyle name="Percent 74" xfId="24055" xr:uid="{75420C26-009E-432A-8180-57F8F4F071A0}"/>
    <cellStyle name="Percent 75" xfId="24056" xr:uid="{1E79F08B-304C-44FC-8D0B-A683CF4217EE}"/>
    <cellStyle name="Percent 76" xfId="24057" xr:uid="{0E6BB302-EA62-4895-811F-D68B3A26CE6A}"/>
    <cellStyle name="Percent 77" xfId="24058" xr:uid="{97A4E0B8-27FF-4C03-AAB5-2DDA727D76F5}"/>
    <cellStyle name="Percent 78" xfId="24059" xr:uid="{4B365E3C-F8A2-4D46-8D5A-ABD47AD50B68}"/>
    <cellStyle name="Percent 79" xfId="24060" xr:uid="{30DAC403-5DD3-4F91-BD1A-837C20D18DBB}"/>
    <cellStyle name="Percent 8" xfId="24061" xr:uid="{D4A06B29-6134-46F6-8A50-5F6FEC4333BE}"/>
    <cellStyle name="Percent 8 2" xfId="24062" xr:uid="{94C2EBD8-8AA0-4BE0-94E9-45D605E577BE}"/>
    <cellStyle name="Percent 8 2 2" xfId="24063" xr:uid="{65453BAB-3DF9-4D66-98F7-3A119833B033}"/>
    <cellStyle name="Percent 8 2 2 2" xfId="43378" xr:uid="{B2505A13-B7ED-47A7-A605-CF3E60D15A47}"/>
    <cellStyle name="Percent 8 2 3" xfId="43379" xr:uid="{7CB7CD73-9E2F-428B-87E4-FF2F5136F46C}"/>
    <cellStyle name="Percent 8 3" xfId="24064" xr:uid="{2B848C00-F19C-4757-86CD-358971657D25}"/>
    <cellStyle name="Percent 8 3 2" xfId="43380" xr:uid="{E35148E0-68D9-45F8-A26A-5615AA7EAAF0}"/>
    <cellStyle name="Percent 8 4" xfId="43381" xr:uid="{A00AA9AA-F0AF-449C-91FF-286774D9FC62}"/>
    <cellStyle name="Percent 80" xfId="24065" xr:uid="{1C7A1B13-6F7E-4ED1-B484-423F2B9BC4E2}"/>
    <cellStyle name="Percent 81" xfId="24066" xr:uid="{276C25C8-67DD-47EC-B341-115BB44E3ADD}"/>
    <cellStyle name="Percent 82" xfId="24067" xr:uid="{0FE6E014-FF3B-4058-BE07-42E5C400CC0E}"/>
    <cellStyle name="Percent 83" xfId="24068" xr:uid="{16EE1D00-9DF1-49E4-B14A-A74C90458746}"/>
    <cellStyle name="Percent 84" xfId="24069" xr:uid="{0002A494-45B4-426F-BE99-0003108C5474}"/>
    <cellStyle name="Percent 85" xfId="24070" xr:uid="{DCF69750-6731-4B5B-919C-9C6172400EF2}"/>
    <cellStyle name="Percent 86" xfId="24071" xr:uid="{625A74E2-E806-464D-A39A-47B7AD73D1A5}"/>
    <cellStyle name="Percent 87" xfId="24072" xr:uid="{EB91241B-BB77-4D0F-B8C1-604A12EC0B1A}"/>
    <cellStyle name="Percent 88" xfId="24073" xr:uid="{A3D2FDD8-F111-4704-9CC6-E14AA10A297C}"/>
    <cellStyle name="Percent 89" xfId="24074" xr:uid="{98081CB4-A6C3-49E2-9911-4C4212CC33E7}"/>
    <cellStyle name="Percent 9" xfId="24075" xr:uid="{F445273F-C823-4202-87B7-6B796561621A}"/>
    <cellStyle name="Percent 9 2" xfId="24076" xr:uid="{2E2F0156-CEDC-482C-A00B-E4F1A24EFE77}"/>
    <cellStyle name="Percent 9 2 2" xfId="36" xr:uid="{58D62F26-1917-4D1A-AC3A-B686F12AA3DA}"/>
    <cellStyle name="Percent 9 2 2 2" xfId="43382" xr:uid="{1A49F728-3A03-4B6D-9D69-8E47AFFAA0C1}"/>
    <cellStyle name="Percent 9 2 2 3" xfId="43622" xr:uid="{8C486BFB-2123-410B-9A6F-5CCF09971211}"/>
    <cellStyle name="Percent 9 2 2 4" xfId="24077" xr:uid="{805DC74D-972E-4148-A3A9-4EF3ECB7AA9B}"/>
    <cellStyle name="Percent 9 2 3" xfId="43383" xr:uid="{93B12EB6-D2F5-4994-B027-CA0F24AF2D63}"/>
    <cellStyle name="Percent 9 3" xfId="24078" xr:uid="{193859F8-43DA-45C3-BF18-9698B88362B5}"/>
    <cellStyle name="Percent 9 3 2" xfId="43384" xr:uid="{E555A3CE-F07D-46B9-9D87-702BFF55F33E}"/>
    <cellStyle name="Percent 9 4" xfId="43385" xr:uid="{F89C1B87-4FBB-48B8-BC76-621013096785}"/>
    <cellStyle name="Percent 90" xfId="24079" xr:uid="{170AA815-AA3E-4194-B554-DEF495197EAC}"/>
    <cellStyle name="Percent 91" xfId="24080" xr:uid="{5AA55EF2-2BCC-41A7-98F5-7282387D0F7A}"/>
    <cellStyle name="Percent 92" xfId="24081" xr:uid="{72BC88D5-F91F-4A4B-AC2F-0E007DFCC6DF}"/>
    <cellStyle name="Percent 93" xfId="24082" xr:uid="{538D5918-97F3-4EF5-8487-62626E25AD80}"/>
    <cellStyle name="Percent 94" xfId="24083" xr:uid="{12FC21CE-35D5-4295-8520-94C16F9B1DDB}"/>
    <cellStyle name="Percent 95" xfId="24084" xr:uid="{979A7D3A-FD68-4001-ACCD-B2E7B029FED2}"/>
    <cellStyle name="Percent 96" xfId="24085" xr:uid="{714C7C59-F942-47DF-B3D9-D42FCE3D1A25}"/>
    <cellStyle name="Percent 97" xfId="24086" xr:uid="{E1741CE9-50F2-4D27-BC47-45D310323830}"/>
    <cellStyle name="Percent 98" xfId="24087" xr:uid="{3B94421F-083A-415B-BC66-C710C752F2C1}"/>
    <cellStyle name="Percent 99" xfId="24088" xr:uid="{102F043B-8DE8-490D-BA11-14A5AA27A391}"/>
    <cellStyle name="Percent[2]" xfId="262" xr:uid="{061CE406-8FE0-4FE6-B2E2-3C179DA30274}"/>
    <cellStyle name="Percent[2] 2" xfId="24089" xr:uid="{C52DCE00-CF3C-4724-88B5-D0654F9BE249}"/>
    <cellStyle name="Percent[2] 2 2" xfId="24090" xr:uid="{974A9714-9BF4-4DB2-9A94-19DF8D4EB52F}"/>
    <cellStyle name="Percent[2] 2 2 2" xfId="24091" xr:uid="{F59CFF34-55F4-41A4-BA81-33775B009B40}"/>
    <cellStyle name="Percent[2] 2 2 2 2" xfId="43386" xr:uid="{347DEC0E-93EC-4E7C-8BA7-E357A5C9B069}"/>
    <cellStyle name="Percent[2] 2 2 3" xfId="43387" xr:uid="{D61B7D28-7824-4653-8CBE-18EC57CEBAC5}"/>
    <cellStyle name="Percent[2] 2 3" xfId="24092" xr:uid="{34077610-7A51-4222-9A22-6C35A729DE9B}"/>
    <cellStyle name="Percent[2] 2 3 2" xfId="43388" xr:uid="{E1A9A020-2F2C-4B84-84DA-3CAA77537314}"/>
    <cellStyle name="Percent[2] 2 4" xfId="43389" xr:uid="{F70D6ED0-6A83-4561-B046-DE73B14E1199}"/>
    <cellStyle name="Percent[2] 3" xfId="24093" xr:uid="{63ADBCEF-6ABF-4DA1-9401-64803BD8FF23}"/>
    <cellStyle name="Percent[2] 3 2" xfId="43390" xr:uid="{C4E19FBC-9780-4340-9EF2-BAAA1F4508BC}"/>
    <cellStyle name="Percent[2] 4" xfId="43391" xr:uid="{3D697C44-E160-4429-B4B5-83166D660796}"/>
    <cellStyle name="Percent[2] 4 2" xfId="43392" xr:uid="{312FAE47-110A-45A2-A99C-2B47FFD21863}"/>
    <cellStyle name="Percent[2] 5" xfId="43393" xr:uid="{C6BE89DE-6EF1-4DAF-9251-488CF15EEEFD}"/>
    <cellStyle name="Percent[2] 5 2" xfId="43394" xr:uid="{0499236B-D921-42D7-89D9-7FB4FD01B210}"/>
    <cellStyle name="Percent[2] 6" xfId="43395" xr:uid="{68890285-0908-4D9F-93BA-4C42AC025B59}"/>
    <cellStyle name="Percent[2] 7" xfId="43396" xr:uid="{471478F2-C2F0-48C4-8B7D-C713EDF8E214}"/>
    <cellStyle name="PERCENTAGE" xfId="43397" xr:uid="{BA61FDF8-3452-4A04-865B-2FA9678CB03D}"/>
    <cellStyle name="PERCENTAGE 2" xfId="43398" xr:uid="{A75CE88B-2E2B-41B0-8BDF-7DCE726C2BDA}"/>
    <cellStyle name="PERCENTAGE 3" xfId="43399" xr:uid="{4F24DE4C-8A17-4287-B625-18B6209669BF}"/>
    <cellStyle name="PERCENTAGE 4" xfId="43400" xr:uid="{1F72C773-7101-4EA2-BA1C-43F73EF94CFF}"/>
    <cellStyle name="PSChar" xfId="203" xr:uid="{E9C62DA8-CAE4-4455-8C4A-78C55CCDC2B0}"/>
    <cellStyle name="PSChar 10" xfId="24094" xr:uid="{B4DC1B53-B844-4022-BEF1-AB28EE05F31F}"/>
    <cellStyle name="PSChar 10 2" xfId="24095" xr:uid="{4C9259BC-2720-441E-B358-12E9917D6C44}"/>
    <cellStyle name="PSChar 10 2 2" xfId="24096" xr:uid="{71D8A534-0764-4430-96A9-8C4E5A3FD97D}"/>
    <cellStyle name="PSChar 10 2 2 2" xfId="24097" xr:uid="{8ED64BB3-C788-4F0B-988D-6C191851E772}"/>
    <cellStyle name="PSChar 10 2 3" xfId="24098" xr:uid="{97CE89ED-9131-436E-A209-2BE5C7DBED52}"/>
    <cellStyle name="PSChar 10 3" xfId="24099" xr:uid="{20FB854E-B7F2-4DF9-BF9B-9FE7119D13B2}"/>
    <cellStyle name="PSChar 10 3 2" xfId="24100" xr:uid="{1B502EBB-735F-453F-B4CD-531E4D14E3F1}"/>
    <cellStyle name="PSChar 10 3 2 2" xfId="24101" xr:uid="{87648520-A70C-4110-A5D3-98D5AB67EF75}"/>
    <cellStyle name="PSChar 10 3 3" xfId="24102" xr:uid="{235E05BD-F452-4D3E-BB0B-ADF4775F2BD0}"/>
    <cellStyle name="PSChar 10 4" xfId="24103" xr:uid="{FF0E29F1-6F92-45D7-B516-3558B21DBE04}"/>
    <cellStyle name="PSChar 10 4 2" xfId="24104" xr:uid="{15DB2C07-CD94-4C39-9D45-1654C545DA4B}"/>
    <cellStyle name="PSChar 10 4 2 2" xfId="24105" xr:uid="{1FFA737C-54CA-4752-918C-62A7B8102120}"/>
    <cellStyle name="PSChar 10 4 3" xfId="24106" xr:uid="{CF44A734-E007-434C-841A-8D435B3DA2EA}"/>
    <cellStyle name="PSChar 10 5" xfId="24107" xr:uid="{10375E3D-B611-45FE-8291-C271A0DC6439}"/>
    <cellStyle name="PSChar 10 5 2" xfId="24108" xr:uid="{22045252-B966-4792-B831-C82B0E1BE1A1}"/>
    <cellStyle name="PSChar 10 5 2 2" xfId="24109" xr:uid="{B48693D2-200B-4678-A1A6-3413815F3348}"/>
    <cellStyle name="PSChar 10 5 3" xfId="24110" xr:uid="{7EC41130-D6D6-4188-9B06-934D7BC53724}"/>
    <cellStyle name="PSChar 10 6" xfId="24111" xr:uid="{AAABDAF6-DA12-4517-B96E-EEAACD76DD56}"/>
    <cellStyle name="PSChar 10 6 2" xfId="24112" xr:uid="{80DBD158-8F8D-41FE-8494-3876A982689B}"/>
    <cellStyle name="PSChar 10 7" xfId="24113" xr:uid="{C82EB11B-DDBF-4DB8-A67C-D8FC7AC4B15E}"/>
    <cellStyle name="PSChar 11" xfId="24114" xr:uid="{6E313F8E-AEE6-436D-A435-0D06C95C9908}"/>
    <cellStyle name="PSChar 11 2" xfId="24115" xr:uid="{9B9E37F0-E18F-4B0C-918D-25613C360F1E}"/>
    <cellStyle name="PSChar 11 2 2" xfId="24116" xr:uid="{9473B339-5768-45CD-ABE9-F14C8519F295}"/>
    <cellStyle name="PSChar 11 2 2 2" xfId="24117" xr:uid="{C16F72C1-3D21-42C2-9458-903EB7AD5335}"/>
    <cellStyle name="PSChar 11 2 3" xfId="24118" xr:uid="{100BA501-54F0-417F-A7DB-8874443E03CF}"/>
    <cellStyle name="PSChar 11 3" xfId="24119" xr:uid="{2D53E111-C96C-4FDD-B309-A8CD14F5E9E6}"/>
    <cellStyle name="PSChar 11 3 2" xfId="24120" xr:uid="{C9846D12-3799-4D19-B0ED-9D215019867F}"/>
    <cellStyle name="PSChar 11 3 2 2" xfId="24121" xr:uid="{20C2633A-B6E4-4F80-A61B-4218FD934065}"/>
    <cellStyle name="PSChar 11 3 3" xfId="24122" xr:uid="{E8DF00BB-B31E-4B9F-B36F-1E7CF64DE6C9}"/>
    <cellStyle name="PSChar 11 4" xfId="24123" xr:uid="{474E8404-BC27-44E8-98CF-AFC3584C6141}"/>
    <cellStyle name="PSChar 11 4 2" xfId="24124" xr:uid="{E4CE3684-1105-4592-9C73-70CE722FE39B}"/>
    <cellStyle name="PSChar 11 4 2 2" xfId="24125" xr:uid="{65ECC41E-2A07-4A94-A1AA-89223195E549}"/>
    <cellStyle name="PSChar 11 4 3" xfId="24126" xr:uid="{40B851C5-07A7-4924-A8C5-82FD6F6D5498}"/>
    <cellStyle name="PSChar 11 5" xfId="24127" xr:uid="{E0244C7B-08A1-48DE-86C6-20A0DA102EF0}"/>
    <cellStyle name="PSChar 11 5 2" xfId="24128" xr:uid="{27A71041-7680-4086-88A2-7A2631E755B9}"/>
    <cellStyle name="PSChar 11 5 2 2" xfId="24129" xr:uid="{81409B2C-F4AF-4E2C-9BAE-B8CDD8F00DF2}"/>
    <cellStyle name="PSChar 11 5 3" xfId="24130" xr:uid="{A64B8DC1-EBAA-45A7-96C7-9B6378A1638B}"/>
    <cellStyle name="PSChar 11 6" xfId="24131" xr:uid="{F0E03B42-5872-4A86-8204-345806F49D98}"/>
    <cellStyle name="PSChar 11 6 2" xfId="24132" xr:uid="{8EE00536-5736-4395-8724-8D0081812E03}"/>
    <cellStyle name="PSChar 11 7" xfId="24133" xr:uid="{3D808D15-CB43-4B86-B4FA-571404251B63}"/>
    <cellStyle name="PSChar 12" xfId="24134" xr:uid="{CB28EBD8-BD4C-4F14-9F68-B06A8668D4E1}"/>
    <cellStyle name="PSChar 12 2" xfId="24135" xr:uid="{3FD29174-B4FE-477F-8166-5A28C955D24F}"/>
    <cellStyle name="PSChar 12 2 2" xfId="24136" xr:uid="{1BF385B6-BD77-4E8E-9712-25199631B113}"/>
    <cellStyle name="PSChar 12 2 2 2" xfId="24137" xr:uid="{A18266C9-EC07-49A6-B513-56274B222BA4}"/>
    <cellStyle name="PSChar 12 2 3" xfId="24138" xr:uid="{861F9BEC-E6C5-44AB-9BF2-70C5E49D75D8}"/>
    <cellStyle name="PSChar 12 3" xfId="24139" xr:uid="{84149AB5-9DE8-43D3-B3C3-C81762600C72}"/>
    <cellStyle name="PSChar 12 3 2" xfId="24140" xr:uid="{10D30D96-B428-4AC4-801A-38E97926E436}"/>
    <cellStyle name="PSChar 12 3 2 2" xfId="24141" xr:uid="{EA1344B9-C4A9-441C-B492-811707217E4B}"/>
    <cellStyle name="PSChar 12 3 3" xfId="24142" xr:uid="{AC4357A8-6023-4EC3-93B9-B891B46AF4E2}"/>
    <cellStyle name="PSChar 12 4" xfId="24143" xr:uid="{C715C677-36B0-4795-9AD9-FC037FF2D33F}"/>
    <cellStyle name="PSChar 12 4 2" xfId="24144" xr:uid="{5AD8ED68-898E-4D41-A656-472BFF2E39D3}"/>
    <cellStyle name="PSChar 12 4 2 2" xfId="24145" xr:uid="{3F84E04B-57E4-45B8-A4B0-D37BF8473E5B}"/>
    <cellStyle name="PSChar 12 4 3" xfId="24146" xr:uid="{AB35F951-4DFF-4571-AD94-B99EF12FBBDE}"/>
    <cellStyle name="PSChar 12 5" xfId="24147" xr:uid="{1460E7D1-CE1E-46B1-9891-315610F22CA2}"/>
    <cellStyle name="PSChar 12 5 2" xfId="24148" xr:uid="{D4CDACA2-F941-46D4-8EDF-270B546B035A}"/>
    <cellStyle name="PSChar 12 5 2 2" xfId="24149" xr:uid="{62A33B9A-232F-4491-BA6A-2322A04E8E2D}"/>
    <cellStyle name="PSChar 12 5 3" xfId="24150" xr:uid="{8FADE0CB-FBF7-4B89-94EE-F541ED1812C1}"/>
    <cellStyle name="PSChar 12 6" xfId="24151" xr:uid="{56A857A2-A10A-49B2-A784-8A14E89ED826}"/>
    <cellStyle name="PSChar 12 6 2" xfId="24152" xr:uid="{CEF9385A-D284-437C-AB78-62013A4D1C5C}"/>
    <cellStyle name="PSChar 12 7" xfId="24153" xr:uid="{C68483C0-3E32-4651-8C83-7248013852FF}"/>
    <cellStyle name="PSChar 13" xfId="24154" xr:uid="{74F43971-C2AD-402D-AD41-7F9A3F71746D}"/>
    <cellStyle name="PSChar 13 2" xfId="24155" xr:uid="{7B40AA97-7762-47B3-9AB9-8D874BF031E2}"/>
    <cellStyle name="PSChar 13 2 2" xfId="24156" xr:uid="{7CEB2434-3BB0-4CD7-A299-B7078C5E9D4E}"/>
    <cellStyle name="PSChar 13 2 2 2" xfId="24157" xr:uid="{288FC5D9-AE54-45C2-9418-5CF9A172F47F}"/>
    <cellStyle name="PSChar 13 2 3" xfId="24158" xr:uid="{502CC129-A011-4A6E-BF1E-9F27C8C1B74F}"/>
    <cellStyle name="PSChar 13 3" xfId="24159" xr:uid="{5CC30222-8299-4345-B5BB-D6A6358EDBDC}"/>
    <cellStyle name="PSChar 13 3 2" xfId="24160" xr:uid="{F81B923A-9C68-45E8-85CB-54570012FCF1}"/>
    <cellStyle name="PSChar 13 3 2 2" xfId="24161" xr:uid="{7E3DBFE4-4D5B-4177-B7C3-2D9493E7B3E5}"/>
    <cellStyle name="PSChar 13 3 3" xfId="24162" xr:uid="{6C7D7EAB-9383-4E9C-A891-F78FBD575A57}"/>
    <cellStyle name="PSChar 13 4" xfId="24163" xr:uid="{C0561331-6363-411A-A122-3DB46542B706}"/>
    <cellStyle name="PSChar 13 4 2" xfId="24164" xr:uid="{2E0CBBBD-EF38-405C-9D65-D8487F44701E}"/>
    <cellStyle name="PSChar 13 4 2 2" xfId="24165" xr:uid="{A7A1C386-E10B-4BBD-B46B-1F30BFEC980D}"/>
    <cellStyle name="PSChar 13 4 3" xfId="24166" xr:uid="{F553E63D-DA3A-403C-ACFA-C45318ACA955}"/>
    <cellStyle name="PSChar 13 5" xfId="24167" xr:uid="{552FC6FD-DD42-4AA3-B094-1D9DD14D713C}"/>
    <cellStyle name="PSChar 13 5 2" xfId="24168" xr:uid="{5EE8E435-D814-4D12-9741-7A47D67A24B0}"/>
    <cellStyle name="PSChar 13 5 2 2" xfId="24169" xr:uid="{346C91D5-1BE7-42CA-8EA3-9FAB1E2AB051}"/>
    <cellStyle name="PSChar 13 5 3" xfId="24170" xr:uid="{6A928832-99AA-4517-A91C-A1FAE98B2FE9}"/>
    <cellStyle name="PSChar 13 6" xfId="24171" xr:uid="{C39055BA-6E41-4709-BA36-462F143ECAEE}"/>
    <cellStyle name="PSChar 13 6 2" xfId="24172" xr:uid="{AC001821-686C-4D1F-B929-CA447D99D6E3}"/>
    <cellStyle name="PSChar 13 7" xfId="24173" xr:uid="{75D7D6D2-5E43-4EA3-8040-36C4ABED9186}"/>
    <cellStyle name="PSChar 14" xfId="24174" xr:uid="{A69709EB-CCB8-46C6-A236-36301D3FDB6D}"/>
    <cellStyle name="PSChar 14 2" xfId="24175" xr:uid="{158D6D58-1963-413A-9378-A7962F751B6D}"/>
    <cellStyle name="PSChar 14 2 2" xfId="24176" xr:uid="{6131ED2A-3811-4478-8494-81CD28F5C475}"/>
    <cellStyle name="PSChar 14 2 2 2" xfId="24177" xr:uid="{94569E41-C421-45DA-9FB3-748CAF16017E}"/>
    <cellStyle name="PSChar 14 2 3" xfId="24178" xr:uid="{41824F85-7219-4586-B21E-877CBB068B11}"/>
    <cellStyle name="PSChar 14 3" xfId="24179" xr:uid="{65B33547-C2EE-453A-8EAA-0CC401E41774}"/>
    <cellStyle name="PSChar 14 3 2" xfId="24180" xr:uid="{EE64984E-ED95-4591-BAD1-4CB887541955}"/>
    <cellStyle name="PSChar 14 3 2 2" xfId="24181" xr:uid="{6555BB90-5E75-4CB8-8186-7DE430C72D20}"/>
    <cellStyle name="PSChar 14 3 3" xfId="24182" xr:uid="{945B12CA-4572-4173-9621-3BB30A5E82A5}"/>
    <cellStyle name="PSChar 14 4" xfId="24183" xr:uid="{1F22C042-D5C3-4A55-8D6E-DBB18FE2BE59}"/>
    <cellStyle name="PSChar 14 4 2" xfId="24184" xr:uid="{324F0624-1312-44CF-82B1-0FCDB0227C7F}"/>
    <cellStyle name="PSChar 14 4 2 2" xfId="24185" xr:uid="{EFDF7C69-AB8C-42EE-8D13-86786964B6B9}"/>
    <cellStyle name="PSChar 14 4 3" xfId="24186" xr:uid="{DD750BF5-624E-457B-82DE-B69D0FF15237}"/>
    <cellStyle name="PSChar 14 5" xfId="24187" xr:uid="{EAAF293F-DE65-4147-BD69-9371A257037D}"/>
    <cellStyle name="PSChar 14 5 2" xfId="24188" xr:uid="{330BD7DF-ED45-48BE-B44B-336E94232C21}"/>
    <cellStyle name="PSChar 14 5 2 2" xfId="24189" xr:uid="{907BCEE2-F600-4480-995C-698C0F4503E9}"/>
    <cellStyle name="PSChar 14 5 3" xfId="24190" xr:uid="{B0F9D9CE-E929-4FD8-B645-692D5889D82E}"/>
    <cellStyle name="PSChar 14 6" xfId="24191" xr:uid="{DD815739-F139-4EB1-B5B0-00D1DB71E989}"/>
    <cellStyle name="PSChar 14 6 2" xfId="24192" xr:uid="{7FF3D88E-3CD6-4C75-9D40-FAB0BB8CC4E2}"/>
    <cellStyle name="PSChar 14 7" xfId="24193" xr:uid="{1A6B4304-647A-42A6-A6AF-43202EA5EE46}"/>
    <cellStyle name="PSChar 15" xfId="24194" xr:uid="{C6640D74-4FE7-43E4-BCD9-BE3244734B3B}"/>
    <cellStyle name="PSChar 15 2" xfId="24195" xr:uid="{19506538-85BA-4138-9AB7-08958CAC8A9E}"/>
    <cellStyle name="PSChar 15 2 2" xfId="24196" xr:uid="{5EB1822A-50AC-41B8-A681-D050454D14C3}"/>
    <cellStyle name="PSChar 15 2 2 2" xfId="24197" xr:uid="{14EEBCA2-DB9F-48BA-A70A-617BC3A4838B}"/>
    <cellStyle name="PSChar 15 2 3" xfId="24198" xr:uid="{FFC0A0C1-4EEC-472B-827D-D68FCE180F50}"/>
    <cellStyle name="PSChar 15 3" xfId="24199" xr:uid="{8FB95050-F0DB-4245-A710-B9D8919E721F}"/>
    <cellStyle name="PSChar 15 3 2" xfId="24200" xr:uid="{A3F676BD-458A-4255-91E3-2A449F32AB22}"/>
    <cellStyle name="PSChar 15 3 2 2" xfId="24201" xr:uid="{052B5308-4FFF-4893-A860-603A17992E9B}"/>
    <cellStyle name="PSChar 15 3 3" xfId="24202" xr:uid="{5F499EAB-B97F-4F49-81AC-AF8A0D745821}"/>
    <cellStyle name="PSChar 15 4" xfId="24203" xr:uid="{5AE39D15-BBE5-4369-9426-03C8436C2129}"/>
    <cellStyle name="PSChar 15 4 2" xfId="24204" xr:uid="{5DCF30D2-7FE2-43B9-96F9-14E794E5386D}"/>
    <cellStyle name="PSChar 15 4 2 2" xfId="24205" xr:uid="{E2E00D2B-8732-4FB5-B834-BF1BF8B5AED4}"/>
    <cellStyle name="PSChar 15 4 3" xfId="24206" xr:uid="{136CC663-F51B-4100-B5B1-0A4578188421}"/>
    <cellStyle name="PSChar 15 5" xfId="24207" xr:uid="{5E2DA861-A987-4CFA-B874-4B473FB005A1}"/>
    <cellStyle name="PSChar 15 5 2" xfId="24208" xr:uid="{894493AF-F9B9-46EC-B282-032FADACE473}"/>
    <cellStyle name="PSChar 15 5 2 2" xfId="24209" xr:uid="{8F8CF904-5735-442A-8B3B-DF14E28D7ABE}"/>
    <cellStyle name="PSChar 15 5 3" xfId="24210" xr:uid="{CC9E4E6F-F35D-465A-9938-92D0526658A2}"/>
    <cellStyle name="PSChar 15 6" xfId="24211" xr:uid="{3078B1B4-6380-4272-BABF-1C3692E9F69F}"/>
    <cellStyle name="PSChar 15 6 2" xfId="24212" xr:uid="{0BA1A051-161F-4160-AB97-5A5AEB677E07}"/>
    <cellStyle name="PSChar 15 7" xfId="24213" xr:uid="{7045503F-BB46-4976-9243-572E8DBC2157}"/>
    <cellStyle name="PSChar 16" xfId="24214" xr:uid="{A5713D1F-BDA0-4A83-AF0C-0D3BB6BFFA53}"/>
    <cellStyle name="PSChar 16 2" xfId="24215" xr:uid="{001CB4AD-C98E-4EC9-AF99-088C6C807184}"/>
    <cellStyle name="PSChar 17" xfId="24216" xr:uid="{FE907D02-ADF6-4FC1-814F-72D76862BBC4}"/>
    <cellStyle name="PSChar 18" xfId="24217" xr:uid="{344A7F94-919A-45BE-87F7-247CF506BA52}"/>
    <cellStyle name="PSChar 18 2" xfId="24218" xr:uid="{9CF1ED78-61D1-4BB7-AE4E-D7FEF49F527A}"/>
    <cellStyle name="PSChar 18 3" xfId="24219" xr:uid="{F0CF70FF-A779-491B-B35E-F0B5114A0A90}"/>
    <cellStyle name="PSChar 2" xfId="24220" xr:uid="{AB427A54-2C08-4D07-AD7C-B41C512BAB9D}"/>
    <cellStyle name="PSChar 2 10" xfId="24221" xr:uid="{7D4CD825-5F09-400A-B350-F3F4053B9F39}"/>
    <cellStyle name="PSChar 2 10 2" xfId="24222" xr:uid="{2A4022CD-BE61-4B08-89A9-1DD7CE55E091}"/>
    <cellStyle name="PSChar 2 11" xfId="24223" xr:uid="{1A346622-B9C6-4606-BEC1-2E885C7CFB18}"/>
    <cellStyle name="PSChar 2 2" xfId="24224" xr:uid="{87B4BBC2-4C66-4F3C-AACE-D0EF13B24CD5}"/>
    <cellStyle name="PSChar 2 2 2" xfId="24225" xr:uid="{30E7F843-0211-40B6-9E94-A8D3AC12E11C}"/>
    <cellStyle name="PSChar 2 2 2 2" xfId="24226" xr:uid="{E8800EC4-E15D-4316-9A2B-22D2FA116B62}"/>
    <cellStyle name="PSChar 2 2 3" xfId="24227" xr:uid="{5D239E7E-C4C0-4594-AC1E-1F3F14EDE09F}"/>
    <cellStyle name="PSChar 2 3" xfId="24228" xr:uid="{9945798F-8736-442D-96AC-F9A5E88B3FFD}"/>
    <cellStyle name="PSChar 2 3 2" xfId="24229" xr:uid="{9F8B0B1A-8961-4501-85F6-976642874AB8}"/>
    <cellStyle name="PSChar 2 3 2 2" xfId="24230" xr:uid="{A5C0C4C2-DF96-4443-8328-FC8E90C48CD0}"/>
    <cellStyle name="PSChar 2 3 3" xfId="24231" xr:uid="{BA6DFA27-479D-454F-9236-0179342C5A7A}"/>
    <cellStyle name="PSChar 2 4" xfId="24232" xr:uid="{90106ED4-5A93-4D08-B986-0DC1BE95DF9C}"/>
    <cellStyle name="PSChar 2 4 2" xfId="24233" xr:uid="{448D28E6-170F-4E38-9633-F397CDF552C6}"/>
    <cellStyle name="PSChar 2 4 2 2" xfId="24234" xr:uid="{E6A38752-701A-4758-AE22-A8D7E74AB9D1}"/>
    <cellStyle name="PSChar 2 4 3" xfId="24235" xr:uid="{58EAE938-B8EF-476C-9F5E-FB467FA336A2}"/>
    <cellStyle name="PSChar 2 5" xfId="24236" xr:uid="{5400D446-B9AE-41BD-8835-A231D9B8B276}"/>
    <cellStyle name="PSChar 2 5 2" xfId="24237" xr:uid="{B5F8E87E-6160-4708-ABAC-44827A9A2502}"/>
    <cellStyle name="PSChar 2 5 2 2" xfId="24238" xr:uid="{E2976C4F-5E27-4EE0-BCC5-C18BC3F861F5}"/>
    <cellStyle name="PSChar 2 5 3" xfId="24239" xr:uid="{179312B2-53D3-4864-A0E3-DC7F4BC0A4D2}"/>
    <cellStyle name="PSChar 2 6" xfId="24240" xr:uid="{6AD66882-12A9-48AA-B4B6-FBDD726693CD}"/>
    <cellStyle name="PSChar 2 6 2" xfId="24241" xr:uid="{4A67CEE5-AE66-4C1E-A545-D5E4D5BE8468}"/>
    <cellStyle name="PSChar 2 6 2 2" xfId="24242" xr:uid="{B3BF92C3-40F5-49A3-9422-F72A8CB90249}"/>
    <cellStyle name="PSChar 2 6 3" xfId="24243" xr:uid="{57BE60BA-15CC-4188-ADC6-9D292A3004DF}"/>
    <cellStyle name="PSChar 2 7" xfId="24244" xr:uid="{7491530F-C2D4-4659-8974-FC1479FC426A}"/>
    <cellStyle name="PSChar 2 7 2" xfId="24245" xr:uid="{3C2B09B5-42C6-4B7F-B879-97ACBD3B8D7A}"/>
    <cellStyle name="PSChar 2 7 2 2" xfId="24246" xr:uid="{AC20F057-BAA9-4D16-9BBB-33B46AD28FFA}"/>
    <cellStyle name="PSChar 2 7 3" xfId="24247" xr:uid="{A41525FC-3453-424B-A8F4-591C15922C1D}"/>
    <cellStyle name="PSChar 2 8" xfId="24248" xr:uid="{6F07CE7C-9CF9-4993-B14A-9CD27DFD5AD1}"/>
    <cellStyle name="PSChar 2 8 2" xfId="24249" xr:uid="{E575D865-622A-4D3A-BA95-7203FE83250A}"/>
    <cellStyle name="PSChar 2 8 2 2" xfId="24250" xr:uid="{779592D6-8B11-4E0A-8EA2-D8E238EE5731}"/>
    <cellStyle name="PSChar 2 8 3" xfId="24251" xr:uid="{8B5BB424-CE4B-4118-8BE6-2D7025D045AB}"/>
    <cellStyle name="PSChar 2 9" xfId="24252" xr:uid="{6A494E4B-F5A9-4628-9792-9977D1EC006B}"/>
    <cellStyle name="PSChar 2 9 2" xfId="24253" xr:uid="{D31753E2-550A-4A3E-9266-3733D1F0F07E}"/>
    <cellStyle name="PSChar 2 9 2 2" xfId="24254" xr:uid="{1CCAAAF5-913E-4D03-9DD3-E41E8A489582}"/>
    <cellStyle name="PSChar 2 9 3" xfId="24255" xr:uid="{C38E8098-D980-45A3-B618-DC7298B70AA1}"/>
    <cellStyle name="PSChar 3" xfId="24256" xr:uid="{26AE83E1-E4BA-4BA1-BB7A-E200B813ED37}"/>
    <cellStyle name="PSChar 3 10" xfId="24257" xr:uid="{56BC3915-3170-4FAE-9ABC-07FBC7DE4EC3}"/>
    <cellStyle name="PSChar 3 10 2" xfId="24258" xr:uid="{F91ADB96-CCFC-4AD2-AC53-EEC761CD0CDC}"/>
    <cellStyle name="PSChar 3 11" xfId="24259" xr:uid="{F6F87AF0-0FA1-46EE-B239-6D92F56BEB36}"/>
    <cellStyle name="PSChar 3 2" xfId="24260" xr:uid="{49CBA20B-FAA5-4AF5-8261-0FFE46A31FD2}"/>
    <cellStyle name="PSChar 3 2 2" xfId="24261" xr:uid="{C38F767E-F045-4C39-8697-0A72E8F03F7A}"/>
    <cellStyle name="PSChar 3 2 2 2" xfId="24262" xr:uid="{E30E3C1D-C065-4024-B11B-61AA1B5B5228}"/>
    <cellStyle name="PSChar 3 2 3" xfId="24263" xr:uid="{EEBEDCB8-97D1-4C86-9E04-BFDEDFE8D826}"/>
    <cellStyle name="PSChar 3 3" xfId="24264" xr:uid="{4F76473D-2B7E-4868-8BBA-1CA957A2D32B}"/>
    <cellStyle name="PSChar 3 3 2" xfId="24265" xr:uid="{95A6CEA4-9E4E-4130-B2A6-7D440C353629}"/>
    <cellStyle name="PSChar 3 3 2 2" xfId="24266" xr:uid="{07788986-0F84-46C8-A2E7-E96CC32488E6}"/>
    <cellStyle name="PSChar 3 3 3" xfId="24267" xr:uid="{CA8E60AA-B830-4409-91C3-C3DEC4EEE809}"/>
    <cellStyle name="PSChar 3 4" xfId="24268" xr:uid="{5B911D74-5A74-433C-B349-9BFCBA4FA9B6}"/>
    <cellStyle name="PSChar 3 4 2" xfId="24269" xr:uid="{21B1AFE6-0B76-4A90-863A-E0BDFD96EEBD}"/>
    <cellStyle name="PSChar 3 4 2 2" xfId="24270" xr:uid="{389F9C17-140B-44AA-9C6D-80144CEB2020}"/>
    <cellStyle name="PSChar 3 4 3" xfId="24271" xr:uid="{0D61CCBC-7875-4ADF-8D4E-D38AB1151849}"/>
    <cellStyle name="PSChar 3 5" xfId="24272" xr:uid="{BAB39B2F-AA13-443C-AB5A-9502BF333684}"/>
    <cellStyle name="PSChar 3 5 2" xfId="24273" xr:uid="{D4F1037C-7415-4330-A8C0-4D40536ABC33}"/>
    <cellStyle name="PSChar 3 5 2 2" xfId="24274" xr:uid="{52EDFCEB-11AA-4C16-BD79-ADBDF1C1C4E4}"/>
    <cellStyle name="PSChar 3 5 3" xfId="24275" xr:uid="{D4FA3465-30FE-4EF2-AD68-7A9DAC4D8735}"/>
    <cellStyle name="PSChar 3 6" xfId="24276" xr:uid="{B60FF498-6717-46BE-B483-120D70192FB0}"/>
    <cellStyle name="PSChar 3 6 2" xfId="24277" xr:uid="{0CB85010-FCCC-4750-873B-926B29C471F6}"/>
    <cellStyle name="PSChar 3 6 2 2" xfId="24278" xr:uid="{2660BB24-B72A-4CDB-AD08-ECF44BED7274}"/>
    <cellStyle name="PSChar 3 6 3" xfId="24279" xr:uid="{EA96E89C-CE14-49B2-A069-EF60270E60D0}"/>
    <cellStyle name="PSChar 3 7" xfId="24280" xr:uid="{23794F23-6E45-4BD4-B0A3-B726E3B14F6E}"/>
    <cellStyle name="PSChar 3 7 2" xfId="24281" xr:uid="{A43A3BBF-B32C-4409-BD9F-3DA5140C2CF6}"/>
    <cellStyle name="PSChar 3 7 2 2" xfId="24282" xr:uid="{0C2C702E-9095-49A8-96C3-56DC5F2FA787}"/>
    <cellStyle name="PSChar 3 7 3" xfId="24283" xr:uid="{58E5F08A-C11D-4897-A9EB-7A9718648FC0}"/>
    <cellStyle name="PSChar 3 8" xfId="24284" xr:uid="{F8D37829-D3FC-4C4D-BE48-C4DACF48D408}"/>
    <cellStyle name="PSChar 3 8 2" xfId="24285" xr:uid="{68270699-97E5-42C1-BE36-322CA1E2A066}"/>
    <cellStyle name="PSChar 3 8 2 2" xfId="24286" xr:uid="{C75B183A-C5F9-4EFE-9808-5A0236A0FA67}"/>
    <cellStyle name="PSChar 3 8 3" xfId="24287" xr:uid="{39240A3B-8EE1-4193-91FE-1C761EC4F102}"/>
    <cellStyle name="PSChar 3 9" xfId="24288" xr:uid="{544E84D9-566A-466F-AB85-74CCA8B7E153}"/>
    <cellStyle name="PSChar 3 9 2" xfId="24289" xr:uid="{8A78C07E-E350-4E4D-B358-22D3CD15F50A}"/>
    <cellStyle name="PSChar 3 9 2 2" xfId="24290" xr:uid="{E4AE43CD-A422-4A84-ABB7-61438F158676}"/>
    <cellStyle name="PSChar 3 9 3" xfId="24291" xr:uid="{64728382-3710-42DD-8BD0-5F4816069B57}"/>
    <cellStyle name="PSChar 4" xfId="24292" xr:uid="{C903E201-8957-4206-B552-4182F61E867E}"/>
    <cellStyle name="PSChar 4 10" xfId="24293" xr:uid="{475C4515-E1E0-4B08-8D8A-7C7F1AD0F342}"/>
    <cellStyle name="PSChar 4 10 2" xfId="24294" xr:uid="{43ABBABF-C74B-4495-BA05-80C566B53B9B}"/>
    <cellStyle name="PSChar 4 11" xfId="24295" xr:uid="{E0479474-F128-4C9E-A615-F5F87BC05608}"/>
    <cellStyle name="PSChar 4 2" xfId="24296" xr:uid="{86BF72BC-F004-40EC-A76A-4AD85C7D10B4}"/>
    <cellStyle name="PSChar 4 2 2" xfId="24297" xr:uid="{0CB2C0FC-8809-4E31-B0EE-5222AF372CB0}"/>
    <cellStyle name="PSChar 4 2 2 2" xfId="24298" xr:uid="{EC99A521-4D31-4072-8B4D-C209FDF76448}"/>
    <cellStyle name="PSChar 4 2 3" xfId="24299" xr:uid="{81509596-33DB-437B-8B90-4A917976178E}"/>
    <cellStyle name="PSChar 4 3" xfId="24300" xr:uid="{E62D1904-D571-4BDF-93D6-611E97447CE1}"/>
    <cellStyle name="PSChar 4 3 2" xfId="24301" xr:uid="{59988091-D85B-441F-B337-1C978228D084}"/>
    <cellStyle name="PSChar 4 3 2 2" xfId="24302" xr:uid="{8F5C6F05-865F-4339-A9A0-CB635B0ED3CD}"/>
    <cellStyle name="PSChar 4 3 3" xfId="24303" xr:uid="{6059250A-B3A8-4810-B99A-6C95705078E9}"/>
    <cellStyle name="PSChar 4 4" xfId="24304" xr:uid="{7F18E87B-2538-46CB-8391-43B5B9EC850E}"/>
    <cellStyle name="PSChar 4 4 2" xfId="24305" xr:uid="{189EF53F-469F-4E7B-A682-3FB0362006EA}"/>
    <cellStyle name="PSChar 4 4 2 2" xfId="24306" xr:uid="{665EF06C-0516-4C26-A7A4-2B09CE2654AF}"/>
    <cellStyle name="PSChar 4 4 3" xfId="24307" xr:uid="{9DE83768-71C2-4A6D-896F-D695699E93AC}"/>
    <cellStyle name="PSChar 4 5" xfId="24308" xr:uid="{0DDDA16F-B46E-4B2D-9B34-75242BD53845}"/>
    <cellStyle name="PSChar 4 5 2" xfId="24309" xr:uid="{181DE0DD-AD53-45D0-9A47-73D77C1B6725}"/>
    <cellStyle name="PSChar 4 5 2 2" xfId="24310" xr:uid="{54794A16-D852-4A81-8AD1-570650237CB4}"/>
    <cellStyle name="PSChar 4 5 3" xfId="24311" xr:uid="{3A91A8F0-9084-49B3-944A-A2D219E706B9}"/>
    <cellStyle name="PSChar 4 6" xfId="24312" xr:uid="{7746E00E-2818-4467-A694-62F49DF07713}"/>
    <cellStyle name="PSChar 4 6 2" xfId="24313" xr:uid="{4B9FF03B-582E-4462-8F2A-273914EADD49}"/>
    <cellStyle name="PSChar 4 6 2 2" xfId="24314" xr:uid="{5D2A1EB2-9FC3-4B2D-8732-32C7E3D07885}"/>
    <cellStyle name="PSChar 4 6 3" xfId="24315" xr:uid="{A85B486E-9A46-46A2-A9E8-13467593F630}"/>
    <cellStyle name="PSChar 4 7" xfId="24316" xr:uid="{FE54A145-E14C-4B7D-AD6E-5C88AA78BA50}"/>
    <cellStyle name="PSChar 4 7 2" xfId="24317" xr:uid="{B55F6957-B8D4-4E3A-AC94-EA07847017AF}"/>
    <cellStyle name="PSChar 4 7 2 2" xfId="24318" xr:uid="{2824D56A-697E-4E39-978E-B2453751B0B6}"/>
    <cellStyle name="PSChar 4 7 3" xfId="24319" xr:uid="{11EB1621-4F86-4478-B586-9BE17118521F}"/>
    <cellStyle name="PSChar 4 8" xfId="24320" xr:uid="{9F23E5F4-9AAC-4844-9C3E-AC615507F652}"/>
    <cellStyle name="PSChar 4 8 2" xfId="24321" xr:uid="{E9D1421F-0846-47BC-A58E-9A359709FB2B}"/>
    <cellStyle name="PSChar 4 8 2 2" xfId="24322" xr:uid="{3993BC5D-052B-4301-9F35-91A382CD07CB}"/>
    <cellStyle name="PSChar 4 8 3" xfId="24323" xr:uid="{19256FC8-8CCF-49A2-ACB9-AEEFDB62EAA5}"/>
    <cellStyle name="PSChar 4 9" xfId="24324" xr:uid="{0C3DB0A5-AFC0-4A0A-A2E3-5051B21F1578}"/>
    <cellStyle name="PSChar 4 9 2" xfId="24325" xr:uid="{D5B1F3F0-43FE-4223-A793-7496ED17EB3B}"/>
    <cellStyle name="PSChar 4 9 2 2" xfId="24326" xr:uid="{D633A707-43FA-42FD-A955-D5B069C489EB}"/>
    <cellStyle name="PSChar 4 9 3" xfId="24327" xr:uid="{FE28E199-1A86-494E-BCBF-A65EA382C7F2}"/>
    <cellStyle name="PSChar 5" xfId="24328" xr:uid="{6719B176-A407-45D4-A5C9-4E6603C59334}"/>
    <cellStyle name="PSChar 5 10" xfId="24329" xr:uid="{F3E0BAEB-E25B-4A49-A800-D4BC9E157AB8}"/>
    <cellStyle name="PSChar 5 10 2" xfId="24330" xr:uid="{37074BA2-87E1-4723-9B03-EE6222B5D9E0}"/>
    <cellStyle name="PSChar 5 11" xfId="24331" xr:uid="{2BFCC1D9-9E12-4F2A-9F7C-527220B42F98}"/>
    <cellStyle name="PSChar 5 2" xfId="24332" xr:uid="{C0CC3455-B02E-4E70-9243-A7AB95EC68C1}"/>
    <cellStyle name="PSChar 5 2 2" xfId="24333" xr:uid="{6E71854D-66D2-4780-A13B-1A06D56D2FF1}"/>
    <cellStyle name="PSChar 5 2 2 2" xfId="24334" xr:uid="{01B87D8E-4FB6-4C56-95A1-774DA77321E8}"/>
    <cellStyle name="PSChar 5 2 3" xfId="24335" xr:uid="{6E0D6E0A-3402-4C01-8074-18A8BBF961D2}"/>
    <cellStyle name="PSChar 5 3" xfId="24336" xr:uid="{01FD9FB5-4883-404A-83BC-EB1D7DDA21EC}"/>
    <cellStyle name="PSChar 5 3 2" xfId="24337" xr:uid="{8CE225B4-4016-4EED-8B22-E8727E4FA184}"/>
    <cellStyle name="PSChar 5 3 2 2" xfId="24338" xr:uid="{917DBD63-A0B1-441A-A794-6139BC371DFF}"/>
    <cellStyle name="PSChar 5 3 3" xfId="24339" xr:uid="{EAA81576-DBD6-4C59-BE07-C34947EB534A}"/>
    <cellStyle name="PSChar 5 4" xfId="24340" xr:uid="{9FE70C43-FE44-4B83-8BDC-70A992F9E5F6}"/>
    <cellStyle name="PSChar 5 4 2" xfId="24341" xr:uid="{2D8E0669-FA07-46E7-9715-3B62D015032D}"/>
    <cellStyle name="PSChar 5 4 2 2" xfId="24342" xr:uid="{B7F682DE-99FE-4ECC-ADED-0F81F1E5E7DA}"/>
    <cellStyle name="PSChar 5 4 3" xfId="24343" xr:uid="{32FAD597-997B-4E49-BCF3-67FC446A7BC2}"/>
    <cellStyle name="PSChar 5 5" xfId="24344" xr:uid="{3E634E50-E6E4-404C-A030-47BEF98ADE4E}"/>
    <cellStyle name="PSChar 5 5 2" xfId="24345" xr:uid="{AB4C4F2A-7126-43A0-9F71-5200B97BC5BF}"/>
    <cellStyle name="PSChar 5 5 2 2" xfId="24346" xr:uid="{A902FE75-93E3-4076-ACF9-EBFCAE9BD670}"/>
    <cellStyle name="PSChar 5 5 3" xfId="24347" xr:uid="{CDB39C6A-AF82-4601-AC5B-997AE0C5C913}"/>
    <cellStyle name="PSChar 5 6" xfId="24348" xr:uid="{606D4244-195B-46DF-A62D-3CE7401E3054}"/>
    <cellStyle name="PSChar 5 6 2" xfId="24349" xr:uid="{0AA17260-1D3B-4F4F-9DA7-E5069465F06B}"/>
    <cellStyle name="PSChar 5 6 2 2" xfId="24350" xr:uid="{0B884B91-7A71-4F99-B092-C9F890DB7A9F}"/>
    <cellStyle name="PSChar 5 6 3" xfId="24351" xr:uid="{4CC1671E-1A5F-4E5E-A720-72BFC5C52C65}"/>
    <cellStyle name="PSChar 5 7" xfId="24352" xr:uid="{CD879F71-0279-495A-81C6-541E1921BD3E}"/>
    <cellStyle name="PSChar 5 7 2" xfId="24353" xr:uid="{D77CAC74-2C55-406B-8EFD-01ED811F6920}"/>
    <cellStyle name="PSChar 5 7 2 2" xfId="24354" xr:uid="{D7FF7A9D-7EB6-404A-9D6B-2B6DA74E063A}"/>
    <cellStyle name="PSChar 5 7 3" xfId="24355" xr:uid="{E67C0BC0-228C-4DFB-BD1B-03BA157952A8}"/>
    <cellStyle name="PSChar 5 8" xfId="24356" xr:uid="{1EC10AE8-55B8-4F15-82C5-8449A561280C}"/>
    <cellStyle name="PSChar 5 8 2" xfId="24357" xr:uid="{6B681274-1E81-4B5B-9E9F-969D1FB63DFD}"/>
    <cellStyle name="PSChar 5 8 2 2" xfId="24358" xr:uid="{E0D58D62-5907-4A6A-960E-5B0051E13F8D}"/>
    <cellStyle name="PSChar 5 8 3" xfId="24359" xr:uid="{EED0401C-465F-4EA4-8423-C7747E273F44}"/>
    <cellStyle name="PSChar 5 9" xfId="24360" xr:uid="{B7D09431-AA74-4964-95D8-4AD315F6A119}"/>
    <cellStyle name="PSChar 5 9 2" xfId="24361" xr:uid="{BCBBA1FF-DA17-481B-9AD0-0C2826357F54}"/>
    <cellStyle name="PSChar 5 9 2 2" xfId="24362" xr:uid="{80CE9C42-7DF3-42F0-812A-2C2E56B7FB3F}"/>
    <cellStyle name="PSChar 5 9 3" xfId="24363" xr:uid="{93062DD2-2956-4FC2-AF34-4C190F5E869D}"/>
    <cellStyle name="PSChar 6" xfId="24364" xr:uid="{5EB98B00-0668-423D-9F0F-2E4196EC14D0}"/>
    <cellStyle name="PSChar 6 10" xfId="24365" xr:uid="{92C37E74-93DF-4DC8-8031-91990BBB0682}"/>
    <cellStyle name="PSChar 6 10 2" xfId="24366" xr:uid="{EABE1A67-5EFA-493B-8EA9-14DEFD58B695}"/>
    <cellStyle name="PSChar 6 11" xfId="24367" xr:uid="{EEE7C64E-E44A-4C73-94DA-ED8838A3044D}"/>
    <cellStyle name="PSChar 6 2" xfId="24368" xr:uid="{8B7143CB-69EF-49D6-8ABB-0C3550438997}"/>
    <cellStyle name="PSChar 6 2 2" xfId="24369" xr:uid="{0C2FC831-125D-4377-9D82-75704C73E24C}"/>
    <cellStyle name="PSChar 6 2 2 2" xfId="24370" xr:uid="{E990D001-8932-4967-97F5-DD4FA19DBE89}"/>
    <cellStyle name="PSChar 6 2 3" xfId="24371" xr:uid="{CCAEC747-DBD0-4711-A4CA-7854DE7C5A9E}"/>
    <cellStyle name="PSChar 6 3" xfId="24372" xr:uid="{1AA47EB6-6A44-4A77-B38F-B73344D347BA}"/>
    <cellStyle name="PSChar 6 3 2" xfId="24373" xr:uid="{39D98CE6-4042-494A-B440-16C5EE184B8F}"/>
    <cellStyle name="PSChar 6 3 2 2" xfId="24374" xr:uid="{89AD19DF-4492-4B81-92D4-A17DD1382E93}"/>
    <cellStyle name="PSChar 6 3 3" xfId="24375" xr:uid="{102E059B-F71E-4848-902F-30A617468F41}"/>
    <cellStyle name="PSChar 6 4" xfId="24376" xr:uid="{3C977607-CB95-4989-91A7-34DE0BC9FE56}"/>
    <cellStyle name="PSChar 6 4 2" xfId="24377" xr:uid="{97B4F8D2-B3EA-4DC6-8A8C-328F808D39E5}"/>
    <cellStyle name="PSChar 6 4 2 2" xfId="24378" xr:uid="{E776424D-3420-4C69-A422-4645EB57ABC2}"/>
    <cellStyle name="PSChar 6 4 3" xfId="24379" xr:uid="{35E5023A-DE1C-4B17-A18A-CF2CCDD103AF}"/>
    <cellStyle name="PSChar 6 5" xfId="24380" xr:uid="{70E50FDB-5223-4B30-885F-26FEFEB80142}"/>
    <cellStyle name="PSChar 6 5 2" xfId="24381" xr:uid="{92766A49-8EE8-4DC4-B092-0CD278AD8C96}"/>
    <cellStyle name="PSChar 6 5 2 2" xfId="24382" xr:uid="{102401FB-2CE2-4193-9504-51ACB3BC9318}"/>
    <cellStyle name="PSChar 6 5 3" xfId="24383" xr:uid="{4B10A691-AA10-4F11-9DC1-6F86337E0E18}"/>
    <cellStyle name="PSChar 6 6" xfId="24384" xr:uid="{55F4DCDB-59B1-498A-B4C4-965C122EADBA}"/>
    <cellStyle name="PSChar 6 6 2" xfId="24385" xr:uid="{840DF4F9-FD3C-47EF-B1CE-0F39CF2C519B}"/>
    <cellStyle name="PSChar 6 6 2 2" xfId="24386" xr:uid="{05F807F2-4DB5-46B6-92DE-4CE7F17D0C1B}"/>
    <cellStyle name="PSChar 6 6 3" xfId="24387" xr:uid="{C8B40C76-6A05-4E31-BC67-AE88B8411905}"/>
    <cellStyle name="PSChar 6 7" xfId="24388" xr:uid="{43888697-64A0-44EA-A351-88B34EF65B0E}"/>
    <cellStyle name="PSChar 6 7 2" xfId="24389" xr:uid="{39FF3466-BDC9-4497-B78F-7F0AC587EEA3}"/>
    <cellStyle name="PSChar 6 7 2 2" xfId="24390" xr:uid="{7698FFBB-01CB-4AA1-BECD-4CF36EC0FF02}"/>
    <cellStyle name="PSChar 6 7 3" xfId="24391" xr:uid="{6C7C3FF8-7993-4484-9B36-312B39E6D7A8}"/>
    <cellStyle name="PSChar 6 8" xfId="24392" xr:uid="{86B402CA-22CE-4AE8-B7CC-8E422F9215DD}"/>
    <cellStyle name="PSChar 6 8 2" xfId="24393" xr:uid="{66AC3CDF-6FE8-49D7-9B3A-9E536079D7FE}"/>
    <cellStyle name="PSChar 6 8 2 2" xfId="24394" xr:uid="{D865442F-4559-4A5E-8A6E-44856039FF84}"/>
    <cellStyle name="PSChar 6 8 3" xfId="24395" xr:uid="{CB068FAF-7C59-495C-AD05-29D9D5E88E16}"/>
    <cellStyle name="PSChar 6 9" xfId="24396" xr:uid="{301ABBA7-039F-4E20-A340-5BAB3B813EF2}"/>
    <cellStyle name="PSChar 6 9 2" xfId="24397" xr:uid="{C1232272-576E-41CE-82CF-2BC78F2DBA3F}"/>
    <cellStyle name="PSChar 6 9 2 2" xfId="24398" xr:uid="{23DDF6C2-3AF3-4790-B153-7C00569B9812}"/>
    <cellStyle name="PSChar 6 9 3" xfId="24399" xr:uid="{001F292F-6ECD-4F95-BC55-7E1388E0EBEC}"/>
    <cellStyle name="PSChar 7" xfId="24400" xr:uid="{28D03AA4-787D-409F-BA30-C4102557255B}"/>
    <cellStyle name="PSChar 7 2" xfId="24401" xr:uid="{8BF39BF3-56B6-4A21-A2C2-22A964C8DB63}"/>
    <cellStyle name="PSChar 7 2 2" xfId="24402" xr:uid="{36259C32-7206-49D8-8527-90C4DC15E794}"/>
    <cellStyle name="PSChar 7 2 2 2" xfId="24403" xr:uid="{84C15AF8-35DA-4005-9734-6E6CD14C0CE0}"/>
    <cellStyle name="PSChar 7 2 3" xfId="24404" xr:uid="{50585233-D856-4E46-AFA6-54AFE5F24799}"/>
    <cellStyle name="PSChar 7 3" xfId="24405" xr:uid="{1D1D97D7-898D-4FF7-8AA4-ED110155FF71}"/>
    <cellStyle name="PSChar 7 3 2" xfId="24406" xr:uid="{6504DA05-69A3-4C1C-8B0A-2C2F0643AB56}"/>
    <cellStyle name="PSChar 7 3 2 2" xfId="24407" xr:uid="{4DB318A5-CC00-4E50-960D-5D0C0A5EA7BF}"/>
    <cellStyle name="PSChar 7 3 3" xfId="24408" xr:uid="{E7139FF8-682B-4D1B-A1CF-3B2E7F79878D}"/>
    <cellStyle name="PSChar 7 4" xfId="24409" xr:uid="{0B6320C4-9E07-4A33-AB28-85E778565BEC}"/>
    <cellStyle name="PSChar 7 4 2" xfId="24410" xr:uid="{6F0EE543-962B-4911-92C1-8023136DDEFB}"/>
    <cellStyle name="PSChar 7 4 2 2" xfId="24411" xr:uid="{B462AFDE-EF6A-435B-BF19-E90BA86AE05B}"/>
    <cellStyle name="PSChar 7 4 3" xfId="24412" xr:uid="{33098C71-3467-4326-9CA6-AC70A16F2940}"/>
    <cellStyle name="PSChar 7 5" xfId="24413" xr:uid="{33917067-A7E6-4D76-B325-B0D29AF775F8}"/>
    <cellStyle name="PSChar 7 5 2" xfId="24414" xr:uid="{024A76B8-2FFE-4B2F-842C-7BD8F46EB586}"/>
    <cellStyle name="PSChar 7 5 2 2" xfId="24415" xr:uid="{CF2B7F5D-10D6-4B26-82DC-1F42018021F0}"/>
    <cellStyle name="PSChar 7 5 3" xfId="24416" xr:uid="{A0F0372A-A25E-487D-BE88-F367EC1F609E}"/>
    <cellStyle name="PSChar 7 6" xfId="24417" xr:uid="{BDD6105C-11DD-4F57-ADE0-E05AB38EAEA2}"/>
    <cellStyle name="PSChar 7 6 2" xfId="24418" xr:uid="{71B8295F-416D-4667-B3FC-6A172853448C}"/>
    <cellStyle name="PSChar 7 7" xfId="24419" xr:uid="{CFD1664B-5EEB-401D-A27A-50CB344AA171}"/>
    <cellStyle name="PSChar 8" xfId="24420" xr:uid="{1994C023-D0AC-4C34-8947-E37363769CC1}"/>
    <cellStyle name="PSChar 8 2" xfId="24421" xr:uid="{44322AB0-3E09-41B6-ACE0-05E46DAA30DD}"/>
    <cellStyle name="PSChar 8 2 2" xfId="24422" xr:uid="{90A3CEFF-D1E8-4D7E-A3A4-A4882AD2E052}"/>
    <cellStyle name="PSChar 8 2 2 2" xfId="24423" xr:uid="{FE528F0C-03A8-48B7-9B6E-090280E43A4F}"/>
    <cellStyle name="PSChar 8 2 3" xfId="24424" xr:uid="{51490602-81BB-44BF-967D-9FEEB9D6CD2A}"/>
    <cellStyle name="PSChar 8 3" xfId="24425" xr:uid="{CA585DC2-DE89-4053-B53D-B7D04D455BD7}"/>
    <cellStyle name="PSChar 8 3 2" xfId="24426" xr:uid="{CA57C6EF-FD5E-49A3-BF05-9373558D99C8}"/>
    <cellStyle name="PSChar 8 3 2 2" xfId="24427" xr:uid="{D2E345DB-2EF0-407F-85BE-16DB217CD9E9}"/>
    <cellStyle name="PSChar 8 3 3" xfId="24428" xr:uid="{9E3437D9-9522-4DB7-8F6C-D75FD7C498A4}"/>
    <cellStyle name="PSChar 8 4" xfId="24429" xr:uid="{1DD463F2-096F-46C1-85E7-696747057718}"/>
    <cellStyle name="PSChar 8 4 2" xfId="24430" xr:uid="{74DD96FB-0DF2-4D0B-BC8A-3B7ECD23CC47}"/>
    <cellStyle name="PSChar 8 4 2 2" xfId="24431" xr:uid="{9E60E826-A9AF-41F7-AE51-4A05B103195C}"/>
    <cellStyle name="PSChar 8 4 3" xfId="24432" xr:uid="{5644D74C-18C2-4AD6-BA00-CC3B56373A07}"/>
    <cellStyle name="PSChar 8 5" xfId="24433" xr:uid="{46FF99B2-4A1F-44FC-8ADE-6F278F578D96}"/>
    <cellStyle name="PSChar 8 5 2" xfId="24434" xr:uid="{9F311CD8-83CE-4DDC-A5B5-8891EE75D79B}"/>
    <cellStyle name="PSChar 8 5 2 2" xfId="24435" xr:uid="{AFA09D4F-E40E-4D07-963A-CD38F288F4FD}"/>
    <cellStyle name="PSChar 8 5 3" xfId="24436" xr:uid="{A73A3913-DF04-4477-926E-CB83CDE922AD}"/>
    <cellStyle name="PSChar 8 6" xfId="24437" xr:uid="{668A567E-DB71-4D7D-9CBA-91DF1F008C48}"/>
    <cellStyle name="PSChar 8 6 2" xfId="24438" xr:uid="{ECF7B3BD-6735-4EC9-9B68-3EEBC5F70A7E}"/>
    <cellStyle name="PSChar 8 7" xfId="24439" xr:uid="{0277A6D3-261E-42C6-9C02-28329EC36A95}"/>
    <cellStyle name="PSChar 9" xfId="24440" xr:uid="{8D00DD83-0CE1-45C1-B112-D3FB69AEE718}"/>
    <cellStyle name="PSChar 9 2" xfId="24441" xr:uid="{5B710645-FF5E-4A54-841D-A99A8722A1A4}"/>
    <cellStyle name="PSChar 9 2 2" xfId="24442" xr:uid="{4A0C1868-30C1-49BC-A96E-81875CE757EF}"/>
    <cellStyle name="PSChar 9 2 2 2" xfId="24443" xr:uid="{0162DAB0-4ED4-467A-A01C-B92536D7413D}"/>
    <cellStyle name="PSChar 9 2 3" xfId="24444" xr:uid="{C991C596-4D04-4889-9DF1-B9DE2618229B}"/>
    <cellStyle name="PSChar 9 3" xfId="24445" xr:uid="{723CC0A3-937B-46F5-9833-7A57CA0513DE}"/>
    <cellStyle name="PSChar 9 3 2" xfId="24446" xr:uid="{E726B650-34D2-46F2-BD4A-348A03AF3450}"/>
    <cellStyle name="PSChar 9 3 2 2" xfId="24447" xr:uid="{ECF010EA-9887-4767-B560-E81128045F05}"/>
    <cellStyle name="PSChar 9 3 3" xfId="24448" xr:uid="{4F77E1C9-B2D3-4380-AA4C-0CCDE3A13F9C}"/>
    <cellStyle name="PSChar 9 4" xfId="24449" xr:uid="{A55D593D-E3F2-4278-9A88-E57B978AA477}"/>
    <cellStyle name="PSChar 9 4 2" xfId="24450" xr:uid="{1F1F8169-027F-4C5D-A637-ABF844B6C370}"/>
    <cellStyle name="PSChar 9 4 2 2" xfId="24451" xr:uid="{65FFDD82-E3EA-4F0A-BDAA-E2A15F801B6B}"/>
    <cellStyle name="PSChar 9 4 3" xfId="24452" xr:uid="{74A8527D-8F93-4D49-8808-04C308A678FE}"/>
    <cellStyle name="PSChar 9 5" xfId="24453" xr:uid="{9A19F4E6-D522-4BA2-8954-ABE2DD396EE6}"/>
    <cellStyle name="PSChar 9 5 2" xfId="24454" xr:uid="{44F3AF23-FC1A-4945-B7CA-E682FF0FDD15}"/>
    <cellStyle name="PSChar 9 5 2 2" xfId="24455" xr:uid="{187B525E-A3A4-4CEF-AE95-50690C39A974}"/>
    <cellStyle name="PSChar 9 5 3" xfId="24456" xr:uid="{A82F267D-50A0-4CDD-BCF4-7FB232C38DAD}"/>
    <cellStyle name="PSChar 9 6" xfId="24457" xr:uid="{AE750371-4F44-4DC5-8D31-FF0AA5F19F64}"/>
    <cellStyle name="PSChar 9 6 2" xfId="24458" xr:uid="{3E5D61E3-4671-4515-B311-0E6022F15FCF}"/>
    <cellStyle name="PSChar 9 7" xfId="24459" xr:uid="{BBCF776C-38E3-45CF-89A9-DDDDAF03D8DB}"/>
    <cellStyle name="PSDate" xfId="204" xr:uid="{BA3B9587-C44A-4FF4-BE47-2F3FA9B900C1}"/>
    <cellStyle name="PSDate 10" xfId="24460" xr:uid="{ECCF1898-4EE0-43C9-8820-29462F6E2D65}"/>
    <cellStyle name="PSDate 10 2" xfId="24461" xr:uid="{EF61CD85-8D18-49CC-8A89-674814E3CC9E}"/>
    <cellStyle name="PSDate 10 2 2" xfId="24462" xr:uid="{48D4DFA2-04F1-4ACE-BE22-00AAB9BC4B0F}"/>
    <cellStyle name="PSDate 10 2 2 2" xfId="24463" xr:uid="{16FC507C-B7BB-4484-A208-55ABD1DBE3C2}"/>
    <cellStyle name="PSDate 10 2 3" xfId="24464" xr:uid="{0169E4E1-3249-4D6C-96CE-73FA9AE99D98}"/>
    <cellStyle name="PSDate 10 3" xfId="24465" xr:uid="{DB64563E-E391-43F0-A3A4-898514071F78}"/>
    <cellStyle name="PSDate 10 3 2" xfId="24466" xr:uid="{81057C38-CD88-46B6-9BE9-1C66BCB49A9B}"/>
    <cellStyle name="PSDate 10 3 2 2" xfId="24467" xr:uid="{C130054A-2810-487D-A30F-DE70988F884C}"/>
    <cellStyle name="PSDate 10 3 3" xfId="24468" xr:uid="{7FBE5E32-63F5-4AE5-A90D-012A8E14397E}"/>
    <cellStyle name="PSDate 10 4" xfId="24469" xr:uid="{4622B6CC-2C35-4BA5-9ABE-E2264AF9ED92}"/>
    <cellStyle name="PSDate 10 4 2" xfId="24470" xr:uid="{C8C38437-8DC8-4B17-8F4F-5495F5F0B04E}"/>
    <cellStyle name="PSDate 10 4 2 2" xfId="24471" xr:uid="{8938B966-867D-453B-83EF-016C3FD55AC2}"/>
    <cellStyle name="PSDate 10 4 3" xfId="24472" xr:uid="{8EE3D661-D582-4AC1-8192-E389A6FA4878}"/>
    <cellStyle name="PSDate 10 5" xfId="24473" xr:uid="{EBF35064-53BC-47A5-993D-95D371EF31BE}"/>
    <cellStyle name="PSDate 10 5 2" xfId="24474" xr:uid="{E4E657E5-1EE2-4ACB-A81B-0A92E67E83DC}"/>
    <cellStyle name="PSDate 10 5 2 2" xfId="24475" xr:uid="{8DCEBB7E-07E1-4EEA-8E57-490981D0BB85}"/>
    <cellStyle name="PSDate 10 5 3" xfId="24476" xr:uid="{0DAF1A89-B6AF-4287-A8F3-70F84D7F4BA2}"/>
    <cellStyle name="PSDate 10 6" xfId="24477" xr:uid="{79DA4C71-CE48-4A22-B15E-F86C97305BF3}"/>
    <cellStyle name="PSDate 10 6 2" xfId="24478" xr:uid="{D45D32BB-A5C1-43D4-997D-7A83687AEFCA}"/>
    <cellStyle name="PSDate 10 7" xfId="24479" xr:uid="{63244F36-79B1-4980-B303-9F0010433518}"/>
    <cellStyle name="PSDate 11" xfId="24480" xr:uid="{A58B0FF2-0573-4435-B961-97B03EB83C3E}"/>
    <cellStyle name="PSDate 11 2" xfId="24481" xr:uid="{AEA48348-3DC3-4BB9-B804-A0F32983F394}"/>
    <cellStyle name="PSDate 11 2 2" xfId="24482" xr:uid="{8C394D17-40A1-4EE6-95D2-F1AA63D8D6EB}"/>
    <cellStyle name="PSDate 11 2 2 2" xfId="24483" xr:uid="{F4FBE684-A19A-4712-AEEE-9DF77ADA98B0}"/>
    <cellStyle name="PSDate 11 2 3" xfId="24484" xr:uid="{BE5C7379-FD0A-4657-B713-6A0ED6BD1E07}"/>
    <cellStyle name="PSDate 11 3" xfId="24485" xr:uid="{52CC7026-6C35-469F-AF3E-2E01EB397C84}"/>
    <cellStyle name="PSDate 11 3 2" xfId="24486" xr:uid="{0B16803A-7E8D-4C53-B8E0-362C3FB269E1}"/>
    <cellStyle name="PSDate 11 3 2 2" xfId="24487" xr:uid="{6749D13D-E0CE-4FB4-8F53-E535E5647A8D}"/>
    <cellStyle name="PSDate 11 3 3" xfId="24488" xr:uid="{C5A9757F-BE49-4D9E-AA71-399A96AC68CE}"/>
    <cellStyle name="PSDate 11 4" xfId="24489" xr:uid="{B530EE6B-F606-41BE-AC5E-D4CEE2ADFF7C}"/>
    <cellStyle name="PSDate 11 4 2" xfId="24490" xr:uid="{445C1ECF-9710-40DE-98FA-E0FB14B7134E}"/>
    <cellStyle name="PSDate 11 4 2 2" xfId="24491" xr:uid="{6B753D7A-31D2-4B36-973C-2FC47459EE88}"/>
    <cellStyle name="PSDate 11 4 3" xfId="24492" xr:uid="{426A1FD9-C4E6-40D3-AEBE-1CE15E2D9526}"/>
    <cellStyle name="PSDate 11 5" xfId="24493" xr:uid="{D2AB37ED-F828-4EBF-9940-9D27D9438DCD}"/>
    <cellStyle name="PSDate 11 5 2" xfId="24494" xr:uid="{A09A1666-6957-4FA7-BC5E-00A967D81E58}"/>
    <cellStyle name="PSDate 11 5 2 2" xfId="24495" xr:uid="{B2284A1F-C9EB-4A9A-9361-B7780C17EC4B}"/>
    <cellStyle name="PSDate 11 5 3" xfId="24496" xr:uid="{B439AF76-B163-4223-8AA3-60C7E87C3DAF}"/>
    <cellStyle name="PSDate 11 6" xfId="24497" xr:uid="{4B2D70A3-E4D7-4DCC-8430-F548514C68FB}"/>
    <cellStyle name="PSDate 11 6 2" xfId="24498" xr:uid="{8069AEBD-A9D7-4C40-A814-8ED00715CA5C}"/>
    <cellStyle name="PSDate 11 7" xfId="24499" xr:uid="{8FAA2337-DA20-4730-B86E-A078DE0DBC5A}"/>
    <cellStyle name="PSDate 12" xfId="24500" xr:uid="{CEE05D7B-CEA4-4660-A374-7A6C2EBD7402}"/>
    <cellStyle name="PSDate 12 2" xfId="24501" xr:uid="{026EFB94-DC17-48EA-8DDB-409D92F64EEF}"/>
    <cellStyle name="PSDate 12 2 2" xfId="24502" xr:uid="{4EC7002A-7C2F-4769-8E87-1916016AA4E6}"/>
    <cellStyle name="PSDate 12 2 2 2" xfId="24503" xr:uid="{2E1CD1B0-7216-45B6-96C6-6E44D510CE0D}"/>
    <cellStyle name="PSDate 12 2 3" xfId="24504" xr:uid="{B601ABE4-F10B-4333-8924-14AF5B70A38E}"/>
    <cellStyle name="PSDate 12 3" xfId="24505" xr:uid="{F070B439-19CC-400C-ADE1-9769716735B5}"/>
    <cellStyle name="PSDate 12 3 2" xfId="24506" xr:uid="{141D467D-47F7-4095-A0C2-90854CE904D1}"/>
    <cellStyle name="PSDate 12 3 2 2" xfId="24507" xr:uid="{69B6DE79-61A5-4230-8DE8-42022144BA04}"/>
    <cellStyle name="PSDate 12 3 3" xfId="24508" xr:uid="{91839A30-D91D-40EE-B005-3829CA6B3FB5}"/>
    <cellStyle name="PSDate 12 4" xfId="24509" xr:uid="{0C98B29D-225B-4FDB-8A7B-EB675665F6F1}"/>
    <cellStyle name="PSDate 12 4 2" xfId="24510" xr:uid="{E6828DA0-192C-45F4-AFEA-AA1E7E1CF894}"/>
    <cellStyle name="PSDate 12 4 2 2" xfId="24511" xr:uid="{082A2131-C9BE-4D71-AD07-E6FDCBFC5B2F}"/>
    <cellStyle name="PSDate 12 4 3" xfId="24512" xr:uid="{183CE2AA-3C1D-41E6-BC6E-61E600525ECD}"/>
    <cellStyle name="PSDate 12 5" xfId="24513" xr:uid="{9391F36D-CEF6-4AE9-8496-36FF762EAF58}"/>
    <cellStyle name="PSDate 12 5 2" xfId="24514" xr:uid="{604CEDE5-CD82-4B53-A8C1-FC982DC3F97F}"/>
    <cellStyle name="PSDate 12 5 2 2" xfId="24515" xr:uid="{309C50A9-D87A-4791-A2B9-BFD4DA8D73C3}"/>
    <cellStyle name="PSDate 12 5 3" xfId="24516" xr:uid="{E3455854-CF3A-4EAF-B854-9E8B2D5FE5CF}"/>
    <cellStyle name="PSDate 12 6" xfId="24517" xr:uid="{F928F02A-2117-46DB-8305-1D9BA07B08E7}"/>
    <cellStyle name="PSDate 12 6 2" xfId="24518" xr:uid="{A14396B4-AF85-4F5E-8892-5A2068DC7D0E}"/>
    <cellStyle name="PSDate 12 7" xfId="24519" xr:uid="{36604FD3-1779-44F1-B81F-D7AF5646EE82}"/>
    <cellStyle name="PSDate 13" xfId="24520" xr:uid="{35350C59-E3BF-4127-BADE-15895D9CF1F4}"/>
    <cellStyle name="PSDate 13 2" xfId="24521" xr:uid="{665781F0-076B-4C8A-932A-E90E4916ACCD}"/>
    <cellStyle name="PSDate 13 2 2" xfId="24522" xr:uid="{0ED7F229-9A92-4D4B-9A18-96AEB859BAF2}"/>
    <cellStyle name="PSDate 13 2 2 2" xfId="24523" xr:uid="{F066CE3F-B1E8-4C4B-9A91-328812302BF6}"/>
    <cellStyle name="PSDate 13 2 3" xfId="24524" xr:uid="{9C1BBF97-29C7-43C7-8A19-28C564CBA262}"/>
    <cellStyle name="PSDate 13 3" xfId="24525" xr:uid="{6AB1091E-7DA9-49D2-A95C-ECF99A6F692C}"/>
    <cellStyle name="PSDate 13 3 2" xfId="24526" xr:uid="{7D48E7D0-B38E-407B-8B02-FAEF56FF439F}"/>
    <cellStyle name="PSDate 13 3 2 2" xfId="24527" xr:uid="{6D0AF10C-3875-4114-8158-2E372E23C43F}"/>
    <cellStyle name="PSDate 13 3 3" xfId="24528" xr:uid="{08B58D39-2088-42B0-807D-87B99FCC6B29}"/>
    <cellStyle name="PSDate 13 4" xfId="24529" xr:uid="{37E725F1-CA1D-4141-A87F-001860C613E3}"/>
    <cellStyle name="PSDate 13 4 2" xfId="24530" xr:uid="{905FDE10-25F2-4A1D-9541-FDFE0ECDBD6E}"/>
    <cellStyle name="PSDate 13 4 2 2" xfId="24531" xr:uid="{FB9B79EA-0735-4489-A477-5E1F62ABDBEF}"/>
    <cellStyle name="PSDate 13 4 3" xfId="24532" xr:uid="{3813B1D2-7FB1-4DBC-918E-21B5ADD0F776}"/>
    <cellStyle name="PSDate 13 5" xfId="24533" xr:uid="{60D56EEF-A909-489E-884F-34C1E232BCD9}"/>
    <cellStyle name="PSDate 13 5 2" xfId="24534" xr:uid="{E6B8B00A-B333-47D3-A187-51221C032CDC}"/>
    <cellStyle name="PSDate 13 5 2 2" xfId="24535" xr:uid="{BF34E359-3ECC-4FAE-99BC-5880C3A1ED58}"/>
    <cellStyle name="PSDate 13 5 3" xfId="24536" xr:uid="{8F15FBCF-A379-450D-BA6A-6DB4DFB5E7DA}"/>
    <cellStyle name="PSDate 13 6" xfId="24537" xr:uid="{A2F3CB35-48F4-4C4B-84BA-EEE1F03A655D}"/>
    <cellStyle name="PSDate 13 6 2" xfId="24538" xr:uid="{C6A3252F-3A0E-4400-81D2-E64D806EE157}"/>
    <cellStyle name="PSDate 13 7" xfId="24539" xr:uid="{86B1FAD6-D44B-4142-8B13-8CD4A3168179}"/>
    <cellStyle name="PSDate 14" xfId="24540" xr:uid="{CE396DAF-7F5C-4059-9FEF-011F7591E4DB}"/>
    <cellStyle name="PSDate 14 2" xfId="24541" xr:uid="{057BE949-25B5-46DD-8184-7839528D4DDD}"/>
    <cellStyle name="PSDate 14 2 2" xfId="24542" xr:uid="{736F4C9B-685A-4001-BB9E-B7EE018B6845}"/>
    <cellStyle name="PSDate 14 2 2 2" xfId="24543" xr:uid="{2DD7ED98-2C9F-47C6-8A35-9343AC4789EA}"/>
    <cellStyle name="PSDate 14 2 3" xfId="24544" xr:uid="{E4930E7C-EDAC-4499-83AB-E320AC0DCF14}"/>
    <cellStyle name="PSDate 14 3" xfId="24545" xr:uid="{F8C5CC79-7B2A-49DD-9C83-AAD6C6447CC1}"/>
    <cellStyle name="PSDate 14 3 2" xfId="24546" xr:uid="{298E9F7B-26EB-414D-824F-1DCBD870B85E}"/>
    <cellStyle name="PSDate 14 3 2 2" xfId="24547" xr:uid="{D8E62AE0-8D4C-4B29-B9F8-E0A829CB3728}"/>
    <cellStyle name="PSDate 14 3 3" xfId="24548" xr:uid="{8FD4AB70-AF9B-4D48-A070-F281B4DCB79A}"/>
    <cellStyle name="PSDate 14 4" xfId="24549" xr:uid="{8347707D-F2D4-4354-A3FC-E5E8A4B38421}"/>
    <cellStyle name="PSDate 14 4 2" xfId="24550" xr:uid="{7FB17C0D-FEDC-426B-B563-2E106A89A584}"/>
    <cellStyle name="PSDate 14 4 2 2" xfId="24551" xr:uid="{E3BD3D80-D9B9-449C-8975-0E2228ECA57D}"/>
    <cellStyle name="PSDate 14 4 3" xfId="24552" xr:uid="{1B5A1E81-7A24-4833-AA62-B9789ADE1A43}"/>
    <cellStyle name="PSDate 14 5" xfId="24553" xr:uid="{8FFD67AE-A9BF-4292-ABCC-13C4363A836A}"/>
    <cellStyle name="PSDate 14 5 2" xfId="24554" xr:uid="{2B6DAE1D-BE7C-43E3-8BB1-7DB27D2DA36F}"/>
    <cellStyle name="PSDate 14 5 2 2" xfId="24555" xr:uid="{8CDDD7B4-719F-4C17-9705-6638DE87666A}"/>
    <cellStyle name="PSDate 14 5 3" xfId="24556" xr:uid="{F69CA40B-1B33-4D8A-B2DE-44DE8C66A150}"/>
    <cellStyle name="PSDate 14 6" xfId="24557" xr:uid="{914209F0-4C6A-4F16-BF91-9EA1CBBAC482}"/>
    <cellStyle name="PSDate 14 6 2" xfId="24558" xr:uid="{5ECC66B9-0BC5-49DF-8F45-911BC0DBD940}"/>
    <cellStyle name="PSDate 14 7" xfId="24559" xr:uid="{CD8D0160-56C5-4099-84F3-B7B74CF2B8E7}"/>
    <cellStyle name="PSDate 15" xfId="24560" xr:uid="{A423FB7D-1D9C-4F27-9091-035EF31FFAB9}"/>
    <cellStyle name="PSDate 15 2" xfId="24561" xr:uid="{C67DAEFC-92DA-40DD-95A9-A63770716776}"/>
    <cellStyle name="PSDate 15 2 2" xfId="24562" xr:uid="{B50629C5-03DB-4356-B67C-098DF9222EC9}"/>
    <cellStyle name="PSDate 15 2 2 2" xfId="24563" xr:uid="{2E505186-8A02-4035-9199-FC7431FF7A9F}"/>
    <cellStyle name="PSDate 15 2 3" xfId="24564" xr:uid="{14EDD27C-2E73-4A5D-B1CD-12429B6CFAC4}"/>
    <cellStyle name="PSDate 15 3" xfId="24565" xr:uid="{AACC5529-947B-4CB2-B43D-80EAAC015883}"/>
    <cellStyle name="PSDate 15 3 2" xfId="24566" xr:uid="{D6C3EA7C-F055-490F-B4FC-3B45F109F330}"/>
    <cellStyle name="PSDate 15 3 2 2" xfId="24567" xr:uid="{38F84208-2BE3-4B53-9EDA-0164F9CE6952}"/>
    <cellStyle name="PSDate 15 3 3" xfId="24568" xr:uid="{7ADA8D69-AAB6-4943-896F-C0FB5DCB8399}"/>
    <cellStyle name="PSDate 15 4" xfId="24569" xr:uid="{8206F3FF-D07A-418E-9654-224B91BACAFF}"/>
    <cellStyle name="PSDate 15 4 2" xfId="24570" xr:uid="{42C123F0-17D1-486D-82E7-769A808A9280}"/>
    <cellStyle name="PSDate 15 4 2 2" xfId="24571" xr:uid="{49207BC6-E31B-4A91-B5B5-D5A2F6C7C165}"/>
    <cellStyle name="PSDate 15 4 3" xfId="24572" xr:uid="{9B5DC00C-2584-4CF2-9C5A-2FEDC728B34F}"/>
    <cellStyle name="PSDate 15 5" xfId="24573" xr:uid="{CBC50F2C-8D66-4707-A0AA-96C008A4FB25}"/>
    <cellStyle name="PSDate 15 5 2" xfId="24574" xr:uid="{8A89122C-E862-46AE-999D-02B1FD2C9AB3}"/>
    <cellStyle name="PSDate 15 5 2 2" xfId="24575" xr:uid="{9121877A-BE9B-4E92-8C62-D32D498DD01E}"/>
    <cellStyle name="PSDate 15 5 3" xfId="24576" xr:uid="{DAFC66AA-6BF3-4B11-B2ED-D02DAC103C35}"/>
    <cellStyle name="PSDate 15 6" xfId="24577" xr:uid="{B195B4E6-495B-40E4-91B6-CD6A26A0C25C}"/>
    <cellStyle name="PSDate 15 6 2" xfId="24578" xr:uid="{433B5CC1-28CD-4A32-B416-F8EA81C4122B}"/>
    <cellStyle name="PSDate 15 7" xfId="24579" xr:uid="{64FE2995-400B-4D20-83B4-E4EE0B6372B5}"/>
    <cellStyle name="PSDate 16" xfId="24580" xr:uid="{BEE798C0-7AFA-4B93-8AFD-917BDAB60546}"/>
    <cellStyle name="PSDate 16 2" xfId="24581" xr:uid="{48EB600D-CF2D-480D-BFA0-0172F38113DA}"/>
    <cellStyle name="PSDate 17" xfId="24582" xr:uid="{EAC05C56-055D-4DC8-8660-1A1CF7B88C80}"/>
    <cellStyle name="PSDate 18" xfId="24583" xr:uid="{21ACCEEC-F2E4-4227-9FB9-8713C6243EC3}"/>
    <cellStyle name="PSDate 18 2" xfId="24584" xr:uid="{E7788D82-200C-456A-AACD-97E0FB9AB45E}"/>
    <cellStyle name="PSDate 18 3" xfId="24585" xr:uid="{061B2794-5DAD-4D09-A149-AF7519837241}"/>
    <cellStyle name="PSDate 2" xfId="24586" xr:uid="{509BF2A9-1D88-4366-B753-E23603495AD4}"/>
    <cellStyle name="PSDate 2 10" xfId="24587" xr:uid="{08F82D04-0FB0-4E9D-9AB0-B1145F3B105F}"/>
    <cellStyle name="PSDate 2 10 2" xfId="24588" xr:uid="{C5498736-58D4-450A-B000-3D3C370937A8}"/>
    <cellStyle name="PSDate 2 11" xfId="24589" xr:uid="{E0DD7AA4-897B-478C-B7C1-9F0FB0785531}"/>
    <cellStyle name="PSDate 2 2" xfId="24590" xr:uid="{D49FA4AC-D769-4A1D-B6FF-F6C37D8A0A4C}"/>
    <cellStyle name="PSDate 2 2 2" xfId="24591" xr:uid="{5F09AD91-E0B5-4C4C-AD6E-49567A76CFB8}"/>
    <cellStyle name="PSDate 2 2 2 2" xfId="24592" xr:uid="{59E467E8-BABE-4B66-936D-180BD31052F7}"/>
    <cellStyle name="PSDate 2 2 3" xfId="24593" xr:uid="{0E62C653-CE5A-443C-A80D-75FC2CAF8CB5}"/>
    <cellStyle name="PSDate 2 3" xfId="24594" xr:uid="{6B49CA93-05AF-48DC-9E13-96E073469B9D}"/>
    <cellStyle name="PSDate 2 3 2" xfId="24595" xr:uid="{75539B95-E1FA-43DF-8135-C34673ED32EC}"/>
    <cellStyle name="PSDate 2 3 2 2" xfId="24596" xr:uid="{3EB71F3A-20C1-4970-BEE9-A1CD304C5B8F}"/>
    <cellStyle name="PSDate 2 3 3" xfId="24597" xr:uid="{5AA16625-87B8-4044-A533-F99347C1B5DD}"/>
    <cellStyle name="PSDate 2 4" xfId="24598" xr:uid="{F6C8BBA1-3E24-42D3-A410-BE9D7B34E24D}"/>
    <cellStyle name="PSDate 2 4 2" xfId="24599" xr:uid="{50E921C5-A746-4D11-9432-8B8E4DEACDD2}"/>
    <cellStyle name="PSDate 2 4 2 2" xfId="24600" xr:uid="{E7F03919-16B5-4BD5-B330-D92937F75B30}"/>
    <cellStyle name="PSDate 2 4 3" xfId="24601" xr:uid="{331C30CE-AAAF-4435-B238-E031D3C5A043}"/>
    <cellStyle name="PSDate 2 5" xfId="24602" xr:uid="{07B6854F-D112-4E2B-9231-F7DBBAA1EAB6}"/>
    <cellStyle name="PSDate 2 5 2" xfId="24603" xr:uid="{941503CA-EE73-4CFB-92E9-2775F41A722D}"/>
    <cellStyle name="PSDate 2 5 2 2" xfId="24604" xr:uid="{4B94E9C6-E80D-41D8-B4D0-6F13C6F7B69E}"/>
    <cellStyle name="PSDate 2 5 3" xfId="24605" xr:uid="{A9033335-F598-4643-B74B-B9675F2BBD4B}"/>
    <cellStyle name="PSDate 2 6" xfId="24606" xr:uid="{1A5D423A-21E1-44E1-91A8-2B4523C11C36}"/>
    <cellStyle name="PSDate 2 6 2" xfId="24607" xr:uid="{5DA3539B-99AA-4680-A209-51B71746991F}"/>
    <cellStyle name="PSDate 2 6 2 2" xfId="24608" xr:uid="{40A9D31A-75D5-4BD7-8358-7D40D83AF299}"/>
    <cellStyle name="PSDate 2 6 3" xfId="24609" xr:uid="{2F2A46BE-E770-406F-BBFA-510A5C37917F}"/>
    <cellStyle name="PSDate 2 7" xfId="24610" xr:uid="{3968AC3E-E5C5-439F-B369-0748D5A4F53C}"/>
    <cellStyle name="PSDate 2 7 2" xfId="24611" xr:uid="{A80602A3-1C51-4232-B5A7-02D9829D48F9}"/>
    <cellStyle name="PSDate 2 7 2 2" xfId="24612" xr:uid="{A40C1F8F-9A59-452E-BA9F-903843D1E5FF}"/>
    <cellStyle name="PSDate 2 7 3" xfId="24613" xr:uid="{FB29CF94-38A2-4ACE-A631-0A6896CC2452}"/>
    <cellStyle name="PSDate 2 8" xfId="24614" xr:uid="{33CFF827-ACFF-4221-B164-C574A5983614}"/>
    <cellStyle name="PSDate 2 8 2" xfId="24615" xr:uid="{ED4241F3-029F-469A-84F7-F7A3D9DA2DE6}"/>
    <cellStyle name="PSDate 2 8 2 2" xfId="24616" xr:uid="{198035A6-3FB7-46B2-B96F-2D47952D68E7}"/>
    <cellStyle name="PSDate 2 8 3" xfId="24617" xr:uid="{311569BB-76FB-4F96-970B-8DE86252A535}"/>
    <cellStyle name="PSDate 2 9" xfId="24618" xr:uid="{EEDE913C-9075-466C-892E-9D6B06FE7E80}"/>
    <cellStyle name="PSDate 2 9 2" xfId="24619" xr:uid="{408B9E3E-39F6-429D-A460-172DBFC67BBA}"/>
    <cellStyle name="PSDate 2 9 2 2" xfId="24620" xr:uid="{29094506-9365-46E9-9C3B-F19A37A0D2A5}"/>
    <cellStyle name="PSDate 2 9 3" xfId="24621" xr:uid="{43FBBBE0-266C-4CBC-A86B-D1CA76EAFD1A}"/>
    <cellStyle name="PSDate 3" xfId="24622" xr:uid="{030F97B7-5770-47D0-BECA-F5EAA27B2C75}"/>
    <cellStyle name="PSDate 3 10" xfId="24623" xr:uid="{DF1A20C6-C56B-47DD-859B-7DC48C18B715}"/>
    <cellStyle name="PSDate 3 10 2" xfId="24624" xr:uid="{BA68DD21-C05C-45B8-9BBF-3DD9F9011E41}"/>
    <cellStyle name="PSDate 3 11" xfId="24625" xr:uid="{862CACDA-1876-426B-A393-C107CC8B887A}"/>
    <cellStyle name="PSDate 3 2" xfId="24626" xr:uid="{A5D9D877-2D6A-4554-9104-9343D9E097F8}"/>
    <cellStyle name="PSDate 3 2 2" xfId="24627" xr:uid="{0901B8CF-1895-42CF-945D-2C4804A6D348}"/>
    <cellStyle name="PSDate 3 2 2 2" xfId="24628" xr:uid="{08859380-CFB4-4391-9165-114B6D3725C2}"/>
    <cellStyle name="PSDate 3 2 3" xfId="24629" xr:uid="{50E28378-3B9A-45C3-8F95-FA4B3B86EBB6}"/>
    <cellStyle name="PSDate 3 3" xfId="24630" xr:uid="{10DA7F48-BA9A-4449-9163-539DD03F8C33}"/>
    <cellStyle name="PSDate 3 3 2" xfId="24631" xr:uid="{F5D43246-FD6A-45DF-8025-D39813F2E4B4}"/>
    <cellStyle name="PSDate 3 3 2 2" xfId="24632" xr:uid="{C5574FFF-7033-47DE-8976-C8BAE4966117}"/>
    <cellStyle name="PSDate 3 3 3" xfId="24633" xr:uid="{75AFB657-5897-4ED2-A858-1BF92E075E87}"/>
    <cellStyle name="PSDate 3 4" xfId="24634" xr:uid="{D02D2B6B-3E9A-40FA-849B-8D3C69B9ED98}"/>
    <cellStyle name="PSDate 3 4 2" xfId="24635" xr:uid="{F9E1BB73-982A-4F99-AF56-0F8B7BC2475E}"/>
    <cellStyle name="PSDate 3 4 2 2" xfId="24636" xr:uid="{50A343CD-3B45-4010-855B-38C164BF9065}"/>
    <cellStyle name="PSDate 3 4 3" xfId="24637" xr:uid="{F6A42D58-A547-4659-A5B9-B71692C70C0D}"/>
    <cellStyle name="PSDate 3 5" xfId="24638" xr:uid="{7E8FA9D0-E219-4293-B07D-D4467C3D010C}"/>
    <cellStyle name="PSDate 3 5 2" xfId="24639" xr:uid="{377B7919-047A-4A15-8D28-119A136DEFB6}"/>
    <cellStyle name="PSDate 3 5 2 2" xfId="24640" xr:uid="{9FAFEE94-7407-4C77-8734-D5505B3EC336}"/>
    <cellStyle name="PSDate 3 5 3" xfId="24641" xr:uid="{8508D514-D393-43E7-9CBC-C4E3DFEAF2B2}"/>
    <cellStyle name="PSDate 3 6" xfId="24642" xr:uid="{B7F13039-56BE-4686-98CB-E7FE87361DFC}"/>
    <cellStyle name="PSDate 3 6 2" xfId="24643" xr:uid="{06B895D9-0EA1-4F61-937B-F5D7F9F403CF}"/>
    <cellStyle name="PSDate 3 6 2 2" xfId="24644" xr:uid="{6BF39F5B-BE98-48E3-8628-298D13B14848}"/>
    <cellStyle name="PSDate 3 6 3" xfId="24645" xr:uid="{4ED97A19-817A-4CD7-817D-BDDB38D5819F}"/>
    <cellStyle name="PSDate 3 7" xfId="24646" xr:uid="{BF75F4E8-E557-4CAD-A465-60B8190B71C5}"/>
    <cellStyle name="PSDate 3 7 2" xfId="24647" xr:uid="{73445D59-DD2A-47C9-80BF-A41C61EF1D20}"/>
    <cellStyle name="PSDate 3 7 2 2" xfId="24648" xr:uid="{F410AC09-41F0-4485-8A9C-FEE0FFFE5BFE}"/>
    <cellStyle name="PSDate 3 7 3" xfId="24649" xr:uid="{BA879A7B-4AB9-4854-9185-0152CB4F53F3}"/>
    <cellStyle name="PSDate 3 8" xfId="24650" xr:uid="{79E8BEDF-E35D-4683-A1B7-E5934DD7F1B2}"/>
    <cellStyle name="PSDate 3 8 2" xfId="24651" xr:uid="{211C160C-8A19-4DC7-A8A9-ED81B8D88273}"/>
    <cellStyle name="PSDate 3 8 2 2" xfId="24652" xr:uid="{6315F8FF-6F6E-4954-9E05-DB488862AC45}"/>
    <cellStyle name="PSDate 3 8 3" xfId="24653" xr:uid="{9EE915F9-3D4F-435F-AF1E-8ACB48378BBF}"/>
    <cellStyle name="PSDate 3 9" xfId="24654" xr:uid="{F86F97F4-D633-4494-8AAD-0DAB3173CFB3}"/>
    <cellStyle name="PSDate 3 9 2" xfId="24655" xr:uid="{EAA7BBEC-5C69-47AE-8C8C-4A423CADA4B5}"/>
    <cellStyle name="PSDate 3 9 2 2" xfId="24656" xr:uid="{F656A723-F0CB-4189-A2F8-BB0DA366C983}"/>
    <cellStyle name="PSDate 3 9 3" xfId="24657" xr:uid="{7357FD5D-BF5C-4B44-A43F-5BFEBFF91162}"/>
    <cellStyle name="PSDate 4" xfId="24658" xr:uid="{751E87F1-1EE7-4A7C-8F84-798D6046ABC5}"/>
    <cellStyle name="PSDate 4 10" xfId="24659" xr:uid="{2DF1C1C1-E6B0-4443-AEFB-6C401DACC959}"/>
    <cellStyle name="PSDate 4 10 2" xfId="24660" xr:uid="{874832AD-D29D-4E07-9C25-18A04F15858C}"/>
    <cellStyle name="PSDate 4 11" xfId="24661" xr:uid="{AB8BC35A-80E0-498F-813A-F71DD6908A97}"/>
    <cellStyle name="PSDate 4 2" xfId="24662" xr:uid="{4C1C63E0-9C99-4380-87F4-65B57471132D}"/>
    <cellStyle name="PSDate 4 2 2" xfId="24663" xr:uid="{29917232-6E71-4BE5-AB32-1135D78CEE70}"/>
    <cellStyle name="PSDate 4 2 2 2" xfId="24664" xr:uid="{C5EF21B4-37BB-45A9-9A24-AF6805E55390}"/>
    <cellStyle name="PSDate 4 2 3" xfId="24665" xr:uid="{A2122ABF-BDD4-4C46-B115-682D5A1ED088}"/>
    <cellStyle name="PSDate 4 3" xfId="24666" xr:uid="{C1C8DD41-A674-4A18-9B35-3CB8C07BFCEE}"/>
    <cellStyle name="PSDate 4 3 2" xfId="24667" xr:uid="{EA59F865-F499-4424-94DA-8BB76662C56D}"/>
    <cellStyle name="PSDate 4 3 2 2" xfId="24668" xr:uid="{D0B16253-53B9-48C4-A6C2-5F6D9B5C68AE}"/>
    <cellStyle name="PSDate 4 3 3" xfId="24669" xr:uid="{FB6B9E79-918C-48DC-A600-0CEE2564B934}"/>
    <cellStyle name="PSDate 4 4" xfId="24670" xr:uid="{438AD44F-E80F-46DC-9947-A73D99250D93}"/>
    <cellStyle name="PSDate 4 4 2" xfId="24671" xr:uid="{52170CFB-026B-4683-8EE0-7D6F6EA02675}"/>
    <cellStyle name="PSDate 4 4 2 2" xfId="24672" xr:uid="{6738BF38-DBCF-4E59-ABC7-BEE676D64BCD}"/>
    <cellStyle name="PSDate 4 4 3" xfId="24673" xr:uid="{AD87FB04-A673-415C-B29B-221A6745BA14}"/>
    <cellStyle name="PSDate 4 5" xfId="24674" xr:uid="{66D4B3A1-D4CB-49FA-A56D-475CB3B1858C}"/>
    <cellStyle name="PSDate 4 5 2" xfId="24675" xr:uid="{36E693D0-CE39-4F07-8E34-68D216691339}"/>
    <cellStyle name="PSDate 4 5 2 2" xfId="24676" xr:uid="{8E6FB675-D506-45EA-8ACE-71749CF6D488}"/>
    <cellStyle name="PSDate 4 5 3" xfId="24677" xr:uid="{86C94C55-DD1C-40D3-A78E-3ABAE1667059}"/>
    <cellStyle name="PSDate 4 6" xfId="24678" xr:uid="{0E8A0338-41C1-4BFD-A9D4-6E171A8422D5}"/>
    <cellStyle name="PSDate 4 6 2" xfId="24679" xr:uid="{6BEFBE35-A1BD-40F3-A25F-444C3D21599C}"/>
    <cellStyle name="PSDate 4 6 2 2" xfId="24680" xr:uid="{A0459A29-50AF-45BF-83D5-88FA863793E0}"/>
    <cellStyle name="PSDate 4 6 3" xfId="24681" xr:uid="{665ADB62-74B6-4641-A2B9-AF18216212D6}"/>
    <cellStyle name="PSDate 4 7" xfId="24682" xr:uid="{487FA32A-3FC2-4A53-9D4F-D9B7EF505B2B}"/>
    <cellStyle name="PSDate 4 7 2" xfId="24683" xr:uid="{4225BD93-3258-499B-A3D8-D6AE0B2DBC48}"/>
    <cellStyle name="PSDate 4 7 2 2" xfId="24684" xr:uid="{4DC9C6D5-DEC7-4229-8122-E168C979FEB0}"/>
    <cellStyle name="PSDate 4 7 3" xfId="24685" xr:uid="{DAA10061-7AFF-495D-BC25-355A31B74D46}"/>
    <cellStyle name="PSDate 4 8" xfId="24686" xr:uid="{CD40BC55-5659-4C2A-B209-0B503BEB3CBD}"/>
    <cellStyle name="PSDate 4 8 2" xfId="24687" xr:uid="{A9E5A3AD-FCAA-4CC5-ACE0-BDF0D5B4B9C6}"/>
    <cellStyle name="PSDate 4 8 2 2" xfId="24688" xr:uid="{A1599C12-3024-4AF6-A11B-E321706E1A25}"/>
    <cellStyle name="PSDate 4 8 3" xfId="24689" xr:uid="{F57763B9-5751-410A-BD03-DB0BBCA0B462}"/>
    <cellStyle name="PSDate 4 9" xfId="24690" xr:uid="{FED7983A-BBEB-46E4-97F3-B74EF40B169B}"/>
    <cellStyle name="PSDate 4 9 2" xfId="24691" xr:uid="{9E51BB8A-15D8-4A2B-995D-691FB4A5C9CC}"/>
    <cellStyle name="PSDate 4 9 2 2" xfId="24692" xr:uid="{99BB00E7-DB9E-446D-8FDA-8251D1EBC545}"/>
    <cellStyle name="PSDate 4 9 3" xfId="24693" xr:uid="{5F1AF646-2C77-402B-B7BE-F9792B9E8BE1}"/>
    <cellStyle name="PSDate 5" xfId="24694" xr:uid="{80C0EA86-B604-4AEF-B7B0-85B7BFC78719}"/>
    <cellStyle name="PSDate 5 10" xfId="24695" xr:uid="{5603A579-BBED-44E6-94C3-45295A46F473}"/>
    <cellStyle name="PSDate 5 10 2" xfId="24696" xr:uid="{1E5EBD6B-086D-47A5-A5DD-C9A2A2F296E2}"/>
    <cellStyle name="PSDate 5 11" xfId="24697" xr:uid="{D6C17CBE-093D-4032-8FE7-C680E4E90360}"/>
    <cellStyle name="PSDate 5 2" xfId="24698" xr:uid="{3E9F3CA3-577F-4771-A9EA-E8E1F4168B9B}"/>
    <cellStyle name="PSDate 5 2 2" xfId="24699" xr:uid="{A1077427-6BA3-4CD2-82A7-3AE9ECAFD2ED}"/>
    <cellStyle name="PSDate 5 2 2 2" xfId="24700" xr:uid="{5BC0B6AA-AE30-4A1A-BDE5-3357E7EE3685}"/>
    <cellStyle name="PSDate 5 2 3" xfId="24701" xr:uid="{3C3D7EBD-866B-4C7A-A298-FC520CC1BF67}"/>
    <cellStyle name="PSDate 5 3" xfId="24702" xr:uid="{49FD5051-D9A9-45BD-BA34-737D1E970C82}"/>
    <cellStyle name="PSDate 5 3 2" xfId="24703" xr:uid="{1F4D34FD-B79F-40D8-8A67-20B4B1ED1FA1}"/>
    <cellStyle name="PSDate 5 3 2 2" xfId="24704" xr:uid="{18A9D508-3ECA-4581-A126-B7450317F5D8}"/>
    <cellStyle name="PSDate 5 3 3" xfId="24705" xr:uid="{08819F5B-D037-4645-B07D-E994493A08C9}"/>
    <cellStyle name="PSDate 5 4" xfId="24706" xr:uid="{35EEA84F-1CE1-4FBF-9EB9-721CF236C2CB}"/>
    <cellStyle name="PSDate 5 4 2" xfId="24707" xr:uid="{BC0EDDCD-0C7F-441E-A36F-699ECB8295BD}"/>
    <cellStyle name="PSDate 5 4 2 2" xfId="24708" xr:uid="{46AEE693-7FC4-46D7-8236-A91AEDBFF20D}"/>
    <cellStyle name="PSDate 5 4 3" xfId="24709" xr:uid="{7B0E249A-555F-4B1D-9204-DF42883C09D1}"/>
    <cellStyle name="PSDate 5 5" xfId="24710" xr:uid="{C2FD64D8-DB4B-459F-A9F5-4CD78CF386F6}"/>
    <cellStyle name="PSDate 5 5 2" xfId="24711" xr:uid="{5B78E1C0-2D2F-496B-AA2A-F1FE98E14D1C}"/>
    <cellStyle name="PSDate 5 5 2 2" xfId="24712" xr:uid="{B526127D-B37E-4F83-BFF7-DF488AAE44AB}"/>
    <cellStyle name="PSDate 5 5 3" xfId="24713" xr:uid="{4AB797D5-A6B7-4798-9430-1C706C67E2BB}"/>
    <cellStyle name="PSDate 5 6" xfId="24714" xr:uid="{30A8C6B4-45EA-4F0A-8CEB-BE7035C6853B}"/>
    <cellStyle name="PSDate 5 6 2" xfId="24715" xr:uid="{383ACE63-1B17-4E6B-AE69-3DC4C33B0868}"/>
    <cellStyle name="PSDate 5 6 2 2" xfId="24716" xr:uid="{6CF31179-EDBB-4B72-912B-FE25710EDB3B}"/>
    <cellStyle name="PSDate 5 6 3" xfId="24717" xr:uid="{46102A03-F124-46A5-9258-308DA0D70B02}"/>
    <cellStyle name="PSDate 5 7" xfId="24718" xr:uid="{12205BF0-3ED4-46F4-ABDF-1AAA5721533C}"/>
    <cellStyle name="PSDate 5 7 2" xfId="24719" xr:uid="{E2B2A874-DA00-4F23-A67A-FE2D35288172}"/>
    <cellStyle name="PSDate 5 7 2 2" xfId="24720" xr:uid="{AC994CCB-39F3-42AA-8D79-30C8C9F98952}"/>
    <cellStyle name="PSDate 5 7 3" xfId="24721" xr:uid="{68BF57F9-D696-4333-9D0A-D895D460B720}"/>
    <cellStyle name="PSDate 5 8" xfId="24722" xr:uid="{C9075922-8FE9-4805-AC54-DB4A6007D8C9}"/>
    <cellStyle name="PSDate 5 8 2" xfId="24723" xr:uid="{D765E576-FA0D-4B6B-8025-61B19C5721E3}"/>
    <cellStyle name="PSDate 5 8 2 2" xfId="24724" xr:uid="{77C18A49-4ED6-4DA9-8C2A-BDC6BA0A5C47}"/>
    <cellStyle name="PSDate 5 8 3" xfId="24725" xr:uid="{445EE00B-CE85-4298-BE76-EEEA75446C72}"/>
    <cellStyle name="PSDate 5 9" xfId="24726" xr:uid="{E61070F6-3530-4CF1-90FA-776CEC73A3DB}"/>
    <cellStyle name="PSDate 5 9 2" xfId="24727" xr:uid="{847213B2-E0FD-47E8-8510-D58A1B96EA52}"/>
    <cellStyle name="PSDate 5 9 2 2" xfId="24728" xr:uid="{A8F02CD6-13CB-4435-87FE-4E8908A63F48}"/>
    <cellStyle name="PSDate 5 9 3" xfId="24729" xr:uid="{FE0C4B9D-9181-4E2F-A1EE-17D8916A20BF}"/>
    <cellStyle name="PSDate 6" xfId="24730" xr:uid="{C3FB266B-C039-4CF9-8163-7B574AEE49A6}"/>
    <cellStyle name="PSDate 6 10" xfId="24731" xr:uid="{82AB4832-1B5D-4865-BC33-48B57B824C09}"/>
    <cellStyle name="PSDate 6 10 2" xfId="24732" xr:uid="{786424F7-195E-4256-95E5-D2B3F36E4D37}"/>
    <cellStyle name="PSDate 6 11" xfId="24733" xr:uid="{C9D62DFD-F092-479B-ADFD-5C929D96304A}"/>
    <cellStyle name="PSDate 6 2" xfId="24734" xr:uid="{D11CEEFF-F476-4EC3-8507-5F747F82A29F}"/>
    <cellStyle name="PSDate 6 2 2" xfId="24735" xr:uid="{7B2E1103-6214-4D45-B90B-0C2BE6F476BD}"/>
    <cellStyle name="PSDate 6 2 2 2" xfId="24736" xr:uid="{FEAECEA1-8D69-4B4B-9EA0-F1BC08946381}"/>
    <cellStyle name="PSDate 6 2 3" xfId="24737" xr:uid="{E5B6F7AD-1887-4DB2-B54D-3D6D879FEDF6}"/>
    <cellStyle name="PSDate 6 3" xfId="24738" xr:uid="{0A5CB934-5500-42BB-8EBA-4DBDA4C9455F}"/>
    <cellStyle name="PSDate 6 3 2" xfId="24739" xr:uid="{322D4F80-1F37-49E9-8EB1-B9C1D76FEEB7}"/>
    <cellStyle name="PSDate 6 3 2 2" xfId="24740" xr:uid="{C61A1CE8-2A79-4E0F-98BE-A43A10BF1631}"/>
    <cellStyle name="PSDate 6 3 3" xfId="24741" xr:uid="{50C05613-37E5-4831-AC92-C461DB130D2A}"/>
    <cellStyle name="PSDate 6 4" xfId="24742" xr:uid="{1134F971-A267-4777-9457-C7D9361BE6C8}"/>
    <cellStyle name="PSDate 6 4 2" xfId="24743" xr:uid="{58C339CC-5799-4EE1-88FA-01B062501B1B}"/>
    <cellStyle name="PSDate 6 4 2 2" xfId="24744" xr:uid="{2F96510F-2D41-4E89-BB8F-1C333FF28BB3}"/>
    <cellStyle name="PSDate 6 4 3" xfId="24745" xr:uid="{DE4FF9AC-E18F-49C6-88FF-8F23662C1F3A}"/>
    <cellStyle name="PSDate 6 5" xfId="24746" xr:uid="{517C43F3-FA03-4A6F-B012-218313551677}"/>
    <cellStyle name="PSDate 6 5 2" xfId="24747" xr:uid="{D3B6A758-05E8-4AEF-9FE4-B3E4F2321ADF}"/>
    <cellStyle name="PSDate 6 5 2 2" xfId="24748" xr:uid="{39D77601-873E-4DFE-8075-AAA9E628ADD0}"/>
    <cellStyle name="PSDate 6 5 3" xfId="24749" xr:uid="{8867FF06-F943-4BF5-B097-58E5C78D97B9}"/>
    <cellStyle name="PSDate 6 6" xfId="24750" xr:uid="{C5A6C32B-08D1-4364-A4DB-8F03C247E651}"/>
    <cellStyle name="PSDate 6 6 2" xfId="24751" xr:uid="{E50814BB-234C-42C5-A3E3-9CEA1E40B9A6}"/>
    <cellStyle name="PSDate 6 6 2 2" xfId="24752" xr:uid="{1CABB84F-8847-4C5C-83E1-0661C8101CCC}"/>
    <cellStyle name="PSDate 6 6 3" xfId="24753" xr:uid="{9E0F9F67-EFAD-41D0-94E7-166DEADCDB40}"/>
    <cellStyle name="PSDate 6 7" xfId="24754" xr:uid="{0D967653-6700-470F-B0D5-CCB2BECE16AB}"/>
    <cellStyle name="PSDate 6 7 2" xfId="24755" xr:uid="{68F1F5BD-4E41-4A9B-8463-3C6E44B933DF}"/>
    <cellStyle name="PSDate 6 7 2 2" xfId="24756" xr:uid="{4B0B3A82-E40C-486B-A346-3E108208FB85}"/>
    <cellStyle name="PSDate 6 7 3" xfId="24757" xr:uid="{FA142DE3-0B16-45B3-8AD6-977F1A50948B}"/>
    <cellStyle name="PSDate 6 8" xfId="24758" xr:uid="{CEDBAC1B-F0AC-4EA8-B1F8-46B5B6174D30}"/>
    <cellStyle name="PSDate 6 8 2" xfId="24759" xr:uid="{35946D4F-B519-4A2F-BF69-2A918CBD0CBF}"/>
    <cellStyle name="PSDate 6 8 2 2" xfId="24760" xr:uid="{2C39ECD8-F8A9-4D71-A609-A4441D16FDA4}"/>
    <cellStyle name="PSDate 6 8 3" xfId="24761" xr:uid="{7B8F10F8-D90A-4141-9288-B25F6FD341ED}"/>
    <cellStyle name="PSDate 6 9" xfId="24762" xr:uid="{27F16989-D7C2-4451-9034-87C4919C3FBB}"/>
    <cellStyle name="PSDate 6 9 2" xfId="24763" xr:uid="{7A0991F4-B82A-47A9-AFA2-FB72C5A721FF}"/>
    <cellStyle name="PSDate 6 9 2 2" xfId="24764" xr:uid="{BC169705-2B9C-4BED-9B3F-2841A1309DF4}"/>
    <cellStyle name="PSDate 6 9 3" xfId="24765" xr:uid="{03FD3A7D-11D6-4D34-840A-EB1184CF3911}"/>
    <cellStyle name="PSDate 7" xfId="24766" xr:uid="{4E06F547-52D0-479C-ABB8-C5E140F39EA8}"/>
    <cellStyle name="PSDate 7 2" xfId="24767" xr:uid="{5FB24071-CCA8-4AE6-9849-B395CEF9B136}"/>
    <cellStyle name="PSDate 7 2 2" xfId="24768" xr:uid="{8EB0CCAB-5AEF-4A3B-A461-A927E0ABD3FD}"/>
    <cellStyle name="PSDate 7 2 2 2" xfId="24769" xr:uid="{4E67CA8E-DACB-4178-AC81-31E8F44BA905}"/>
    <cellStyle name="PSDate 7 2 3" xfId="24770" xr:uid="{7714D318-1E45-440C-8199-BA64E4623B40}"/>
    <cellStyle name="PSDate 7 3" xfId="24771" xr:uid="{FE6B8569-8221-47D9-B51C-68ED64674726}"/>
    <cellStyle name="PSDate 7 3 2" xfId="24772" xr:uid="{276EED33-C2A7-4582-B7E1-9E7B266EE659}"/>
    <cellStyle name="PSDate 7 3 2 2" xfId="24773" xr:uid="{5E2663A7-ABB7-40B0-B1E2-86AFB28B079D}"/>
    <cellStyle name="PSDate 7 3 3" xfId="24774" xr:uid="{18A09D0C-4B51-460C-90BD-64544D9803CD}"/>
    <cellStyle name="PSDate 7 4" xfId="24775" xr:uid="{8FD6F748-A6CF-4885-9693-7363E855E2F9}"/>
    <cellStyle name="PSDate 7 4 2" xfId="24776" xr:uid="{C80C4E63-ADFF-4AC1-AF92-741A0C2B699F}"/>
    <cellStyle name="PSDate 7 4 2 2" xfId="24777" xr:uid="{6CFCB395-BE86-4533-A6B9-40982ADE7832}"/>
    <cellStyle name="PSDate 7 4 3" xfId="24778" xr:uid="{2D01DB02-3B7A-4F2C-91BE-9729B79CD272}"/>
    <cellStyle name="PSDate 7 5" xfId="24779" xr:uid="{E76D97F8-9A9F-4D35-BEBF-06E782FF837F}"/>
    <cellStyle name="PSDate 7 5 2" xfId="24780" xr:uid="{8126AF93-A379-4731-875B-E7D4D7D63DBE}"/>
    <cellStyle name="PSDate 7 5 2 2" xfId="24781" xr:uid="{ED3AB937-03CA-497C-884C-8A494E45CD1C}"/>
    <cellStyle name="PSDate 7 5 3" xfId="24782" xr:uid="{06403E4F-9540-4B46-939D-37B05E0FACF3}"/>
    <cellStyle name="PSDate 7 6" xfId="24783" xr:uid="{7F1A2403-7AB9-438B-B9B2-F193C763860D}"/>
    <cellStyle name="PSDate 7 6 2" xfId="24784" xr:uid="{82F78579-D63A-406E-A34A-612C9EDFB30B}"/>
    <cellStyle name="PSDate 7 7" xfId="24785" xr:uid="{79B6D624-AF9A-4A6F-A852-66FDE84A6117}"/>
    <cellStyle name="PSDate 8" xfId="24786" xr:uid="{B53887B3-CE00-4EB9-A6D8-604A3AB19629}"/>
    <cellStyle name="PSDate 8 2" xfId="24787" xr:uid="{9BDD6AF6-5AD0-47EA-B92F-8F4A8D77EC09}"/>
    <cellStyle name="PSDate 8 2 2" xfId="24788" xr:uid="{0F31C209-BED1-4838-AF8C-8939D36A2F76}"/>
    <cellStyle name="PSDate 8 2 2 2" xfId="24789" xr:uid="{D1328CEC-F4C2-481A-9662-36A73F29DC6E}"/>
    <cellStyle name="PSDate 8 2 3" xfId="24790" xr:uid="{61A0F164-B887-4B1E-AF63-95BAAEB37855}"/>
    <cellStyle name="PSDate 8 3" xfId="24791" xr:uid="{569019F4-0686-451F-BE83-0AE38521EB36}"/>
    <cellStyle name="PSDate 8 3 2" xfId="24792" xr:uid="{D9A6715B-FF06-4FBB-8DB3-9AAF02E7D1CF}"/>
    <cellStyle name="PSDate 8 3 2 2" xfId="24793" xr:uid="{915838D3-DC37-43E3-A653-5C605C6ECF6B}"/>
    <cellStyle name="PSDate 8 3 3" xfId="24794" xr:uid="{3008521A-CAA7-478D-B173-242FBAEC473A}"/>
    <cellStyle name="PSDate 8 4" xfId="24795" xr:uid="{6DD3FBBE-C57C-49B3-B22B-27A22886EF0E}"/>
    <cellStyle name="PSDate 8 4 2" xfId="24796" xr:uid="{C4F8B95D-5A8D-49D7-81EE-B118ADAF9C50}"/>
    <cellStyle name="PSDate 8 4 2 2" xfId="24797" xr:uid="{A9F090A2-8D28-4169-ABD4-02FE889B99C5}"/>
    <cellStyle name="PSDate 8 4 3" xfId="24798" xr:uid="{71692A40-328E-4658-870A-668D4F3321E0}"/>
    <cellStyle name="PSDate 8 5" xfId="24799" xr:uid="{57A8B9FA-09F0-490D-AF58-4E3DE5A7D672}"/>
    <cellStyle name="PSDate 8 5 2" xfId="24800" xr:uid="{0AB212B6-CC14-4D81-B223-A69C39621E0E}"/>
    <cellStyle name="PSDate 8 5 2 2" xfId="24801" xr:uid="{E299AE5C-B61C-48A4-AEBC-23E3605BCAFE}"/>
    <cellStyle name="PSDate 8 5 3" xfId="24802" xr:uid="{C412865D-3679-4B03-854F-CE7F6EA24C0C}"/>
    <cellStyle name="PSDate 8 6" xfId="24803" xr:uid="{A481D36F-1A72-44A0-BBCB-30F114D9E341}"/>
    <cellStyle name="PSDate 8 6 2" xfId="24804" xr:uid="{7D8465B5-3F12-4D02-878C-DA8777E97786}"/>
    <cellStyle name="PSDate 8 7" xfId="24805" xr:uid="{F8808FBD-A07C-45CE-89C2-D64939BB9AA0}"/>
    <cellStyle name="PSDate 9" xfId="24806" xr:uid="{C00D8A96-FB1B-4132-AD19-6139F4373130}"/>
    <cellStyle name="PSDate 9 2" xfId="24807" xr:uid="{FF478FD2-BAAB-48F3-981A-0FA4A01279AA}"/>
    <cellStyle name="PSDate 9 2 2" xfId="24808" xr:uid="{E9C8A828-BB28-4D99-A086-02ED7733C0A3}"/>
    <cellStyle name="PSDate 9 2 2 2" xfId="24809" xr:uid="{C5D4DDB8-AF17-4152-BA70-CA61FB5EE681}"/>
    <cellStyle name="PSDate 9 2 3" xfId="24810" xr:uid="{DCEB0178-0D3B-419F-A590-CBF7A442DD40}"/>
    <cellStyle name="PSDate 9 3" xfId="24811" xr:uid="{22B5A6CC-F0F0-4FD2-AF5E-AF207BE83EC4}"/>
    <cellStyle name="PSDate 9 3 2" xfId="24812" xr:uid="{E62E2712-B534-420F-AF43-5CE4B6570FD3}"/>
    <cellStyle name="PSDate 9 3 2 2" xfId="24813" xr:uid="{15E30A2D-37E5-4576-B802-C1074B708EEA}"/>
    <cellStyle name="PSDate 9 3 3" xfId="24814" xr:uid="{3527672C-17D3-4199-BD7D-A15831B8057D}"/>
    <cellStyle name="PSDate 9 4" xfId="24815" xr:uid="{5C8D1DC7-8E8E-4E9D-97F9-1BBE2AD7C738}"/>
    <cellStyle name="PSDate 9 4 2" xfId="24816" xr:uid="{F3AB1353-7517-4DA7-8C47-D6B235FA39DD}"/>
    <cellStyle name="PSDate 9 4 2 2" xfId="24817" xr:uid="{96F00610-0BC8-44C1-8495-F03AB1685081}"/>
    <cellStyle name="PSDate 9 4 3" xfId="24818" xr:uid="{6632BDE4-086D-4917-A8C3-BD6E96670FE4}"/>
    <cellStyle name="PSDate 9 5" xfId="24819" xr:uid="{A18EA2AD-D496-4632-BA76-C1435326FB94}"/>
    <cellStyle name="PSDate 9 5 2" xfId="24820" xr:uid="{56C2CF09-1EA1-4096-8CE1-2C021038F2CF}"/>
    <cellStyle name="PSDate 9 5 2 2" xfId="24821" xr:uid="{7C81DA5F-A43D-4C0B-8551-F9609D005512}"/>
    <cellStyle name="PSDate 9 5 3" xfId="24822" xr:uid="{F1A7349E-A176-4691-AF62-BEE4B5C055A0}"/>
    <cellStyle name="PSDate 9 6" xfId="24823" xr:uid="{389AC763-50E2-429B-A7DA-487625007EAA}"/>
    <cellStyle name="PSDate 9 6 2" xfId="24824" xr:uid="{D14856F1-69A0-4336-B3F2-827A32C1E34D}"/>
    <cellStyle name="PSDate 9 7" xfId="24825" xr:uid="{C7D0AE09-0797-4332-928B-0E6E1AD3208C}"/>
    <cellStyle name="PSDec" xfId="205" xr:uid="{22E99E76-BEAF-4609-998B-FDBB6CF05BE0}"/>
    <cellStyle name="PSDec 10" xfId="24826" xr:uid="{C489BC34-B67E-4907-B837-F91F0C283C7E}"/>
    <cellStyle name="PSDec 10 2" xfId="24827" xr:uid="{80505F84-9324-40CF-B6B1-4587407A0CAB}"/>
    <cellStyle name="PSDec 10 2 2" xfId="24828" xr:uid="{41F1EAD8-CA85-40EF-ACBB-F7C0A6EC2209}"/>
    <cellStyle name="PSDec 10 2 2 2" xfId="24829" xr:uid="{15220E0A-0750-40B2-815B-6960924DD51C}"/>
    <cellStyle name="PSDec 10 2 3" xfId="24830" xr:uid="{9EE3D511-D3FB-49A0-937C-4FA9D1B390E3}"/>
    <cellStyle name="PSDec 10 3" xfId="24831" xr:uid="{BD0F683D-CFB8-4726-B34C-27AF01F188B6}"/>
    <cellStyle name="PSDec 10 3 2" xfId="24832" xr:uid="{5ACD4154-C45D-428B-8A1D-EE720CA1017C}"/>
    <cellStyle name="PSDec 10 3 2 2" xfId="24833" xr:uid="{5118A884-858A-4570-BC2A-41FC3A5B0762}"/>
    <cellStyle name="PSDec 10 3 3" xfId="24834" xr:uid="{600AE5CC-2F92-47F7-B224-39FB682C42B4}"/>
    <cellStyle name="PSDec 10 4" xfId="24835" xr:uid="{990BA731-4C8E-4F28-B6E7-3F6510C5F344}"/>
    <cellStyle name="PSDec 10 4 2" xfId="24836" xr:uid="{257D988A-3EA9-4474-81DB-0507C3F0E5E3}"/>
    <cellStyle name="PSDec 10 4 2 2" xfId="24837" xr:uid="{B926B9EC-17B6-4E06-8CF4-8A07CFB06080}"/>
    <cellStyle name="PSDec 10 4 3" xfId="24838" xr:uid="{22D651FC-2430-4DAC-83A7-1E0D925A9DB3}"/>
    <cellStyle name="PSDec 10 5" xfId="24839" xr:uid="{95773E3E-207E-461B-8C1C-A9C449D12B43}"/>
    <cellStyle name="PSDec 10 5 2" xfId="24840" xr:uid="{45D5B759-22E2-4A11-80D9-F83AA7E9F5D8}"/>
    <cellStyle name="PSDec 10 5 2 2" xfId="24841" xr:uid="{155527CD-C6C3-4358-9265-2F0C0B9456FA}"/>
    <cellStyle name="PSDec 10 5 3" xfId="24842" xr:uid="{E9616D45-4670-4EE7-886B-15F235EAE926}"/>
    <cellStyle name="PSDec 10 6" xfId="24843" xr:uid="{761CC87B-B9BC-4414-BD7A-D1574BA19D3F}"/>
    <cellStyle name="PSDec 10 6 2" xfId="24844" xr:uid="{D1753A08-D75C-4166-8892-C1857D083807}"/>
    <cellStyle name="PSDec 10 7" xfId="24845" xr:uid="{E63C2A1E-3962-4A9C-ABBD-C21088F30739}"/>
    <cellStyle name="PSDec 11" xfId="24846" xr:uid="{8BBA6E50-ED3F-447B-9580-CF6904C05E5D}"/>
    <cellStyle name="PSDec 11 2" xfId="24847" xr:uid="{006EBC52-8FEA-4B6C-A0D9-8DB73C396B29}"/>
    <cellStyle name="PSDec 11 2 2" xfId="24848" xr:uid="{611B9BB9-C084-4715-A223-3F3FA7219CAE}"/>
    <cellStyle name="PSDec 11 2 2 2" xfId="24849" xr:uid="{12346C63-DAB1-47AA-BE53-B6DC62572F6D}"/>
    <cellStyle name="PSDec 11 2 3" xfId="24850" xr:uid="{018690A8-76BC-4609-8969-F7F51379DA7B}"/>
    <cellStyle name="PSDec 11 3" xfId="24851" xr:uid="{E92B4DD8-9BFE-4336-BD39-C84B2775E0F7}"/>
    <cellStyle name="PSDec 11 3 2" xfId="24852" xr:uid="{3F4AD41D-A0CE-454E-B0B1-AC5EF66D434D}"/>
    <cellStyle name="PSDec 11 3 2 2" xfId="24853" xr:uid="{58DF7ED4-DC7B-4596-A255-35F5A55E1DC4}"/>
    <cellStyle name="PSDec 11 3 3" xfId="24854" xr:uid="{5DEC729D-D213-47A3-9489-57603E30B333}"/>
    <cellStyle name="PSDec 11 4" xfId="24855" xr:uid="{ACEDF5D1-70C8-4A37-98F0-5F44CB3A66F7}"/>
    <cellStyle name="PSDec 11 4 2" xfId="24856" xr:uid="{CCEEA3B2-0222-48C9-80E6-47BEC1065002}"/>
    <cellStyle name="PSDec 11 4 2 2" xfId="24857" xr:uid="{79BED748-F75A-42C8-ADBE-E97A7DB4C4D9}"/>
    <cellStyle name="PSDec 11 4 3" xfId="24858" xr:uid="{04EBF477-6215-4CDD-8BF2-2A49DD832677}"/>
    <cellStyle name="PSDec 11 5" xfId="24859" xr:uid="{DDFC7E9B-763E-46AB-B928-D437E65661BD}"/>
    <cellStyle name="PSDec 11 5 2" xfId="24860" xr:uid="{97886B83-95A4-49DF-AC84-3AC62E88C630}"/>
    <cellStyle name="PSDec 11 5 2 2" xfId="24861" xr:uid="{3ADD2999-90CD-4985-A707-5B675D6C5727}"/>
    <cellStyle name="PSDec 11 5 3" xfId="24862" xr:uid="{9173F40A-1A9B-4C12-8F7F-BC5936168BC3}"/>
    <cellStyle name="PSDec 11 6" xfId="24863" xr:uid="{D34FC778-DA45-4359-A883-31B046582216}"/>
    <cellStyle name="PSDec 11 6 2" xfId="24864" xr:uid="{2D5E414E-C0AA-4A59-A0FE-6421B8DE3C5C}"/>
    <cellStyle name="PSDec 11 7" xfId="24865" xr:uid="{B5945B60-1D00-4031-9C0C-94F82E76C728}"/>
    <cellStyle name="PSDec 12" xfId="24866" xr:uid="{29FEC84C-A808-4EDA-AA10-E083CFC6F9D6}"/>
    <cellStyle name="PSDec 12 2" xfId="24867" xr:uid="{79AE9BFF-00AC-49F0-B41E-7D4B752B0C24}"/>
    <cellStyle name="PSDec 12 2 2" xfId="24868" xr:uid="{03F1D100-2720-470C-8D55-6F693EE23D7B}"/>
    <cellStyle name="PSDec 12 2 2 2" xfId="24869" xr:uid="{B55544FB-1936-4273-B712-C4571AF542F7}"/>
    <cellStyle name="PSDec 12 2 3" xfId="24870" xr:uid="{F3576026-0070-4A83-B9DC-3F9FC220E8A9}"/>
    <cellStyle name="PSDec 12 3" xfId="24871" xr:uid="{4434C80E-EA76-46C4-B33C-9310D282A283}"/>
    <cellStyle name="PSDec 12 3 2" xfId="24872" xr:uid="{EF91F197-C66B-41E6-B235-630080B50D6A}"/>
    <cellStyle name="PSDec 12 3 2 2" xfId="24873" xr:uid="{DBF6DC4F-5998-47A1-B6A5-D3EF85D838B6}"/>
    <cellStyle name="PSDec 12 3 3" xfId="24874" xr:uid="{259C1D80-8139-4A94-B132-F4C93B1EE252}"/>
    <cellStyle name="PSDec 12 4" xfId="24875" xr:uid="{F1A3A6CF-EA32-43CD-983D-8C6FFB13FFA3}"/>
    <cellStyle name="PSDec 12 4 2" xfId="24876" xr:uid="{31DD4057-432E-4EE1-A308-CFF534E5BD7F}"/>
    <cellStyle name="PSDec 12 4 2 2" xfId="24877" xr:uid="{1C2B698B-7EE4-4FE8-8277-19F4A2BD8446}"/>
    <cellStyle name="PSDec 12 4 3" xfId="24878" xr:uid="{0D154EF1-711C-4CE6-BDBB-45B4650718F8}"/>
    <cellStyle name="PSDec 12 5" xfId="24879" xr:uid="{DA8E8217-9A58-4835-ACAE-5A355A29C110}"/>
    <cellStyle name="PSDec 12 5 2" xfId="24880" xr:uid="{A226AC61-C853-43BF-B540-99187B722286}"/>
    <cellStyle name="PSDec 12 5 2 2" xfId="24881" xr:uid="{35E7AFB2-90B9-4AC5-B771-BB8E83CB71E3}"/>
    <cellStyle name="PSDec 12 5 3" xfId="24882" xr:uid="{DBC0EC04-B1F7-43A6-846C-63E320185681}"/>
    <cellStyle name="PSDec 12 6" xfId="24883" xr:uid="{4C4A1833-5022-4120-B4B8-1818ED290E70}"/>
    <cellStyle name="PSDec 12 6 2" xfId="24884" xr:uid="{E2D93738-FA13-4FBD-958E-0CDE3BA2A700}"/>
    <cellStyle name="PSDec 12 7" xfId="24885" xr:uid="{40B51AB9-B9EA-4903-A10F-68947280BC5C}"/>
    <cellStyle name="PSDec 13" xfId="24886" xr:uid="{8B6BE2D5-69AB-4786-B355-5A46056C1A42}"/>
    <cellStyle name="PSDec 13 2" xfId="24887" xr:uid="{FBD6843F-8ACE-485F-B641-094D268598A6}"/>
    <cellStyle name="PSDec 13 2 2" xfId="24888" xr:uid="{390C07C5-1275-4CE8-96BB-933202EDB851}"/>
    <cellStyle name="PSDec 13 2 2 2" xfId="24889" xr:uid="{90950E94-180F-43F6-9684-EA89CF1B9714}"/>
    <cellStyle name="PSDec 13 2 3" xfId="24890" xr:uid="{8FCE0F05-90C5-4DAE-B78A-A1CB16C22024}"/>
    <cellStyle name="PSDec 13 3" xfId="24891" xr:uid="{2C02BBCD-1DBB-40DA-8284-5276B1C03CDD}"/>
    <cellStyle name="PSDec 13 3 2" xfId="24892" xr:uid="{ADED6981-6690-402C-9D49-9BE78678DE70}"/>
    <cellStyle name="PSDec 13 3 2 2" xfId="24893" xr:uid="{5205AA41-945F-4362-AB5B-B1798FB852F1}"/>
    <cellStyle name="PSDec 13 3 3" xfId="24894" xr:uid="{5F04A26F-5FA0-47AB-BBCD-099DDD84A7E5}"/>
    <cellStyle name="PSDec 13 4" xfId="24895" xr:uid="{B38F7DB4-52E1-4337-BE22-CB070A0E756F}"/>
    <cellStyle name="PSDec 13 4 2" xfId="24896" xr:uid="{86D08238-6F45-4165-8C66-4A7AB417D03D}"/>
    <cellStyle name="PSDec 13 4 2 2" xfId="24897" xr:uid="{3C92D344-C15A-4CD8-AEA4-127DD1F68168}"/>
    <cellStyle name="PSDec 13 4 3" xfId="24898" xr:uid="{76DB3FD7-0ED7-44D6-B2A5-AFF9408DD280}"/>
    <cellStyle name="PSDec 13 5" xfId="24899" xr:uid="{372E6655-2A20-4B12-86B6-35BB85F17895}"/>
    <cellStyle name="PSDec 13 5 2" xfId="24900" xr:uid="{63584C52-E984-472F-BA2F-63F9BBAA3010}"/>
    <cellStyle name="PSDec 13 5 2 2" xfId="24901" xr:uid="{3F3DDCD7-D7C7-426E-A7B8-508ADA5B6D5B}"/>
    <cellStyle name="PSDec 13 5 3" xfId="24902" xr:uid="{A873BBFD-ADCF-4E19-BDDC-350B90FE3F9F}"/>
    <cellStyle name="PSDec 13 6" xfId="24903" xr:uid="{34BBD68A-0547-4636-9E85-21138C348347}"/>
    <cellStyle name="PSDec 13 6 2" xfId="24904" xr:uid="{5A87FB47-544A-400C-AE61-EDD704CEB58E}"/>
    <cellStyle name="PSDec 13 7" xfId="24905" xr:uid="{CC14E1E7-C074-4355-85A0-BF5E181E957E}"/>
    <cellStyle name="PSDec 14" xfId="24906" xr:uid="{282DC4A4-5B21-4252-9ED3-48CE8E70147D}"/>
    <cellStyle name="PSDec 14 2" xfId="24907" xr:uid="{1D2430B7-3B0B-47C5-BE6D-C23828972627}"/>
    <cellStyle name="PSDec 14 2 2" xfId="24908" xr:uid="{0962B937-3A53-44AD-9565-1EE3ED3DD80B}"/>
    <cellStyle name="PSDec 14 2 2 2" xfId="24909" xr:uid="{2996AC35-95C3-40A7-861C-2B99D4BE789B}"/>
    <cellStyle name="PSDec 14 2 3" xfId="24910" xr:uid="{DE89E6B5-9EC2-49B7-9E2B-A7898E94E14C}"/>
    <cellStyle name="PSDec 14 3" xfId="24911" xr:uid="{975FF954-AC5B-40D2-AC45-7AE9F787303A}"/>
    <cellStyle name="PSDec 14 3 2" xfId="24912" xr:uid="{81DFBA52-CBF3-45BB-A9D4-A451880A0828}"/>
    <cellStyle name="PSDec 14 3 2 2" xfId="24913" xr:uid="{35535F85-950B-4F51-A198-3AE5E2C09CCB}"/>
    <cellStyle name="PSDec 14 3 3" xfId="24914" xr:uid="{3715E5F6-BC5E-4D89-A228-6BBD36BAE88E}"/>
    <cellStyle name="PSDec 14 4" xfId="24915" xr:uid="{41D43B11-E272-4904-9020-42C4173CC0D7}"/>
    <cellStyle name="PSDec 14 4 2" xfId="24916" xr:uid="{B5E6BEA8-E3D0-47C5-AC08-AEA50E231218}"/>
    <cellStyle name="PSDec 14 4 2 2" xfId="24917" xr:uid="{6B58DBB3-C33D-40AB-95A2-F4D6BFC23C77}"/>
    <cellStyle name="PSDec 14 4 3" xfId="24918" xr:uid="{A73AEBDC-77D9-4278-AD90-A13A61B5B9A7}"/>
    <cellStyle name="PSDec 14 5" xfId="24919" xr:uid="{CAB5E485-3A2C-465A-8CD7-22DC5B567BE7}"/>
    <cellStyle name="PSDec 14 5 2" xfId="24920" xr:uid="{E2A3F0F0-46E9-4953-9701-B01B946AFAE1}"/>
    <cellStyle name="PSDec 14 5 2 2" xfId="24921" xr:uid="{A3B07C17-A988-461A-9CC8-BDF3B6DE0047}"/>
    <cellStyle name="PSDec 14 5 3" xfId="24922" xr:uid="{FE977DF0-D96E-494B-82F6-903A999AF862}"/>
    <cellStyle name="PSDec 14 6" xfId="24923" xr:uid="{3AE7A8B5-7CF0-48DF-B958-6ADD86C72058}"/>
    <cellStyle name="PSDec 14 6 2" xfId="24924" xr:uid="{6EE4957B-282E-4F31-A2CD-CA7EC567329A}"/>
    <cellStyle name="PSDec 14 7" xfId="24925" xr:uid="{788D5743-5463-4296-8EBB-651638761D84}"/>
    <cellStyle name="PSDec 15" xfId="24926" xr:uid="{E5996D6A-F007-44E9-A897-B8B077EC1A40}"/>
    <cellStyle name="PSDec 15 2" xfId="24927" xr:uid="{A2A8B47A-6BC7-4B94-80B7-F4D3D0134DA2}"/>
    <cellStyle name="PSDec 15 2 2" xfId="24928" xr:uid="{F8E575B5-240C-4C95-A283-CEABC16B9008}"/>
    <cellStyle name="PSDec 15 2 2 2" xfId="24929" xr:uid="{AB8C5D56-039D-414A-8EE6-82955508DD8E}"/>
    <cellStyle name="PSDec 15 2 3" xfId="24930" xr:uid="{96EB40E4-1809-411D-BD82-8B887A68CB11}"/>
    <cellStyle name="PSDec 15 3" xfId="24931" xr:uid="{ABA4C0DA-39D1-4442-9D72-550CD817EAA0}"/>
    <cellStyle name="PSDec 15 3 2" xfId="24932" xr:uid="{0DD97C4D-5332-4129-B7B8-567B89F3FF93}"/>
    <cellStyle name="PSDec 15 3 2 2" xfId="24933" xr:uid="{39AF6BE4-47C0-456A-8E79-26E52703A8AA}"/>
    <cellStyle name="PSDec 15 3 3" xfId="24934" xr:uid="{34066630-2175-42AA-9A10-887B766D1928}"/>
    <cellStyle name="PSDec 15 4" xfId="24935" xr:uid="{D4551F4A-091A-4C11-889E-01DDAC1C3D1E}"/>
    <cellStyle name="PSDec 15 4 2" xfId="24936" xr:uid="{6C1E6B61-D7AF-4FA8-B417-A6DEEA0A4CFF}"/>
    <cellStyle name="PSDec 15 4 2 2" xfId="24937" xr:uid="{3DDB658D-1BB3-4112-A0F1-31A9261DBD51}"/>
    <cellStyle name="PSDec 15 4 3" xfId="24938" xr:uid="{CB2422F5-1130-4B08-93B1-40A5E205FDF8}"/>
    <cellStyle name="PSDec 15 5" xfId="24939" xr:uid="{34E2DFE5-685D-4558-B6B2-08417858152F}"/>
    <cellStyle name="PSDec 15 5 2" xfId="24940" xr:uid="{5EAEA2CB-FDD7-4980-82CA-6AAAB5D51258}"/>
    <cellStyle name="PSDec 15 5 2 2" xfId="24941" xr:uid="{35F84094-1D5C-4EF7-A7A1-B15B22A54395}"/>
    <cellStyle name="PSDec 15 5 3" xfId="24942" xr:uid="{36F6EF50-CC27-4183-B1D7-79CF1C979178}"/>
    <cellStyle name="PSDec 15 6" xfId="24943" xr:uid="{B5DCD9E1-2A93-4113-8CB7-1B05E3D4ABBA}"/>
    <cellStyle name="PSDec 15 6 2" xfId="24944" xr:uid="{3AC9089F-4F32-4DE5-8B74-2437BF92A2BC}"/>
    <cellStyle name="PSDec 15 7" xfId="24945" xr:uid="{312BB3C3-4187-4FD6-9D60-670E3280674A}"/>
    <cellStyle name="PSDec 16" xfId="24946" xr:uid="{5F23DD58-CC7F-4560-948C-63294F9972DB}"/>
    <cellStyle name="PSDec 16 2" xfId="24947" xr:uid="{C767907A-3C68-4C6D-88F9-BA95E72B256F}"/>
    <cellStyle name="PSDec 17" xfId="24948" xr:uid="{3C16DBE9-802D-427F-9E0B-40716DD9D9BA}"/>
    <cellStyle name="PSDec 18" xfId="24949" xr:uid="{5C304DF7-94F6-4208-B327-F8C32271BB1D}"/>
    <cellStyle name="PSDec 18 2" xfId="24950" xr:uid="{CB5A50AC-7DC2-4C03-A3BE-D72CADE3089F}"/>
    <cellStyle name="PSDec 18 3" xfId="24951" xr:uid="{6CA778E0-4F46-470D-82D8-C8DEBE59B388}"/>
    <cellStyle name="PSDec 2" xfId="24952" xr:uid="{5EB3B613-352B-48F2-844B-A4BE8E98EAA8}"/>
    <cellStyle name="PSDec 2 10" xfId="24953" xr:uid="{47919221-A34C-448F-808E-CFD636BAA324}"/>
    <cellStyle name="PSDec 2 10 2" xfId="24954" xr:uid="{0C00C083-D535-46A7-8B25-3D026A964ABF}"/>
    <cellStyle name="PSDec 2 11" xfId="24955" xr:uid="{130C4198-2CF6-4495-8FD2-974DDC9EB87B}"/>
    <cellStyle name="PSDec 2 2" xfId="24956" xr:uid="{C9BAF116-F7BD-471A-AEE4-23145B28633E}"/>
    <cellStyle name="PSDec 2 2 2" xfId="24957" xr:uid="{3FD53382-40B0-4732-844A-51E7E25B46B2}"/>
    <cellStyle name="PSDec 2 2 2 2" xfId="24958" xr:uid="{D7301AE1-898F-489B-B9D2-EDA8158768FA}"/>
    <cellStyle name="PSDec 2 2 3" xfId="24959" xr:uid="{95E3954E-D75C-4869-A7B6-9955513B8B5E}"/>
    <cellStyle name="PSDec 2 3" xfId="24960" xr:uid="{62BAFA70-ED6B-4FEA-97ED-D927D29C9C98}"/>
    <cellStyle name="PSDec 2 3 2" xfId="24961" xr:uid="{0ED4AFFD-4C03-48BD-955E-E5274A657A42}"/>
    <cellStyle name="PSDec 2 3 2 2" xfId="24962" xr:uid="{2FF21CB7-D386-4F17-8376-AC457541294A}"/>
    <cellStyle name="PSDec 2 3 3" xfId="24963" xr:uid="{EEB6F6FC-9E4C-4E26-A2C0-0CC1DE492644}"/>
    <cellStyle name="PSDec 2 4" xfId="24964" xr:uid="{ED8BAEB8-748E-42B0-8213-C77FB32808B4}"/>
    <cellStyle name="PSDec 2 4 2" xfId="24965" xr:uid="{3EBF2B0D-6244-4B51-8388-21D8F1408D84}"/>
    <cellStyle name="PSDec 2 4 2 2" xfId="24966" xr:uid="{59C58B31-AD2F-4AAD-B2CE-6A550B7F0BC0}"/>
    <cellStyle name="PSDec 2 4 3" xfId="24967" xr:uid="{B66AEFBE-E9C4-426C-ABE5-534BF28CB842}"/>
    <cellStyle name="PSDec 2 5" xfId="24968" xr:uid="{25C3AF7A-E0E0-4E65-911F-44C13DEE3D38}"/>
    <cellStyle name="PSDec 2 5 2" xfId="24969" xr:uid="{B609BC74-2998-452F-9C0A-A29F888EF3D1}"/>
    <cellStyle name="PSDec 2 5 2 2" xfId="24970" xr:uid="{DD5F318A-DCD5-4069-99BF-DBB367C90764}"/>
    <cellStyle name="PSDec 2 5 3" xfId="24971" xr:uid="{278DBC51-267F-4D9F-B4FC-8D8979933FA2}"/>
    <cellStyle name="PSDec 2 6" xfId="24972" xr:uid="{472341AB-3096-401B-9CEC-9C6A8D15E061}"/>
    <cellStyle name="PSDec 2 6 2" xfId="24973" xr:uid="{9823FB32-3FCC-40FA-89C1-3695B858C2BE}"/>
    <cellStyle name="PSDec 2 6 2 2" xfId="24974" xr:uid="{F969E9B5-DDDD-402B-891B-84EE3A956C60}"/>
    <cellStyle name="PSDec 2 6 3" xfId="24975" xr:uid="{5DF20463-0400-43E0-8007-3EE738C0DA70}"/>
    <cellStyle name="PSDec 2 7" xfId="24976" xr:uid="{5AC798C1-55F7-4BFA-9304-CBDA30BECF87}"/>
    <cellStyle name="PSDec 2 7 2" xfId="24977" xr:uid="{4FF08483-F5DA-4942-A550-EE540495E035}"/>
    <cellStyle name="PSDec 2 7 2 2" xfId="24978" xr:uid="{F205D587-8A7F-47B9-9E7E-41CFB9C40095}"/>
    <cellStyle name="PSDec 2 7 3" xfId="24979" xr:uid="{D72F43DF-B8B4-4412-8CFF-900B40DE976E}"/>
    <cellStyle name="PSDec 2 8" xfId="24980" xr:uid="{9BC2F24F-2D9E-4F86-A493-95D0D6A21BBB}"/>
    <cellStyle name="PSDec 2 8 2" xfId="24981" xr:uid="{FD8B162F-F439-4152-AD6B-478C9B0F046D}"/>
    <cellStyle name="PSDec 2 8 2 2" xfId="24982" xr:uid="{8BC0A0D9-8005-4659-921C-03B179A47437}"/>
    <cellStyle name="PSDec 2 8 3" xfId="24983" xr:uid="{CAB0609F-7189-44CE-81E7-4F4A8F79AE98}"/>
    <cellStyle name="PSDec 2 9" xfId="24984" xr:uid="{35E6AD8B-AA40-4DE9-93A4-569E2345DDB8}"/>
    <cellStyle name="PSDec 2 9 2" xfId="24985" xr:uid="{A9831882-0E24-419B-87E6-E738A6159324}"/>
    <cellStyle name="PSDec 2 9 2 2" xfId="24986" xr:uid="{9A1A90CB-B334-42B7-9BD1-BCBA290816C1}"/>
    <cellStyle name="PSDec 2 9 3" xfId="24987" xr:uid="{07FD639F-1475-4429-BFD4-D23DA1273811}"/>
    <cellStyle name="PSDec 3" xfId="24988" xr:uid="{D968433D-6510-429B-A699-C84E87AFB57C}"/>
    <cellStyle name="PSDec 3 10" xfId="24989" xr:uid="{09E7CE14-CA8F-45FD-92F5-D70AF13A5EAA}"/>
    <cellStyle name="PSDec 3 10 2" xfId="24990" xr:uid="{3EE36DAD-383F-4C03-9228-B2BF3C5391AF}"/>
    <cellStyle name="PSDec 3 11" xfId="24991" xr:uid="{3BB1758D-E026-4BDC-AC74-0CDA50FCB9EF}"/>
    <cellStyle name="PSDec 3 2" xfId="24992" xr:uid="{E559C55B-4E74-4287-AD28-238A685F40DC}"/>
    <cellStyle name="PSDec 3 2 2" xfId="24993" xr:uid="{DCA50A76-D2EE-42FC-A05E-7B3AE8061125}"/>
    <cellStyle name="PSDec 3 2 2 2" xfId="24994" xr:uid="{391C58BD-B18B-4518-985B-F5956E6F477A}"/>
    <cellStyle name="PSDec 3 2 3" xfId="24995" xr:uid="{E58AC2AF-B0EC-401A-BE1C-8CA75A7FF6EC}"/>
    <cellStyle name="PSDec 3 3" xfId="24996" xr:uid="{64663730-BEDD-47DF-9D58-1F4250334FB2}"/>
    <cellStyle name="PSDec 3 3 2" xfId="24997" xr:uid="{68BABD4E-DD93-4A0E-9CD5-28727C048DFE}"/>
    <cellStyle name="PSDec 3 3 2 2" xfId="24998" xr:uid="{6B83328E-F410-4F92-8669-EAF781C59202}"/>
    <cellStyle name="PSDec 3 3 3" xfId="24999" xr:uid="{E92DE651-2CC5-4F99-87F2-761D3DCCA09B}"/>
    <cellStyle name="PSDec 3 4" xfId="25000" xr:uid="{5FF62CF0-42DD-4068-83F0-DD1C3CDA5DC4}"/>
    <cellStyle name="PSDec 3 4 2" xfId="25001" xr:uid="{F8A0DFDB-F2F2-4FE5-98DA-2B3271FAFB88}"/>
    <cellStyle name="PSDec 3 4 2 2" xfId="25002" xr:uid="{8D0B4D3E-955E-4B48-990E-896F9C059090}"/>
    <cellStyle name="PSDec 3 4 3" xfId="25003" xr:uid="{C8EC5D0A-8AC4-438B-A473-7DA268BCDE94}"/>
    <cellStyle name="PSDec 3 5" xfId="25004" xr:uid="{350DE500-7767-41E8-8F9F-B8F6978CC7C3}"/>
    <cellStyle name="PSDec 3 5 2" xfId="25005" xr:uid="{95951BA2-8EDE-4156-84D1-743A2E4AFF03}"/>
    <cellStyle name="PSDec 3 5 2 2" xfId="25006" xr:uid="{A8C0DAFC-0A04-4EFC-BACA-BCBEBC015573}"/>
    <cellStyle name="PSDec 3 5 3" xfId="25007" xr:uid="{D281F588-36CA-43B0-8B07-741C3B92DA9F}"/>
    <cellStyle name="PSDec 3 6" xfId="25008" xr:uid="{DADDF5DA-7612-49DC-9E1B-90574AB3C156}"/>
    <cellStyle name="PSDec 3 6 2" xfId="25009" xr:uid="{0E87D2CA-6996-4380-88A4-56E31F7CF6AB}"/>
    <cellStyle name="PSDec 3 6 2 2" xfId="25010" xr:uid="{30070D99-9891-4B38-B80A-BB31EE0172F3}"/>
    <cellStyle name="PSDec 3 6 3" xfId="25011" xr:uid="{43664318-B5DE-45C4-A2FD-0B4E72EDA954}"/>
    <cellStyle name="PSDec 3 7" xfId="25012" xr:uid="{88D70091-5164-4E13-91BD-22C19FB73A14}"/>
    <cellStyle name="PSDec 3 7 2" xfId="25013" xr:uid="{BFD168C7-DE47-4402-B23C-CD1FB878C15B}"/>
    <cellStyle name="PSDec 3 7 2 2" xfId="25014" xr:uid="{694423E0-CAAA-4E2B-99D8-2020F495FCF9}"/>
    <cellStyle name="PSDec 3 7 3" xfId="25015" xr:uid="{E533FD3A-24DA-42AD-87BC-DAF7A549F288}"/>
    <cellStyle name="PSDec 3 8" xfId="25016" xr:uid="{942EDE35-86B6-400E-8163-B7EDD9F7B31F}"/>
    <cellStyle name="PSDec 3 8 2" xfId="25017" xr:uid="{50E2966E-6EDE-4183-A8D0-1CBEAE724C94}"/>
    <cellStyle name="PSDec 3 8 2 2" xfId="25018" xr:uid="{E3E2AF8F-1768-49CA-9F66-095EFA25992C}"/>
    <cellStyle name="PSDec 3 8 3" xfId="25019" xr:uid="{37CD7917-3DAB-40CD-BBF8-27238D63B1B0}"/>
    <cellStyle name="PSDec 3 9" xfId="25020" xr:uid="{C005ECC1-94FF-4BB3-A9C7-109A2E082BCB}"/>
    <cellStyle name="PSDec 3 9 2" xfId="25021" xr:uid="{2B64A470-550F-4AC2-9902-E0A06E8DCD56}"/>
    <cellStyle name="PSDec 3 9 2 2" xfId="25022" xr:uid="{35AEA3B8-E84E-4FBE-8961-7D6CC4D2DCED}"/>
    <cellStyle name="PSDec 3 9 3" xfId="25023" xr:uid="{0D6341B0-C699-4AF3-ADC9-1E1AF81CC172}"/>
    <cellStyle name="PSDec 4" xfId="25024" xr:uid="{6E95D474-7490-4344-904B-A6812B141CA8}"/>
    <cellStyle name="PSDec 4 10" xfId="25025" xr:uid="{5E22DA6A-BC3F-4914-8336-6E2E8A822A06}"/>
    <cellStyle name="PSDec 4 10 2" xfId="25026" xr:uid="{EDDA0D90-9121-483C-AB8D-B6FFFD791975}"/>
    <cellStyle name="PSDec 4 11" xfId="25027" xr:uid="{B451D7BB-C2AD-4339-91E7-F638CACF5BB5}"/>
    <cellStyle name="PSDec 4 2" xfId="25028" xr:uid="{42ADECD6-592D-4E0E-99DC-90B15D7E53DD}"/>
    <cellStyle name="PSDec 4 2 2" xfId="25029" xr:uid="{0461F453-CE81-40BD-BC3C-8FFEEC72483B}"/>
    <cellStyle name="PSDec 4 2 2 2" xfId="25030" xr:uid="{8EFB7D72-93CB-4DCE-967D-1C03F8B989C8}"/>
    <cellStyle name="PSDec 4 2 3" xfId="25031" xr:uid="{576E5723-30B4-478F-8CF0-A4521C45C45F}"/>
    <cellStyle name="PSDec 4 3" xfId="25032" xr:uid="{862732E2-B32B-45E2-BE78-BB97F2042327}"/>
    <cellStyle name="PSDec 4 3 2" xfId="25033" xr:uid="{4F64441A-8649-4D8D-95CD-C35089DBB36E}"/>
    <cellStyle name="PSDec 4 3 2 2" xfId="25034" xr:uid="{F6667B14-44E2-43E1-AF79-27BB94635E55}"/>
    <cellStyle name="PSDec 4 3 3" xfId="25035" xr:uid="{D246C679-6B60-45FC-A828-0271063D2C04}"/>
    <cellStyle name="PSDec 4 4" xfId="25036" xr:uid="{98AD804F-76D2-4F97-A260-90343213CBD8}"/>
    <cellStyle name="PSDec 4 4 2" xfId="25037" xr:uid="{0321B7EF-2B70-4D5F-9FCA-6820ACBB5EA7}"/>
    <cellStyle name="PSDec 4 4 2 2" xfId="25038" xr:uid="{73669FB8-6CE5-4C31-9D67-94FD9113DE4D}"/>
    <cellStyle name="PSDec 4 4 3" xfId="25039" xr:uid="{BF20362F-DEAE-49F3-97BB-FBE8EFA3E70B}"/>
    <cellStyle name="PSDec 4 5" xfId="25040" xr:uid="{78B05A41-854D-47D0-8969-A4589CD4E9D1}"/>
    <cellStyle name="PSDec 4 5 2" xfId="25041" xr:uid="{4E2802A3-7632-4D39-85BC-E3DC5B3DDF7F}"/>
    <cellStyle name="PSDec 4 5 2 2" xfId="25042" xr:uid="{01EBCCB4-254F-4024-9B2F-F05C0EA69DC2}"/>
    <cellStyle name="PSDec 4 5 3" xfId="25043" xr:uid="{39D54845-7DF0-40C7-9460-72FD96D11DA8}"/>
    <cellStyle name="PSDec 4 6" xfId="25044" xr:uid="{3210D9F7-A5A7-4952-8FD6-CC570630530D}"/>
    <cellStyle name="PSDec 4 6 2" xfId="25045" xr:uid="{317468F9-BD4E-419D-9900-106335519092}"/>
    <cellStyle name="PSDec 4 6 2 2" xfId="25046" xr:uid="{04BFFCC2-C178-4C98-8643-84EA56FD2E4C}"/>
    <cellStyle name="PSDec 4 6 3" xfId="25047" xr:uid="{DE85126B-3E8E-44F7-8128-9D18F430FAB6}"/>
    <cellStyle name="PSDec 4 7" xfId="25048" xr:uid="{A2AD7814-FC19-474E-9402-1A6462F788AE}"/>
    <cellStyle name="PSDec 4 7 2" xfId="25049" xr:uid="{ABAEB4BF-FD61-4801-B076-3B312FC43498}"/>
    <cellStyle name="PSDec 4 7 2 2" xfId="25050" xr:uid="{06C0EED4-FC32-44C2-803D-4EFD75B28C63}"/>
    <cellStyle name="PSDec 4 7 3" xfId="25051" xr:uid="{80EC3606-6276-4C67-8102-498DA1E82679}"/>
    <cellStyle name="PSDec 4 8" xfId="25052" xr:uid="{8CF6557F-D729-4C54-AC13-F3171296DD9F}"/>
    <cellStyle name="PSDec 4 8 2" xfId="25053" xr:uid="{9D90CE3C-9EB6-46BC-BA6E-4ADD9B6A887F}"/>
    <cellStyle name="PSDec 4 8 2 2" xfId="25054" xr:uid="{DD210D40-F214-4BCB-95F0-7BFECAC6D155}"/>
    <cellStyle name="PSDec 4 8 3" xfId="25055" xr:uid="{128A165E-B4DA-431E-8AF2-3C8FD97210F0}"/>
    <cellStyle name="PSDec 4 9" xfId="25056" xr:uid="{C445B44E-262C-4DBF-9CDE-1385BE3D59B9}"/>
    <cellStyle name="PSDec 4 9 2" xfId="25057" xr:uid="{4F650190-4A04-4723-BCCC-A0189ADE4215}"/>
    <cellStyle name="PSDec 4 9 2 2" xfId="25058" xr:uid="{635A17DA-6030-43EB-AAD3-07E35FC26500}"/>
    <cellStyle name="PSDec 4 9 3" xfId="25059" xr:uid="{66A01678-9DBA-4E66-9FF3-22037ED40E1A}"/>
    <cellStyle name="PSDec 5" xfId="25060" xr:uid="{B99A891D-E1CC-448B-8C7E-046EDE813794}"/>
    <cellStyle name="PSDec 5 10" xfId="25061" xr:uid="{A3D29B68-7F51-4017-BDF1-F760209BC267}"/>
    <cellStyle name="PSDec 5 10 2" xfId="25062" xr:uid="{24E92EFF-DFDD-4580-A616-457D255D2BF2}"/>
    <cellStyle name="PSDec 5 11" xfId="25063" xr:uid="{6C3BCAB4-B3F9-4FA4-AD7B-0BA6FA4E66D7}"/>
    <cellStyle name="PSDec 5 2" xfId="25064" xr:uid="{A493CF6A-7BFD-4FF7-B28C-A2B66ABC32DD}"/>
    <cellStyle name="PSDec 5 2 2" xfId="25065" xr:uid="{9F945705-0D99-4D6C-AB19-05DA593BCEBD}"/>
    <cellStyle name="PSDec 5 2 2 2" xfId="25066" xr:uid="{868492AA-FDD5-4121-A590-5C09F2FA4A5D}"/>
    <cellStyle name="PSDec 5 2 3" xfId="25067" xr:uid="{FAD9C8C3-28F3-47BE-AA32-0358CC301459}"/>
    <cellStyle name="PSDec 5 3" xfId="25068" xr:uid="{66E97087-18EE-45F3-ACC6-2801DC9C6285}"/>
    <cellStyle name="PSDec 5 3 2" xfId="25069" xr:uid="{75EC232D-363F-414D-AFFF-575564464BCD}"/>
    <cellStyle name="PSDec 5 3 2 2" xfId="25070" xr:uid="{AD62F017-228F-4A85-A445-362F4B49F52C}"/>
    <cellStyle name="PSDec 5 3 3" xfId="25071" xr:uid="{2BFF7D23-803B-4F03-853F-F0F535CEE378}"/>
    <cellStyle name="PSDec 5 4" xfId="25072" xr:uid="{E14EC186-21B6-4825-9713-08403A4CD0D8}"/>
    <cellStyle name="PSDec 5 4 2" xfId="25073" xr:uid="{962806B6-FFDA-4BC8-8F99-65B82E8C3A8E}"/>
    <cellStyle name="PSDec 5 4 2 2" xfId="25074" xr:uid="{BE8A8558-2F2B-4420-AE7D-5B2C4243C8F3}"/>
    <cellStyle name="PSDec 5 4 3" xfId="25075" xr:uid="{CE0AC91E-DBA4-49B4-81D9-0B5EB4384CC2}"/>
    <cellStyle name="PSDec 5 5" xfId="25076" xr:uid="{8705DEA8-7382-4628-8B84-F145C6FD5E31}"/>
    <cellStyle name="PSDec 5 5 2" xfId="25077" xr:uid="{29CD997D-6049-4D9E-AA89-07F33D19B0A7}"/>
    <cellStyle name="PSDec 5 5 2 2" xfId="25078" xr:uid="{A6ACD4D0-FFB7-4C7E-A89D-1A398429A1C1}"/>
    <cellStyle name="PSDec 5 5 3" xfId="25079" xr:uid="{CA6C39B9-C00F-4426-B3BA-263A483707D1}"/>
    <cellStyle name="PSDec 5 6" xfId="25080" xr:uid="{E2BE8821-C18A-4983-A544-B6C2C5D3C8FD}"/>
    <cellStyle name="PSDec 5 6 2" xfId="25081" xr:uid="{26C5353B-E0DA-45A6-994F-B41EB4D1B2C0}"/>
    <cellStyle name="PSDec 5 6 2 2" xfId="25082" xr:uid="{CB1467D4-A06F-4D01-A76C-FBBEBC0A5C4C}"/>
    <cellStyle name="PSDec 5 6 3" xfId="25083" xr:uid="{FECBA647-C540-470F-BE4C-23B7636AA4F0}"/>
    <cellStyle name="PSDec 5 7" xfId="25084" xr:uid="{D987CB5A-587F-46AE-974B-DA48AC1BBA1A}"/>
    <cellStyle name="PSDec 5 7 2" xfId="25085" xr:uid="{F9A4200D-90BA-43F1-A0C4-D4D6CE47F828}"/>
    <cellStyle name="PSDec 5 7 2 2" xfId="25086" xr:uid="{2978760D-88F2-4DC0-A37D-2D2A183BA1D1}"/>
    <cellStyle name="PSDec 5 7 3" xfId="25087" xr:uid="{68883794-B146-4313-9A94-A2BFD54D2693}"/>
    <cellStyle name="PSDec 5 8" xfId="25088" xr:uid="{01D88D2E-59A9-4731-8992-46EC0DF85628}"/>
    <cellStyle name="PSDec 5 8 2" xfId="25089" xr:uid="{81BADCDB-AC46-4103-A200-BB46F707C7BE}"/>
    <cellStyle name="PSDec 5 8 2 2" xfId="25090" xr:uid="{0CE0D29A-1528-4E9F-9665-10763D2129B5}"/>
    <cellStyle name="PSDec 5 8 3" xfId="25091" xr:uid="{579D7458-ADE7-47C4-ADAC-884386E5D713}"/>
    <cellStyle name="PSDec 5 9" xfId="25092" xr:uid="{2ED7FF3C-DD21-4E81-823D-906F6A765117}"/>
    <cellStyle name="PSDec 5 9 2" xfId="25093" xr:uid="{4FC799DC-4022-46E6-A149-DFD2D209280F}"/>
    <cellStyle name="PSDec 5 9 2 2" xfId="25094" xr:uid="{C98F8940-F86D-4B7C-ADC7-25581B83EF84}"/>
    <cellStyle name="PSDec 5 9 3" xfId="25095" xr:uid="{B8E8DB1C-7803-448D-8F54-8C24AF40376F}"/>
    <cellStyle name="PSDec 6" xfId="25096" xr:uid="{59CAF531-639C-4DF5-B25A-4F4D293D7436}"/>
    <cellStyle name="PSDec 6 10" xfId="25097" xr:uid="{040E4C4B-28CC-4E91-86D4-33CBD2394813}"/>
    <cellStyle name="PSDec 6 10 2" xfId="25098" xr:uid="{B9C343FC-0A95-4D69-80C4-8F7D856F986B}"/>
    <cellStyle name="PSDec 6 11" xfId="25099" xr:uid="{B0C333E2-224B-4050-B6E2-066029B295BC}"/>
    <cellStyle name="PSDec 6 2" xfId="25100" xr:uid="{A864C7A8-C63C-445F-B03F-EB905C69C423}"/>
    <cellStyle name="PSDec 6 2 2" xfId="25101" xr:uid="{FD945FD6-4DE5-49F5-98AF-DB3DCE3304C3}"/>
    <cellStyle name="PSDec 6 2 2 2" xfId="25102" xr:uid="{959C0D56-7E3C-41A8-B9C3-5DBD8EA51068}"/>
    <cellStyle name="PSDec 6 2 3" xfId="25103" xr:uid="{8DE20A40-132F-416F-B6D0-B50A4FB12F52}"/>
    <cellStyle name="PSDec 6 3" xfId="25104" xr:uid="{1612A475-584F-49E2-A256-AFCEBF906270}"/>
    <cellStyle name="PSDec 6 3 2" xfId="25105" xr:uid="{BF27E715-77D2-486A-83CD-B8FBD35EB1C6}"/>
    <cellStyle name="PSDec 6 3 2 2" xfId="25106" xr:uid="{BF0ADD3D-E247-4BA5-A556-2718804B8893}"/>
    <cellStyle name="PSDec 6 3 3" xfId="25107" xr:uid="{68AB9672-A01C-4B7F-BA85-0E4CF8C6FCCF}"/>
    <cellStyle name="PSDec 6 4" xfId="25108" xr:uid="{9C578712-739D-4200-B98D-FC0B8EF02A7B}"/>
    <cellStyle name="PSDec 6 4 2" xfId="25109" xr:uid="{3CC364C5-E35D-40E5-B3E3-5DD8EE7B912E}"/>
    <cellStyle name="PSDec 6 4 2 2" xfId="25110" xr:uid="{3ADA0467-BA71-4313-9701-7E8CE2521EE4}"/>
    <cellStyle name="PSDec 6 4 3" xfId="25111" xr:uid="{54C5C20F-B388-472D-A565-E124E9FA4D27}"/>
    <cellStyle name="PSDec 6 5" xfId="25112" xr:uid="{219D9C84-07D8-4EEA-9671-4163E45044E3}"/>
    <cellStyle name="PSDec 6 5 2" xfId="25113" xr:uid="{30651BCF-248F-4235-AC20-C56685A3EE95}"/>
    <cellStyle name="PSDec 6 5 2 2" xfId="25114" xr:uid="{6C41A870-03F4-442D-9FF6-23841322551E}"/>
    <cellStyle name="PSDec 6 5 3" xfId="25115" xr:uid="{CA47546A-9596-4791-90D6-C6A1AFF98B06}"/>
    <cellStyle name="PSDec 6 6" xfId="25116" xr:uid="{384747B2-D974-49BB-9FC5-FFFDD3E35593}"/>
    <cellStyle name="PSDec 6 6 2" xfId="25117" xr:uid="{D84FA445-BFCC-4433-97FD-390324BF7FD9}"/>
    <cellStyle name="PSDec 6 6 2 2" xfId="25118" xr:uid="{FDD7E368-8BE1-4E10-95E3-4B618B6F8FDB}"/>
    <cellStyle name="PSDec 6 6 3" xfId="25119" xr:uid="{21904C93-D504-41EA-8EC9-843511074360}"/>
    <cellStyle name="PSDec 6 7" xfId="25120" xr:uid="{0E567B88-7A1E-452E-9384-8C99DB48177A}"/>
    <cellStyle name="PSDec 6 7 2" xfId="25121" xr:uid="{8C9F4B1D-8816-4270-A7B9-E9B77B262C1F}"/>
    <cellStyle name="PSDec 6 7 2 2" xfId="25122" xr:uid="{C3A6FC1A-7F52-43FF-824B-DCC2E22868F5}"/>
    <cellStyle name="PSDec 6 7 3" xfId="25123" xr:uid="{140D7AFD-5E8C-47C1-9497-638509BC2A9A}"/>
    <cellStyle name="PSDec 6 8" xfId="25124" xr:uid="{DE935B9E-3CDD-4F47-9993-0939613DB0AD}"/>
    <cellStyle name="PSDec 6 8 2" xfId="25125" xr:uid="{55C4ED87-B6AB-476A-B413-CD214E922633}"/>
    <cellStyle name="PSDec 6 8 2 2" xfId="25126" xr:uid="{6AE2D012-1244-4955-8DAD-110CC68FF494}"/>
    <cellStyle name="PSDec 6 8 3" xfId="25127" xr:uid="{9F36AF87-6749-47D0-BF28-8E9104B5EA1B}"/>
    <cellStyle name="PSDec 6 9" xfId="25128" xr:uid="{76C3BA02-9328-4A89-BC37-32E28AEF942A}"/>
    <cellStyle name="PSDec 6 9 2" xfId="25129" xr:uid="{DE0E9C90-B926-4AA3-8FF6-2DFA70329E7E}"/>
    <cellStyle name="PSDec 6 9 2 2" xfId="25130" xr:uid="{D59F8E3E-ECA7-4B3F-B718-3515AF1E9995}"/>
    <cellStyle name="PSDec 6 9 3" xfId="25131" xr:uid="{BECC2141-0061-4B8A-B469-87E94B38A3EB}"/>
    <cellStyle name="PSDec 7" xfId="25132" xr:uid="{BE515D7D-9676-45A7-AF7F-A60F91420DEA}"/>
    <cellStyle name="PSDec 7 2" xfId="25133" xr:uid="{F485359A-2B9D-4BFC-91CA-787B896A6D4D}"/>
    <cellStyle name="PSDec 7 2 2" xfId="25134" xr:uid="{CD4469EB-1009-4D4A-B74B-1D3F6D2A6208}"/>
    <cellStyle name="PSDec 7 2 2 2" xfId="25135" xr:uid="{A2D150CE-AFE0-41B6-B05E-1A5D1EE27162}"/>
    <cellStyle name="PSDec 7 2 3" xfId="25136" xr:uid="{6E8F5D77-A68A-49C2-85EC-7378B2827BB7}"/>
    <cellStyle name="PSDec 7 3" xfId="25137" xr:uid="{BBA2D27B-E836-4D16-9743-6AD05C9C270C}"/>
    <cellStyle name="PSDec 7 3 2" xfId="25138" xr:uid="{903A6F1C-F309-4A87-89CF-D1F06E415391}"/>
    <cellStyle name="PSDec 7 3 2 2" xfId="25139" xr:uid="{C3E064E0-C016-4E75-B912-47A374CF742C}"/>
    <cellStyle name="PSDec 7 3 3" xfId="25140" xr:uid="{3600FE2B-2549-4525-9075-635FC0A41327}"/>
    <cellStyle name="PSDec 7 4" xfId="25141" xr:uid="{9E888426-2885-4EED-806A-C106B3D2EC1D}"/>
    <cellStyle name="PSDec 7 4 2" xfId="25142" xr:uid="{9D6379AD-0E9F-4941-91D9-E72277E018AA}"/>
    <cellStyle name="PSDec 7 4 2 2" xfId="25143" xr:uid="{58F54A1C-0C3E-4C76-88CA-61BDEDE3F9D3}"/>
    <cellStyle name="PSDec 7 4 3" xfId="25144" xr:uid="{607D3133-C58A-47CB-B07E-69DC550D105F}"/>
    <cellStyle name="PSDec 7 5" xfId="25145" xr:uid="{A1B3F327-64C0-4576-AB2A-9AAE0029FBF1}"/>
    <cellStyle name="PSDec 7 5 2" xfId="25146" xr:uid="{30C06B36-5665-423F-8F89-B6A43BAF6B1F}"/>
    <cellStyle name="PSDec 7 5 2 2" xfId="25147" xr:uid="{0909DF38-38FA-4E5C-A6F8-E871DD1818EC}"/>
    <cellStyle name="PSDec 7 5 3" xfId="25148" xr:uid="{154270B5-9EA4-48B7-ACA9-C4916B1D8120}"/>
    <cellStyle name="PSDec 7 6" xfId="25149" xr:uid="{386BE03A-6A14-48DB-A007-1060CE5B7302}"/>
    <cellStyle name="PSDec 7 6 2" xfId="25150" xr:uid="{D9A8C9D0-D69E-4BB1-A4F6-FBBD20A2B73B}"/>
    <cellStyle name="PSDec 7 7" xfId="25151" xr:uid="{1EAC260B-C2D7-4CC9-B050-63E35952F934}"/>
    <cellStyle name="PSDec 8" xfId="25152" xr:uid="{6323E6A4-01D9-4844-9238-04EBE141B0D7}"/>
    <cellStyle name="PSDec 8 2" xfId="25153" xr:uid="{87185378-8393-453E-9D0E-CFE0C503A37D}"/>
    <cellStyle name="PSDec 8 2 2" xfId="25154" xr:uid="{6E97E238-AE8A-4002-BD73-4BFB1D00A3FA}"/>
    <cellStyle name="PSDec 8 2 2 2" xfId="25155" xr:uid="{3D8D18E7-E6B6-420F-B2B4-7787ADD05F48}"/>
    <cellStyle name="PSDec 8 2 3" xfId="25156" xr:uid="{87715A57-F76D-4C64-8D99-261ECC2D7A9A}"/>
    <cellStyle name="PSDec 8 3" xfId="25157" xr:uid="{53FE9859-F355-49C3-97F9-FC08A2F5F175}"/>
    <cellStyle name="PSDec 8 3 2" xfId="25158" xr:uid="{9859B8AA-C49E-4CC4-A655-E1248EF732BF}"/>
    <cellStyle name="PSDec 8 3 2 2" xfId="25159" xr:uid="{BFCC0020-7558-4264-8D58-916F0DED6642}"/>
    <cellStyle name="PSDec 8 3 3" xfId="25160" xr:uid="{DA8945DF-748B-4364-872D-75197BC13911}"/>
    <cellStyle name="PSDec 8 4" xfId="25161" xr:uid="{E969B89E-D7DD-4936-91C1-79524B4CC5E1}"/>
    <cellStyle name="PSDec 8 4 2" xfId="25162" xr:uid="{175E5F30-6EBE-4554-A09B-F46394931444}"/>
    <cellStyle name="PSDec 8 4 2 2" xfId="25163" xr:uid="{5F9FDCAF-EBD2-468B-A743-9C79FC5B411B}"/>
    <cellStyle name="PSDec 8 4 3" xfId="25164" xr:uid="{6E54004F-8072-4809-99AF-B931CF600A07}"/>
    <cellStyle name="PSDec 8 5" xfId="25165" xr:uid="{B9A384A9-FA9E-4806-95ED-28E3924682B9}"/>
    <cellStyle name="PSDec 8 5 2" xfId="25166" xr:uid="{B5BCCD9E-6175-40B8-A507-CF5EA4266A42}"/>
    <cellStyle name="PSDec 8 5 2 2" xfId="25167" xr:uid="{1408D975-D835-4FA9-B694-ED21E7053670}"/>
    <cellStyle name="PSDec 8 5 3" xfId="25168" xr:uid="{CE577B38-C34C-4AB6-9946-9A67D4ED1979}"/>
    <cellStyle name="PSDec 8 6" xfId="25169" xr:uid="{68B63867-E44C-4A9C-A7DA-5ADD680F7B6A}"/>
    <cellStyle name="PSDec 8 6 2" xfId="25170" xr:uid="{09FFCB2A-DCBE-426A-979C-4D7777445AD0}"/>
    <cellStyle name="PSDec 8 7" xfId="25171" xr:uid="{61602A4B-F22D-441E-B8E0-74C36EC8BE10}"/>
    <cellStyle name="PSDec 9" xfId="25172" xr:uid="{9F9EC8B5-E1AC-428A-9AE2-B26BF47D0A66}"/>
    <cellStyle name="PSDec 9 2" xfId="25173" xr:uid="{E9A3D721-E1BE-4304-810A-A1710D593F13}"/>
    <cellStyle name="PSDec 9 2 2" xfId="25174" xr:uid="{51C0BBA0-752E-47B3-81D1-D7A4A170F5DA}"/>
    <cellStyle name="PSDec 9 2 2 2" xfId="25175" xr:uid="{6AA8F158-5571-49DE-9356-18EF01EEF365}"/>
    <cellStyle name="PSDec 9 2 3" xfId="25176" xr:uid="{9D560261-93BE-445F-8BE7-EFBB5BF00B61}"/>
    <cellStyle name="PSDec 9 3" xfId="25177" xr:uid="{CABDDE3B-F23C-4C37-A684-20C3A102C404}"/>
    <cellStyle name="PSDec 9 3 2" xfId="25178" xr:uid="{49A20D8F-D998-4AA9-A1AF-A3524DF20972}"/>
    <cellStyle name="PSDec 9 3 2 2" xfId="25179" xr:uid="{1856FF6C-F344-4E66-BA1A-6C556AA1DB91}"/>
    <cellStyle name="PSDec 9 3 3" xfId="25180" xr:uid="{4AD18715-DABF-498F-82FD-EC76B09E1DA9}"/>
    <cellStyle name="PSDec 9 4" xfId="25181" xr:uid="{C32424D5-C115-4ECB-8982-FDD8244C7951}"/>
    <cellStyle name="PSDec 9 4 2" xfId="25182" xr:uid="{1AB1A480-DD7E-4979-A67E-FE9EC6B05E55}"/>
    <cellStyle name="PSDec 9 4 2 2" xfId="25183" xr:uid="{2DD2D8C0-7843-43D6-A94E-433754C3DD13}"/>
    <cellStyle name="PSDec 9 4 3" xfId="25184" xr:uid="{5DAB7ED0-FC4C-48A6-ACCC-549819F7CAA2}"/>
    <cellStyle name="PSDec 9 5" xfId="25185" xr:uid="{ACEDB3AB-FC21-497B-A51A-DF8FEEF85FA9}"/>
    <cellStyle name="PSDec 9 5 2" xfId="25186" xr:uid="{0DFCCF7A-828A-4961-8188-29D1065C2CC3}"/>
    <cellStyle name="PSDec 9 5 2 2" xfId="25187" xr:uid="{B4B8ED27-DEC8-4FB9-8B64-850D89B6891E}"/>
    <cellStyle name="PSDec 9 5 3" xfId="25188" xr:uid="{334696BA-9291-4669-B946-EA707F4D94E8}"/>
    <cellStyle name="PSDec 9 6" xfId="25189" xr:uid="{653B070A-C35E-4DBF-991C-DC31EEB8C038}"/>
    <cellStyle name="PSDec 9 6 2" xfId="25190" xr:uid="{F2C66193-2726-4472-B5E5-B672746796B5}"/>
    <cellStyle name="PSDec 9 7" xfId="25191" xr:uid="{C310E2AF-3C9B-4F58-8887-31EED388D0AB}"/>
    <cellStyle name="PSdesc" xfId="43401" xr:uid="{919D7150-3E4B-4DBB-A21F-948726EA5FFC}"/>
    <cellStyle name="PSHeading" xfId="206" xr:uid="{DC002708-8F41-4E3F-BE07-8C5B815D5E82}"/>
    <cellStyle name="PSHeading 10" xfId="25192" xr:uid="{A05D8784-70B4-4FCA-9500-098D7275C0FE}"/>
    <cellStyle name="PSHeading 10 2" xfId="25193" xr:uid="{C79F6DCC-ADB9-4DE8-AA6C-639A836A38A4}"/>
    <cellStyle name="PSHeading 10 2 2" xfId="25194" xr:uid="{BC650B21-B8DA-40CE-A9E9-29ABF7B99AAA}"/>
    <cellStyle name="PSHeading 10 2 2 2" xfId="25195" xr:uid="{A12CBDAC-8E93-43D9-9E0F-8AA24CE9A9E3}"/>
    <cellStyle name="PSHeading 10 2 3" xfId="25196" xr:uid="{BE734A96-E5C5-447D-AC65-B0CC232EEDC2}"/>
    <cellStyle name="PSHeading 10 2_JE 5 2002.2 FED" xfId="25197" xr:uid="{9C8EDBFD-FE21-4444-8852-D4CE235E1284}"/>
    <cellStyle name="PSHeading 10 3" xfId="25198" xr:uid="{ACDE0141-CE67-41CC-A6A8-8D919A7646BC}"/>
    <cellStyle name="PSHeading 10 3 2" xfId="25199" xr:uid="{6D41682D-1C32-445A-B103-E8DC7EA4528D}"/>
    <cellStyle name="PSHeading 10 3 2 2" xfId="25200" xr:uid="{4E278972-AEC4-4C2F-AAF2-04299C38A05C}"/>
    <cellStyle name="PSHeading 10 3 3" xfId="25201" xr:uid="{6829C364-CA6E-4CDE-A66A-99206A242B26}"/>
    <cellStyle name="PSHeading 10 3_JE 5 2002.2 FED" xfId="25202" xr:uid="{2680DD7A-8425-4E24-9F21-CB0D6FBF7BB7}"/>
    <cellStyle name="PSHeading 10 4" xfId="25203" xr:uid="{3D6CDB34-D1EA-435E-A0E1-F41710747994}"/>
    <cellStyle name="PSHeading 10 4 2" xfId="25204" xr:uid="{3E0F8E94-83B1-4B33-A93E-C07BBF8AF22E}"/>
    <cellStyle name="PSHeading 10 4 2 2" xfId="25205" xr:uid="{30C8700C-09A2-4940-AA5D-47E41ACD21C3}"/>
    <cellStyle name="PSHeading 10 4 3" xfId="25206" xr:uid="{10703CCD-0C35-4B92-98D7-D337582A5107}"/>
    <cellStyle name="PSHeading 10 4_JE 5 2002.2 FED" xfId="25207" xr:uid="{047AD878-9341-43CB-A0BD-AFD3C22936ED}"/>
    <cellStyle name="PSHeading 10 5" xfId="25208" xr:uid="{49F53212-4257-4D31-A385-2C14B6283DEB}"/>
    <cellStyle name="PSHeading 10 5 2" xfId="25209" xr:uid="{E049C918-08C0-43FD-B79B-40E5907B58FD}"/>
    <cellStyle name="PSHeading 10 5 2 2" xfId="25210" xr:uid="{25D093DE-E29B-4575-99FC-74746245CC93}"/>
    <cellStyle name="PSHeading 10 5 3" xfId="25211" xr:uid="{A03AECBD-01D2-4B60-AEBC-7A68FA907876}"/>
    <cellStyle name="PSHeading 10 5_JE 5 2002.2 FED" xfId="25212" xr:uid="{E022E52F-1B41-49F1-8F81-C1B8572CBA83}"/>
    <cellStyle name="PSHeading 10 6" xfId="25213" xr:uid="{8C11F227-245C-4124-A74D-BC17F8DD665B}"/>
    <cellStyle name="PSHeading 10 6 2" xfId="25214" xr:uid="{AF1F6367-5EDB-4116-A318-A4D19B4ED7F0}"/>
    <cellStyle name="PSHeading 10 7" xfId="25215" xr:uid="{C99B7EA4-0599-4D22-A7C9-67C03F068DAF}"/>
    <cellStyle name="PSHeading 10_JE 5 2002.2 FED" xfId="25216" xr:uid="{0D01B1BB-7B7F-4B97-B616-0B93893726FD}"/>
    <cellStyle name="PSHeading 11" xfId="25217" xr:uid="{34783CE2-1736-4692-809B-0BEEF7959943}"/>
    <cellStyle name="PSHeading 11 2" xfId="25218" xr:uid="{C42F6B9C-8BBB-4F1C-B8A0-B1B4ED54C24B}"/>
    <cellStyle name="PSHeading 11 2 2" xfId="25219" xr:uid="{919494F7-8437-4267-88CE-6A6878C2B0EB}"/>
    <cellStyle name="PSHeading 11 2 2 2" xfId="25220" xr:uid="{9ECB53A6-AF51-4DBF-87C8-DC3AF51FD8DD}"/>
    <cellStyle name="PSHeading 11 2 3" xfId="25221" xr:uid="{B90B4952-CC59-4AEC-B732-8F22B3A80B50}"/>
    <cellStyle name="PSHeading 11 2_JE 5 2002.2 FED" xfId="25222" xr:uid="{E3B9BB75-091B-4846-9C97-5D914BBAEBE2}"/>
    <cellStyle name="PSHeading 11 3" xfId="25223" xr:uid="{B2A025B4-A5A4-4B61-BD2E-B73CCF265486}"/>
    <cellStyle name="PSHeading 11 3 2" xfId="25224" xr:uid="{30DFC619-5106-456B-BEF0-52FBD5FB40D2}"/>
    <cellStyle name="PSHeading 11 3 2 2" xfId="25225" xr:uid="{E17816F2-9BA1-428C-96CD-B3A9BB6EB163}"/>
    <cellStyle name="PSHeading 11 3 3" xfId="25226" xr:uid="{0927FF85-44F9-45E3-8F2F-5180D7CCDB99}"/>
    <cellStyle name="PSHeading 11 3_JE 5 2002.2 FED" xfId="25227" xr:uid="{92446A4F-BE03-4434-925D-8CB018517548}"/>
    <cellStyle name="PSHeading 11 4" xfId="25228" xr:uid="{F6094751-ADC8-470B-9AF3-004FE79E62BF}"/>
    <cellStyle name="PSHeading 11 4 2" xfId="25229" xr:uid="{234F2AA4-0670-4E1C-B19E-EEC93A543BFB}"/>
    <cellStyle name="PSHeading 11 4 2 2" xfId="25230" xr:uid="{3CFF52A2-CF27-418B-9F17-27A32428BDC3}"/>
    <cellStyle name="PSHeading 11 4 3" xfId="25231" xr:uid="{D0438D15-D129-42B8-B89E-9D3829FB7DB7}"/>
    <cellStyle name="PSHeading 11 4_JE 5 2002.2 FED" xfId="25232" xr:uid="{6BABC41F-C953-40EA-A33A-04C1E115430B}"/>
    <cellStyle name="PSHeading 11 5" xfId="25233" xr:uid="{67B929DC-3F82-4FC3-82FF-1DFD423BBADA}"/>
    <cellStyle name="PSHeading 11 5 2" xfId="25234" xr:uid="{B86A14A1-23FC-4161-BF4D-414B0B24302C}"/>
    <cellStyle name="PSHeading 11 5 2 2" xfId="25235" xr:uid="{30692901-3BB7-4591-8993-81323DB63AF7}"/>
    <cellStyle name="PSHeading 11 5 3" xfId="25236" xr:uid="{D2B0A851-4A0C-43A4-AA1A-C6311CFCB90D}"/>
    <cellStyle name="PSHeading 11 5_JE 5 2002.2 FED" xfId="25237" xr:uid="{1EBC316F-7B3C-4DF8-98AC-0CF04E23E3D3}"/>
    <cellStyle name="PSHeading 11 6" xfId="25238" xr:uid="{F56C5947-8615-4547-87C4-E324E7B61311}"/>
    <cellStyle name="PSHeading 11 6 2" xfId="25239" xr:uid="{19434A0A-271C-4054-A2B4-583D86974565}"/>
    <cellStyle name="PSHeading 11 7" xfId="25240" xr:uid="{61126BE3-BCD9-4CD5-A997-5C61A5D565E8}"/>
    <cellStyle name="PSHeading 11_JE 5 2002.2 FED" xfId="25241" xr:uid="{4E0B836B-83C1-4DF9-8CBC-26383A610398}"/>
    <cellStyle name="PSHeading 12" xfId="25242" xr:uid="{63CF0ED4-3240-47B0-ADE8-0262CE3A307D}"/>
    <cellStyle name="PSHeading 12 2" xfId="25243" xr:uid="{0CA56DCA-4CF9-46B7-A508-BE58751932DB}"/>
    <cellStyle name="PSHeading 12 2 2" xfId="25244" xr:uid="{B3FD6459-8D7A-4289-A83F-853F68C64D10}"/>
    <cellStyle name="PSHeading 12 2 2 2" xfId="25245" xr:uid="{2CB711AD-35C4-41EE-9941-FB5016A9EC62}"/>
    <cellStyle name="PSHeading 12 2 3" xfId="25246" xr:uid="{9884299C-2A04-4CFB-B2C8-CC90947CCB85}"/>
    <cellStyle name="PSHeading 12 2_JE 5 2002.2 FED" xfId="25247" xr:uid="{B5BBA186-4C21-4958-9186-789F69E96C6F}"/>
    <cellStyle name="PSHeading 12 3" xfId="25248" xr:uid="{DEBD8C55-2FC4-4A5C-A86D-151DAD505124}"/>
    <cellStyle name="PSHeading 12 3 2" xfId="25249" xr:uid="{188017C1-9D2A-4BB3-BD35-67DBAEE290DA}"/>
    <cellStyle name="PSHeading 12 3 2 2" xfId="25250" xr:uid="{93FF5BA3-1FBF-48E3-87FA-7F17AE24C914}"/>
    <cellStyle name="PSHeading 12 3 3" xfId="25251" xr:uid="{F73A0DE2-5859-44CA-A5A2-16DEAFBC092D}"/>
    <cellStyle name="PSHeading 12 3_JE 5 2002.2 FED" xfId="25252" xr:uid="{E1A10AA2-6180-40B6-8050-15A3883488F9}"/>
    <cellStyle name="PSHeading 12 4" xfId="25253" xr:uid="{39662F20-CB38-4037-861A-9326BA1A7139}"/>
    <cellStyle name="PSHeading 12 4 2" xfId="25254" xr:uid="{279A9A8C-5593-405A-B6AC-07DD9674AAFA}"/>
    <cellStyle name="PSHeading 12 4 2 2" xfId="25255" xr:uid="{575005FE-E5DF-4040-BC63-3F8AE723D615}"/>
    <cellStyle name="PSHeading 12 4 3" xfId="25256" xr:uid="{33532ADA-490B-470F-A06D-1A2882A917F6}"/>
    <cellStyle name="PSHeading 12 4_JE 5 2002.2 FED" xfId="25257" xr:uid="{210E6B67-89B3-4636-A7D9-9B626A0EE4E4}"/>
    <cellStyle name="PSHeading 12 5" xfId="25258" xr:uid="{D82EA652-B759-4E43-BA5C-49FD22E12AA8}"/>
    <cellStyle name="PSHeading 12 5 2" xfId="25259" xr:uid="{827C6EA7-3B13-47D6-BD62-0E0A0CAA391E}"/>
    <cellStyle name="PSHeading 12 5 2 2" xfId="25260" xr:uid="{9670E1FE-D180-447C-AAE5-F0CCBA498439}"/>
    <cellStyle name="PSHeading 12 5 3" xfId="25261" xr:uid="{D7A860F4-C11A-4CDE-9812-1F9A6F87AFC5}"/>
    <cellStyle name="PSHeading 12 5_JE 5 2002.2 FED" xfId="25262" xr:uid="{52BB01F1-6B71-479D-BE27-7C4948242829}"/>
    <cellStyle name="PSHeading 12 6" xfId="25263" xr:uid="{3D62F4CD-6623-4DE4-BB3C-0E82F9958809}"/>
    <cellStyle name="PSHeading 12 6 2" xfId="25264" xr:uid="{76B74991-B1C6-4FC6-BD4A-4891E638DDB6}"/>
    <cellStyle name="PSHeading 12 7" xfId="25265" xr:uid="{F584FF6C-284F-45CB-9A28-8458946478AE}"/>
    <cellStyle name="PSHeading 12_JE 5 2002.2 FED" xfId="25266" xr:uid="{DD9AC3CE-BFDE-44FA-AF6C-04D2ADA2A85E}"/>
    <cellStyle name="PSHeading 13" xfId="25267" xr:uid="{6A04E1D9-4FFC-41B0-8F43-BEB9B4B883F6}"/>
    <cellStyle name="PSHeading 13 2" xfId="25268" xr:uid="{35CB2FF7-7350-4D17-B5B2-0372E28D654E}"/>
    <cellStyle name="PSHeading 13 2 2" xfId="25269" xr:uid="{E57C0BE3-596A-4C01-8A15-E866F90E6B11}"/>
    <cellStyle name="PSHeading 13 2 2 2" xfId="25270" xr:uid="{B6E0A5C1-BED0-4D29-90CE-01AA28395355}"/>
    <cellStyle name="PSHeading 13 2 3" xfId="25271" xr:uid="{188076FD-A27B-43F5-B0D9-3A88E375261B}"/>
    <cellStyle name="PSHeading 13 2_JE 5 2002.2 FED" xfId="25272" xr:uid="{32C20948-015F-4A1D-B946-5F197780CAC1}"/>
    <cellStyle name="PSHeading 13 3" xfId="25273" xr:uid="{25311697-2D83-40F4-83E6-53DDA132ED6A}"/>
    <cellStyle name="PSHeading 13 3 2" xfId="25274" xr:uid="{58023599-FFA5-4E32-A33E-6A34C5562D81}"/>
    <cellStyle name="PSHeading 13 3 2 2" xfId="25275" xr:uid="{34CC4CBE-EAB6-4060-B9EF-B0E371ECB39A}"/>
    <cellStyle name="PSHeading 13 3 3" xfId="25276" xr:uid="{FE0E3CE4-30D3-4D8C-93C3-22D9F2FC3808}"/>
    <cellStyle name="PSHeading 13 3_JE 5 2002.2 FED" xfId="25277" xr:uid="{F81EBC2E-B013-4FDF-B814-6275C0C1AEEF}"/>
    <cellStyle name="PSHeading 13 4" xfId="25278" xr:uid="{CFDE6F1A-7663-400D-A7FB-8CB84E0D5F9D}"/>
    <cellStyle name="PSHeading 13 4 2" xfId="25279" xr:uid="{FAF2E3B5-F9FC-48F5-9379-C5EE058BB33D}"/>
    <cellStyle name="PSHeading 13 4 2 2" xfId="25280" xr:uid="{C1F842A7-18BF-4B4B-96A5-F19AA255652F}"/>
    <cellStyle name="PSHeading 13 4 3" xfId="25281" xr:uid="{9C888792-2703-4287-AAF2-F8D0C4035423}"/>
    <cellStyle name="PSHeading 13 4_JE 5 2002.2 FED" xfId="25282" xr:uid="{9AD3D9F1-E7C2-43C2-B4AE-A16B4110C218}"/>
    <cellStyle name="PSHeading 13 5" xfId="25283" xr:uid="{17805A78-2E42-4E8C-BFB6-5B24E26EFFEA}"/>
    <cellStyle name="PSHeading 13 5 2" xfId="25284" xr:uid="{79D8E959-0796-4D90-A52C-774E7532F0F8}"/>
    <cellStyle name="PSHeading 13 5 2 2" xfId="25285" xr:uid="{46B7FA13-25F6-44CC-AF34-28774EF555A4}"/>
    <cellStyle name="PSHeading 13 5 3" xfId="25286" xr:uid="{99B25A1D-669C-4151-A1EE-67A944BD14E8}"/>
    <cellStyle name="PSHeading 13 5_JE 5 2002.2 FED" xfId="25287" xr:uid="{C0894003-6C36-43B9-AC0B-8B87A0C6E37A}"/>
    <cellStyle name="PSHeading 13 6" xfId="25288" xr:uid="{F176F346-5FF7-488C-BBA7-6F3D907B1D7F}"/>
    <cellStyle name="PSHeading 13 6 2" xfId="25289" xr:uid="{5BAE73B8-C085-4182-8811-FDE4BD646718}"/>
    <cellStyle name="PSHeading 13 7" xfId="25290" xr:uid="{722716CF-196E-4B01-BE4C-BA696F6ACC02}"/>
    <cellStyle name="PSHeading 13_JE 5 2002.2 FED" xfId="25291" xr:uid="{364825D0-8D7A-4358-91BC-BE54E0B3424C}"/>
    <cellStyle name="PSHeading 14" xfId="25292" xr:uid="{40EEF2A9-2391-46A3-84FB-71AF04B297EA}"/>
    <cellStyle name="PSHeading 14 2" xfId="25293" xr:uid="{F692D594-6FC1-4E95-9846-E095414076C9}"/>
    <cellStyle name="PSHeading 14 2 2" xfId="25294" xr:uid="{D25FE5E0-F9FE-4548-9D95-986FBFB6A3D2}"/>
    <cellStyle name="PSHeading 14 2 2 2" xfId="25295" xr:uid="{F52AB477-4C19-41B3-BE79-F43C660F0A04}"/>
    <cellStyle name="PSHeading 14 2 3" xfId="25296" xr:uid="{D974705B-80EF-494C-8E7E-3BEA20CD23A7}"/>
    <cellStyle name="PSHeading 14 2_JE 5 2002.2 FED" xfId="25297" xr:uid="{E34A7389-6816-4838-ADC5-2BBD077A362E}"/>
    <cellStyle name="PSHeading 14 3" xfId="25298" xr:uid="{DFB93822-692A-4666-95EB-D22D4C8B57DE}"/>
    <cellStyle name="PSHeading 14 3 2" xfId="25299" xr:uid="{BCC92CCB-86EB-4124-BB1F-445EBCAFADF2}"/>
    <cellStyle name="PSHeading 14 3 2 2" xfId="25300" xr:uid="{375DF891-2572-4A69-8C27-F48571B2F23E}"/>
    <cellStyle name="PSHeading 14 3 3" xfId="25301" xr:uid="{34C92203-58A6-4C69-8612-0CEBC833333C}"/>
    <cellStyle name="PSHeading 14 3_JE 5 2002.2 FED" xfId="25302" xr:uid="{818AC3A0-1259-4C16-ACD6-29067B9FE331}"/>
    <cellStyle name="PSHeading 14 4" xfId="25303" xr:uid="{6C154A4C-E716-4D9F-94C4-CCE18253D58B}"/>
    <cellStyle name="PSHeading 14 4 2" xfId="25304" xr:uid="{79ADDA44-C5A0-4666-AF24-DF276B31DBBC}"/>
    <cellStyle name="PSHeading 14 4 2 2" xfId="25305" xr:uid="{1957690E-2E1D-4867-87A3-51A8EA9EA085}"/>
    <cellStyle name="PSHeading 14 4 3" xfId="25306" xr:uid="{E38671B6-ABB5-485D-8917-FF28698F508A}"/>
    <cellStyle name="PSHeading 14 4_JE 5 2002.2 FED" xfId="25307" xr:uid="{5EAF943A-F6EF-44A9-9DBF-BD80FDF2B1F3}"/>
    <cellStyle name="PSHeading 14 5" xfId="25308" xr:uid="{04D81C93-3D73-4656-9D66-93B03BD27056}"/>
    <cellStyle name="PSHeading 14 5 2" xfId="25309" xr:uid="{38CA96F0-CCB7-4A33-8D86-3A501A0E5D86}"/>
    <cellStyle name="PSHeading 14 5 2 2" xfId="25310" xr:uid="{4BB7822F-7373-4922-AA8D-9FC6ACE1A83B}"/>
    <cellStyle name="PSHeading 14 5 3" xfId="25311" xr:uid="{08D72D14-2D86-4D13-AF10-1B93CA896F46}"/>
    <cellStyle name="PSHeading 14 5_JE 5 2002.2 FED" xfId="25312" xr:uid="{60E69EEB-9523-406A-B1E0-7A67A8AD0C12}"/>
    <cellStyle name="PSHeading 14 6" xfId="25313" xr:uid="{BFBBFC76-4E28-43E3-BAD6-D23DD32D111B}"/>
    <cellStyle name="PSHeading 14 6 2" xfId="25314" xr:uid="{1A127007-8216-40F9-8C02-4493E221D4FC}"/>
    <cellStyle name="PSHeading 14 7" xfId="25315" xr:uid="{E40A00C0-3ADF-4EEA-807F-4444AEB60B0F}"/>
    <cellStyle name="PSHeading 14_JE 5 2002.2 FED" xfId="25316" xr:uid="{048A80BB-870C-42CD-BBE4-3BED43BDECB3}"/>
    <cellStyle name="PSHeading 15" xfId="25317" xr:uid="{AC331F12-2933-4713-BDBA-18F40C574722}"/>
    <cellStyle name="PSHeading 15 2" xfId="25318" xr:uid="{C4E62E75-71EB-4354-9D15-F3939A9D132D}"/>
    <cellStyle name="PSHeading 15 2 2" xfId="25319" xr:uid="{CBD74F40-C0B3-4E1D-9254-6EBB62D3FC90}"/>
    <cellStyle name="PSHeading 15 2 2 2" xfId="25320" xr:uid="{851A9FAB-24DD-4D91-9CF3-394F44E4A2F3}"/>
    <cellStyle name="PSHeading 15 2 3" xfId="25321" xr:uid="{609A8A04-A65B-4101-800B-DE92A944FFDE}"/>
    <cellStyle name="PSHeading 15 2_JE 5 2002.2 FED" xfId="25322" xr:uid="{A7FD0C3D-7FDA-4958-8F25-15BBE1D136AB}"/>
    <cellStyle name="PSHeading 15 3" xfId="25323" xr:uid="{13C03822-25CB-4D98-B6C6-3FEB13ED66E5}"/>
    <cellStyle name="PSHeading 15 3 2" xfId="25324" xr:uid="{379BF7C9-2C34-48D5-8F91-9EBBA02538FF}"/>
    <cellStyle name="PSHeading 15 3 2 2" xfId="25325" xr:uid="{40A487E9-7AFE-4362-997E-AEB40400C374}"/>
    <cellStyle name="PSHeading 15 3 3" xfId="25326" xr:uid="{5329539A-44F3-405C-BAB8-7F598FB34792}"/>
    <cellStyle name="PSHeading 15 3_JE 5 2002.2 FED" xfId="25327" xr:uid="{2C2039E0-6326-451D-89D0-268EB5208490}"/>
    <cellStyle name="PSHeading 15 4" xfId="25328" xr:uid="{809B4DB1-0641-4427-B77F-917BB87D022E}"/>
    <cellStyle name="PSHeading 15 4 2" xfId="25329" xr:uid="{3BD6708B-E342-4D01-84E5-D32C5779D7DB}"/>
    <cellStyle name="PSHeading 15 4 2 2" xfId="25330" xr:uid="{8B0CE012-DD22-4E7E-BADE-130783C59EF4}"/>
    <cellStyle name="PSHeading 15 4 3" xfId="25331" xr:uid="{12ACD37F-042E-4AC4-A96E-86D7284E4589}"/>
    <cellStyle name="PSHeading 15 4_JE 5 2002.2 FED" xfId="25332" xr:uid="{D63FF8B6-4B6A-4B61-9879-0EFC17CDB283}"/>
    <cellStyle name="PSHeading 15 5" xfId="25333" xr:uid="{F2E86284-6200-48FF-8887-8EBE331B6543}"/>
    <cellStyle name="PSHeading 15 5 2" xfId="25334" xr:uid="{ED046622-641A-49F5-9519-5D6F17EB842E}"/>
    <cellStyle name="PSHeading 15 5 2 2" xfId="25335" xr:uid="{B4A4F8E6-A21D-4E91-A85E-F5B85D9D1AD7}"/>
    <cellStyle name="PSHeading 15 5 3" xfId="25336" xr:uid="{9193A357-DA3A-4212-955A-B22152D0717E}"/>
    <cellStyle name="PSHeading 15 5_JE 5 2002.2 FED" xfId="25337" xr:uid="{F0911E6B-3E42-4C3C-BBE2-5F348A7C2C62}"/>
    <cellStyle name="PSHeading 15 6" xfId="25338" xr:uid="{7E53DBF9-9382-451D-8E1E-483DE41DBCBF}"/>
    <cellStyle name="PSHeading 15 6 2" xfId="25339" xr:uid="{FC481426-5F37-474E-A10A-7F083E020C8E}"/>
    <cellStyle name="PSHeading 15 7" xfId="25340" xr:uid="{6BBCE088-0252-42A3-A88F-4302B1337882}"/>
    <cellStyle name="PSHeading 15_JE 5 2002.2 FED" xfId="25341" xr:uid="{EA97527B-145C-409E-9ACD-7843B686D560}"/>
    <cellStyle name="PSHeading 16" xfId="25342" xr:uid="{C2BAF5A5-BF2E-40E6-B25A-7BF18E97523D}"/>
    <cellStyle name="PSHeading 16 2" xfId="25343" xr:uid="{B23985B3-D98D-4D4B-BBC6-C0F64437AFD6}"/>
    <cellStyle name="PSHeading 17" xfId="25344" xr:uid="{0A836CB0-D8CB-4F6E-81AF-8DB48E0BC70B}"/>
    <cellStyle name="PSHeading 17 2" xfId="25345" xr:uid="{3025B2AB-6DA1-4D62-A396-FCABF2AD10AB}"/>
    <cellStyle name="PSHeading 18" xfId="25346" xr:uid="{F00FAA88-DE3D-44E0-B955-DCC7DE847F2D}"/>
    <cellStyle name="PSHeading 18 2" xfId="25347" xr:uid="{6BA7BADC-9709-49B3-B2F9-36680FD37854}"/>
    <cellStyle name="PSHeading 19" xfId="25348" xr:uid="{484B6BEE-788C-45AE-9682-A541F694E675}"/>
    <cellStyle name="PSHeading 19 2" xfId="25349" xr:uid="{9775485C-E2E4-4746-8EDE-81F7A999EDE7}"/>
    <cellStyle name="PSHeading 2" xfId="25350" xr:uid="{83B753F8-6000-4644-B580-95143C04BD1F}"/>
    <cellStyle name="PSHeading 2 10" xfId="25351" xr:uid="{3215CCAB-C0D6-4584-BADB-FD48B8FD3809}"/>
    <cellStyle name="PSHeading 2 10 2" xfId="25352" xr:uid="{ADAD3145-5ED9-4665-BE6A-C454CCB8D897}"/>
    <cellStyle name="PSHeading 2 11" xfId="25353" xr:uid="{69B2C942-2965-4B45-8532-6D3013AAF2E7}"/>
    <cellStyle name="PSHeading 2 2" xfId="25354" xr:uid="{F4F990CE-CAD2-44F2-9B81-0DAD03CBD145}"/>
    <cellStyle name="PSHeading 2 2 2" xfId="25355" xr:uid="{C3494439-DDF9-4EE9-B492-6E860CEC6486}"/>
    <cellStyle name="PSHeading 2 2 2 2" xfId="25356" xr:uid="{79EF2651-809A-4A13-9D51-B94F2B4F059F}"/>
    <cellStyle name="PSHeading 2 2 3" xfId="25357" xr:uid="{E2400F91-D9D1-4723-850A-CA5BE542A2C8}"/>
    <cellStyle name="PSHeading 2 2_JE 5 2002.2 FED" xfId="25358" xr:uid="{6FEED12D-CB91-4298-A1F5-BD7DBBEB008B}"/>
    <cellStyle name="PSHeading 2 3" xfId="25359" xr:uid="{0D489C3F-DC0E-4937-A497-7557FE1FD39B}"/>
    <cellStyle name="PSHeading 2 3 2" xfId="25360" xr:uid="{1B76676D-7BB4-4D2A-AEDF-0AEB05640050}"/>
    <cellStyle name="PSHeading 2 3 2 2" xfId="25361" xr:uid="{5283F6F1-76D4-4A9B-B735-7BEBB0AC2B29}"/>
    <cellStyle name="PSHeading 2 3 3" xfId="25362" xr:uid="{CE73DA82-B2B2-4E54-A362-4B6740FF8F44}"/>
    <cellStyle name="PSHeading 2 3_JE 5 2002.2 FED" xfId="25363" xr:uid="{FC50B0F4-2EA6-448F-85B2-0BD8B6682685}"/>
    <cellStyle name="PSHeading 2 4" xfId="25364" xr:uid="{9D83F6D2-F9D1-4786-AB29-B98509B2EAD7}"/>
    <cellStyle name="PSHeading 2 4 2" xfId="25365" xr:uid="{47C1BA53-4BC8-48EA-B1C9-2321272BDB5B}"/>
    <cellStyle name="PSHeading 2 4 2 2" xfId="25366" xr:uid="{B5F8D678-B3C1-4AC4-A819-1CA1F9F8A073}"/>
    <cellStyle name="PSHeading 2 4 3" xfId="25367" xr:uid="{F59A2460-CACB-4A00-8FD8-9010B6EB9314}"/>
    <cellStyle name="PSHeading 2 4_JE 5 2002.2 FED" xfId="25368" xr:uid="{7E404797-3874-45D6-9DAB-7C1E1347A8FE}"/>
    <cellStyle name="PSHeading 2 5" xfId="25369" xr:uid="{E3A47111-194B-4006-8973-2D14F93135C1}"/>
    <cellStyle name="PSHeading 2 5 2" xfId="25370" xr:uid="{00532867-BF26-415D-8A86-E9915DA13F6A}"/>
    <cellStyle name="PSHeading 2 5 2 2" xfId="25371" xr:uid="{C1FC4456-9433-428E-A8B0-7D4B7BF6ED15}"/>
    <cellStyle name="PSHeading 2 5 3" xfId="25372" xr:uid="{6D07539C-4D58-4B43-9B08-08864AE85D10}"/>
    <cellStyle name="PSHeading 2 5_JE 5 2002.2 FED" xfId="25373" xr:uid="{66F4EE5A-BC1A-4872-918F-E3EDAF7D2882}"/>
    <cellStyle name="PSHeading 2 6" xfId="25374" xr:uid="{71783EEF-FBA8-412F-B00C-54DBBD0A5CD6}"/>
    <cellStyle name="PSHeading 2 6 2" xfId="25375" xr:uid="{89CE2C4E-8BF4-417E-8996-7C78C6E439E2}"/>
    <cellStyle name="PSHeading 2 6 2 2" xfId="25376" xr:uid="{4FD0C25C-24EE-4296-B7C5-781300983AFD}"/>
    <cellStyle name="PSHeading 2 6 3" xfId="25377" xr:uid="{CD11FA32-791A-432C-930D-1581C8835871}"/>
    <cellStyle name="PSHeading 2 6_JE 5 2002.2 FED" xfId="25378" xr:uid="{3DFD6858-9E10-4501-9AEA-39AF5FF01E22}"/>
    <cellStyle name="PSHeading 2 7" xfId="25379" xr:uid="{7DA214C4-195D-47F5-869A-5F1C9C160075}"/>
    <cellStyle name="PSHeading 2 7 2" xfId="25380" xr:uid="{8785F70C-FF89-4243-B46A-999170F90754}"/>
    <cellStyle name="PSHeading 2 7 2 2" xfId="25381" xr:uid="{3064743F-6862-4B04-B533-B5037D1B206D}"/>
    <cellStyle name="PSHeading 2 7 3" xfId="25382" xr:uid="{47A496E5-DE78-4E75-82F0-87C6B0C95921}"/>
    <cellStyle name="PSHeading 2 7_JE 5 2002.2 FED" xfId="25383" xr:uid="{A251984A-1A47-40C3-951E-88EB213C3852}"/>
    <cellStyle name="PSHeading 2 8" xfId="25384" xr:uid="{B0C74D2D-7459-42ED-AE65-C0BF4A7FAB9D}"/>
    <cellStyle name="PSHeading 2 8 2" xfId="25385" xr:uid="{C604A851-C294-49F5-A51C-BA5434F835DF}"/>
    <cellStyle name="PSHeading 2 8 2 2" xfId="25386" xr:uid="{3F1EA37D-DA75-4E74-931D-870AA2B81E86}"/>
    <cellStyle name="PSHeading 2 8 3" xfId="25387" xr:uid="{6A8450FE-9739-421E-AD4E-1C7211F58C79}"/>
    <cellStyle name="PSHeading 2 8_JE 5 2002.2 FED" xfId="25388" xr:uid="{2AB98A0C-68E4-40BB-AB3D-967B8B42F60C}"/>
    <cellStyle name="PSHeading 2 9" xfId="25389" xr:uid="{435371A8-AB2F-4B07-AD99-DFA0D44E2E2F}"/>
    <cellStyle name="PSHeading 2 9 2" xfId="25390" xr:uid="{1BBAC06F-84D6-4E26-A545-769139410493}"/>
    <cellStyle name="PSHeading 2 9 2 2" xfId="25391" xr:uid="{572C5338-2980-42E1-B991-C49F78FD54D4}"/>
    <cellStyle name="PSHeading 2 9 3" xfId="25392" xr:uid="{1461F4B0-DBE5-4827-AE63-BEE42676EBA6}"/>
    <cellStyle name="PSHeading 2 9_JE 5 2002.2 FED" xfId="25393" xr:uid="{A6D57136-CAF6-4B6C-AE11-74B6C88CC82F}"/>
    <cellStyle name="PSHeading 2_JE 5 2002.2 FED" xfId="25394" xr:uid="{624748D4-D119-450B-9430-D1829CA40797}"/>
    <cellStyle name="PSHeading 3" xfId="25395" xr:uid="{6DD264D1-6BE3-4CDE-BF01-152302D59F40}"/>
    <cellStyle name="PSHeading 3 10" xfId="25396" xr:uid="{4EDE4AF4-1190-405D-A3EB-49A7784B25BD}"/>
    <cellStyle name="PSHeading 3 10 2" xfId="25397" xr:uid="{EBBA5E30-5A00-466F-AB65-BDBEE15AABA7}"/>
    <cellStyle name="PSHeading 3 11" xfId="25398" xr:uid="{ED619D91-6617-4200-88F7-BA58979714EB}"/>
    <cellStyle name="PSHeading 3 2" xfId="25399" xr:uid="{41891103-3BFB-435D-9808-D7F51395D5EB}"/>
    <cellStyle name="PSHeading 3 2 2" xfId="25400" xr:uid="{4C0325BD-CBB0-47F5-B534-BBB25218E98D}"/>
    <cellStyle name="PSHeading 3 2 2 2" xfId="25401" xr:uid="{AFC4B7DD-0B47-45F8-AAC6-D274F2BDAF4D}"/>
    <cellStyle name="PSHeading 3 2 3" xfId="25402" xr:uid="{91C82C78-D03A-4933-9E13-AB54156DDC1C}"/>
    <cellStyle name="PSHeading 3 2_JE 5 2002.2 FED" xfId="25403" xr:uid="{6C82775A-AE8B-45A7-B111-6E62DB9277A7}"/>
    <cellStyle name="PSHeading 3 3" xfId="25404" xr:uid="{8D3B133B-CDAD-4D86-8F82-C6D8B5F4BCD1}"/>
    <cellStyle name="PSHeading 3 3 2" xfId="25405" xr:uid="{E82ACD56-9CAE-445E-8F20-A3C910F83477}"/>
    <cellStyle name="PSHeading 3 3 2 2" xfId="25406" xr:uid="{C6F60369-583E-4B36-938C-F6632D7AC8B5}"/>
    <cellStyle name="PSHeading 3 3 3" xfId="25407" xr:uid="{2EC981F1-CACA-43A6-9886-58DC648AFCD0}"/>
    <cellStyle name="PSHeading 3 3_JE 5 2002.2 FED" xfId="25408" xr:uid="{A747EA07-80CB-42FD-AC41-82DAAD0E5AA8}"/>
    <cellStyle name="PSHeading 3 4" xfId="25409" xr:uid="{322643A6-B751-41C2-B44F-40D66B990103}"/>
    <cellStyle name="PSHeading 3 4 2" xfId="25410" xr:uid="{6B4050D6-50C3-48FB-8D16-BEFBFAA94FAE}"/>
    <cellStyle name="PSHeading 3 4 2 2" xfId="25411" xr:uid="{29B18D80-F927-4C34-BD5A-DA60A49DBCC4}"/>
    <cellStyle name="PSHeading 3 4 3" xfId="25412" xr:uid="{C9FD74E0-9267-4791-83DB-65F533A9F48C}"/>
    <cellStyle name="PSHeading 3 4_JE 5 2002.2 FED" xfId="25413" xr:uid="{26B73B72-8731-48D5-B6C3-41CC7E9F3705}"/>
    <cellStyle name="PSHeading 3 5" xfId="25414" xr:uid="{8443CF83-0004-41E4-AD16-D5954E91018F}"/>
    <cellStyle name="PSHeading 3 5 2" xfId="25415" xr:uid="{553F4560-D947-4D1F-9D43-3544ACF18E51}"/>
    <cellStyle name="PSHeading 3 5 2 2" xfId="25416" xr:uid="{3CABB085-D535-4C2E-BFF3-7692AB668ED1}"/>
    <cellStyle name="PSHeading 3 5 3" xfId="25417" xr:uid="{8E0F8E16-992A-45DF-B5DC-C1ADB97D0226}"/>
    <cellStyle name="PSHeading 3 5_JE 5 2002.2 FED" xfId="25418" xr:uid="{87880D1B-DA77-4EA9-88BC-6530EB25BAB1}"/>
    <cellStyle name="PSHeading 3 6" xfId="25419" xr:uid="{8D97ABA4-107B-4D6F-99C0-C68AF3123D25}"/>
    <cellStyle name="PSHeading 3 6 2" xfId="25420" xr:uid="{645B12C5-429E-44AD-96DF-9992C50EE966}"/>
    <cellStyle name="PSHeading 3 6 2 2" xfId="25421" xr:uid="{7CEDAF95-A148-42D3-B148-242AC1DCE996}"/>
    <cellStyle name="PSHeading 3 6 3" xfId="25422" xr:uid="{00C14C5B-A7E9-4CBF-A4CB-48836B50DA78}"/>
    <cellStyle name="PSHeading 3 6_JE 5 2002.2 FED" xfId="25423" xr:uid="{A97482CE-F658-451E-8BAB-9D975326806B}"/>
    <cellStyle name="PSHeading 3 7" xfId="25424" xr:uid="{8DE189B9-F89C-4A2A-95E6-8894C07F8AA5}"/>
    <cellStyle name="PSHeading 3 7 2" xfId="25425" xr:uid="{82E0D1D3-F3C0-4027-A5C0-704DFBCFF65E}"/>
    <cellStyle name="PSHeading 3 7 2 2" xfId="25426" xr:uid="{9A8DBC2B-3BBF-46D2-882D-9ACB63E77F8F}"/>
    <cellStyle name="PSHeading 3 7 3" xfId="25427" xr:uid="{A4E88F85-1D38-4A38-B65D-830E6E11AFD5}"/>
    <cellStyle name="PSHeading 3 7_JE 5 2002.2 FED" xfId="25428" xr:uid="{7086023B-3B1F-4BE3-9404-B4084C27FC37}"/>
    <cellStyle name="PSHeading 3 8" xfId="25429" xr:uid="{91C6071C-8411-45CF-AC36-47CDEEAA5BC6}"/>
    <cellStyle name="PSHeading 3 8 2" xfId="25430" xr:uid="{2057D137-3944-4861-B65B-3263565DE4CF}"/>
    <cellStyle name="PSHeading 3 8 2 2" xfId="25431" xr:uid="{617B409B-DD50-4B04-827B-FD3747F4EECA}"/>
    <cellStyle name="PSHeading 3 8 3" xfId="25432" xr:uid="{378DD1E2-28EC-4A6A-AB29-40A8F438B7E0}"/>
    <cellStyle name="PSHeading 3 8_JE 5 2002.2 FED" xfId="25433" xr:uid="{E0FE4904-515B-40D2-A675-7D6041E2B30B}"/>
    <cellStyle name="PSHeading 3 9" xfId="25434" xr:uid="{3B706016-65BE-4566-ACD5-7CB8BF62FDE3}"/>
    <cellStyle name="PSHeading 3 9 2" xfId="25435" xr:uid="{2C9060E0-774B-4E58-8D24-B32B9CBB6DFD}"/>
    <cellStyle name="PSHeading 3 9 2 2" xfId="25436" xr:uid="{0AE58F34-7ADE-4222-931F-F4801B4B138D}"/>
    <cellStyle name="PSHeading 3 9 3" xfId="25437" xr:uid="{496F2591-882D-4CE4-9A7E-AE61C0A4C73B}"/>
    <cellStyle name="PSHeading 3 9_JE 5 2002.2 FED" xfId="25438" xr:uid="{296EBEC0-6D7E-477C-83B3-5698BD08CED6}"/>
    <cellStyle name="PSHeading 3_JE 5 2002.2 FED" xfId="25439" xr:uid="{211A77E6-89D8-4E4C-B291-F396C9CCE5FC}"/>
    <cellStyle name="PSHeading 4" xfId="25440" xr:uid="{E3DA4DA8-3969-4BFE-A816-3D1476196EE7}"/>
    <cellStyle name="PSHeading 4 10" xfId="25441" xr:uid="{B6337E63-9AC7-4155-AD7C-CF08F4E1590F}"/>
    <cellStyle name="PSHeading 4 10 2" xfId="25442" xr:uid="{BF1C461B-7613-43D7-82D3-D0A978650EBA}"/>
    <cellStyle name="PSHeading 4 11" xfId="25443" xr:uid="{7A31C044-8FFE-48AC-A9A3-E188A8325745}"/>
    <cellStyle name="PSHeading 4 2" xfId="25444" xr:uid="{5E75988F-5E14-4B03-A30A-84B35A4EFCC3}"/>
    <cellStyle name="PSHeading 4 2 2" xfId="25445" xr:uid="{91707479-0C18-4726-98DD-9A7E5564EB11}"/>
    <cellStyle name="PSHeading 4 2 2 2" xfId="25446" xr:uid="{8B285A0F-BCFD-45F0-A7FC-BBE2FDA98D35}"/>
    <cellStyle name="PSHeading 4 2 3" xfId="25447" xr:uid="{4394BB08-0A7B-4275-945D-0A296774563E}"/>
    <cellStyle name="PSHeading 4 2_JE 5 2002.2 FED" xfId="25448" xr:uid="{ABACDC3F-ABE4-4620-A3B6-549ECEE7F4AF}"/>
    <cellStyle name="PSHeading 4 3" xfId="25449" xr:uid="{CDA19F47-EA54-4641-BBF2-4CF4078F4B2B}"/>
    <cellStyle name="PSHeading 4 3 2" xfId="25450" xr:uid="{71472F2B-C411-4990-B012-E16BBC9AFE0D}"/>
    <cellStyle name="PSHeading 4 3 2 2" xfId="25451" xr:uid="{C5756C2F-4425-4D41-8C9F-E60297EEB0FD}"/>
    <cellStyle name="PSHeading 4 3 3" xfId="25452" xr:uid="{688D6791-167B-4907-8D82-D93A091D9A32}"/>
    <cellStyle name="PSHeading 4 3_JE 5 2002.2 FED" xfId="25453" xr:uid="{62B176D9-072C-4E9F-A298-BC01888AB6EE}"/>
    <cellStyle name="PSHeading 4 4" xfId="25454" xr:uid="{135A6659-2847-46D6-8964-B15F3A9AC5D4}"/>
    <cellStyle name="PSHeading 4 4 2" xfId="25455" xr:uid="{7FB6C6E9-A609-4209-9A7F-D9D08B7F9460}"/>
    <cellStyle name="PSHeading 4 4 2 2" xfId="25456" xr:uid="{949E28D6-4D61-47BA-BE64-7AD0862D2052}"/>
    <cellStyle name="PSHeading 4 4 3" xfId="25457" xr:uid="{9F9BC076-0AD4-45B6-BC2A-E236FC2A7450}"/>
    <cellStyle name="PSHeading 4 4_JE 5 2002.2 FED" xfId="25458" xr:uid="{56ECA9D7-BBBB-4748-87FC-8E4997A9E6F5}"/>
    <cellStyle name="PSHeading 4 5" xfId="25459" xr:uid="{B3DD8CA8-9961-4CC6-91A8-FAAE821D644A}"/>
    <cellStyle name="PSHeading 4 5 2" xfId="25460" xr:uid="{60B50696-A30F-4A2B-A385-12EA8281CA35}"/>
    <cellStyle name="PSHeading 4 5 2 2" xfId="25461" xr:uid="{36C15144-DD4D-4CEF-984A-BA6A468DF7A9}"/>
    <cellStyle name="PSHeading 4 5 3" xfId="25462" xr:uid="{3C90AA10-3A67-41BD-B402-34E94AFCFBFF}"/>
    <cellStyle name="PSHeading 4 5_JE 5 2002.2 FED" xfId="25463" xr:uid="{787CE85C-FCAB-4572-ABC9-3BE7CA6E2F01}"/>
    <cellStyle name="PSHeading 4 6" xfId="25464" xr:uid="{798AB860-3155-4ED3-BC42-45445D7173E0}"/>
    <cellStyle name="PSHeading 4 6 2" xfId="25465" xr:uid="{AD934883-A3DB-4ECF-830C-0B2648EE285A}"/>
    <cellStyle name="PSHeading 4 6 2 2" xfId="25466" xr:uid="{EA703C27-3894-485C-AE17-6A790CC075DC}"/>
    <cellStyle name="PSHeading 4 6 3" xfId="25467" xr:uid="{08BDE7AE-A87C-4EC4-B552-D83B2EC10E1A}"/>
    <cellStyle name="PSHeading 4 6_JE 5 2002.2 FED" xfId="25468" xr:uid="{C623F8FD-20CC-4F82-B322-B5C4DEF9A7C1}"/>
    <cellStyle name="PSHeading 4 7" xfId="25469" xr:uid="{8F63CC49-F6FD-4733-A077-425601D86ECF}"/>
    <cellStyle name="PSHeading 4 7 2" xfId="25470" xr:uid="{B391E64A-A7B3-4A9C-88A6-CD73004984E8}"/>
    <cellStyle name="PSHeading 4 7 2 2" xfId="25471" xr:uid="{19E4C06E-38EB-4974-A659-2972A44B9BA2}"/>
    <cellStyle name="PSHeading 4 7 3" xfId="25472" xr:uid="{78185587-FC81-4EAB-961A-60867452C462}"/>
    <cellStyle name="PSHeading 4 7_JE 5 2002.2 FED" xfId="25473" xr:uid="{4B9EAFBF-598F-415C-ADE7-B85EA3374E55}"/>
    <cellStyle name="PSHeading 4 8" xfId="25474" xr:uid="{AD294277-C7B7-45EF-9FFF-732807643D08}"/>
    <cellStyle name="PSHeading 4 8 2" xfId="25475" xr:uid="{7BFFFFD6-B013-4BD7-847B-83F3CB611B15}"/>
    <cellStyle name="PSHeading 4 8 2 2" xfId="25476" xr:uid="{CE1356F7-DFA4-4FA9-AD17-55C73AE77BBE}"/>
    <cellStyle name="PSHeading 4 8 3" xfId="25477" xr:uid="{1E70FE4D-42B5-401B-B379-C863FD51A1E0}"/>
    <cellStyle name="PSHeading 4 8_JE 5 2002.2 FED" xfId="25478" xr:uid="{DFCCCFD3-C09A-439F-8E37-E34224E6E4F4}"/>
    <cellStyle name="PSHeading 4 9" xfId="25479" xr:uid="{63225DC3-B1AF-4C66-B052-B3DFC94DB9F8}"/>
    <cellStyle name="PSHeading 4 9 2" xfId="25480" xr:uid="{CD385161-BB17-4DDF-9F7C-7952DEA39898}"/>
    <cellStyle name="PSHeading 4 9 2 2" xfId="25481" xr:uid="{EC9C2834-C115-43B1-903B-BE187A5E6F32}"/>
    <cellStyle name="PSHeading 4 9 3" xfId="25482" xr:uid="{BAA21D15-CD38-45E3-846D-1FDAC1EC4FF2}"/>
    <cellStyle name="PSHeading 4 9_JE 5 2002.2 FED" xfId="25483" xr:uid="{56E5CF26-8F58-43EB-916F-B5F5998E0DD9}"/>
    <cellStyle name="PSHeading 4_JE 5 2002.2 FED" xfId="25484" xr:uid="{3B58E9FC-EAC8-4D80-A24D-9BC2D6186889}"/>
    <cellStyle name="PSHeading 5" xfId="25485" xr:uid="{1996BDE0-4BE5-4E36-959D-20A3A0397C69}"/>
    <cellStyle name="PSHeading 5 10" xfId="25486" xr:uid="{35C4E289-D029-44DB-B895-A2EE0E24D0F2}"/>
    <cellStyle name="PSHeading 5 10 2" xfId="25487" xr:uid="{5D1388BD-FA83-409D-B9B5-E6DE1F8D5316}"/>
    <cellStyle name="PSHeading 5 11" xfId="25488" xr:uid="{502E0F88-9C38-4CDE-A26F-B045195501B6}"/>
    <cellStyle name="PSHeading 5 2" xfId="25489" xr:uid="{1228AC04-3E7E-45DC-8719-A5393C07F299}"/>
    <cellStyle name="PSHeading 5 2 2" xfId="25490" xr:uid="{4AB442CB-503D-441F-97B5-5373D6D30361}"/>
    <cellStyle name="PSHeading 5 2 2 2" xfId="25491" xr:uid="{1E1EEC4C-E236-4795-9D02-D3A123A58A69}"/>
    <cellStyle name="PSHeading 5 2 3" xfId="25492" xr:uid="{EBDA87BE-C922-44E0-9826-FA1F2C759619}"/>
    <cellStyle name="PSHeading 5 2_JE 5 2002.2 FED" xfId="25493" xr:uid="{A3376DD0-49F8-4763-A7FA-94FB3A8BC5F7}"/>
    <cellStyle name="PSHeading 5 3" xfId="25494" xr:uid="{FFA5F06A-6CD6-4632-958D-30C7F7392ECE}"/>
    <cellStyle name="PSHeading 5 3 2" xfId="25495" xr:uid="{92EEE5FA-8F3B-4D2A-8C50-6AC353D8E32A}"/>
    <cellStyle name="PSHeading 5 3 2 2" xfId="25496" xr:uid="{1F553B7E-276E-492B-AAC7-EC7269B90E8D}"/>
    <cellStyle name="PSHeading 5 3 3" xfId="25497" xr:uid="{B42AD34A-F460-42F4-AFF2-BA18C471DFDB}"/>
    <cellStyle name="PSHeading 5 3_JE 5 2002.2 FED" xfId="25498" xr:uid="{1BAA1EE9-BD4D-4F77-9226-A3A8D9E8D519}"/>
    <cellStyle name="PSHeading 5 4" xfId="25499" xr:uid="{7091C206-AAF5-42E6-8F5A-35F5D745C290}"/>
    <cellStyle name="PSHeading 5 4 2" xfId="25500" xr:uid="{BC277362-02DC-4884-A534-B1226DEBF17B}"/>
    <cellStyle name="PSHeading 5 4 2 2" xfId="25501" xr:uid="{9AA4EAD3-9FA7-47D1-B165-2E3FD77D49EA}"/>
    <cellStyle name="PSHeading 5 4 3" xfId="25502" xr:uid="{74781F6D-1DCF-4095-BA48-2784497BAB35}"/>
    <cellStyle name="PSHeading 5 4_JE 5 2002.2 FED" xfId="25503" xr:uid="{22EA74B4-7C51-4733-A636-ECA5A228563D}"/>
    <cellStyle name="PSHeading 5 5" xfId="25504" xr:uid="{C537431C-9388-4002-B4CB-B5A31BBCA198}"/>
    <cellStyle name="PSHeading 5 5 2" xfId="25505" xr:uid="{C3740723-EDC5-4682-81C4-25656632663F}"/>
    <cellStyle name="PSHeading 5 5 2 2" xfId="25506" xr:uid="{81722B78-5480-487E-93C5-FDF3309C3303}"/>
    <cellStyle name="PSHeading 5 5 3" xfId="25507" xr:uid="{E76DECE6-EBED-41F4-90B2-C1898537FCD3}"/>
    <cellStyle name="PSHeading 5 5_JE 5 2002.2 FED" xfId="25508" xr:uid="{FB7A99B0-EAE9-494B-951B-4984A60622CF}"/>
    <cellStyle name="PSHeading 5 6" xfId="25509" xr:uid="{730E1535-38F0-49B8-9EBC-2BD9560F2DE5}"/>
    <cellStyle name="PSHeading 5 6 2" xfId="25510" xr:uid="{ECF8F0F7-A374-4672-AC13-A08B3F0905A8}"/>
    <cellStyle name="PSHeading 5 6 2 2" xfId="25511" xr:uid="{FA6E7299-0628-4DF1-9056-EFC8AAD50BE1}"/>
    <cellStyle name="PSHeading 5 6 3" xfId="25512" xr:uid="{0F63FD5E-D2AC-4F5F-93D7-79664DB3233E}"/>
    <cellStyle name="PSHeading 5 6_JE 5 2002.2 FED" xfId="25513" xr:uid="{F8F5748E-7E19-45F3-98AA-B9A1DC41ABD7}"/>
    <cellStyle name="PSHeading 5 7" xfId="25514" xr:uid="{25BC6162-C5BE-4C5D-986E-A01825CFE448}"/>
    <cellStyle name="PSHeading 5 7 2" xfId="25515" xr:uid="{791E01E3-FABB-47CD-A013-DB31C9448295}"/>
    <cellStyle name="PSHeading 5 7 2 2" xfId="25516" xr:uid="{578CEC23-9401-4ECF-8F44-5FE4AD907C82}"/>
    <cellStyle name="PSHeading 5 7 3" xfId="25517" xr:uid="{73CF7E0D-FD07-4429-9718-DFD1B170D1D2}"/>
    <cellStyle name="PSHeading 5 7_JE 5 2002.2 FED" xfId="25518" xr:uid="{966C9C8F-5CB8-435E-8757-CC3B2C6A9F30}"/>
    <cellStyle name="PSHeading 5 8" xfId="25519" xr:uid="{E775A690-9EA9-465E-AFF6-047E11E2C4FB}"/>
    <cellStyle name="PSHeading 5 8 2" xfId="25520" xr:uid="{6FDC7A08-A719-4EBA-BAC5-7148392B394A}"/>
    <cellStyle name="PSHeading 5 8 2 2" xfId="25521" xr:uid="{9ADCBE5C-9137-44E6-A93D-26274E19BB4A}"/>
    <cellStyle name="PSHeading 5 8 3" xfId="25522" xr:uid="{FE6F8CB0-D23C-4D7B-86D7-F90E793FF52F}"/>
    <cellStyle name="PSHeading 5 8_JE 5 2002.2 FED" xfId="25523" xr:uid="{EFEAC66B-BA67-41F7-B959-EE0EE8893D62}"/>
    <cellStyle name="PSHeading 5 9" xfId="25524" xr:uid="{A51D138C-0368-4060-8015-834D6AE4AD1C}"/>
    <cellStyle name="PSHeading 5 9 2" xfId="25525" xr:uid="{666D9B78-5959-4595-B65D-7AB363BCBF35}"/>
    <cellStyle name="PSHeading 5 9 2 2" xfId="25526" xr:uid="{BB911827-6599-4366-9357-52A99E1247EA}"/>
    <cellStyle name="PSHeading 5 9 3" xfId="25527" xr:uid="{83C6171C-1BFD-4774-86BF-1778B1BAF86F}"/>
    <cellStyle name="PSHeading 5 9_JE 5 2002.2 FED" xfId="25528" xr:uid="{8C27F21E-D95D-430A-981F-5927B29047FD}"/>
    <cellStyle name="PSHeading 5_JE 5 2002.2 FED" xfId="25529" xr:uid="{FDAC57C7-65A3-4E10-9B6D-5EDA16DD78A8}"/>
    <cellStyle name="PSHeading 6" xfId="25530" xr:uid="{622DC72C-EFA1-4FA9-9346-4D263BFAF761}"/>
    <cellStyle name="PSHeading 6 10" xfId="25531" xr:uid="{538DE1E5-0962-4E36-B7C5-3274C3CA6CBD}"/>
    <cellStyle name="PSHeading 6 10 2" xfId="25532" xr:uid="{13ACA9CF-AE13-4DD5-89A0-C15A45C0018F}"/>
    <cellStyle name="PSHeading 6 11" xfId="25533" xr:uid="{B12BE376-C792-4126-9A5C-7A984A590C1E}"/>
    <cellStyle name="PSHeading 6 2" xfId="25534" xr:uid="{FBA35693-3B86-4E74-B333-9BD65AF7E813}"/>
    <cellStyle name="PSHeading 6 2 2" xfId="25535" xr:uid="{1726CD61-3F3D-47A5-88C5-D7A0646BBCAD}"/>
    <cellStyle name="PSHeading 6 2 2 2" xfId="25536" xr:uid="{F755555C-038E-41FA-AE65-D8A76467C744}"/>
    <cellStyle name="PSHeading 6 2 3" xfId="25537" xr:uid="{14921EF0-BC3C-4C76-950B-0D35AB129DD0}"/>
    <cellStyle name="PSHeading 6 2_JE 5 2002.2 FED" xfId="25538" xr:uid="{A137B32F-7457-4BDF-B90C-D03618C21F25}"/>
    <cellStyle name="PSHeading 6 3" xfId="25539" xr:uid="{26C5374C-9693-40A8-B427-086B551D6597}"/>
    <cellStyle name="PSHeading 6 3 2" xfId="25540" xr:uid="{9D3D9B54-1661-482C-931B-E7751E566B0E}"/>
    <cellStyle name="PSHeading 6 3 2 2" xfId="25541" xr:uid="{5959E373-BA64-43B5-B288-95C7453620F2}"/>
    <cellStyle name="PSHeading 6 3 3" xfId="25542" xr:uid="{DAB0A38B-F2CE-457C-834F-4D1508F9E2CD}"/>
    <cellStyle name="PSHeading 6 3_JE 5 2002.2 FED" xfId="25543" xr:uid="{A27B788F-C42A-447C-8B74-C7FF4769DBF0}"/>
    <cellStyle name="PSHeading 6 4" xfId="25544" xr:uid="{C3F44CCA-687B-4808-ACA8-41322EEA36A2}"/>
    <cellStyle name="PSHeading 6 4 2" xfId="25545" xr:uid="{6E925522-34C2-440C-B6B5-F14EBED52829}"/>
    <cellStyle name="PSHeading 6 4 2 2" xfId="25546" xr:uid="{64218F76-F44D-4995-9B42-BA99B9787B8D}"/>
    <cellStyle name="PSHeading 6 4 3" xfId="25547" xr:uid="{59286E16-9ADC-48D2-8EBE-42A628E87E1D}"/>
    <cellStyle name="PSHeading 6 4_JE 5 2002.2 FED" xfId="25548" xr:uid="{6F3D5AD0-711F-4510-99AE-03AB0124476E}"/>
    <cellStyle name="PSHeading 6 5" xfId="25549" xr:uid="{92D6E959-6171-4484-87B3-0A8689AEAFE9}"/>
    <cellStyle name="PSHeading 6 5 2" xfId="25550" xr:uid="{5A6C9D56-DE01-4E1B-87C5-E36F521AC97E}"/>
    <cellStyle name="PSHeading 6 5 2 2" xfId="25551" xr:uid="{4811A469-E348-4F80-883E-C5326969774E}"/>
    <cellStyle name="PSHeading 6 5 3" xfId="25552" xr:uid="{CC28F961-01DA-4CB1-BBFA-89C4D12CDFCA}"/>
    <cellStyle name="PSHeading 6 5_JE 5 2002.2 FED" xfId="25553" xr:uid="{7F9A298D-8047-4A51-87BA-FA1B9E561175}"/>
    <cellStyle name="PSHeading 6 6" xfId="25554" xr:uid="{DEFFACE5-6AF7-4B7A-AA0E-17A653F35C99}"/>
    <cellStyle name="PSHeading 6 6 2" xfId="25555" xr:uid="{0407846C-7A9D-4928-A746-EDDD1D35C87F}"/>
    <cellStyle name="PSHeading 6 6 2 2" xfId="25556" xr:uid="{742A5381-333F-4B63-BA67-477FBDEE7D4B}"/>
    <cellStyle name="PSHeading 6 6 3" xfId="25557" xr:uid="{711D9073-7D83-4F2E-803F-1A623C25D2C5}"/>
    <cellStyle name="PSHeading 6 6_JE 5 2002.2 FED" xfId="25558" xr:uid="{56FB0DA6-5C68-4012-99F5-220B95FE9321}"/>
    <cellStyle name="PSHeading 6 7" xfId="25559" xr:uid="{82AE9649-36E1-442B-BE7F-06FE2DE083AE}"/>
    <cellStyle name="PSHeading 6 7 2" xfId="25560" xr:uid="{D87279E3-1F6B-429D-9ABF-9D89CF10EED9}"/>
    <cellStyle name="PSHeading 6 7 2 2" xfId="25561" xr:uid="{743C5242-501D-4676-A4E2-A54E392428A0}"/>
    <cellStyle name="PSHeading 6 7 3" xfId="25562" xr:uid="{93D7E1B7-288A-4667-8DF0-E863F489A69B}"/>
    <cellStyle name="PSHeading 6 7_JE 5 2002.2 FED" xfId="25563" xr:uid="{31C7CF9C-42B7-4796-BCCD-01CEC55510B8}"/>
    <cellStyle name="PSHeading 6 8" xfId="25564" xr:uid="{7AEE1B3C-4D26-41A8-AA92-67669D4B8A6C}"/>
    <cellStyle name="PSHeading 6 8 2" xfId="25565" xr:uid="{B2399393-77AD-4F07-9F9A-701B138C2539}"/>
    <cellStyle name="PSHeading 6 8 2 2" xfId="25566" xr:uid="{C0A247B9-9150-40C2-B98C-5FF3288C3B4E}"/>
    <cellStyle name="PSHeading 6 8 3" xfId="25567" xr:uid="{98AE8AB0-6A10-486A-8907-79B1ADB23034}"/>
    <cellStyle name="PSHeading 6 8_JE 5 2002.2 FED" xfId="25568" xr:uid="{3ED3110F-16A5-4098-AA11-532D5999DAEE}"/>
    <cellStyle name="PSHeading 6 9" xfId="25569" xr:uid="{8DB42A47-8932-46F6-988F-4299CD2D93A2}"/>
    <cellStyle name="PSHeading 6 9 2" xfId="25570" xr:uid="{EC56EC09-2B84-4D1C-9BF9-860707CB63A5}"/>
    <cellStyle name="PSHeading 6 9 2 2" xfId="25571" xr:uid="{68C9741F-5010-4F48-B919-F97B12807959}"/>
    <cellStyle name="PSHeading 6 9 3" xfId="25572" xr:uid="{92B8F84E-58F2-4A51-A144-52D2E72E737B}"/>
    <cellStyle name="PSHeading 6 9_JE 5 2002.2 FED" xfId="25573" xr:uid="{1892398C-EABF-4CDC-A980-67BF3C01DE83}"/>
    <cellStyle name="PSHeading 6_JE 5 2002.2 FED" xfId="25574" xr:uid="{EC71836D-787A-4F2E-9610-1E44932BBE70}"/>
    <cellStyle name="PSHeading 7" xfId="25575" xr:uid="{6C1F2EEB-C39A-4C3E-B032-8DC4ABCA04BC}"/>
    <cellStyle name="PSHeading 7 2" xfId="25576" xr:uid="{230ED0A4-EC97-4FDE-8BED-D12126D2F74A}"/>
    <cellStyle name="PSHeading 7 2 2" xfId="25577" xr:uid="{93B2D7C8-AC1B-42CE-9C92-E29A102F62B8}"/>
    <cellStyle name="PSHeading 7 2 2 2" xfId="25578" xr:uid="{EEEF88EB-69DF-407F-9927-F4F24321EE2D}"/>
    <cellStyle name="PSHeading 7 2 3" xfId="25579" xr:uid="{7D65C913-9AB1-46CF-88FD-24C520BEE125}"/>
    <cellStyle name="PSHeading 7 2_JE 5 2002.2 FED" xfId="25580" xr:uid="{E14F96FC-8F53-40FF-9EB1-6C86CC46848A}"/>
    <cellStyle name="PSHeading 7 3" xfId="25581" xr:uid="{4CAA4CEB-683A-4754-BC53-16F132BFC011}"/>
    <cellStyle name="PSHeading 7 3 2" xfId="25582" xr:uid="{76366A03-3856-45EC-B5B7-FF86BD7C6C21}"/>
    <cellStyle name="PSHeading 7 3 2 2" xfId="25583" xr:uid="{CBB324C4-8F3E-4B73-B31C-5689AE4DB8E1}"/>
    <cellStyle name="PSHeading 7 3 3" xfId="25584" xr:uid="{330E4F43-B029-4A9A-B962-49108AFFEC06}"/>
    <cellStyle name="PSHeading 7 3_JE 5 2002.2 FED" xfId="25585" xr:uid="{B014A108-FC14-4A8A-B7E2-2072D5742999}"/>
    <cellStyle name="PSHeading 7 4" xfId="25586" xr:uid="{2A5E8E0F-1865-45FD-8659-6D1A0642CC7D}"/>
    <cellStyle name="PSHeading 7 4 2" xfId="25587" xr:uid="{297EE8A1-FAF7-4BC0-992C-C03E700348EA}"/>
    <cellStyle name="PSHeading 7 4 2 2" xfId="25588" xr:uid="{A684E7B7-7989-4064-A5AB-AB0678FCA35A}"/>
    <cellStyle name="PSHeading 7 4 3" xfId="25589" xr:uid="{48081C65-37D9-4DBA-A528-C744B88CAAA4}"/>
    <cellStyle name="PSHeading 7 4_JE 5 2002.2 FED" xfId="25590" xr:uid="{98821290-0E3D-42EB-82C3-09843BA482C2}"/>
    <cellStyle name="PSHeading 7 5" xfId="25591" xr:uid="{1E252E90-F728-4F46-9ACB-2FF86DEB756A}"/>
    <cellStyle name="PSHeading 7 5 2" xfId="25592" xr:uid="{16D8D7C3-2FFB-4909-85A3-A30AB53A79D9}"/>
    <cellStyle name="PSHeading 7 5 2 2" xfId="25593" xr:uid="{5A8D7562-18EA-440D-B64C-4140D15125DF}"/>
    <cellStyle name="PSHeading 7 5 3" xfId="25594" xr:uid="{7449ED78-210F-4A7B-BAA0-DB4EBAE5F94F}"/>
    <cellStyle name="PSHeading 7 5_JE 5 2002.2 FED" xfId="25595" xr:uid="{54F2B55C-2BB8-485B-86D7-CDA1F9185003}"/>
    <cellStyle name="PSHeading 7 6" xfId="25596" xr:uid="{81427013-C8BF-419A-8667-8538B8099C23}"/>
    <cellStyle name="PSHeading 7 6 2" xfId="25597" xr:uid="{5134E145-D29D-4AA1-97B3-4DAFC8C11980}"/>
    <cellStyle name="PSHeading 7 7" xfId="25598" xr:uid="{107B799B-838E-43DA-9EF0-574E96B97E63}"/>
    <cellStyle name="PSHeading 7_JE 5 2002.2 FED" xfId="25599" xr:uid="{14BD3587-C98A-4449-857F-D478990DD272}"/>
    <cellStyle name="PSHeading 8" xfId="25600" xr:uid="{85430FC0-9349-454F-A9B9-170DDF5023EA}"/>
    <cellStyle name="PSHeading 8 2" xfId="25601" xr:uid="{3D6B1515-944B-47D7-A1B1-2B62739A0DE1}"/>
    <cellStyle name="PSHeading 8 2 2" xfId="25602" xr:uid="{3A3F9D78-18D5-4D1B-827A-749802A31DA7}"/>
    <cellStyle name="PSHeading 8 2 2 2" xfId="25603" xr:uid="{4FE4450C-9E78-4ACC-8295-8665CE3980B7}"/>
    <cellStyle name="PSHeading 8 2 3" xfId="25604" xr:uid="{37AE52BB-B5FB-4D13-9592-9E082FF759B4}"/>
    <cellStyle name="PSHeading 8 2_JE 5 2002.2 FED" xfId="25605" xr:uid="{8A11EA8C-6F83-4EFB-80BA-A3D1861D3AA2}"/>
    <cellStyle name="PSHeading 8 3" xfId="25606" xr:uid="{DFE7DACD-85FF-4F78-AE9D-3C0EB782250C}"/>
    <cellStyle name="PSHeading 8 3 2" xfId="25607" xr:uid="{241A1D7C-4CD6-4DE2-A64A-67A9D51F6F2B}"/>
    <cellStyle name="PSHeading 8 3 2 2" xfId="25608" xr:uid="{1B16FF43-D0F5-4CC4-83DF-6EEDFCC48267}"/>
    <cellStyle name="PSHeading 8 3 3" xfId="25609" xr:uid="{43B6BC38-777A-47F2-B4AD-20EBE6E7BD57}"/>
    <cellStyle name="PSHeading 8 3_JE 5 2002.2 FED" xfId="25610" xr:uid="{60C47E44-8AEB-4B40-B539-88C7171EBC1D}"/>
    <cellStyle name="PSHeading 8 4" xfId="25611" xr:uid="{D8ABBE1F-31B6-42ED-896F-2970B45B20EF}"/>
    <cellStyle name="PSHeading 8 4 2" xfId="25612" xr:uid="{62E4C52E-CA46-4828-9B5D-D45B28C4F211}"/>
    <cellStyle name="PSHeading 8 4 2 2" xfId="25613" xr:uid="{5E8EF0FA-9B7D-4A61-944F-D63F93B501D1}"/>
    <cellStyle name="PSHeading 8 4 3" xfId="25614" xr:uid="{E7F1063B-A4BE-4E1D-AC04-7E56AE1D8C32}"/>
    <cellStyle name="PSHeading 8 4_JE 5 2002.2 FED" xfId="25615" xr:uid="{247E8EC1-6538-40BA-B0B3-1BFBC7157C60}"/>
    <cellStyle name="PSHeading 8 5" xfId="25616" xr:uid="{848CC57D-B4FE-47E8-A5D7-7A3EFE5E4826}"/>
    <cellStyle name="PSHeading 8 5 2" xfId="25617" xr:uid="{33C1B8FD-6E9C-4553-A99D-A022A10E5408}"/>
    <cellStyle name="PSHeading 8 5 2 2" xfId="25618" xr:uid="{9826A64A-92B9-4B16-9672-59A8EE890804}"/>
    <cellStyle name="PSHeading 8 5 3" xfId="25619" xr:uid="{66EB5C6F-11E8-41F7-BFB4-8CA0DE4D7224}"/>
    <cellStyle name="PSHeading 8 5_JE 5 2002.2 FED" xfId="25620" xr:uid="{1F366387-B497-4CA1-ACD1-918B98C74EB4}"/>
    <cellStyle name="PSHeading 8 6" xfId="25621" xr:uid="{92876480-8987-4070-9AD3-B3297AA4B778}"/>
    <cellStyle name="PSHeading 8 6 2" xfId="25622" xr:uid="{BA226EA9-4CD7-4ECC-B19B-0E9B03F73312}"/>
    <cellStyle name="PSHeading 8 7" xfId="25623" xr:uid="{98C10783-D2B9-4AE1-BDFB-0841262CDE15}"/>
    <cellStyle name="PSHeading 8_JE 5 2002.2 FED" xfId="25624" xr:uid="{2C630027-3288-4C3D-B6C3-D677E286AEAE}"/>
    <cellStyle name="PSHeading 9" xfId="25625" xr:uid="{4C219964-43B7-4953-8DB9-774A45AA7446}"/>
    <cellStyle name="PSHeading 9 2" xfId="25626" xr:uid="{924C88FF-541D-4D63-87D3-F483181EB6DD}"/>
    <cellStyle name="PSHeading 9 2 2" xfId="25627" xr:uid="{FB7C2384-CCB0-4BE5-B70E-2B5B780D084A}"/>
    <cellStyle name="PSHeading 9 2 2 2" xfId="25628" xr:uid="{05CAD766-8336-4BA6-96E4-15E9ED703707}"/>
    <cellStyle name="PSHeading 9 2 3" xfId="25629" xr:uid="{E851338D-1A95-473F-A31C-C0D10041CEBF}"/>
    <cellStyle name="PSHeading 9 2_JE 5 2002.2 FED" xfId="25630" xr:uid="{B1C1759D-32FF-4EE3-A6B2-6BB961F78456}"/>
    <cellStyle name="PSHeading 9 3" xfId="25631" xr:uid="{D709F9C7-F919-4601-ABCD-8C01C1B65034}"/>
    <cellStyle name="PSHeading 9 3 2" xfId="25632" xr:uid="{2BA8D36D-7B87-4E4F-91C4-2E3D0AC3399D}"/>
    <cellStyle name="PSHeading 9 3 2 2" xfId="25633" xr:uid="{29A6B831-06D2-45AF-BF46-0F6B255E9B90}"/>
    <cellStyle name="PSHeading 9 3 3" xfId="25634" xr:uid="{AE6BCAFA-19E6-4AB8-8196-9FBC8CD75BE7}"/>
    <cellStyle name="PSHeading 9 3_JE 5 2002.2 FED" xfId="25635" xr:uid="{C1267850-A2DD-45A1-A108-51F03842F198}"/>
    <cellStyle name="PSHeading 9 4" xfId="25636" xr:uid="{C0F6A5EF-78EF-47F9-9F7F-E6262F8654ED}"/>
    <cellStyle name="PSHeading 9 4 2" xfId="25637" xr:uid="{59E6998C-4661-4AB9-8650-D32AFA8BEA5F}"/>
    <cellStyle name="PSHeading 9 4 2 2" xfId="25638" xr:uid="{856B45C7-FE23-4EA7-BCCF-345E592DC08F}"/>
    <cellStyle name="PSHeading 9 4 3" xfId="25639" xr:uid="{D35EEAFC-B100-4EA4-893B-EC82EEE87299}"/>
    <cellStyle name="PSHeading 9 4_JE 5 2002.2 FED" xfId="25640" xr:uid="{54CE1415-B5FC-4236-8903-60850E3CE273}"/>
    <cellStyle name="PSHeading 9 5" xfId="25641" xr:uid="{AC161EE7-43F3-408C-B5A0-99B1F94313AF}"/>
    <cellStyle name="PSHeading 9 5 2" xfId="25642" xr:uid="{C2EE7798-311C-4699-ACA0-161B5659047D}"/>
    <cellStyle name="PSHeading 9 5 2 2" xfId="25643" xr:uid="{39938D93-A89D-4204-9C5F-7A8447766829}"/>
    <cellStyle name="PSHeading 9 5 3" xfId="25644" xr:uid="{1C7FDAB2-08ED-40A6-A726-F5F2C4390C5C}"/>
    <cellStyle name="PSHeading 9 5_JE 5 2002.2 FED" xfId="25645" xr:uid="{9A9ADD29-AC90-4A2E-B47F-15ED6E65C9D9}"/>
    <cellStyle name="PSHeading 9 6" xfId="25646" xr:uid="{3F62D094-EB8B-41B5-970E-A73B134EDB12}"/>
    <cellStyle name="PSHeading 9 6 2" xfId="25647" xr:uid="{4877218A-5803-4AB4-B1CA-5C2AEC250577}"/>
    <cellStyle name="PSHeading 9 7" xfId="25648" xr:uid="{F0ED1B9D-312B-4331-AF23-309189231841}"/>
    <cellStyle name="PSHeading 9_JE 5 2002.2 FED" xfId="25649" xr:uid="{FE73F1D1-7393-41AA-BFDF-CB6D8950FCE7}"/>
    <cellStyle name="PSHeading_11-03.1 Pepco" xfId="25650" xr:uid="{332BA557-8333-4742-8C23-3D5B60B7D56F}"/>
    <cellStyle name="PSInt" xfId="207" xr:uid="{D52BEE3A-5033-484E-915E-7FDF86A2FD7B}"/>
    <cellStyle name="PSInt 10" xfId="25651" xr:uid="{07921C38-D1F0-4515-9DA3-9F34EE25EC6A}"/>
    <cellStyle name="PSInt 10 2" xfId="25652" xr:uid="{19547E7B-3A2C-4D4C-91ED-AB010F93A3AA}"/>
    <cellStyle name="PSInt 10 2 2" xfId="25653" xr:uid="{35D9A046-BB87-4CA4-9F19-E8AF9331D6C2}"/>
    <cellStyle name="PSInt 10 2 2 2" xfId="25654" xr:uid="{582880F7-7A15-41C9-A80D-73A715B886BD}"/>
    <cellStyle name="PSInt 10 2 3" xfId="25655" xr:uid="{0ABA0552-3EE6-4B73-814E-168876AD20C6}"/>
    <cellStyle name="PSInt 10 3" xfId="25656" xr:uid="{C0F3D559-C483-4816-A07E-27F480D48D8F}"/>
    <cellStyle name="PSInt 10 3 2" xfId="25657" xr:uid="{D6D5643D-BB7E-4393-9332-716B4545274F}"/>
    <cellStyle name="PSInt 10 3 2 2" xfId="25658" xr:uid="{9F9B90F5-AD8E-42A5-AF6E-47EB6C29D550}"/>
    <cellStyle name="PSInt 10 3 3" xfId="25659" xr:uid="{ADD77211-2C5B-4BBF-A337-04F820FD61C8}"/>
    <cellStyle name="PSInt 10 4" xfId="25660" xr:uid="{1836718B-5705-4459-84F1-7453BEAF4F70}"/>
    <cellStyle name="PSInt 10 4 2" xfId="25661" xr:uid="{25D1C97C-2C1F-4B6E-A600-6BD01454BC06}"/>
    <cellStyle name="PSInt 10 4 2 2" xfId="25662" xr:uid="{FB69B895-6433-4228-8277-7E4566CD2448}"/>
    <cellStyle name="PSInt 10 4 3" xfId="25663" xr:uid="{6276CAD2-6E98-48D8-8FA5-D001510F3F92}"/>
    <cellStyle name="PSInt 10 5" xfId="25664" xr:uid="{572886DC-646B-487D-B98D-BE9E140CC63C}"/>
    <cellStyle name="PSInt 10 5 2" xfId="25665" xr:uid="{06DF3F61-1F17-4B7F-B6F3-1FE27506B466}"/>
    <cellStyle name="PSInt 10 5 2 2" xfId="25666" xr:uid="{FF891A7C-7389-4784-9F91-F3A1EF3C0CD5}"/>
    <cellStyle name="PSInt 10 5 3" xfId="25667" xr:uid="{0585ED28-2552-41D2-9466-9AD758809103}"/>
    <cellStyle name="PSInt 10 6" xfId="25668" xr:uid="{D5D64F77-0E26-497E-A968-733C4108353B}"/>
    <cellStyle name="PSInt 10 6 2" xfId="25669" xr:uid="{033B51C7-9C41-4956-BD88-6662313CBF6B}"/>
    <cellStyle name="PSInt 10 7" xfId="25670" xr:uid="{91551526-0F60-4E4D-8D8D-7088C7A218BA}"/>
    <cellStyle name="PSInt 11" xfId="25671" xr:uid="{EF9CC5D8-45F6-409D-AF1D-F4AA8825650D}"/>
    <cellStyle name="PSInt 11 2" xfId="25672" xr:uid="{507B501A-8F92-41C2-A71B-946FF1F6D92F}"/>
    <cellStyle name="PSInt 11 2 2" xfId="25673" xr:uid="{A901BEF1-BB41-4AA8-B5CD-660970EE3AD8}"/>
    <cellStyle name="PSInt 11 2 2 2" xfId="25674" xr:uid="{250D7AB8-5993-4260-858E-AB343F2662FC}"/>
    <cellStyle name="PSInt 11 2 3" xfId="25675" xr:uid="{6459DDCE-14CD-466B-83F2-16A2B0D152CA}"/>
    <cellStyle name="PSInt 11 3" xfId="25676" xr:uid="{B08A5DED-0750-4A80-86F5-30C6C7C4C6E1}"/>
    <cellStyle name="PSInt 11 3 2" xfId="25677" xr:uid="{56A9AA7E-A977-4989-9D15-8690C0A8558C}"/>
    <cellStyle name="PSInt 11 3 2 2" xfId="25678" xr:uid="{82281BDA-7693-4DD2-9CAE-144F2C8999F2}"/>
    <cellStyle name="PSInt 11 3 3" xfId="25679" xr:uid="{2D2F7C43-50C8-49DC-8A88-6F49D35ABEB6}"/>
    <cellStyle name="PSInt 11 4" xfId="25680" xr:uid="{D6B3695A-7744-4561-BE64-3B8CFD2E41FB}"/>
    <cellStyle name="PSInt 11 4 2" xfId="25681" xr:uid="{6C9EB340-22A6-4F53-9E87-5067C884DE1A}"/>
    <cellStyle name="PSInt 11 4 2 2" xfId="25682" xr:uid="{CBE3AAB1-581B-4B39-ABE1-14C49490E685}"/>
    <cellStyle name="PSInt 11 4 3" xfId="25683" xr:uid="{075DABA8-744F-4200-BEED-94562752E505}"/>
    <cellStyle name="PSInt 11 5" xfId="25684" xr:uid="{993810A7-4DF8-4281-ABFA-5B7806F3E5B0}"/>
    <cellStyle name="PSInt 11 5 2" xfId="25685" xr:uid="{0F999FFB-C455-428E-914E-C1CD928A3561}"/>
    <cellStyle name="PSInt 11 5 2 2" xfId="25686" xr:uid="{18A2EE02-064D-4C97-AAC9-AF44B4710C4A}"/>
    <cellStyle name="PSInt 11 5 3" xfId="25687" xr:uid="{579F9FBF-5AF4-4C53-9F1B-3F1BC5AF65BC}"/>
    <cellStyle name="PSInt 11 6" xfId="25688" xr:uid="{B4501602-F206-47BD-8E6E-22C65421A202}"/>
    <cellStyle name="PSInt 11 6 2" xfId="25689" xr:uid="{7522A351-6910-456B-9E51-DEAE8C7B97BF}"/>
    <cellStyle name="PSInt 11 7" xfId="25690" xr:uid="{B5D21D8B-DE01-46D5-966A-A04A5DDA4E9D}"/>
    <cellStyle name="PSInt 12" xfId="25691" xr:uid="{F289E8EA-7F07-4DD1-A0F1-D9212763F80A}"/>
    <cellStyle name="PSInt 12 2" xfId="25692" xr:uid="{B5E7C343-6170-4213-B31A-3188C03F6B9E}"/>
    <cellStyle name="PSInt 12 2 2" xfId="25693" xr:uid="{F478CD17-8E1F-4664-818C-D13BA6BC0A03}"/>
    <cellStyle name="PSInt 12 2 2 2" xfId="25694" xr:uid="{4E7B7820-A9F2-4226-A3F5-3EFBC3A6B42C}"/>
    <cellStyle name="PSInt 12 2 3" xfId="25695" xr:uid="{0F223AA6-5245-42E5-9CCE-2E2F9781B02B}"/>
    <cellStyle name="PSInt 12 3" xfId="25696" xr:uid="{106AC047-1CD6-43E9-B74B-D6EBDD796D59}"/>
    <cellStyle name="PSInt 12 3 2" xfId="25697" xr:uid="{04EEF571-B1B4-45F8-B1A5-8B61336D5EB3}"/>
    <cellStyle name="PSInt 12 3 2 2" xfId="25698" xr:uid="{FFD8B653-12E1-4614-B5CE-A4BF940AD69E}"/>
    <cellStyle name="PSInt 12 3 3" xfId="25699" xr:uid="{31ABB5B9-D965-42DB-957B-10C1A358155D}"/>
    <cellStyle name="PSInt 12 4" xfId="25700" xr:uid="{0B358E26-011C-4AD3-B7B9-7A625E859A09}"/>
    <cellStyle name="PSInt 12 4 2" xfId="25701" xr:uid="{BBEA4480-4E8C-4E01-A6B0-E3B226AD7972}"/>
    <cellStyle name="PSInt 12 4 2 2" xfId="25702" xr:uid="{77F8BB6C-10C5-41CF-B3A0-154099D62052}"/>
    <cellStyle name="PSInt 12 4 3" xfId="25703" xr:uid="{1A5DE40F-B96F-44A7-94D9-5C046543C12D}"/>
    <cellStyle name="PSInt 12 5" xfId="25704" xr:uid="{B1565928-FF2F-4C8A-B5CE-7DBC914D8668}"/>
    <cellStyle name="PSInt 12 5 2" xfId="25705" xr:uid="{4F8DD1DA-14AC-4672-ABC3-00DFDD2F9915}"/>
    <cellStyle name="PSInt 12 5 2 2" xfId="25706" xr:uid="{13653D4C-00BF-4E2A-BB43-03490D64D32B}"/>
    <cellStyle name="PSInt 12 5 3" xfId="25707" xr:uid="{149A55B0-4E91-4911-BF01-5711812B3DCA}"/>
    <cellStyle name="PSInt 12 6" xfId="25708" xr:uid="{3DA4FD95-883F-4904-8148-32D6B3E45DAB}"/>
    <cellStyle name="PSInt 12 6 2" xfId="25709" xr:uid="{DB4773E5-D8F7-4B9B-921C-7F3D4C557AD6}"/>
    <cellStyle name="PSInt 12 7" xfId="25710" xr:uid="{7AFC0B6B-7CEC-40AB-A7C5-92BAB7C92371}"/>
    <cellStyle name="PSInt 13" xfId="25711" xr:uid="{1B25282A-396C-432F-8CE6-1D9027FEAF42}"/>
    <cellStyle name="PSInt 13 2" xfId="25712" xr:uid="{F45D1FD5-6191-45AE-A792-C911725505D9}"/>
    <cellStyle name="PSInt 13 2 2" xfId="25713" xr:uid="{4CE90DA3-96D4-4D79-B90F-55A13B1837F4}"/>
    <cellStyle name="PSInt 13 2 2 2" xfId="25714" xr:uid="{09472F89-18CA-42A4-97DE-B1E8E621E1E5}"/>
    <cellStyle name="PSInt 13 2 3" xfId="25715" xr:uid="{50D0BE43-8E69-47BE-BF84-3E7AEDE20FF1}"/>
    <cellStyle name="PSInt 13 3" xfId="25716" xr:uid="{BEB2EF6F-A3FD-4FBC-AB05-D780CA957C9E}"/>
    <cellStyle name="PSInt 13 3 2" xfId="25717" xr:uid="{7953FD10-02E9-4483-89B0-24515FE1ABAF}"/>
    <cellStyle name="PSInt 13 3 2 2" xfId="25718" xr:uid="{FA4C5930-2503-4336-8733-EAAB6991EDAA}"/>
    <cellStyle name="PSInt 13 3 3" xfId="25719" xr:uid="{3E3F8A5A-D76F-4D84-BE92-8CC4D3E0D403}"/>
    <cellStyle name="PSInt 13 4" xfId="25720" xr:uid="{20B9959B-E485-4A89-A763-77EF39CE0187}"/>
    <cellStyle name="PSInt 13 4 2" xfId="25721" xr:uid="{EF4A3D87-5ABB-4868-94B3-BE9AFB96EF12}"/>
    <cellStyle name="PSInt 13 4 2 2" xfId="25722" xr:uid="{90218FB1-CA3A-470B-A6EE-50F7C95454E1}"/>
    <cellStyle name="PSInt 13 4 3" xfId="25723" xr:uid="{64928299-28D2-4054-9ABE-C33AA0B59293}"/>
    <cellStyle name="PSInt 13 5" xfId="25724" xr:uid="{8D996C62-9EB5-4C2C-AB8B-194ADE73EC04}"/>
    <cellStyle name="PSInt 13 5 2" xfId="25725" xr:uid="{9DEA0214-DE43-4A2B-8191-77C59BF15824}"/>
    <cellStyle name="PSInt 13 5 2 2" xfId="25726" xr:uid="{1423FF79-A4C0-4C28-A559-9F7D2632167B}"/>
    <cellStyle name="PSInt 13 5 3" xfId="25727" xr:uid="{E8305858-A7D9-4CCC-A2FF-56380C140E31}"/>
    <cellStyle name="PSInt 13 6" xfId="25728" xr:uid="{AA785D05-5D48-4CC3-83BA-27528EBB5FCD}"/>
    <cellStyle name="PSInt 13 6 2" xfId="25729" xr:uid="{9438132A-973C-49B2-A344-E8BCF3DFC937}"/>
    <cellStyle name="PSInt 13 7" xfId="25730" xr:uid="{D7BD6BDB-3B0E-41F8-919C-1FF023B4B558}"/>
    <cellStyle name="PSInt 14" xfId="25731" xr:uid="{2D21F4FF-1B5A-4DB7-A21E-2EDA99B88EC2}"/>
    <cellStyle name="PSInt 14 2" xfId="25732" xr:uid="{9D392B64-A2BF-4ED2-92D2-35B9BED02CED}"/>
    <cellStyle name="PSInt 14 2 2" xfId="25733" xr:uid="{2088E9DF-8079-4A85-8FFE-5BB5123ACC36}"/>
    <cellStyle name="PSInt 14 2 2 2" xfId="25734" xr:uid="{CE971854-CBAE-4084-B6EE-248022164703}"/>
    <cellStyle name="PSInt 14 2 3" xfId="25735" xr:uid="{A4AAF086-CC5A-4358-AB8A-ECD23C151DC2}"/>
    <cellStyle name="PSInt 14 3" xfId="25736" xr:uid="{1D802213-DA37-4D5E-90DD-85ED355E9D26}"/>
    <cellStyle name="PSInt 14 3 2" xfId="25737" xr:uid="{F22369F2-436C-48DE-8FA3-61C80B54FA1F}"/>
    <cellStyle name="PSInt 14 3 2 2" xfId="25738" xr:uid="{B41B69AF-A716-4B76-9828-9720ED44519C}"/>
    <cellStyle name="PSInt 14 3 3" xfId="25739" xr:uid="{CBA3D022-2764-4768-A120-5A23B82530CF}"/>
    <cellStyle name="PSInt 14 4" xfId="25740" xr:uid="{5DC21A82-5EFF-4517-BE1F-71409524EC30}"/>
    <cellStyle name="PSInt 14 4 2" xfId="25741" xr:uid="{2F855D3A-43C4-4690-AB7A-F21033EE6BF7}"/>
    <cellStyle name="PSInt 14 4 2 2" xfId="25742" xr:uid="{C8FAFBD2-F275-4A55-A3A7-1DDEE6BB482E}"/>
    <cellStyle name="PSInt 14 4 3" xfId="25743" xr:uid="{2AA36122-9FAD-4964-8B83-B5517E689FC1}"/>
    <cellStyle name="PSInt 14 5" xfId="25744" xr:uid="{39FEE7FD-283B-4068-96B8-D4CC1EC43622}"/>
    <cellStyle name="PSInt 14 5 2" xfId="25745" xr:uid="{D5A22353-54C1-4342-A1EE-AA421C2043B3}"/>
    <cellStyle name="PSInt 14 5 2 2" xfId="25746" xr:uid="{890D4B73-4BF7-471A-A148-C28EB81925BB}"/>
    <cellStyle name="PSInt 14 5 3" xfId="25747" xr:uid="{FCD09D8D-63B5-40F5-AB65-7322717B2FE7}"/>
    <cellStyle name="PSInt 14 6" xfId="25748" xr:uid="{05A77CDE-7412-4476-A485-956A85B7982F}"/>
    <cellStyle name="PSInt 14 6 2" xfId="25749" xr:uid="{397CDADD-9B86-496B-BB52-55000B17F197}"/>
    <cellStyle name="PSInt 14 7" xfId="25750" xr:uid="{911CBE9C-6E4A-4060-87C7-11C7B7E9949B}"/>
    <cellStyle name="PSInt 15" xfId="25751" xr:uid="{940A4D61-770E-450F-90DF-4080B866E180}"/>
    <cellStyle name="PSInt 15 2" xfId="25752" xr:uid="{56396A89-EC22-430E-B042-C18330B88599}"/>
    <cellStyle name="PSInt 15 2 2" xfId="25753" xr:uid="{DF7DBF72-C4BF-49AB-8DF0-557F6252D27E}"/>
    <cellStyle name="PSInt 15 2 2 2" xfId="25754" xr:uid="{07A54571-DB6A-4BC3-9B89-80790D5AEEBA}"/>
    <cellStyle name="PSInt 15 2 3" xfId="25755" xr:uid="{8A4E5485-AC89-4505-AF07-A62071BA5C57}"/>
    <cellStyle name="PSInt 15 3" xfId="25756" xr:uid="{8ECC4B27-20ED-4293-A490-58284BC6A183}"/>
    <cellStyle name="PSInt 15 3 2" xfId="25757" xr:uid="{57C7DF7D-64C6-4F06-9569-E9E2E7699481}"/>
    <cellStyle name="PSInt 15 3 2 2" xfId="25758" xr:uid="{446C99BC-3091-4431-9EAB-6A4983E2347D}"/>
    <cellStyle name="PSInt 15 3 3" xfId="25759" xr:uid="{C8C9E610-0246-4B61-87DB-EF978BAABB95}"/>
    <cellStyle name="PSInt 15 4" xfId="25760" xr:uid="{F15BAEC0-9D80-4A44-8104-D9CEB70A2F7D}"/>
    <cellStyle name="PSInt 15 4 2" xfId="25761" xr:uid="{974BAE74-526A-415B-AB97-A56FF24E8EC9}"/>
    <cellStyle name="PSInt 15 4 2 2" xfId="25762" xr:uid="{F1426B91-E276-4A8B-95BC-7D8FC59660B4}"/>
    <cellStyle name="PSInt 15 4 3" xfId="25763" xr:uid="{32DACC60-2D91-42A8-A4A7-13E55F8B6ACA}"/>
    <cellStyle name="PSInt 15 5" xfId="25764" xr:uid="{40E65B94-400A-4BBB-BB7A-2828CE5DD630}"/>
    <cellStyle name="PSInt 15 5 2" xfId="25765" xr:uid="{FC0D0BC2-2E2D-4EC4-8CED-070533232AA7}"/>
    <cellStyle name="PSInt 15 5 2 2" xfId="25766" xr:uid="{0590BA6C-C043-432F-83FD-EF85E4223F6B}"/>
    <cellStyle name="PSInt 15 5 3" xfId="25767" xr:uid="{58A5D7A5-4E9F-4CD0-93AF-C8CD3B9DD4B2}"/>
    <cellStyle name="PSInt 15 6" xfId="25768" xr:uid="{3AC97CAA-893B-45E6-AA3D-21C03B8E07EE}"/>
    <cellStyle name="PSInt 15 6 2" xfId="25769" xr:uid="{BA5D4D10-4593-4E48-93CC-F11447153BE7}"/>
    <cellStyle name="PSInt 15 7" xfId="25770" xr:uid="{B6E15FF4-3939-41BE-8DA5-BD2776CD853D}"/>
    <cellStyle name="PSInt 16" xfId="25771" xr:uid="{866CB820-4DD1-497D-8EDE-2D0D74DBF2D0}"/>
    <cellStyle name="PSInt 16 2" xfId="25772" xr:uid="{85B805FA-F4BF-4820-8D95-82F4A759C30E}"/>
    <cellStyle name="PSInt 17" xfId="25773" xr:uid="{F2418F79-2FA0-44A1-8DEA-EB517ADBED5F}"/>
    <cellStyle name="PSInt 18" xfId="25774" xr:uid="{9C921AE4-4FF1-4005-83B1-A04FCD0048B0}"/>
    <cellStyle name="PSInt 18 2" xfId="25775" xr:uid="{10E55156-CA90-4603-A566-EBE04FEF1BDD}"/>
    <cellStyle name="PSInt 18 3" xfId="25776" xr:uid="{6372DDBA-27C9-47AD-AEAF-FD1B16AF6321}"/>
    <cellStyle name="PSInt 2" xfId="25777" xr:uid="{7F521923-05E2-4B7D-8D5A-C3231D3AF298}"/>
    <cellStyle name="PSInt 2 10" xfId="25778" xr:uid="{E37501C9-B91F-45E7-A524-66F9A169A0D1}"/>
    <cellStyle name="PSInt 2 10 2" xfId="25779" xr:uid="{2303103F-BF7B-4B44-9828-AB12401689E2}"/>
    <cellStyle name="PSInt 2 11" xfId="25780" xr:uid="{7D621EFD-72D9-4D78-B290-46882C436EE8}"/>
    <cellStyle name="PSInt 2 2" xfId="25781" xr:uid="{1C2AB39E-7698-4FAC-81C7-09D9BCBF7ACA}"/>
    <cellStyle name="PSInt 2 2 2" xfId="25782" xr:uid="{B53C68AA-7574-4C46-9079-546E425D1D91}"/>
    <cellStyle name="PSInt 2 2 2 2" xfId="25783" xr:uid="{4E9B62FF-2823-4E08-BED3-253B3B4B6DFD}"/>
    <cellStyle name="PSInt 2 2 3" xfId="25784" xr:uid="{3B735423-827D-4C39-8CDE-1CB4DE2E7EB8}"/>
    <cellStyle name="PSInt 2 3" xfId="25785" xr:uid="{BF89396F-A485-40C2-893E-C306C3C46CC0}"/>
    <cellStyle name="PSInt 2 3 2" xfId="25786" xr:uid="{3945C507-C335-45E4-837F-C2899D6DD0C2}"/>
    <cellStyle name="PSInt 2 3 2 2" xfId="25787" xr:uid="{95835C3B-EC1A-49CC-97C8-D87A8C5C4B7E}"/>
    <cellStyle name="PSInt 2 3 3" xfId="25788" xr:uid="{405DF5E8-164D-4514-96B6-89945DEAB71C}"/>
    <cellStyle name="PSInt 2 4" xfId="25789" xr:uid="{1D383814-55CD-4759-8C29-DBD167479D6A}"/>
    <cellStyle name="PSInt 2 4 2" xfId="25790" xr:uid="{A5348136-AC3B-443E-B06A-377A2D87FD9D}"/>
    <cellStyle name="PSInt 2 4 2 2" xfId="25791" xr:uid="{FD806B4D-A487-44B7-8FEB-F22F57D4E4AD}"/>
    <cellStyle name="PSInt 2 4 3" xfId="25792" xr:uid="{D67212A9-387E-4319-8F83-EEDD86AAFF88}"/>
    <cellStyle name="PSInt 2 5" xfId="25793" xr:uid="{5827D75E-2D7A-426E-9441-BE3754FE8667}"/>
    <cellStyle name="PSInt 2 5 2" xfId="25794" xr:uid="{D0A9E906-E859-4773-A200-FE51B39D02C7}"/>
    <cellStyle name="PSInt 2 5 2 2" xfId="25795" xr:uid="{2769C9FC-3D25-458B-B694-7267B4351041}"/>
    <cellStyle name="PSInt 2 5 3" xfId="25796" xr:uid="{1C4C39F4-BCC0-40B9-A7AF-88AC17C8880B}"/>
    <cellStyle name="PSInt 2 6" xfId="25797" xr:uid="{DF89A301-896E-4F39-9584-2B084A262F97}"/>
    <cellStyle name="PSInt 2 6 2" xfId="25798" xr:uid="{2FEFA64A-0243-4A1E-BA2C-2EDD344828B9}"/>
    <cellStyle name="PSInt 2 6 2 2" xfId="25799" xr:uid="{DB21ABE7-5278-464E-BF21-47FA52598F1B}"/>
    <cellStyle name="PSInt 2 6 3" xfId="25800" xr:uid="{74264304-FAFD-4D7A-9C30-56C952683355}"/>
    <cellStyle name="PSInt 2 7" xfId="25801" xr:uid="{03957EDC-EF2B-4714-A978-9161B6C23676}"/>
    <cellStyle name="PSInt 2 7 2" xfId="25802" xr:uid="{E9052FF7-1613-49F0-B663-9ED81FA017B7}"/>
    <cellStyle name="PSInt 2 7 2 2" xfId="25803" xr:uid="{7CF0C6DA-6846-429D-9ECC-625F18905FEB}"/>
    <cellStyle name="PSInt 2 7 3" xfId="25804" xr:uid="{18005B7A-9F35-4549-9849-2C64D2EB193C}"/>
    <cellStyle name="PSInt 2 8" xfId="25805" xr:uid="{3BAB7468-0EE5-4397-B7D3-D80D2E5703A3}"/>
    <cellStyle name="PSInt 2 8 2" xfId="25806" xr:uid="{A6E9CF06-745C-4BD0-B89D-419EB7F4AD90}"/>
    <cellStyle name="PSInt 2 8 2 2" xfId="25807" xr:uid="{656C52A6-384A-4102-82E7-27FD73690784}"/>
    <cellStyle name="PSInt 2 8 3" xfId="25808" xr:uid="{7AFFFB8B-D0C5-43A0-9338-EBF1310AA527}"/>
    <cellStyle name="PSInt 2 9" xfId="25809" xr:uid="{10F430AE-B166-4B60-AA5D-F2D48F1C8ADB}"/>
    <cellStyle name="PSInt 2 9 2" xfId="25810" xr:uid="{F64FCC3A-7801-4F9E-9C9F-BBFF7D300533}"/>
    <cellStyle name="PSInt 2 9 2 2" xfId="25811" xr:uid="{1663340B-04CF-45B3-9792-1E4E0C499960}"/>
    <cellStyle name="PSInt 2 9 3" xfId="25812" xr:uid="{9C3C25F7-EB4B-4651-B7C7-F90AE787E0EF}"/>
    <cellStyle name="PSInt 3" xfId="25813" xr:uid="{0B1D5879-2F12-4838-968A-9F66F36A4855}"/>
    <cellStyle name="PSInt 3 10" xfId="25814" xr:uid="{EEB69B0D-9859-4C56-954A-D238B8C3F31A}"/>
    <cellStyle name="PSInt 3 10 2" xfId="25815" xr:uid="{A27A10B6-4078-4168-97DF-2EAAFAD1AE07}"/>
    <cellStyle name="PSInt 3 11" xfId="25816" xr:uid="{605147D9-3E5F-49AA-BD8A-E80E7393AD21}"/>
    <cellStyle name="PSInt 3 2" xfId="25817" xr:uid="{F15BE087-2FC0-412B-835A-EEFF7EC451FA}"/>
    <cellStyle name="PSInt 3 2 2" xfId="25818" xr:uid="{705EE10E-A219-4C68-BE49-981E7170B4F7}"/>
    <cellStyle name="PSInt 3 2 2 2" xfId="25819" xr:uid="{C23C454C-E177-4EA9-94F7-0C750605749D}"/>
    <cellStyle name="PSInt 3 2 3" xfId="25820" xr:uid="{A4E4DFEB-E370-4124-B667-2D11E3F56A2F}"/>
    <cellStyle name="PSInt 3 3" xfId="25821" xr:uid="{969DD9E8-1576-4927-9287-A8CFCFA5B89B}"/>
    <cellStyle name="PSInt 3 3 2" xfId="25822" xr:uid="{798D3C9E-04FF-4438-93A8-61C9D2DFCC29}"/>
    <cellStyle name="PSInt 3 3 2 2" xfId="25823" xr:uid="{204F95E9-BF5F-41C8-B34A-E488AFDCDBBB}"/>
    <cellStyle name="PSInt 3 3 3" xfId="25824" xr:uid="{00BCD543-E97E-423F-ADB5-4FB7A23BCE68}"/>
    <cellStyle name="PSInt 3 4" xfId="25825" xr:uid="{5B87256A-38EB-4F43-8CE5-F7920838E7E8}"/>
    <cellStyle name="PSInt 3 4 2" xfId="25826" xr:uid="{C23D03B7-9F9C-48BD-952A-116562495F3D}"/>
    <cellStyle name="PSInt 3 4 2 2" xfId="25827" xr:uid="{991C83F3-7453-48A5-B967-F23E6449B84C}"/>
    <cellStyle name="PSInt 3 4 3" xfId="25828" xr:uid="{AEB501A5-593D-4141-B087-BB6E8D855D95}"/>
    <cellStyle name="PSInt 3 5" xfId="25829" xr:uid="{25A57ADE-FFE2-4F9C-996C-60546B38E0EA}"/>
    <cellStyle name="PSInt 3 5 2" xfId="25830" xr:uid="{08F19DD5-2752-4255-A650-D934247DB6D8}"/>
    <cellStyle name="PSInt 3 5 2 2" xfId="25831" xr:uid="{E8B8E288-A3CE-4EDC-B743-AAD3BCF3DA84}"/>
    <cellStyle name="PSInt 3 5 3" xfId="25832" xr:uid="{7F33673D-79BB-4C8E-A0D3-9903B99895CB}"/>
    <cellStyle name="PSInt 3 6" xfId="25833" xr:uid="{EB3D8BCA-C1D5-48A9-B96F-9B4DB0ACF3EA}"/>
    <cellStyle name="PSInt 3 6 2" xfId="25834" xr:uid="{FCCED057-94B0-4401-A4D7-D02286FBE78A}"/>
    <cellStyle name="PSInt 3 6 2 2" xfId="25835" xr:uid="{F48287D1-2671-4C88-BE16-4C734D5405F5}"/>
    <cellStyle name="PSInt 3 6 3" xfId="25836" xr:uid="{D32F515A-055D-43D0-B79A-E7B2CE3AD301}"/>
    <cellStyle name="PSInt 3 7" xfId="25837" xr:uid="{3FD57755-9377-4CDF-BA2E-E8236E9830A5}"/>
    <cellStyle name="PSInt 3 7 2" xfId="25838" xr:uid="{8B0E7D25-5139-41DE-806F-8F2A3148F271}"/>
    <cellStyle name="PSInt 3 7 2 2" xfId="25839" xr:uid="{EABEF078-1D61-4F5F-A155-21D0982914C0}"/>
    <cellStyle name="PSInt 3 7 3" xfId="25840" xr:uid="{DF05686B-9B66-4C21-9C91-6F13BCA092FE}"/>
    <cellStyle name="PSInt 3 8" xfId="25841" xr:uid="{6DA87603-B3A7-4551-AA14-47F1C2315B69}"/>
    <cellStyle name="PSInt 3 8 2" xfId="25842" xr:uid="{35E50EF2-14CD-41DB-ACD5-2D8E97BC22EB}"/>
    <cellStyle name="PSInt 3 8 2 2" xfId="25843" xr:uid="{57EB4225-3458-4DB3-A8A6-F0689FD8597D}"/>
    <cellStyle name="PSInt 3 8 3" xfId="25844" xr:uid="{3473E00B-C512-48F1-986B-5E616369D4CB}"/>
    <cellStyle name="PSInt 3 9" xfId="25845" xr:uid="{D313B48F-4A3C-459E-9F49-A0D8F2C9C907}"/>
    <cellStyle name="PSInt 3 9 2" xfId="25846" xr:uid="{CD91BBF3-B0C5-43CF-9F30-B9B1AB3C3506}"/>
    <cellStyle name="PSInt 3 9 2 2" xfId="25847" xr:uid="{D53FDD20-0570-40E7-B357-54E38C566FF3}"/>
    <cellStyle name="PSInt 3 9 3" xfId="25848" xr:uid="{FD2A8DC6-1BB3-4317-851B-ABB2114DB62B}"/>
    <cellStyle name="PSInt 4" xfId="25849" xr:uid="{151C147F-666C-4EFD-B1FB-7066B884E4AE}"/>
    <cellStyle name="PSInt 4 10" xfId="25850" xr:uid="{69A488D4-E721-4D75-93DD-428761D09895}"/>
    <cellStyle name="PSInt 4 10 2" xfId="25851" xr:uid="{4DCC0449-6752-47D1-BE88-3E0141E7A630}"/>
    <cellStyle name="PSInt 4 11" xfId="25852" xr:uid="{452779B1-B042-46F0-8B23-6C4065E90E1F}"/>
    <cellStyle name="PSInt 4 2" xfId="25853" xr:uid="{BD6EBBD3-B2F1-4462-9BB8-7724965F1408}"/>
    <cellStyle name="PSInt 4 2 2" xfId="25854" xr:uid="{F6CBD72F-B94E-4525-80A9-C3219D33430E}"/>
    <cellStyle name="PSInt 4 2 2 2" xfId="25855" xr:uid="{D82BF7F2-6DF8-4E1C-8807-EFB80DDC63A3}"/>
    <cellStyle name="PSInt 4 2 3" xfId="25856" xr:uid="{E5784766-E7F4-4055-A0B3-341B895DDAB4}"/>
    <cellStyle name="PSInt 4 3" xfId="25857" xr:uid="{5FF8AC9D-92CD-4C6A-96F1-FD8002631B4A}"/>
    <cellStyle name="PSInt 4 3 2" xfId="25858" xr:uid="{5799965F-A3CB-4A65-BC28-F0DEE196480F}"/>
    <cellStyle name="PSInt 4 3 2 2" xfId="25859" xr:uid="{8426C36A-622B-4FD9-AD08-200B8F3C283A}"/>
    <cellStyle name="PSInt 4 3 3" xfId="25860" xr:uid="{FC66EF72-4CAD-44F0-90D4-1E9690F3ECAE}"/>
    <cellStyle name="PSInt 4 4" xfId="25861" xr:uid="{A25769B5-8F6E-4CF8-BA72-80E7A5402536}"/>
    <cellStyle name="PSInt 4 4 2" xfId="25862" xr:uid="{BABF9652-8326-4E2A-BB9A-5337066E37AA}"/>
    <cellStyle name="PSInt 4 4 2 2" xfId="25863" xr:uid="{5EED0C21-A8B5-494D-B59A-4BD6FF17E300}"/>
    <cellStyle name="PSInt 4 4 3" xfId="25864" xr:uid="{645E05C1-7AFD-4C57-9D71-319DD1E4680A}"/>
    <cellStyle name="PSInt 4 5" xfId="25865" xr:uid="{663831C5-AB6E-4D01-A539-30C75E0053E1}"/>
    <cellStyle name="PSInt 4 5 2" xfId="25866" xr:uid="{E5093869-A308-488B-B1F6-7F5D0DA0AA99}"/>
    <cellStyle name="PSInt 4 5 2 2" xfId="25867" xr:uid="{F92E1C29-8A6D-4802-A1EC-085138305CA4}"/>
    <cellStyle name="PSInt 4 5 3" xfId="25868" xr:uid="{EEB1230E-AE14-4000-BEB9-7A9806D4D1A8}"/>
    <cellStyle name="PSInt 4 6" xfId="25869" xr:uid="{726C672D-03ED-4802-A6E2-2CE91A33779C}"/>
    <cellStyle name="PSInt 4 6 2" xfId="25870" xr:uid="{0B618F6F-BEB7-4374-B1B6-AD4A34DFE4C7}"/>
    <cellStyle name="PSInt 4 6 2 2" xfId="25871" xr:uid="{38F495CF-99E8-4D8A-A377-2068F0BBD000}"/>
    <cellStyle name="PSInt 4 6 3" xfId="25872" xr:uid="{B1087293-01D0-4B2E-B86B-C7E3CDA32512}"/>
    <cellStyle name="PSInt 4 7" xfId="25873" xr:uid="{EF223DD8-25EC-4235-9586-40B134CFB765}"/>
    <cellStyle name="PSInt 4 7 2" xfId="25874" xr:uid="{48065461-D781-44A5-A1B6-110B331C885B}"/>
    <cellStyle name="PSInt 4 7 2 2" xfId="25875" xr:uid="{8845C087-F1C2-45F0-B15F-7F038F366BAE}"/>
    <cellStyle name="PSInt 4 7 3" xfId="25876" xr:uid="{2F1ADC92-D106-4535-BA81-FAD9B4DCB6C6}"/>
    <cellStyle name="PSInt 4 8" xfId="25877" xr:uid="{2E7C9721-302C-4ED0-B1AD-8BDC94F67D02}"/>
    <cellStyle name="PSInt 4 8 2" xfId="25878" xr:uid="{68D0FC7C-21BB-4C1A-82DD-AEDDFC562702}"/>
    <cellStyle name="PSInt 4 8 2 2" xfId="25879" xr:uid="{252FCFCD-B65D-40CD-97BA-61E4F7E49FBA}"/>
    <cellStyle name="PSInt 4 8 3" xfId="25880" xr:uid="{1C76D856-6CCD-4B7B-845E-75284C13DFEE}"/>
    <cellStyle name="PSInt 4 9" xfId="25881" xr:uid="{6317A23B-D3A3-46FF-848A-CDC40C76D56F}"/>
    <cellStyle name="PSInt 4 9 2" xfId="25882" xr:uid="{BA91D81D-7CFB-46DF-A6C2-54B636F9D4B6}"/>
    <cellStyle name="PSInt 4 9 2 2" xfId="25883" xr:uid="{82004C1E-6E7B-4BD7-960C-2B8405A88DFF}"/>
    <cellStyle name="PSInt 4 9 3" xfId="25884" xr:uid="{C7EAE641-82BA-4C18-8A79-EBD077F7A153}"/>
    <cellStyle name="PSInt 5" xfId="25885" xr:uid="{DC79EB09-4575-4686-8722-D3827DD1F9B7}"/>
    <cellStyle name="PSInt 5 10" xfId="25886" xr:uid="{399C501F-AC39-49A4-A4F0-A65B96F51B89}"/>
    <cellStyle name="PSInt 5 10 2" xfId="25887" xr:uid="{0B597D45-029B-48A1-BB93-EC201E01B0FB}"/>
    <cellStyle name="PSInt 5 11" xfId="25888" xr:uid="{4F9E7AAB-9CCA-4EB4-9D55-E1222C80F8A9}"/>
    <cellStyle name="PSInt 5 2" xfId="25889" xr:uid="{C9665FDC-554C-4EF3-809D-CB15CC27CE5F}"/>
    <cellStyle name="PSInt 5 2 2" xfId="25890" xr:uid="{AF4D55D1-B3D4-4076-A7D5-AAD29D61EE1F}"/>
    <cellStyle name="PSInt 5 2 2 2" xfId="25891" xr:uid="{E85745D2-4266-432F-8ACD-A94F3C99B3E1}"/>
    <cellStyle name="PSInt 5 2 3" xfId="25892" xr:uid="{1972BBA4-B5BB-413E-BF7E-CD50595EB3E0}"/>
    <cellStyle name="PSInt 5 3" xfId="25893" xr:uid="{835529B2-31D9-4198-B12D-201A77315A01}"/>
    <cellStyle name="PSInt 5 3 2" xfId="25894" xr:uid="{3F3DFBD0-412B-44B0-AC1B-2CFE7588F305}"/>
    <cellStyle name="PSInt 5 3 2 2" xfId="25895" xr:uid="{686109FA-B355-4017-9FB5-CFC17D4F17D4}"/>
    <cellStyle name="PSInt 5 3 3" xfId="25896" xr:uid="{8E06309D-E5FE-41C3-B8F4-FD69EE0C4E64}"/>
    <cellStyle name="PSInt 5 4" xfId="25897" xr:uid="{DF18CFEB-ED8E-4258-A6B3-8C39AE604CFE}"/>
    <cellStyle name="PSInt 5 4 2" xfId="25898" xr:uid="{9DC35426-A08C-47DE-B421-F17CBFDE59F4}"/>
    <cellStyle name="PSInt 5 4 2 2" xfId="25899" xr:uid="{9D7FDA16-5F9F-4664-A990-8A0F88D6985B}"/>
    <cellStyle name="PSInt 5 4 3" xfId="25900" xr:uid="{B60E24A4-6A51-4F61-85D0-11536F40E898}"/>
    <cellStyle name="PSInt 5 5" xfId="25901" xr:uid="{51535BB3-B38E-4237-A44D-638DB521FDE1}"/>
    <cellStyle name="PSInt 5 5 2" xfId="25902" xr:uid="{162FF4C7-75FF-4434-84D5-718B91659E93}"/>
    <cellStyle name="PSInt 5 5 2 2" xfId="25903" xr:uid="{80EE18FC-80EB-4034-80B6-2057E594C6AA}"/>
    <cellStyle name="PSInt 5 5 3" xfId="25904" xr:uid="{4050165E-BDAF-47B9-B295-6CCF368136E3}"/>
    <cellStyle name="PSInt 5 6" xfId="25905" xr:uid="{D98A1680-6CB6-4CC1-9651-9B8EB9EBCE83}"/>
    <cellStyle name="PSInt 5 6 2" xfId="25906" xr:uid="{C5700E8D-B04F-452E-93ED-A2BCDC39C0D9}"/>
    <cellStyle name="PSInt 5 6 2 2" xfId="25907" xr:uid="{EA066A23-5645-4DB0-AA46-F6996CF818A5}"/>
    <cellStyle name="PSInt 5 6 3" xfId="25908" xr:uid="{F447F718-939A-4822-AA1E-95CE2B209EC2}"/>
    <cellStyle name="PSInt 5 7" xfId="25909" xr:uid="{1C24766F-1EA2-46C8-8654-E850929C896D}"/>
    <cellStyle name="PSInt 5 7 2" xfId="25910" xr:uid="{B12ADC26-85B6-4988-9589-1D86D76D9846}"/>
    <cellStyle name="PSInt 5 7 2 2" xfId="25911" xr:uid="{2CBAFBE8-A0D9-4D67-8749-CC0F8B157DB3}"/>
    <cellStyle name="PSInt 5 7 3" xfId="25912" xr:uid="{A7ACD455-D659-4386-A99C-5FF2FE876299}"/>
    <cellStyle name="PSInt 5 8" xfId="25913" xr:uid="{154E7DD8-D7FE-4B2F-8321-D85BFA65563C}"/>
    <cellStyle name="PSInt 5 8 2" xfId="25914" xr:uid="{40621618-9502-434B-92C6-594F9C0CD46C}"/>
    <cellStyle name="PSInt 5 8 2 2" xfId="25915" xr:uid="{8B36D0DF-046D-42A0-8789-3FBD5E247054}"/>
    <cellStyle name="PSInt 5 8 3" xfId="25916" xr:uid="{92EA1E01-59A7-4553-A937-B2D1BA498503}"/>
    <cellStyle name="PSInt 5 9" xfId="25917" xr:uid="{FF2817AC-CD53-4462-969B-FB4EC0B5BC71}"/>
    <cellStyle name="PSInt 5 9 2" xfId="25918" xr:uid="{7C4BFCBF-20CF-4A2B-908A-B1A205AE05E8}"/>
    <cellStyle name="PSInt 5 9 2 2" xfId="25919" xr:uid="{B8DF5F4C-1CEB-4665-A1DF-86A5E6231109}"/>
    <cellStyle name="PSInt 5 9 3" xfId="25920" xr:uid="{8B0C6EA7-499A-4161-8CD3-913E9D31EE19}"/>
    <cellStyle name="PSInt 6" xfId="25921" xr:uid="{BC350B1D-E45D-4C88-87EB-DDB921BA924A}"/>
    <cellStyle name="PSInt 6 10" xfId="25922" xr:uid="{C10F2737-2571-4D73-AB88-180498078CCE}"/>
    <cellStyle name="PSInt 6 10 2" xfId="25923" xr:uid="{80E1A939-2E0C-4CD3-8624-1B68CEC025B6}"/>
    <cellStyle name="PSInt 6 11" xfId="25924" xr:uid="{2C1A6207-FCD8-4BC8-991D-87261E2447DD}"/>
    <cellStyle name="PSInt 6 2" xfId="25925" xr:uid="{46DEAA05-23B1-4957-8AE7-4B3C354184EC}"/>
    <cellStyle name="PSInt 6 2 2" xfId="25926" xr:uid="{57A2B3C4-C611-41C9-9A6D-9FEB4DD09463}"/>
    <cellStyle name="PSInt 6 2 2 2" xfId="25927" xr:uid="{B5800CB9-4FBA-49A2-AE5B-3FB8FE139CC0}"/>
    <cellStyle name="PSInt 6 2 3" xfId="25928" xr:uid="{68F178F3-CD55-423B-AB1C-E7AF693A56B0}"/>
    <cellStyle name="PSInt 6 3" xfId="25929" xr:uid="{ECF74545-3B59-4EEA-AA46-62F5789FC6D0}"/>
    <cellStyle name="PSInt 6 3 2" xfId="25930" xr:uid="{2B16B873-F1D0-4150-B264-E46CC11041B1}"/>
    <cellStyle name="PSInt 6 3 2 2" xfId="25931" xr:uid="{ABD2634C-1316-41F1-B36D-4277A850FA6C}"/>
    <cellStyle name="PSInt 6 3 3" xfId="25932" xr:uid="{8751A8A6-E8EC-4CFD-9DA8-47A9FA089F8B}"/>
    <cellStyle name="PSInt 6 4" xfId="25933" xr:uid="{B9F1BE47-9FDF-46A5-9667-CD3499524EC2}"/>
    <cellStyle name="PSInt 6 4 2" xfId="25934" xr:uid="{563163F2-BE38-466D-9A9A-5A1AA7AA1ED1}"/>
    <cellStyle name="PSInt 6 4 2 2" xfId="25935" xr:uid="{E5119607-0A6B-4B13-802A-9177D3BFE95C}"/>
    <cellStyle name="PSInt 6 4 3" xfId="25936" xr:uid="{A108F92F-428C-4BB6-9333-9803EC1C2A57}"/>
    <cellStyle name="PSInt 6 5" xfId="25937" xr:uid="{EBCD4752-135C-4685-B64C-9AD51449E674}"/>
    <cellStyle name="PSInt 6 5 2" xfId="25938" xr:uid="{88CDCD12-1C52-45A5-B0DC-BEF120115DD1}"/>
    <cellStyle name="PSInt 6 5 2 2" xfId="25939" xr:uid="{35F089BB-2798-443B-9A10-DAB0C5405316}"/>
    <cellStyle name="PSInt 6 5 3" xfId="25940" xr:uid="{5DAED392-42BD-41EF-B891-06BA841C464B}"/>
    <cellStyle name="PSInt 6 6" xfId="25941" xr:uid="{D459C47F-87EF-4CD7-BF91-76783C8F3D3D}"/>
    <cellStyle name="PSInt 6 6 2" xfId="25942" xr:uid="{8305EF5C-EB35-4EC3-A444-804FF6B94E36}"/>
    <cellStyle name="PSInt 6 6 2 2" xfId="25943" xr:uid="{E317B843-A4D5-4EF6-9D8D-E58194152EA0}"/>
    <cellStyle name="PSInt 6 6 3" xfId="25944" xr:uid="{42A51955-1701-4120-B0CF-A1D420A13F5A}"/>
    <cellStyle name="PSInt 6 7" xfId="25945" xr:uid="{50CD9653-75F3-40E0-B1F5-E9CAAA43BA3B}"/>
    <cellStyle name="PSInt 6 7 2" xfId="25946" xr:uid="{224E135B-6A35-4098-93A6-F6D10A86B385}"/>
    <cellStyle name="PSInt 6 7 2 2" xfId="25947" xr:uid="{DBE2465B-D180-4AB6-B8FA-D9AE3B5CAAF8}"/>
    <cellStyle name="PSInt 6 7 3" xfId="25948" xr:uid="{F765A94E-32E5-43DC-99DE-783DB5697066}"/>
    <cellStyle name="PSInt 6 8" xfId="25949" xr:uid="{920C8F2C-5132-4496-9009-C6E9BE3FE8D3}"/>
    <cellStyle name="PSInt 6 8 2" xfId="25950" xr:uid="{11652D0B-26B4-455C-A29E-82E1F887B9BF}"/>
    <cellStyle name="PSInt 6 8 2 2" xfId="25951" xr:uid="{D6854278-3190-4F8A-A90F-B7ACAC1832A9}"/>
    <cellStyle name="PSInt 6 8 3" xfId="25952" xr:uid="{0E0B3FEA-C14A-4140-A2A5-CCE42A91EF80}"/>
    <cellStyle name="PSInt 6 9" xfId="25953" xr:uid="{792D41FF-2459-4EDF-84D5-214D425A1A76}"/>
    <cellStyle name="PSInt 6 9 2" xfId="25954" xr:uid="{BFBC625C-8CDB-4182-AB19-457C45B247E1}"/>
    <cellStyle name="PSInt 6 9 2 2" xfId="25955" xr:uid="{EBE83658-8F9C-43C6-9D08-0882E310C4A3}"/>
    <cellStyle name="PSInt 6 9 3" xfId="25956" xr:uid="{7450A2DD-56AB-4D74-8751-EBE53B6511E3}"/>
    <cellStyle name="PSInt 7" xfId="25957" xr:uid="{5C29A08E-3BFF-40EE-A5A1-C9CCD8CDB766}"/>
    <cellStyle name="PSInt 7 2" xfId="25958" xr:uid="{8E24F7D9-3854-4B21-849E-697AA9EAA935}"/>
    <cellStyle name="PSInt 7 2 2" xfId="25959" xr:uid="{E71CB6CD-39A7-4F67-9C10-63C0FE60DAA5}"/>
    <cellStyle name="PSInt 7 2 2 2" xfId="25960" xr:uid="{AA65CC98-891E-44A0-BB5A-73030D6F0164}"/>
    <cellStyle name="PSInt 7 2 3" xfId="25961" xr:uid="{3E80FAFD-29EB-47B1-BFF3-E09E94624D9E}"/>
    <cellStyle name="PSInt 7 3" xfId="25962" xr:uid="{9CE63381-976F-4124-A5C4-CBC7D7428CDE}"/>
    <cellStyle name="PSInt 7 3 2" xfId="25963" xr:uid="{F75A6CA1-D711-41F5-B3E3-B24D5091423A}"/>
    <cellStyle name="PSInt 7 3 2 2" xfId="25964" xr:uid="{CD7DCF82-1D1A-4022-95EE-ACAFF6CBE51E}"/>
    <cellStyle name="PSInt 7 3 3" xfId="25965" xr:uid="{F368AF27-AB25-4643-937D-1B89FF8CFA4F}"/>
    <cellStyle name="PSInt 7 4" xfId="25966" xr:uid="{2A454A44-1974-4F4C-A62D-BB031661F98E}"/>
    <cellStyle name="PSInt 7 4 2" xfId="25967" xr:uid="{F252786A-2509-40EA-8D81-FAF69F8A7252}"/>
    <cellStyle name="PSInt 7 4 2 2" xfId="25968" xr:uid="{F5FC0FCD-7348-4FA7-B7F0-EB89F1990978}"/>
    <cellStyle name="PSInt 7 4 3" xfId="25969" xr:uid="{D0723C29-25EE-4B48-9D2B-B12062BB6FBE}"/>
    <cellStyle name="PSInt 7 5" xfId="25970" xr:uid="{9F4D317B-FA22-467A-9DD1-D6D90B4D34F7}"/>
    <cellStyle name="PSInt 7 5 2" xfId="25971" xr:uid="{5DA6E81C-C9F2-418F-A30A-3FEFBE97550E}"/>
    <cellStyle name="PSInt 7 5 2 2" xfId="25972" xr:uid="{E4E50E1F-FB74-4B6E-ACBA-50A88055C3ED}"/>
    <cellStyle name="PSInt 7 5 3" xfId="25973" xr:uid="{39A74E1B-93B8-475E-AFE1-B7125106605A}"/>
    <cellStyle name="PSInt 7 6" xfId="25974" xr:uid="{3933AEB5-E622-4377-8620-3A6337EA787E}"/>
    <cellStyle name="PSInt 7 6 2" xfId="25975" xr:uid="{731BD35C-8CA6-46F4-B9CD-76C10A929542}"/>
    <cellStyle name="PSInt 7 7" xfId="25976" xr:uid="{479F45E8-EBA6-498C-816A-64D63C46950F}"/>
    <cellStyle name="PSInt 8" xfId="25977" xr:uid="{A9D2E22E-E23E-4916-B04E-16DA977328EE}"/>
    <cellStyle name="PSInt 8 2" xfId="25978" xr:uid="{19DA6697-73FD-44C0-A173-B68580D7077A}"/>
    <cellStyle name="PSInt 8 2 2" xfId="25979" xr:uid="{E22101D0-DE4F-4ABF-A2DD-2AC839C044A6}"/>
    <cellStyle name="PSInt 8 2 2 2" xfId="25980" xr:uid="{B894A3A5-E102-488E-B1A2-9FB1D66FF50E}"/>
    <cellStyle name="PSInt 8 2 3" xfId="25981" xr:uid="{380F520C-B71D-4BA3-BDF0-E986DF5F0C97}"/>
    <cellStyle name="PSInt 8 3" xfId="25982" xr:uid="{1D45E431-83D9-4395-A3F7-7B7D17F380B7}"/>
    <cellStyle name="PSInt 8 3 2" xfId="25983" xr:uid="{30D3F59F-BFD7-4C95-89FD-9E13CF300FF5}"/>
    <cellStyle name="PSInt 8 3 2 2" xfId="25984" xr:uid="{09324477-555C-47C5-92E3-9FFB611D28EE}"/>
    <cellStyle name="PSInt 8 3 3" xfId="25985" xr:uid="{C60BEEA5-5A1E-4B46-9C5E-0DB476681A3B}"/>
    <cellStyle name="PSInt 8 4" xfId="25986" xr:uid="{C94D97CE-9AC6-4F93-A83F-5862639C5EAF}"/>
    <cellStyle name="PSInt 8 4 2" xfId="25987" xr:uid="{062C9BC4-3D45-475A-AA0E-D52964592CD8}"/>
    <cellStyle name="PSInt 8 4 2 2" xfId="25988" xr:uid="{3B9174AC-F3DA-4168-A168-7CBDFDAD285B}"/>
    <cellStyle name="PSInt 8 4 3" xfId="25989" xr:uid="{BE968AB6-F14B-4E6D-A918-6D767D65B6F8}"/>
    <cellStyle name="PSInt 8 5" xfId="25990" xr:uid="{D50B1F87-D97D-4EE1-9067-552CBA723F5B}"/>
    <cellStyle name="PSInt 8 5 2" xfId="25991" xr:uid="{1BC07F6B-9C28-4E91-8E35-C6F4C479AE61}"/>
    <cellStyle name="PSInt 8 5 2 2" xfId="25992" xr:uid="{F2F3F86E-B466-4C4C-8978-508968CBB940}"/>
    <cellStyle name="PSInt 8 5 3" xfId="25993" xr:uid="{33FCE1EC-0E3F-49E2-95BB-60D883B37E74}"/>
    <cellStyle name="PSInt 8 6" xfId="25994" xr:uid="{B73171A3-00E8-49D7-B9E5-40DFD2F61475}"/>
    <cellStyle name="PSInt 8 6 2" xfId="25995" xr:uid="{AD51D114-746B-4158-82E6-CB47796653E3}"/>
    <cellStyle name="PSInt 8 7" xfId="25996" xr:uid="{B6AB713B-C0B5-469A-BF7D-D7810CCD31CB}"/>
    <cellStyle name="PSInt 9" xfId="25997" xr:uid="{CE52B96A-64BE-4413-9E01-D298A2E5B6AB}"/>
    <cellStyle name="PSInt 9 2" xfId="25998" xr:uid="{A2089D0E-727C-4124-8442-DD3312DD26AA}"/>
    <cellStyle name="PSInt 9 2 2" xfId="25999" xr:uid="{A7DDF9C5-C318-42B3-9BF2-C3A06C82002F}"/>
    <cellStyle name="PSInt 9 2 2 2" xfId="26000" xr:uid="{B53B3990-D9F2-4580-BC5C-9CE070EFE409}"/>
    <cellStyle name="PSInt 9 2 3" xfId="26001" xr:uid="{6BB3EB3A-7C24-415E-8B8B-19D3C493899A}"/>
    <cellStyle name="PSInt 9 3" xfId="26002" xr:uid="{4EDDD207-FD02-4719-983A-C41CEAA57B92}"/>
    <cellStyle name="PSInt 9 3 2" xfId="26003" xr:uid="{2D502ACC-A65A-4BDC-89A6-F5628C2D6196}"/>
    <cellStyle name="PSInt 9 3 2 2" xfId="26004" xr:uid="{BCFDA1B9-DA85-4E07-B50B-B76D6F8FFFA6}"/>
    <cellStyle name="PSInt 9 3 3" xfId="26005" xr:uid="{8C936261-D0C1-4CBF-A922-F472A25C26A9}"/>
    <cellStyle name="PSInt 9 4" xfId="26006" xr:uid="{E1C1FF53-F19E-4EAE-8354-32AE45E2EE2B}"/>
    <cellStyle name="PSInt 9 4 2" xfId="26007" xr:uid="{CCA3EC7F-0C5C-4E86-A912-CDAC3EAD6EE9}"/>
    <cellStyle name="PSInt 9 4 2 2" xfId="26008" xr:uid="{C6773677-3CBA-403A-9A4B-1C259D4D6701}"/>
    <cellStyle name="PSInt 9 4 3" xfId="26009" xr:uid="{9DE69A34-81AE-4636-8BCE-DFC97420AF54}"/>
    <cellStyle name="PSInt 9 5" xfId="26010" xr:uid="{FE629768-F860-4036-953F-8E659EA9E7F0}"/>
    <cellStyle name="PSInt 9 5 2" xfId="26011" xr:uid="{A4938A3B-48DF-4846-A1CC-81D191998E5F}"/>
    <cellStyle name="PSInt 9 5 2 2" xfId="26012" xr:uid="{88477399-5236-42A4-A6DA-9C0B787FD242}"/>
    <cellStyle name="PSInt 9 5 3" xfId="26013" xr:uid="{00557EF9-84F2-4608-885E-497BCA9A36AB}"/>
    <cellStyle name="PSInt 9 6" xfId="26014" xr:uid="{9E4B4B67-DA65-4539-BC95-06C9916C0954}"/>
    <cellStyle name="PSInt 9 6 2" xfId="26015" xr:uid="{CF99EF3D-A627-432C-BAF9-B0FEB088CF6C}"/>
    <cellStyle name="PSInt 9 7" xfId="26016" xr:uid="{AC318D05-3BE2-4017-94C9-6E3EE512EC68}"/>
    <cellStyle name="PSSpacer" xfId="208" xr:uid="{F8A621CE-A83F-4589-B283-1230974C457B}"/>
    <cellStyle name="PSSpacer 10" xfId="26017" xr:uid="{AAD79B55-C1D1-4B0C-9CF9-092106E1D1DD}"/>
    <cellStyle name="PSSpacer 10 2" xfId="26018" xr:uid="{386BB52A-4849-4C1B-835F-8AEAC672D644}"/>
    <cellStyle name="PSSpacer 10 2 2" xfId="26019" xr:uid="{83EC8352-5133-41D5-958B-5CF1F8BE0B5B}"/>
    <cellStyle name="PSSpacer 10 2 2 2" xfId="26020" xr:uid="{00BED10D-D0DC-4982-8191-DAFF585E2913}"/>
    <cellStyle name="PSSpacer 10 2 3" xfId="26021" xr:uid="{E0E6D221-55EE-477E-9B95-D437218DB453}"/>
    <cellStyle name="PSSpacer 10 3" xfId="26022" xr:uid="{09990D04-C0FA-4D3E-B9A6-7444AEDF72E8}"/>
    <cellStyle name="PSSpacer 10 3 2" xfId="26023" xr:uid="{F8B0BA50-338C-4CBF-A310-23B2A3C4301E}"/>
    <cellStyle name="PSSpacer 10 3 2 2" xfId="26024" xr:uid="{C659AAC9-8769-4010-B441-00C415D174CE}"/>
    <cellStyle name="PSSpacer 10 3 3" xfId="26025" xr:uid="{539D8CDC-C93A-495C-A161-82CF183B2450}"/>
    <cellStyle name="PSSpacer 10 4" xfId="26026" xr:uid="{38C33D81-88B1-4757-B884-C3C3C3B9CA17}"/>
    <cellStyle name="PSSpacer 10 4 2" xfId="26027" xr:uid="{7D9AA2D6-4080-4C75-A945-3D39712D2B36}"/>
    <cellStyle name="PSSpacer 10 4 2 2" xfId="26028" xr:uid="{AFE514A6-99F0-4D70-9C19-987FAE53EC56}"/>
    <cellStyle name="PSSpacer 10 4 3" xfId="26029" xr:uid="{AFF5D8A7-D09B-44F1-83CA-34CD31A0B01B}"/>
    <cellStyle name="PSSpacer 10 5" xfId="26030" xr:uid="{7BBED5D3-3244-4EAF-A3D7-EB4B74B04785}"/>
    <cellStyle name="PSSpacer 10 5 2" xfId="26031" xr:uid="{D9BF5BED-7B76-44C0-9051-96F0C470F8E6}"/>
    <cellStyle name="PSSpacer 10 5 2 2" xfId="26032" xr:uid="{A68994F6-0E96-4577-B686-F8B7672411EF}"/>
    <cellStyle name="PSSpacer 10 5 3" xfId="26033" xr:uid="{D271F635-517E-43D6-AFE2-7F630D9A531C}"/>
    <cellStyle name="PSSpacer 10 6" xfId="26034" xr:uid="{B931423E-1849-460B-A238-B723284B23D4}"/>
    <cellStyle name="PSSpacer 10 6 2" xfId="26035" xr:uid="{409F2E36-2BF8-48C3-B5F8-A7D77F3935C8}"/>
    <cellStyle name="PSSpacer 10 7" xfId="26036" xr:uid="{606FE4F3-C8F6-404A-9BFE-74FBC06BAA4D}"/>
    <cellStyle name="PSSpacer 11" xfId="26037" xr:uid="{1B48B41D-3590-41C9-8900-5D3FEB9CC628}"/>
    <cellStyle name="PSSpacer 11 2" xfId="26038" xr:uid="{DBEA6CFF-2FAA-4013-832C-CAE4216752A8}"/>
    <cellStyle name="PSSpacer 11 2 2" xfId="26039" xr:uid="{D45DE139-EF35-42FB-9285-3A2A2A37F197}"/>
    <cellStyle name="PSSpacer 11 2 2 2" xfId="26040" xr:uid="{0826C008-FC92-4819-B796-59DC903B9D21}"/>
    <cellStyle name="PSSpacer 11 2 3" xfId="26041" xr:uid="{0E22C4BB-407A-4ED8-A36C-489E315DBD85}"/>
    <cellStyle name="PSSpacer 11 3" xfId="26042" xr:uid="{4EE2CF66-DCA9-455B-8303-B6C7EA2486D7}"/>
    <cellStyle name="PSSpacer 11 3 2" xfId="26043" xr:uid="{75BFDFE8-9CF6-4B15-8842-F1C688E51FEC}"/>
    <cellStyle name="PSSpacer 11 3 2 2" xfId="26044" xr:uid="{B87557B6-D80C-4766-9AEB-1BB49BA5FA93}"/>
    <cellStyle name="PSSpacer 11 3 3" xfId="26045" xr:uid="{16E54697-9671-4820-B5DE-3DD2E2B109A5}"/>
    <cellStyle name="PSSpacer 11 4" xfId="26046" xr:uid="{0EBDFBB4-9304-4D24-99FD-3523751A0B0E}"/>
    <cellStyle name="PSSpacer 11 4 2" xfId="26047" xr:uid="{8DFE5AB7-5DBB-45D2-87A0-30952124A2EE}"/>
    <cellStyle name="PSSpacer 11 4 2 2" xfId="26048" xr:uid="{FC3487CD-34BE-4133-ADF1-9D662F7242FE}"/>
    <cellStyle name="PSSpacer 11 4 3" xfId="26049" xr:uid="{CE05D892-CBB4-4454-819F-B52A9E207370}"/>
    <cellStyle name="PSSpacer 11 5" xfId="26050" xr:uid="{2DB938D2-95C2-424A-9606-4C65B4B4D678}"/>
    <cellStyle name="PSSpacer 11 5 2" xfId="26051" xr:uid="{18EDECA3-8CE0-4088-A220-00AEC9536EA0}"/>
    <cellStyle name="PSSpacer 11 5 2 2" xfId="26052" xr:uid="{6C0178FC-9411-4BF1-8417-F6B11CAF75F8}"/>
    <cellStyle name="PSSpacer 11 5 3" xfId="26053" xr:uid="{2E1AD2F6-9BA0-42EE-8C7C-D5EF291C5069}"/>
    <cellStyle name="PSSpacer 11 6" xfId="26054" xr:uid="{1C009BAB-01A3-4544-B105-CB5CD64B9A55}"/>
    <cellStyle name="PSSpacer 11 6 2" xfId="26055" xr:uid="{43F0D8C8-E29D-4C36-9774-9718C9CF7FEF}"/>
    <cellStyle name="PSSpacer 11 7" xfId="26056" xr:uid="{3560BA65-381C-4572-9F2B-6EE4A9599852}"/>
    <cellStyle name="PSSpacer 12" xfId="26057" xr:uid="{27175610-9320-4B17-B61F-361C2AACA353}"/>
    <cellStyle name="PSSpacer 12 2" xfId="26058" xr:uid="{C9AB0B7D-6235-46E1-BC3D-484DD140DBBC}"/>
    <cellStyle name="PSSpacer 12 2 2" xfId="26059" xr:uid="{78E2967B-A8CB-4A57-8725-5390CBC48C6E}"/>
    <cellStyle name="PSSpacer 12 2 2 2" xfId="26060" xr:uid="{D0CAA05A-F8D8-452B-96E8-39820BFAE348}"/>
    <cellStyle name="PSSpacer 12 2 3" xfId="26061" xr:uid="{DC7DB78F-4B41-4FA1-B3D3-32ABC6838550}"/>
    <cellStyle name="PSSpacer 12 3" xfId="26062" xr:uid="{BAA07CF7-589B-4120-845A-F0BAA47DAFA7}"/>
    <cellStyle name="PSSpacer 12 3 2" xfId="26063" xr:uid="{859A2C7F-13F3-49BD-A875-5583574DBCF0}"/>
    <cellStyle name="PSSpacer 12 3 2 2" xfId="26064" xr:uid="{7687A11A-5322-4EFF-9E45-6707E4939172}"/>
    <cellStyle name="PSSpacer 12 3 3" xfId="26065" xr:uid="{1E657CEC-3D04-4B70-9B2E-239080642829}"/>
    <cellStyle name="PSSpacer 12 4" xfId="26066" xr:uid="{F298A1C2-30A7-42BD-812A-27DE00D4BA52}"/>
    <cellStyle name="PSSpacer 12 4 2" xfId="26067" xr:uid="{FFF4759D-C326-4781-B155-3030A5C4C620}"/>
    <cellStyle name="PSSpacer 12 4 2 2" xfId="26068" xr:uid="{E1097BDD-52D7-4D95-A601-DFADD6DE87FC}"/>
    <cellStyle name="PSSpacer 12 4 3" xfId="26069" xr:uid="{4E5B0CD0-B48A-4AB7-902B-05D415803AB5}"/>
    <cellStyle name="PSSpacer 12 5" xfId="26070" xr:uid="{1184CE98-12F3-42E6-8364-966FA420F70E}"/>
    <cellStyle name="PSSpacer 12 5 2" xfId="26071" xr:uid="{CACAF57E-1940-4CC3-8F55-390AB3A26F5B}"/>
    <cellStyle name="PSSpacer 12 5 2 2" xfId="26072" xr:uid="{4C791484-022B-4535-A4ED-4BCB29D3B39F}"/>
    <cellStyle name="PSSpacer 12 5 3" xfId="26073" xr:uid="{247B4CF3-2926-4487-9F52-37FC880FD415}"/>
    <cellStyle name="PSSpacer 12 6" xfId="26074" xr:uid="{DEC7F07D-C5EA-4C90-BE94-643D632C596F}"/>
    <cellStyle name="PSSpacer 12 6 2" xfId="26075" xr:uid="{818EB14C-570E-4B11-B484-683AC1441A08}"/>
    <cellStyle name="PSSpacer 12 7" xfId="26076" xr:uid="{B9E2E7FF-37FF-44B5-9CB1-3DBBF22688EE}"/>
    <cellStyle name="PSSpacer 13" xfId="26077" xr:uid="{1B6AD3EA-F691-4FCC-8213-3DD3D9FC05C9}"/>
    <cellStyle name="PSSpacer 13 2" xfId="26078" xr:uid="{4C967F87-526C-4ABA-9C45-B9F5BFAB24BA}"/>
    <cellStyle name="PSSpacer 13 2 2" xfId="26079" xr:uid="{C96D9924-5E87-4A4C-9821-2AEF8D3FA7C7}"/>
    <cellStyle name="PSSpacer 13 2 2 2" xfId="26080" xr:uid="{E1A1F258-8FD4-4567-A7F4-24CA5B82D010}"/>
    <cellStyle name="PSSpacer 13 2 3" xfId="26081" xr:uid="{BFC22F76-4F30-47A3-899B-52D9190DAC72}"/>
    <cellStyle name="PSSpacer 13 3" xfId="26082" xr:uid="{89CD6E72-4119-4791-9146-82EA68547348}"/>
    <cellStyle name="PSSpacer 13 3 2" xfId="26083" xr:uid="{FB2E347E-0E5B-4178-BA16-4CB57348A7F6}"/>
    <cellStyle name="PSSpacer 13 3 2 2" xfId="26084" xr:uid="{18DBE0F8-FDD8-4749-B92B-6D1A10614E9C}"/>
    <cellStyle name="PSSpacer 13 3 3" xfId="26085" xr:uid="{05E7C12D-CDA5-4A89-85DE-542787138E3B}"/>
    <cellStyle name="PSSpacer 13 4" xfId="26086" xr:uid="{78FDE516-EC9C-4B85-B701-4E8DBFB2B586}"/>
    <cellStyle name="PSSpacer 13 4 2" xfId="26087" xr:uid="{29CF140E-3F6C-42AF-889C-855AE938AD2F}"/>
    <cellStyle name="PSSpacer 13 4 2 2" xfId="26088" xr:uid="{5AB348DA-7281-4E21-85BE-70D99E26B79F}"/>
    <cellStyle name="PSSpacer 13 4 3" xfId="26089" xr:uid="{737272BB-AC81-43C3-813D-4388F8580C90}"/>
    <cellStyle name="PSSpacer 13 5" xfId="26090" xr:uid="{8A5A529C-EA67-4739-928E-EEC4CFF7CC73}"/>
    <cellStyle name="PSSpacer 13 5 2" xfId="26091" xr:uid="{926EBE23-3C56-4520-AE8A-A1B14CA0EE97}"/>
    <cellStyle name="PSSpacer 13 5 2 2" xfId="26092" xr:uid="{834F5BD4-110B-4D34-8C32-BC9594D40213}"/>
    <cellStyle name="PSSpacer 13 5 3" xfId="26093" xr:uid="{1AC63243-80C6-4CE0-9BF5-12BD502C0539}"/>
    <cellStyle name="PSSpacer 13 6" xfId="26094" xr:uid="{A064296B-F3FB-4617-B2A3-AC23D7778FB3}"/>
    <cellStyle name="PSSpacer 13 6 2" xfId="26095" xr:uid="{8DAB28D2-0C3B-42D0-BC4B-052394E95ECC}"/>
    <cellStyle name="PSSpacer 13 7" xfId="26096" xr:uid="{676D020C-2F5C-47C4-984A-92CC7BA42085}"/>
    <cellStyle name="PSSpacer 14" xfId="26097" xr:uid="{3B4B30FC-9244-4967-997C-D6CDEB2EA41F}"/>
    <cellStyle name="PSSpacer 14 2" xfId="26098" xr:uid="{C7489802-D256-4791-B47B-18E0B07712B0}"/>
    <cellStyle name="PSSpacer 14 2 2" xfId="26099" xr:uid="{BB7EC1FB-3DB8-4A02-80A6-FFC6050E98CD}"/>
    <cellStyle name="PSSpacer 14 2 2 2" xfId="26100" xr:uid="{255A2F2D-DE45-4E53-8B52-CF0C8DC974A0}"/>
    <cellStyle name="PSSpacer 14 2 3" xfId="26101" xr:uid="{9101AAA8-F943-4ADA-9757-136AD857AC09}"/>
    <cellStyle name="PSSpacer 14 3" xfId="26102" xr:uid="{3B87D7FF-79BB-4616-A0BF-5F8A25C3A59C}"/>
    <cellStyle name="PSSpacer 14 3 2" xfId="26103" xr:uid="{0A89BAB5-CDDA-450C-828C-6B1FF6397C56}"/>
    <cellStyle name="PSSpacer 14 3 2 2" xfId="26104" xr:uid="{0209B24C-86AE-4351-A53E-AA79E72B28CF}"/>
    <cellStyle name="PSSpacer 14 3 3" xfId="26105" xr:uid="{176634DA-2C88-4314-A1F7-AE7592E8E3A7}"/>
    <cellStyle name="PSSpacer 14 4" xfId="26106" xr:uid="{84722192-4F29-4B50-AFA3-29ACF44009DC}"/>
    <cellStyle name="PSSpacer 14 4 2" xfId="26107" xr:uid="{FCC3E389-ADAC-4F14-BCA1-588B0EEA5843}"/>
    <cellStyle name="PSSpacer 14 4 2 2" xfId="26108" xr:uid="{CDE42DB2-7D61-4E1D-BCDE-7899D6D5BD08}"/>
    <cellStyle name="PSSpacer 14 4 3" xfId="26109" xr:uid="{CFFDF75D-E6E9-4B5F-BE0D-78E44612F15D}"/>
    <cellStyle name="PSSpacer 14 5" xfId="26110" xr:uid="{391272C6-32C8-47DE-9447-C0FC93535FE1}"/>
    <cellStyle name="PSSpacer 14 5 2" xfId="26111" xr:uid="{EEDEDC95-0EF9-4B03-AF2B-F524837C65E8}"/>
    <cellStyle name="PSSpacer 14 5 2 2" xfId="26112" xr:uid="{9FF2E5D9-54F1-43DC-BA27-67BCC6FCFF2E}"/>
    <cellStyle name="PSSpacer 14 5 3" xfId="26113" xr:uid="{7E4E989B-E90F-4616-8AC3-75158741B757}"/>
    <cellStyle name="PSSpacer 14 6" xfId="26114" xr:uid="{C11D3F6A-D1EF-4C0A-8B4D-D9EA7615D218}"/>
    <cellStyle name="PSSpacer 14 6 2" xfId="26115" xr:uid="{183DE239-5DDF-4DFD-9CF7-F27A2BE1EC37}"/>
    <cellStyle name="PSSpacer 14 7" xfId="26116" xr:uid="{1ABF868B-D192-4233-89AA-0C3FFB3618D4}"/>
    <cellStyle name="PSSpacer 15" xfId="26117" xr:uid="{D0F2B6AD-8832-449D-BEBC-C08D0DD6F32F}"/>
    <cellStyle name="PSSpacer 15 2" xfId="26118" xr:uid="{EF7F0492-9BAF-44BD-AF9D-003480F91702}"/>
    <cellStyle name="PSSpacer 15 2 2" xfId="26119" xr:uid="{C90F891D-660C-432E-94B9-3DF72BD77108}"/>
    <cellStyle name="PSSpacer 15 2 2 2" xfId="26120" xr:uid="{698F8E4F-E50C-4FB4-9C55-4C5018CD7A3F}"/>
    <cellStyle name="PSSpacer 15 2 3" xfId="26121" xr:uid="{FD51ABFB-CEF4-482F-939F-FAFA62031C01}"/>
    <cellStyle name="PSSpacer 15 3" xfId="26122" xr:uid="{56924969-5B6B-4305-B781-67D321829891}"/>
    <cellStyle name="PSSpacer 15 3 2" xfId="26123" xr:uid="{959357A5-BA33-4050-8FF3-8244A0CAF751}"/>
    <cellStyle name="PSSpacer 15 3 2 2" xfId="26124" xr:uid="{C48AC806-D7E7-417E-A0E2-6A9D6E9F712D}"/>
    <cellStyle name="PSSpacer 15 3 3" xfId="26125" xr:uid="{A59A4B3A-FF05-42B9-8CA8-87581C040D24}"/>
    <cellStyle name="PSSpacer 15 4" xfId="26126" xr:uid="{CE59B781-E706-4F11-9807-4A1A51779D73}"/>
    <cellStyle name="PSSpacer 15 4 2" xfId="26127" xr:uid="{2599BB05-F873-410F-AEB3-FD84EBB6D06F}"/>
    <cellStyle name="PSSpacer 15 4 2 2" xfId="26128" xr:uid="{6034B172-2A1C-49B7-9FAA-1826335BF1B9}"/>
    <cellStyle name="PSSpacer 15 4 3" xfId="26129" xr:uid="{A8695D9C-560A-4926-88BE-1CA0F4A84D4D}"/>
    <cellStyle name="PSSpacer 15 5" xfId="26130" xr:uid="{BA7937E0-46A0-473A-88B2-888327F8C75C}"/>
    <cellStyle name="PSSpacer 15 5 2" xfId="26131" xr:uid="{F9266D2F-D2B2-4F34-A4B8-2D3988E92013}"/>
    <cellStyle name="PSSpacer 15 5 2 2" xfId="26132" xr:uid="{F360CFC2-35F0-467A-A886-0650E2999AC0}"/>
    <cellStyle name="PSSpacer 15 5 3" xfId="26133" xr:uid="{B4C7AE69-7B72-4405-AE4A-F5C24B22F1E7}"/>
    <cellStyle name="PSSpacer 15 6" xfId="26134" xr:uid="{FDE6371F-64F0-47E4-8D65-CBE45971F159}"/>
    <cellStyle name="PSSpacer 15 6 2" xfId="26135" xr:uid="{1BF9F862-8921-4412-B64A-E2B58AB6EF91}"/>
    <cellStyle name="PSSpacer 15 7" xfId="26136" xr:uid="{3FD396FE-B37B-4C21-BE4B-41353711743F}"/>
    <cellStyle name="PSSpacer 16" xfId="26137" xr:uid="{43FD33A0-6D29-4857-BE46-41A325DBDC86}"/>
    <cellStyle name="PSSpacer 16 2" xfId="26138" xr:uid="{57FDC4FD-E524-4966-A799-AD902A83A3CB}"/>
    <cellStyle name="PSSpacer 17" xfId="26139" xr:uid="{4ECD89FA-12C9-4929-89C4-F545B6DDF3CE}"/>
    <cellStyle name="PSSpacer 18" xfId="26140" xr:uid="{26B1A11A-3023-400F-A0F6-C1B73081C5D0}"/>
    <cellStyle name="PSSpacer 18 2" xfId="26141" xr:uid="{7F62D3C1-0592-431B-BF05-8D7FC1AEDFD6}"/>
    <cellStyle name="PSSpacer 18 3" xfId="26142" xr:uid="{2A595772-D7C0-4B72-A0DE-6753682917A8}"/>
    <cellStyle name="PSSpacer 2" xfId="26143" xr:uid="{500001F7-DD64-4BDC-B569-26374A92F989}"/>
    <cellStyle name="PSSpacer 2 10" xfId="26144" xr:uid="{A3A69499-2615-4C7F-B001-F9A8AF7143F5}"/>
    <cellStyle name="PSSpacer 2 10 2" xfId="26145" xr:uid="{60C24953-95E9-423C-9CBC-CCB5E47952F9}"/>
    <cellStyle name="PSSpacer 2 11" xfId="26146" xr:uid="{62C0A025-D2BD-44CC-BF3E-71945A56B65B}"/>
    <cellStyle name="PSSpacer 2 2" xfId="26147" xr:uid="{02EA1C5A-83FB-4718-8259-667F96AA5018}"/>
    <cellStyle name="PSSpacer 2 2 2" xfId="26148" xr:uid="{20910EDF-A445-45F5-A5A4-C8B139B57393}"/>
    <cellStyle name="PSSpacer 2 2 2 2" xfId="26149" xr:uid="{99845149-0376-4069-B6AE-6E658C622A63}"/>
    <cellStyle name="PSSpacer 2 2 3" xfId="26150" xr:uid="{BA2DCD77-FA90-463E-A3E6-2C2F4ACE3D37}"/>
    <cellStyle name="PSSpacer 2 3" xfId="26151" xr:uid="{D0C9AE93-D012-453E-BC9F-BF8A52F17EAD}"/>
    <cellStyle name="PSSpacer 2 3 2" xfId="26152" xr:uid="{0E9A648D-4A1C-4687-B8A4-6338736229D4}"/>
    <cellStyle name="PSSpacer 2 3 2 2" xfId="26153" xr:uid="{32E5DF69-EA6F-44E8-B263-CFFDDBFFC762}"/>
    <cellStyle name="PSSpacer 2 3 3" xfId="26154" xr:uid="{CF70D67A-CE47-4E28-A6C9-BB4A2D32AFC4}"/>
    <cellStyle name="PSSpacer 2 4" xfId="26155" xr:uid="{4C996DA4-79F5-4707-BF05-E27A91C748A8}"/>
    <cellStyle name="PSSpacer 2 4 2" xfId="26156" xr:uid="{19AB5731-3E95-4CAF-B7B9-92E1B8B10C6D}"/>
    <cellStyle name="PSSpacer 2 4 2 2" xfId="26157" xr:uid="{AAE4A1DC-6402-4174-A6F4-E6C319993763}"/>
    <cellStyle name="PSSpacer 2 4 3" xfId="26158" xr:uid="{2A8B84CE-530C-4B16-AED6-4D7663116F3D}"/>
    <cellStyle name="PSSpacer 2 5" xfId="26159" xr:uid="{E97AA770-BD03-4DAF-9E7D-5B57EBA2EB14}"/>
    <cellStyle name="PSSpacer 2 5 2" xfId="26160" xr:uid="{035B1768-B685-4E9B-A3DA-273C1B399564}"/>
    <cellStyle name="PSSpacer 2 5 2 2" xfId="26161" xr:uid="{1EF71D42-E63B-4B7B-92B8-594F9636B435}"/>
    <cellStyle name="PSSpacer 2 5 3" xfId="26162" xr:uid="{BE5A126D-8ACD-4FD5-BDDE-8BBC38218B06}"/>
    <cellStyle name="PSSpacer 2 6" xfId="26163" xr:uid="{1B522718-A6A3-416F-9893-01AE5126BA0C}"/>
    <cellStyle name="PSSpacer 2 6 2" xfId="26164" xr:uid="{C9B4DA84-0634-47BE-9C19-52CF0F259C7E}"/>
    <cellStyle name="PSSpacer 2 6 2 2" xfId="26165" xr:uid="{D48AE2AA-6AD3-4EE9-B3D8-3C0908747E33}"/>
    <cellStyle name="PSSpacer 2 6 3" xfId="26166" xr:uid="{CFC4F4AD-EF13-454A-80C0-9132B41F912D}"/>
    <cellStyle name="PSSpacer 2 7" xfId="26167" xr:uid="{CF8AF186-197C-46BB-BBBA-EC40A6CC17A2}"/>
    <cellStyle name="PSSpacer 2 7 2" xfId="26168" xr:uid="{997DF88D-14DA-473D-AD7F-371255AA887E}"/>
    <cellStyle name="PSSpacer 2 7 2 2" xfId="26169" xr:uid="{D198C829-74ED-4021-A6EA-A24808CA14C6}"/>
    <cellStyle name="PSSpacer 2 7 3" xfId="26170" xr:uid="{593D80C3-4802-4D38-B61E-D9E45D3E3CE7}"/>
    <cellStyle name="PSSpacer 2 8" xfId="26171" xr:uid="{86C9FC9A-D3DB-452B-9752-1795D859372F}"/>
    <cellStyle name="PSSpacer 2 8 2" xfId="26172" xr:uid="{04BB08EE-7C3D-4842-A648-C9A49F85B29F}"/>
    <cellStyle name="PSSpacer 2 8 2 2" xfId="26173" xr:uid="{D616C948-DB50-49E4-9384-8AF1C3186867}"/>
    <cellStyle name="PSSpacer 2 8 3" xfId="26174" xr:uid="{F3AB8E0C-5923-4331-9D0E-B6A98A881377}"/>
    <cellStyle name="PSSpacer 2 9" xfId="26175" xr:uid="{6575278B-8F35-4825-9EE9-8BA23E1F7CFC}"/>
    <cellStyle name="PSSpacer 2 9 2" xfId="26176" xr:uid="{2BC8BB07-FC88-4ACC-99CB-1FAFC5D01E35}"/>
    <cellStyle name="PSSpacer 2 9 2 2" xfId="26177" xr:uid="{653F788F-E252-462B-A47D-691D05E9C500}"/>
    <cellStyle name="PSSpacer 2 9 3" xfId="26178" xr:uid="{0036F35D-BF37-471B-BEAC-674B70851E93}"/>
    <cellStyle name="PSSpacer 3" xfId="26179" xr:uid="{94ED9E66-F51E-4B39-ADB1-0430D83F554E}"/>
    <cellStyle name="PSSpacer 3 10" xfId="26180" xr:uid="{EDC16DEA-BA5B-4EB1-B978-27A206AAB750}"/>
    <cellStyle name="PSSpacer 3 10 2" xfId="26181" xr:uid="{58992336-1685-48AF-AB0D-D1C53AE1D8EC}"/>
    <cellStyle name="PSSpacer 3 11" xfId="26182" xr:uid="{12775A5D-E0B5-449F-8273-44A21A92C316}"/>
    <cellStyle name="PSSpacer 3 2" xfId="26183" xr:uid="{E9D1A1AC-1BA9-4F7F-ABD1-B5CD6161990B}"/>
    <cellStyle name="PSSpacer 3 2 2" xfId="26184" xr:uid="{518FCEC0-E389-4D28-A7A9-ACE05578A0E8}"/>
    <cellStyle name="PSSpacer 3 2 2 2" xfId="26185" xr:uid="{A566B212-DCF2-4B20-A6B2-1D8618C3C1E5}"/>
    <cellStyle name="PSSpacer 3 2 3" xfId="26186" xr:uid="{2D36386A-FE44-44CF-AB2E-B4B3207A3BA3}"/>
    <cellStyle name="PSSpacer 3 3" xfId="26187" xr:uid="{DF3F897B-B49C-4D68-87CE-E818E974E0AF}"/>
    <cellStyle name="PSSpacer 3 3 2" xfId="26188" xr:uid="{D7ABFE98-8708-4377-BB2B-18820A7A76B3}"/>
    <cellStyle name="PSSpacer 3 3 2 2" xfId="26189" xr:uid="{50F344D3-2D8F-4E0F-AB53-9A8F900CA7A5}"/>
    <cellStyle name="PSSpacer 3 3 3" xfId="26190" xr:uid="{7DB1B7D5-FD26-461B-ACE0-3ECB958403F2}"/>
    <cellStyle name="PSSpacer 3 4" xfId="26191" xr:uid="{4E96B509-E2FB-4DD4-9AE8-6AF0256A7255}"/>
    <cellStyle name="PSSpacer 3 4 2" xfId="26192" xr:uid="{9E49F090-8418-4203-95AD-AF164802D472}"/>
    <cellStyle name="PSSpacer 3 4 2 2" xfId="26193" xr:uid="{752D60CC-EFE2-434B-8B1A-46A139F96C4C}"/>
    <cellStyle name="PSSpacer 3 4 3" xfId="26194" xr:uid="{7FA79B6B-F0D3-4B63-9831-5D9C087B29E3}"/>
    <cellStyle name="PSSpacer 3 5" xfId="26195" xr:uid="{22366F3E-C672-4530-B9CC-049EA93D8E01}"/>
    <cellStyle name="PSSpacer 3 5 2" xfId="26196" xr:uid="{D6FA47EE-4E19-42D7-B2A0-6A3C9292DD42}"/>
    <cellStyle name="PSSpacer 3 5 2 2" xfId="26197" xr:uid="{FCA7FBCF-FB6A-46D8-B3FA-FD00BB3086C9}"/>
    <cellStyle name="PSSpacer 3 5 3" xfId="26198" xr:uid="{F9531450-6EA1-46F1-8FD0-F907100D8898}"/>
    <cellStyle name="PSSpacer 3 6" xfId="26199" xr:uid="{0A8FBD3B-A321-4C7C-8B1B-ADBCBA7FDD22}"/>
    <cellStyle name="PSSpacer 3 6 2" xfId="26200" xr:uid="{C0CE478C-D857-4719-AA5A-DEA0693BCF64}"/>
    <cellStyle name="PSSpacer 3 6 2 2" xfId="26201" xr:uid="{B008804B-689A-49FC-A169-A5C9DE3DB71A}"/>
    <cellStyle name="PSSpacer 3 6 3" xfId="26202" xr:uid="{F8939BD8-9507-41E0-8C01-B343BC892559}"/>
    <cellStyle name="PSSpacer 3 7" xfId="26203" xr:uid="{3DAD1DF9-FF95-453E-9FD8-CD1227A86B1E}"/>
    <cellStyle name="PSSpacer 3 7 2" xfId="26204" xr:uid="{7A9AB57B-BD87-4996-8150-01D64BE73F14}"/>
    <cellStyle name="PSSpacer 3 7 2 2" xfId="26205" xr:uid="{3103458A-3F2D-473F-A54E-5F1A20D4B5F3}"/>
    <cellStyle name="PSSpacer 3 7 3" xfId="26206" xr:uid="{872E3AF9-75E4-4091-A99D-109BD8CC41EF}"/>
    <cellStyle name="PSSpacer 3 8" xfId="26207" xr:uid="{8A06A10B-27C3-4706-B97F-54539A4471B6}"/>
    <cellStyle name="PSSpacer 3 8 2" xfId="26208" xr:uid="{060BE525-8566-4805-B5A1-1F3628D5CE27}"/>
    <cellStyle name="PSSpacer 3 8 2 2" xfId="26209" xr:uid="{63BBC88E-B5E3-4547-99FD-56A6DDB1D04D}"/>
    <cellStyle name="PSSpacer 3 8 3" xfId="26210" xr:uid="{38C4B9C9-986B-4E25-8700-84581AD7D156}"/>
    <cellStyle name="PSSpacer 3 9" xfId="26211" xr:uid="{E007F7D7-351E-49F4-9626-3A3AF7D7BBE7}"/>
    <cellStyle name="PSSpacer 3 9 2" xfId="26212" xr:uid="{A0C013A4-7DD4-4772-BF4A-7487DBFEE1C6}"/>
    <cellStyle name="PSSpacer 3 9 2 2" xfId="26213" xr:uid="{C2732347-D3AB-4FF3-8147-2DE561BDE159}"/>
    <cellStyle name="PSSpacer 3 9 3" xfId="26214" xr:uid="{E387BC5F-500E-430D-928E-37D244C558D1}"/>
    <cellStyle name="PSSpacer 4" xfId="26215" xr:uid="{3972C697-CDC4-437E-991D-FB79AE396ED8}"/>
    <cellStyle name="PSSpacer 4 10" xfId="26216" xr:uid="{7EE16C27-DD7A-44C7-ACD9-DD9421D48DBA}"/>
    <cellStyle name="PSSpacer 4 10 2" xfId="26217" xr:uid="{1BF3303A-52E5-41D8-8DD1-CBBB2892CEF9}"/>
    <cellStyle name="PSSpacer 4 11" xfId="26218" xr:uid="{FB27BA80-8D22-4B18-91F0-B31E0A6FAC95}"/>
    <cellStyle name="PSSpacer 4 2" xfId="26219" xr:uid="{FEC55D60-7563-4306-BD2B-DB0F9F232447}"/>
    <cellStyle name="PSSpacer 4 2 2" xfId="26220" xr:uid="{C05BCA24-E27D-4D4F-9323-1B8AD3BCB635}"/>
    <cellStyle name="PSSpacer 4 2 2 2" xfId="26221" xr:uid="{A2511F34-1BFF-43F3-ADA6-6659EF917335}"/>
    <cellStyle name="PSSpacer 4 2 3" xfId="26222" xr:uid="{404F2E3D-E045-4CD6-B389-70832DB93BE0}"/>
    <cellStyle name="PSSpacer 4 3" xfId="26223" xr:uid="{4DD4063F-E6D9-434E-8D9F-FE58933D4483}"/>
    <cellStyle name="PSSpacer 4 3 2" xfId="26224" xr:uid="{1D96D811-EADD-4C1B-8205-3B6AA064B63C}"/>
    <cellStyle name="PSSpacer 4 3 2 2" xfId="26225" xr:uid="{B97782F2-6C05-4826-A0B8-238B6E03C99A}"/>
    <cellStyle name="PSSpacer 4 3 3" xfId="26226" xr:uid="{AFD34C87-853D-4B7E-8E65-818D2A5EE9F2}"/>
    <cellStyle name="PSSpacer 4 4" xfId="26227" xr:uid="{6B57CDC0-2AA5-452C-8420-3F2DFE81C169}"/>
    <cellStyle name="PSSpacer 4 4 2" xfId="26228" xr:uid="{4B8DD8A3-AA2F-446C-896B-F2160372A8A3}"/>
    <cellStyle name="PSSpacer 4 4 2 2" xfId="26229" xr:uid="{D6EF347D-E843-420C-8F13-FF1912DBAED0}"/>
    <cellStyle name="PSSpacer 4 4 3" xfId="26230" xr:uid="{6421F35D-643B-4577-8931-28807E8FDA86}"/>
    <cellStyle name="PSSpacer 4 5" xfId="26231" xr:uid="{5B65F356-D0A2-4B2C-ACA1-EED348C14AA0}"/>
    <cellStyle name="PSSpacer 4 5 2" xfId="26232" xr:uid="{95419696-52B1-421A-B9D0-8F3D21BDDFEE}"/>
    <cellStyle name="PSSpacer 4 5 2 2" xfId="26233" xr:uid="{CEB82068-DB2A-41C4-AD1F-F8F08A37FE6E}"/>
    <cellStyle name="PSSpacer 4 5 3" xfId="26234" xr:uid="{062C4CB7-F42C-493A-80B4-C7D8E09732D9}"/>
    <cellStyle name="PSSpacer 4 6" xfId="26235" xr:uid="{72961E8B-E989-4CFA-B9BD-BFFF5EB1D611}"/>
    <cellStyle name="PSSpacer 4 6 2" xfId="26236" xr:uid="{AD841DF7-FDC0-4D65-B141-9789F5E0C812}"/>
    <cellStyle name="PSSpacer 4 6 2 2" xfId="26237" xr:uid="{5A2EBC74-3009-45B3-93AF-11DDEB9DCAF3}"/>
    <cellStyle name="PSSpacer 4 6 3" xfId="26238" xr:uid="{C76D842B-8FAB-43FC-A8AC-D9D23F18508B}"/>
    <cellStyle name="PSSpacer 4 7" xfId="26239" xr:uid="{0D6629EA-96BD-4473-B48D-FA6B809E4E29}"/>
    <cellStyle name="PSSpacer 4 7 2" xfId="26240" xr:uid="{C38C862C-213B-4CE0-A21E-697D7C4D4BE8}"/>
    <cellStyle name="PSSpacer 4 7 2 2" xfId="26241" xr:uid="{5EC41688-F01A-429C-A24E-D3A146169C0D}"/>
    <cellStyle name="PSSpacer 4 7 3" xfId="26242" xr:uid="{05E9644C-1817-4C73-86E1-8CA425D8BDCF}"/>
    <cellStyle name="PSSpacer 4 8" xfId="26243" xr:uid="{CDA0C9FD-6064-4BE7-AB8A-1C562B87161D}"/>
    <cellStyle name="PSSpacer 4 8 2" xfId="26244" xr:uid="{4A43B921-7088-42A7-8C8B-C634F1980299}"/>
    <cellStyle name="PSSpacer 4 8 2 2" xfId="26245" xr:uid="{1A75E342-8D68-470A-8F37-704B6A85C5DF}"/>
    <cellStyle name="PSSpacer 4 8 3" xfId="26246" xr:uid="{60E13F65-4B5F-42C5-B208-1566DE9EBF8C}"/>
    <cellStyle name="PSSpacer 4 9" xfId="26247" xr:uid="{F77EE6A9-6E07-4C86-B0F0-E5F915234B93}"/>
    <cellStyle name="PSSpacer 4 9 2" xfId="26248" xr:uid="{1445A420-B067-4AEE-A5C9-0CF1F6349FC7}"/>
    <cellStyle name="PSSpacer 4 9 2 2" xfId="26249" xr:uid="{BAF44560-125A-4EE9-8C05-3A1056C951FF}"/>
    <cellStyle name="PSSpacer 4 9 3" xfId="26250" xr:uid="{CEEACBE6-F3A0-4079-8B56-A7A2F1FAC46E}"/>
    <cellStyle name="PSSpacer 5" xfId="26251" xr:uid="{2A899462-11C2-44C2-9D9C-552875A8FEE7}"/>
    <cellStyle name="PSSpacer 5 10" xfId="26252" xr:uid="{A1437450-2ACC-4EA2-B64A-29E0F23EFF42}"/>
    <cellStyle name="PSSpacer 5 10 2" xfId="26253" xr:uid="{E89006ED-41D7-4970-902B-79B1A4C3672B}"/>
    <cellStyle name="PSSpacer 5 11" xfId="26254" xr:uid="{83CA97E7-1AF5-471C-8A92-7C54D5D7859F}"/>
    <cellStyle name="PSSpacer 5 2" xfId="26255" xr:uid="{311AAE5B-2484-4441-817B-C414C304BF81}"/>
    <cellStyle name="PSSpacer 5 2 2" xfId="26256" xr:uid="{E4B8E001-4B74-45AB-B9DE-511ED9CD534D}"/>
    <cellStyle name="PSSpacer 5 2 2 2" xfId="26257" xr:uid="{04FAA8DB-0514-4DA7-8223-0ACFF6C0E5A7}"/>
    <cellStyle name="PSSpacer 5 2 3" xfId="26258" xr:uid="{D98C2BCD-60C0-4EB8-AC93-643F2A3FD1FA}"/>
    <cellStyle name="PSSpacer 5 3" xfId="26259" xr:uid="{3C4CC302-BD5A-48CB-B134-360FCF2B1AC9}"/>
    <cellStyle name="PSSpacer 5 3 2" xfId="26260" xr:uid="{ED8208CB-ACAF-41B2-850E-D2F225DDC9EC}"/>
    <cellStyle name="PSSpacer 5 3 2 2" xfId="26261" xr:uid="{B7E5CF8B-19FD-4E1A-963D-51D75F0342C5}"/>
    <cellStyle name="PSSpacer 5 3 3" xfId="26262" xr:uid="{F05F64E4-F8D9-4A27-90BC-D0EAB6BD4432}"/>
    <cellStyle name="PSSpacer 5 4" xfId="26263" xr:uid="{15331527-DAD9-4D21-9EF4-EEE4DC213DCF}"/>
    <cellStyle name="PSSpacer 5 4 2" xfId="26264" xr:uid="{99D2CF4A-1110-44DC-98A6-C2A8CB700DC2}"/>
    <cellStyle name="PSSpacer 5 4 2 2" xfId="26265" xr:uid="{B1BD91C3-E6FC-4ABB-BEAA-884D915BEC3B}"/>
    <cellStyle name="PSSpacer 5 4 3" xfId="26266" xr:uid="{02F19FDD-4F58-44AF-B34E-8A950FF43DA4}"/>
    <cellStyle name="PSSpacer 5 5" xfId="26267" xr:uid="{2FA3CE49-635A-4AB8-9FA8-613833B377DB}"/>
    <cellStyle name="PSSpacer 5 5 2" xfId="26268" xr:uid="{32AED5B0-B5CF-4F9B-9009-DB15363A7E5E}"/>
    <cellStyle name="PSSpacer 5 5 2 2" xfId="26269" xr:uid="{9AAD8ECE-2092-4BD6-BB80-5AD08646F765}"/>
    <cellStyle name="PSSpacer 5 5 3" xfId="26270" xr:uid="{FDD27BD9-3E9A-4013-A861-BE80B98A660F}"/>
    <cellStyle name="PSSpacer 5 6" xfId="26271" xr:uid="{DF5297EC-9A9D-4A8E-9682-B9E89DB50463}"/>
    <cellStyle name="PSSpacer 5 6 2" xfId="26272" xr:uid="{DFCAF90B-7035-4742-A4D1-FAAE1A3DBAB1}"/>
    <cellStyle name="PSSpacer 5 6 2 2" xfId="26273" xr:uid="{1478E316-702F-46A6-8BDD-0825FFDFB7B9}"/>
    <cellStyle name="PSSpacer 5 6 3" xfId="26274" xr:uid="{7938F12C-22F9-4422-88EA-8EC07876E402}"/>
    <cellStyle name="PSSpacer 5 7" xfId="26275" xr:uid="{2B36AF55-9900-4EB4-9AA4-99D83B358E17}"/>
    <cellStyle name="PSSpacer 5 7 2" xfId="26276" xr:uid="{60CB6DCA-49AB-4FFA-91EA-3EC801958514}"/>
    <cellStyle name="PSSpacer 5 7 2 2" xfId="26277" xr:uid="{7EBD3F0B-C804-4E69-A9F0-349AB6F417F2}"/>
    <cellStyle name="PSSpacer 5 7 3" xfId="26278" xr:uid="{73658651-8112-4B22-8AFF-3AA6C7A7C9E7}"/>
    <cellStyle name="PSSpacer 5 8" xfId="26279" xr:uid="{7A827A38-F3FB-4B2F-AA5D-015026E91248}"/>
    <cellStyle name="PSSpacer 5 8 2" xfId="26280" xr:uid="{C4409548-B34A-45F6-97C0-975D9B9C2A75}"/>
    <cellStyle name="PSSpacer 5 8 2 2" xfId="26281" xr:uid="{C666F086-E6DB-44D2-90FF-5AEF2CCD5F2E}"/>
    <cellStyle name="PSSpacer 5 8 3" xfId="26282" xr:uid="{614342B8-18E8-41B6-A46E-2890C7F4909C}"/>
    <cellStyle name="PSSpacer 5 9" xfId="26283" xr:uid="{118645B4-9466-416F-9043-0EB307C91A3B}"/>
    <cellStyle name="PSSpacer 5 9 2" xfId="26284" xr:uid="{AC8BE2A5-BB11-4424-B2A1-455D0ED3263C}"/>
    <cellStyle name="PSSpacer 5 9 2 2" xfId="26285" xr:uid="{CD7277FB-5B73-4519-A0A0-BBC942103C5B}"/>
    <cellStyle name="PSSpacer 5 9 3" xfId="26286" xr:uid="{DD983C00-0BB4-48B9-8D61-ED3F65CC8833}"/>
    <cellStyle name="PSSpacer 6" xfId="26287" xr:uid="{80EF3E71-64E8-49CD-8BAC-DD0CDC096802}"/>
    <cellStyle name="PSSpacer 6 10" xfId="26288" xr:uid="{CCDDDDBF-A643-44AD-83D2-F0B6DB1E42FD}"/>
    <cellStyle name="PSSpacer 6 10 2" xfId="26289" xr:uid="{C435E7E5-319C-4002-93D5-1D51C04C4831}"/>
    <cellStyle name="PSSpacer 6 11" xfId="26290" xr:uid="{CC5A0554-B0EE-4B90-B82A-CA44F43F3F50}"/>
    <cellStyle name="PSSpacer 6 2" xfId="26291" xr:uid="{10B73C30-95D3-45CD-A929-6A4CD6C2C110}"/>
    <cellStyle name="PSSpacer 6 2 2" xfId="26292" xr:uid="{1C9E119B-3B55-4C29-A471-CB7B38ED7CEF}"/>
    <cellStyle name="PSSpacer 6 2 2 2" xfId="26293" xr:uid="{B91E4F4D-0F21-438F-9250-9BCA568973B8}"/>
    <cellStyle name="PSSpacer 6 2 3" xfId="26294" xr:uid="{24E87A93-7D63-4763-AFE6-C58AB762AE17}"/>
    <cellStyle name="PSSpacer 6 3" xfId="26295" xr:uid="{F320F2ED-ABF2-4D74-8728-89CF6E124CFC}"/>
    <cellStyle name="PSSpacer 6 3 2" xfId="26296" xr:uid="{44C1FE68-7860-419D-A34A-3070935FA93A}"/>
    <cellStyle name="PSSpacer 6 3 2 2" xfId="26297" xr:uid="{80F4E7F4-634D-4C37-A4D9-B54CB384B175}"/>
    <cellStyle name="PSSpacer 6 3 3" xfId="26298" xr:uid="{0CC1C05A-730D-478C-90E7-497C42693E38}"/>
    <cellStyle name="PSSpacer 6 4" xfId="26299" xr:uid="{556DDD46-C998-4CBA-8A58-FB8EC2BF65EF}"/>
    <cellStyle name="PSSpacer 6 4 2" xfId="26300" xr:uid="{4539C2D7-42FF-40E3-A5F4-AE8BBCCBE2D1}"/>
    <cellStyle name="PSSpacer 6 4 2 2" xfId="26301" xr:uid="{F97F4F1B-A462-48BF-A966-91EB41DF1BAD}"/>
    <cellStyle name="PSSpacer 6 4 3" xfId="26302" xr:uid="{9C132BE9-46BA-4483-9A55-7D385113E2C2}"/>
    <cellStyle name="PSSpacer 6 5" xfId="26303" xr:uid="{3BE9A284-7628-41BF-BA90-BC99EE3D653F}"/>
    <cellStyle name="PSSpacer 6 5 2" xfId="26304" xr:uid="{6FEED5A3-B6EB-4470-965B-9E2FB930495D}"/>
    <cellStyle name="PSSpacer 6 5 2 2" xfId="26305" xr:uid="{8298C4B8-4FF2-45EE-B209-2426D7A404F7}"/>
    <cellStyle name="PSSpacer 6 5 3" xfId="26306" xr:uid="{5112C37C-B5ED-4BA2-A234-13108C7B57B2}"/>
    <cellStyle name="PSSpacer 6 6" xfId="26307" xr:uid="{A114E23C-9364-4638-8B29-9DB6D6D17E71}"/>
    <cellStyle name="PSSpacer 6 6 2" xfId="26308" xr:uid="{29DBB694-8B16-46C9-9C91-AB6BD75FA924}"/>
    <cellStyle name="PSSpacer 6 6 2 2" xfId="26309" xr:uid="{EE44DEBC-0461-43FD-A22D-061EA039A982}"/>
    <cellStyle name="PSSpacer 6 6 3" xfId="26310" xr:uid="{DCF6968B-A14D-4B13-A0B9-12DC799E71CF}"/>
    <cellStyle name="PSSpacer 6 7" xfId="26311" xr:uid="{9A95D9F9-5478-4CF5-AB53-E53227D0D9D0}"/>
    <cellStyle name="PSSpacer 6 7 2" xfId="26312" xr:uid="{99D8478A-84A1-4403-B803-2CEFD1096AA3}"/>
    <cellStyle name="PSSpacer 6 7 2 2" xfId="26313" xr:uid="{CF28CA31-A195-4A3C-B01A-838E2FF99334}"/>
    <cellStyle name="PSSpacer 6 7 3" xfId="26314" xr:uid="{C33B46D4-C92D-491E-A6FE-375BD9257E8F}"/>
    <cellStyle name="PSSpacer 6 8" xfId="26315" xr:uid="{C39BAC7F-2B0B-43E2-9D62-DE78D54D4CAF}"/>
    <cellStyle name="PSSpacer 6 8 2" xfId="26316" xr:uid="{880C6B04-3EA9-49A7-8188-868F7927CF00}"/>
    <cellStyle name="PSSpacer 6 8 2 2" xfId="26317" xr:uid="{E6A3F550-A0F2-498C-9B4C-E48AE530CE14}"/>
    <cellStyle name="PSSpacer 6 8 3" xfId="26318" xr:uid="{3CF41B91-9496-4240-AC42-098402187D93}"/>
    <cellStyle name="PSSpacer 6 9" xfId="26319" xr:uid="{57D76A25-21D8-4A64-B236-4B601CEF1B72}"/>
    <cellStyle name="PSSpacer 6 9 2" xfId="26320" xr:uid="{C996FC1E-56FC-4F6E-A3C8-78099C855DFD}"/>
    <cellStyle name="PSSpacer 6 9 2 2" xfId="26321" xr:uid="{342F45C7-C6B5-459E-B981-44209870D233}"/>
    <cellStyle name="PSSpacer 6 9 3" xfId="26322" xr:uid="{767A23F5-6670-4F24-8FC3-C28916ABD1AB}"/>
    <cellStyle name="PSSpacer 7" xfId="26323" xr:uid="{35740901-4D11-4737-B25E-8CAC90EEBACA}"/>
    <cellStyle name="PSSpacer 7 2" xfId="26324" xr:uid="{7275B79A-29C9-4651-A5D2-93DE5C1A5E9F}"/>
    <cellStyle name="PSSpacer 7 2 2" xfId="26325" xr:uid="{3B00CB41-D453-4C0B-BB57-54129CD95302}"/>
    <cellStyle name="PSSpacer 7 2 2 2" xfId="26326" xr:uid="{F6BE8EEA-75EC-404F-AAA3-699A932B456E}"/>
    <cellStyle name="PSSpacer 7 2 3" xfId="26327" xr:uid="{0F6CB517-2531-4B8E-8CDB-A0C47163C71D}"/>
    <cellStyle name="PSSpacer 7 3" xfId="26328" xr:uid="{63706050-8A61-4D82-9191-E278EC331C8A}"/>
    <cellStyle name="PSSpacer 7 3 2" xfId="26329" xr:uid="{777278EA-A2D0-47AF-8E78-5FC439C1A2B6}"/>
    <cellStyle name="PSSpacer 7 3 2 2" xfId="26330" xr:uid="{F36AC4A7-81E9-4FAE-8418-E8EDEAC152D2}"/>
    <cellStyle name="PSSpacer 7 3 3" xfId="26331" xr:uid="{D6725924-2757-4AB3-A67F-517B88EDE31C}"/>
    <cellStyle name="PSSpacer 7 4" xfId="26332" xr:uid="{2F424F52-7C18-4B69-809F-A4F1C07CD2C8}"/>
    <cellStyle name="PSSpacer 7 4 2" xfId="26333" xr:uid="{C980D1E5-EE5B-471B-BC89-E051F3B1B4A0}"/>
    <cellStyle name="PSSpacer 7 4 2 2" xfId="26334" xr:uid="{D8977AE3-9BAA-4F0B-8763-AC00F6BCBAD2}"/>
    <cellStyle name="PSSpacer 7 4 3" xfId="26335" xr:uid="{C2038BFE-6796-49E3-A2B2-B764104240DC}"/>
    <cellStyle name="PSSpacer 7 5" xfId="26336" xr:uid="{DEBA21ED-2679-479E-AB07-A70E4F00240B}"/>
    <cellStyle name="PSSpacer 7 5 2" xfId="26337" xr:uid="{07D37DFE-9AD1-4806-942C-F49AD080098D}"/>
    <cellStyle name="PSSpacer 7 5 2 2" xfId="26338" xr:uid="{46B8D0E0-7230-4574-8BA6-7E2D4A5B2220}"/>
    <cellStyle name="PSSpacer 7 5 3" xfId="26339" xr:uid="{9A00F37B-4C0C-4779-9E34-2FDB48F4168E}"/>
    <cellStyle name="PSSpacer 7 6" xfId="26340" xr:uid="{5A080BAB-9A31-433A-9A16-024784DB22D7}"/>
    <cellStyle name="PSSpacer 7 6 2" xfId="26341" xr:uid="{20FDDD06-1B6F-4D32-BDC6-973EE2D2FE83}"/>
    <cellStyle name="PSSpacer 7 7" xfId="26342" xr:uid="{C7661DB7-DADD-446A-BF2F-B1101BD99D89}"/>
    <cellStyle name="PSSpacer 8" xfId="26343" xr:uid="{9FDDEC61-9DCD-40E9-9B11-642972F957DD}"/>
    <cellStyle name="PSSpacer 8 2" xfId="26344" xr:uid="{A09AB48F-2F24-4C83-B1FA-ED7E6A41D313}"/>
    <cellStyle name="PSSpacer 8 2 2" xfId="26345" xr:uid="{E9D1B253-DAAF-435B-94AC-7C379BF797DB}"/>
    <cellStyle name="PSSpacer 8 2 2 2" xfId="26346" xr:uid="{3306ED08-4F92-42CD-BE5D-8F13E02D38A7}"/>
    <cellStyle name="PSSpacer 8 2 3" xfId="26347" xr:uid="{BE4EC42B-1456-446A-9575-E1F4FFDFF4D1}"/>
    <cellStyle name="PSSpacer 8 3" xfId="26348" xr:uid="{80B91158-9D18-4E78-8940-03C7F7EBC6A1}"/>
    <cellStyle name="PSSpacer 8 3 2" xfId="26349" xr:uid="{879B98F9-5692-400F-99BC-9153E96AEA80}"/>
    <cellStyle name="PSSpacer 8 3 2 2" xfId="26350" xr:uid="{AA1DA840-434F-4CBC-9647-E244715F0107}"/>
    <cellStyle name="PSSpacer 8 3 3" xfId="26351" xr:uid="{1D5B2BF8-586E-4236-8A55-D7C70B92D779}"/>
    <cellStyle name="PSSpacer 8 4" xfId="26352" xr:uid="{9B5D739B-7E26-478F-85C2-C2B451C4CB6B}"/>
    <cellStyle name="PSSpacer 8 4 2" xfId="26353" xr:uid="{8407840A-D0E6-4D55-B457-FF2A2E4A61CB}"/>
    <cellStyle name="PSSpacer 8 4 2 2" xfId="26354" xr:uid="{D0F399CF-F940-44FD-9ED4-00143030A382}"/>
    <cellStyle name="PSSpacer 8 4 3" xfId="26355" xr:uid="{DAA6D0CC-4CA3-47DE-9160-05A6B9B7202E}"/>
    <cellStyle name="PSSpacer 8 5" xfId="26356" xr:uid="{F91F7598-9D5A-48A8-8F74-E81AEE64753A}"/>
    <cellStyle name="PSSpacer 8 5 2" xfId="26357" xr:uid="{58719862-1760-4B88-B229-E1408D688F7A}"/>
    <cellStyle name="PSSpacer 8 5 2 2" xfId="26358" xr:uid="{2BDFBCFB-9E94-4194-B913-FEF9CAB6C7A2}"/>
    <cellStyle name="PSSpacer 8 5 3" xfId="26359" xr:uid="{67C951F9-41CE-4B04-A8F2-1DAEE740431D}"/>
    <cellStyle name="PSSpacer 8 6" xfId="26360" xr:uid="{25CA8AC0-2DE7-4658-804C-5AD33C0AC412}"/>
    <cellStyle name="PSSpacer 8 6 2" xfId="26361" xr:uid="{A8D271EC-764F-405F-9995-A9D2F3725775}"/>
    <cellStyle name="PSSpacer 8 7" xfId="26362" xr:uid="{B8EDDCDB-56C3-447D-89B0-2B18E549ABC2}"/>
    <cellStyle name="PSSpacer 9" xfId="26363" xr:uid="{8B83D827-81D1-43F6-A4E7-1F47906E30D0}"/>
    <cellStyle name="PSSpacer 9 2" xfId="26364" xr:uid="{3BC442ED-9E4D-47AB-9126-FDF62DA68693}"/>
    <cellStyle name="PSSpacer 9 2 2" xfId="26365" xr:uid="{F6B4E4D5-19D4-49D9-83BE-7A5E01A5050F}"/>
    <cellStyle name="PSSpacer 9 2 2 2" xfId="26366" xr:uid="{BFA775FF-EF00-46C4-AF0C-D7050966E308}"/>
    <cellStyle name="PSSpacer 9 2 3" xfId="26367" xr:uid="{4FE241FB-175E-4E5A-BA19-834A7278E96A}"/>
    <cellStyle name="PSSpacer 9 3" xfId="26368" xr:uid="{8869C4C8-CC7F-48F0-AB96-7259564042B8}"/>
    <cellStyle name="PSSpacer 9 3 2" xfId="26369" xr:uid="{84DD037D-2B72-4A47-85AB-6EEF954EC2AE}"/>
    <cellStyle name="PSSpacer 9 3 2 2" xfId="26370" xr:uid="{2B22D140-DB18-42B6-8286-6CDBAF222CAB}"/>
    <cellStyle name="PSSpacer 9 3 3" xfId="26371" xr:uid="{C482F9D7-5844-4E3A-B1E7-B52ABFA6A613}"/>
    <cellStyle name="PSSpacer 9 4" xfId="26372" xr:uid="{21877576-C003-400F-AC46-9EB3A31BC24B}"/>
    <cellStyle name="PSSpacer 9 4 2" xfId="26373" xr:uid="{B06115C2-6134-472A-A374-5ACC963E29A9}"/>
    <cellStyle name="PSSpacer 9 4 2 2" xfId="26374" xr:uid="{EFB1751D-5394-4185-93F7-0934CE9CD2F5}"/>
    <cellStyle name="PSSpacer 9 4 3" xfId="26375" xr:uid="{47870BEB-9C37-4F5A-95F5-6974A2133A59}"/>
    <cellStyle name="PSSpacer 9 5" xfId="26376" xr:uid="{E5179A96-66CC-4F77-BC89-103D207BDDB9}"/>
    <cellStyle name="PSSpacer 9 5 2" xfId="26377" xr:uid="{AA8A0282-8604-430A-ADFA-56F50C0A15E5}"/>
    <cellStyle name="PSSpacer 9 5 2 2" xfId="26378" xr:uid="{E81E6DD7-8762-4ED4-9626-0FC8BBF472AA}"/>
    <cellStyle name="PSSpacer 9 5 3" xfId="26379" xr:uid="{1E147B38-70F4-496A-9339-F1D3487B2352}"/>
    <cellStyle name="PSSpacer 9 6" xfId="26380" xr:uid="{2A877E9D-A8B2-41E4-8BD6-01CED5B4D5CD}"/>
    <cellStyle name="PSSpacer 9 6 2" xfId="26381" xr:uid="{57F63002-F6A4-475B-863B-2CE6D6C27653}"/>
    <cellStyle name="PSSpacer 9 7" xfId="26382" xr:uid="{43047E51-BD43-4F31-9BE1-F9A56CE1B01A}"/>
    <cellStyle name="PStest" xfId="43402" xr:uid="{6FBDA823-AB9E-4922-B5D7-5B742F2420F0}"/>
    <cellStyle name="RangeBelow" xfId="263" xr:uid="{7AA38423-77D1-446F-8F3E-40ED7FA26EFA}"/>
    <cellStyle name="RangeBelow 10" xfId="26383" xr:uid="{72D05E1D-80FA-496D-A952-32B7629DEF24}"/>
    <cellStyle name="RangeBelow 10 2" xfId="26384" xr:uid="{1426EFE7-AF5C-497F-A3BF-22BCEAC628ED}"/>
    <cellStyle name="RangeBelow 10 2 2" xfId="26385" xr:uid="{E4821A65-67D6-4A7E-907A-5BC1F93BA2D9}"/>
    <cellStyle name="RangeBelow 10 2 2 2" xfId="26386" xr:uid="{7426308E-1924-4F78-A368-695FC4C9CF83}"/>
    <cellStyle name="RangeBelow 10 2 3" xfId="26387" xr:uid="{4D76FCDE-4B70-4A5F-88E7-F6DAA449715D}"/>
    <cellStyle name="RangeBelow 10 3" xfId="26388" xr:uid="{B246BFD1-A7EF-4F84-B30C-6D34705514B2}"/>
    <cellStyle name="RangeBelow 10 3 2" xfId="26389" xr:uid="{10071E19-C313-426C-BF7A-AA1E84B4328A}"/>
    <cellStyle name="RangeBelow 10 3 2 2" xfId="26390" xr:uid="{4F848A6E-E676-4236-9401-5E870CDAB3E1}"/>
    <cellStyle name="RangeBelow 10 3 3" xfId="26391" xr:uid="{090B2664-FCDC-4895-BED0-EF262C718AA0}"/>
    <cellStyle name="RangeBelow 10 4" xfId="26392" xr:uid="{AE3A23EF-2ECB-457B-A240-03EA6C65DD9C}"/>
    <cellStyle name="RangeBelow 10 4 2" xfId="26393" xr:uid="{7ED3F224-ABB4-4DF0-8D79-3F0B3CC0794E}"/>
    <cellStyle name="RangeBelow 10 4 2 2" xfId="26394" xr:uid="{20A88A3F-1228-4573-850A-9953B46B5F46}"/>
    <cellStyle name="RangeBelow 10 4 3" xfId="26395" xr:uid="{9DAB56DD-7606-4767-9EFE-55C20DB1111D}"/>
    <cellStyle name="RangeBelow 10 5" xfId="26396" xr:uid="{74587DB2-A5B1-465B-B863-1B9F3ACDD524}"/>
    <cellStyle name="RangeBelow 10 5 2" xfId="26397" xr:uid="{3EBD80CC-51EB-47CD-B0B8-EEFF227FAA03}"/>
    <cellStyle name="RangeBelow 10 5 2 2" xfId="26398" xr:uid="{83D40A02-0A6B-4E37-B0C4-11C840267960}"/>
    <cellStyle name="RangeBelow 10 5 3" xfId="26399" xr:uid="{D1DB87F1-4EF6-44D4-82DD-A0E174D31129}"/>
    <cellStyle name="RangeBelow 10 6" xfId="26400" xr:uid="{459C674D-1C15-405F-A7DE-09C5C5CEA6AA}"/>
    <cellStyle name="RangeBelow 10 6 2" xfId="26401" xr:uid="{29CFC26F-587F-4D7A-8393-B9B8741D0C4C}"/>
    <cellStyle name="RangeBelow 10 7" xfId="26402" xr:uid="{B2A339A5-CB0F-48F2-8DEF-4F63221139FA}"/>
    <cellStyle name="RangeBelow 11" xfId="26403" xr:uid="{C1DA2CE4-4CD7-48A3-8416-C98F49CD9F53}"/>
    <cellStyle name="RangeBelow 11 2" xfId="26404" xr:uid="{AA375F3B-35F2-458D-9895-FF16D21E921C}"/>
    <cellStyle name="RangeBelow 11 2 2" xfId="26405" xr:uid="{E5FC0D49-F37D-48E1-A24B-8C0C06843117}"/>
    <cellStyle name="RangeBelow 11 2 2 2" xfId="26406" xr:uid="{169BB5EB-A958-4D01-9082-E53314B9C870}"/>
    <cellStyle name="RangeBelow 11 2 3" xfId="26407" xr:uid="{37FCC6B3-CB17-4F66-B3A2-C4DDCCD18EFF}"/>
    <cellStyle name="RangeBelow 11 3" xfId="26408" xr:uid="{F63F0E4A-36D6-497A-A17D-C094FD67C8DC}"/>
    <cellStyle name="RangeBelow 11 3 2" xfId="26409" xr:uid="{877E324C-F696-4553-BBB2-4D4A23EC3642}"/>
    <cellStyle name="RangeBelow 11 3 2 2" xfId="26410" xr:uid="{4B7B35FE-EA89-4B11-A599-4A0CECDDE3B7}"/>
    <cellStyle name="RangeBelow 11 3 3" xfId="26411" xr:uid="{459698FC-F72D-4A2C-BD11-3DC4FDC4B6E9}"/>
    <cellStyle name="RangeBelow 11 4" xfId="26412" xr:uid="{4E7262E3-EE76-4C88-85CC-5BF967753905}"/>
    <cellStyle name="RangeBelow 11 4 2" xfId="26413" xr:uid="{2713032D-F61B-4B81-9BC8-874A59C3C2ED}"/>
    <cellStyle name="RangeBelow 11 4 2 2" xfId="26414" xr:uid="{FFF57CD1-8CE4-4F81-BF37-C7DE74207B01}"/>
    <cellStyle name="RangeBelow 11 4 3" xfId="26415" xr:uid="{8A13B859-D358-4E82-B096-71A30D19AE68}"/>
    <cellStyle name="RangeBelow 11 5" xfId="26416" xr:uid="{4B676BBF-08E7-4F5C-8BAB-99FFFBF86B84}"/>
    <cellStyle name="RangeBelow 11 5 2" xfId="26417" xr:uid="{3D3911B9-7D5F-4861-8FE4-17DE1DFC1742}"/>
    <cellStyle name="RangeBelow 11 5 2 2" xfId="26418" xr:uid="{A1C2D14B-1A4B-4C30-9886-1A6960B126CD}"/>
    <cellStyle name="RangeBelow 11 5 3" xfId="26419" xr:uid="{374A2D92-48E1-4D8A-B532-E16CE3326513}"/>
    <cellStyle name="RangeBelow 11 6" xfId="26420" xr:uid="{DF85C112-C45F-4A66-83E3-E786A7A425BC}"/>
    <cellStyle name="RangeBelow 11 6 2" xfId="26421" xr:uid="{406EBBDB-CEEF-4E27-9D43-C886E81B487B}"/>
    <cellStyle name="RangeBelow 11 7" xfId="26422" xr:uid="{E64D2926-5856-4AFE-87C5-78E0346C4121}"/>
    <cellStyle name="RangeBelow 12" xfId="26423" xr:uid="{A7635C9F-DA89-43FE-BE3F-02E7A34F3C3E}"/>
    <cellStyle name="RangeBelow 12 2" xfId="26424" xr:uid="{C2F740F2-343D-4E77-9F64-07A921C6BE01}"/>
    <cellStyle name="RangeBelow 12 2 2" xfId="26425" xr:uid="{49B042D8-477F-4D55-9ECE-5C3BA0A819C0}"/>
    <cellStyle name="RangeBelow 12 2 2 2" xfId="26426" xr:uid="{70672763-4757-4BCD-A0E5-407A0852F367}"/>
    <cellStyle name="RangeBelow 12 2 3" xfId="26427" xr:uid="{72DD6328-C8FF-4503-9EBB-C3EEB1B358CF}"/>
    <cellStyle name="RangeBelow 12 3" xfId="26428" xr:uid="{1C303FA6-23E0-4245-A448-A1092E398347}"/>
    <cellStyle name="RangeBelow 12 3 2" xfId="26429" xr:uid="{E0667F89-6F8C-408D-9040-3069B9153154}"/>
    <cellStyle name="RangeBelow 12 3 2 2" xfId="26430" xr:uid="{316C7825-AF72-48CC-AB62-516248FAD038}"/>
    <cellStyle name="RangeBelow 12 3 3" xfId="26431" xr:uid="{5194DE5F-468B-4742-A6BB-BB36B95F2D7A}"/>
    <cellStyle name="RangeBelow 12 4" xfId="26432" xr:uid="{95563A2C-A539-46B5-AB03-EFD0120FCE66}"/>
    <cellStyle name="RangeBelow 12 4 2" xfId="26433" xr:uid="{2E30E10F-7BA0-4E11-ABBF-2DCD2B3AB1A0}"/>
    <cellStyle name="RangeBelow 12 4 2 2" xfId="26434" xr:uid="{C2356D98-AD9D-4ACA-8B9F-BD72BD3F5C40}"/>
    <cellStyle name="RangeBelow 12 4 3" xfId="26435" xr:uid="{F5F89450-A754-47BB-8E33-CF16F9034F15}"/>
    <cellStyle name="RangeBelow 12 5" xfId="26436" xr:uid="{2CA715C3-78A6-4699-B51D-DF367593C8DF}"/>
    <cellStyle name="RangeBelow 12 5 2" xfId="26437" xr:uid="{2E67BC29-0A54-490F-9F3B-4807F19F0365}"/>
    <cellStyle name="RangeBelow 12 5 2 2" xfId="26438" xr:uid="{35A0F41A-4F30-4322-93C2-94E6435D8307}"/>
    <cellStyle name="RangeBelow 12 5 3" xfId="26439" xr:uid="{FEA2E59E-E1D7-4B2F-B006-3AC309C8CDA6}"/>
    <cellStyle name="RangeBelow 12 6" xfId="26440" xr:uid="{B89D68F8-21A9-43C1-9F13-27AE882DCF43}"/>
    <cellStyle name="RangeBelow 12 6 2" xfId="26441" xr:uid="{72128A61-EB88-4A3D-A2CD-44340087E2DF}"/>
    <cellStyle name="RangeBelow 12 7" xfId="26442" xr:uid="{AD12842A-62BB-4E37-A9D7-025E64816D52}"/>
    <cellStyle name="RangeBelow 13" xfId="26443" xr:uid="{8C53A675-7C08-4E09-909A-FE646CBA3684}"/>
    <cellStyle name="RangeBelow 13 2" xfId="26444" xr:uid="{2A23278B-9036-461E-9FEB-93624734C731}"/>
    <cellStyle name="RangeBelow 13 2 2" xfId="26445" xr:uid="{B4F22F01-40D1-4E9A-92D3-8931CAC7BE4E}"/>
    <cellStyle name="RangeBelow 13 2 2 2" xfId="26446" xr:uid="{B4EB3393-6181-47A4-995E-31E288378768}"/>
    <cellStyle name="RangeBelow 13 2 3" xfId="26447" xr:uid="{8E256E31-B9CE-4779-8FCD-AF49BC9B6782}"/>
    <cellStyle name="RangeBelow 13 3" xfId="26448" xr:uid="{2D4DBCC3-7CDE-471E-9BB9-7BC2083D0403}"/>
    <cellStyle name="RangeBelow 13 3 2" xfId="26449" xr:uid="{9FB9D2A6-80A2-4A64-A985-AD40F7F50835}"/>
    <cellStyle name="RangeBelow 13 3 2 2" xfId="26450" xr:uid="{C2C77B0D-8DD7-435A-95AA-FF5BD4DA6C38}"/>
    <cellStyle name="RangeBelow 13 3 3" xfId="26451" xr:uid="{30F71803-3C1A-46AC-9CBE-343791508A14}"/>
    <cellStyle name="RangeBelow 13 4" xfId="26452" xr:uid="{9A7C226A-9E3A-4C60-87D0-320392F2D208}"/>
    <cellStyle name="RangeBelow 13 4 2" xfId="26453" xr:uid="{370D995B-176E-4DC3-9C4C-562CA00796B4}"/>
    <cellStyle name="RangeBelow 13 4 2 2" xfId="26454" xr:uid="{7EE2C873-65F1-4666-9081-BD2E7F67F08D}"/>
    <cellStyle name="RangeBelow 13 4 3" xfId="26455" xr:uid="{09CD4813-B6CC-4AA5-B8C3-B669DFEB386A}"/>
    <cellStyle name="RangeBelow 13 5" xfId="26456" xr:uid="{70D1D1D2-10AD-42C7-997C-35CE36AB5411}"/>
    <cellStyle name="RangeBelow 13 5 2" xfId="26457" xr:uid="{3383944F-BAEE-4E99-B397-5C252DC2C9CD}"/>
    <cellStyle name="RangeBelow 13 5 2 2" xfId="26458" xr:uid="{453F386A-1E4D-4BF6-A7D4-664E1D86B977}"/>
    <cellStyle name="RangeBelow 13 5 3" xfId="26459" xr:uid="{8BE1580D-F1AE-45AE-94AE-A708F951B327}"/>
    <cellStyle name="RangeBelow 13 6" xfId="26460" xr:uid="{D8793ED3-B053-4187-A87B-A203A08E00BC}"/>
    <cellStyle name="RangeBelow 13 6 2" xfId="26461" xr:uid="{5D27725E-C4F3-4E3C-B767-6799844891D7}"/>
    <cellStyle name="RangeBelow 13 7" xfId="26462" xr:uid="{3AFEAEE9-4B0C-48D8-818A-8978E9EEB08C}"/>
    <cellStyle name="RangeBelow 14" xfId="26463" xr:uid="{5DF052F1-8DEB-48F3-BFEF-9195B4C3FB89}"/>
    <cellStyle name="RangeBelow 14 2" xfId="26464" xr:uid="{B854B0C4-B1C5-42BB-B913-1DAE831BCBD7}"/>
    <cellStyle name="RangeBelow 14 2 2" xfId="26465" xr:uid="{F667ED4D-7FCF-4DC3-968C-674E63F505B3}"/>
    <cellStyle name="RangeBelow 14 2 2 2" xfId="26466" xr:uid="{A8DE3F86-1202-49F7-825C-80760B0E6CF5}"/>
    <cellStyle name="RangeBelow 14 2 3" xfId="26467" xr:uid="{B4C65D5D-CDC8-4D23-A708-E5AD90722D3B}"/>
    <cellStyle name="RangeBelow 14 3" xfId="26468" xr:uid="{47BAEF33-763A-4B16-9841-BE6CAB208759}"/>
    <cellStyle name="RangeBelow 14 3 2" xfId="26469" xr:uid="{77CBBC13-ED5D-44EC-9635-326BE82B6638}"/>
    <cellStyle name="RangeBelow 14 3 2 2" xfId="26470" xr:uid="{334AE8EB-73A7-4F26-BBEE-529967E976CD}"/>
    <cellStyle name="RangeBelow 14 3 3" xfId="26471" xr:uid="{0495CB6B-7063-4463-A2E9-7FD36C5DC640}"/>
    <cellStyle name="RangeBelow 14 4" xfId="26472" xr:uid="{B7333833-4593-4846-80D2-608A43075653}"/>
    <cellStyle name="RangeBelow 14 4 2" xfId="26473" xr:uid="{FF830F2F-7EF1-42FA-9797-ADED95F73919}"/>
    <cellStyle name="RangeBelow 14 4 2 2" xfId="26474" xr:uid="{FA62A896-E3F4-4996-8424-A67F94A23AF8}"/>
    <cellStyle name="RangeBelow 14 4 3" xfId="26475" xr:uid="{1B1A5E8A-6CF3-4BBF-95C3-D865AC6F03F6}"/>
    <cellStyle name="RangeBelow 14 5" xfId="26476" xr:uid="{E42F4F46-7650-44B8-9390-6D9E4351A629}"/>
    <cellStyle name="RangeBelow 14 5 2" xfId="26477" xr:uid="{F17D88D5-FCAD-48A3-BAEA-7D1E548CEA2D}"/>
    <cellStyle name="RangeBelow 14 5 2 2" xfId="26478" xr:uid="{C09BB557-9CC3-44EA-9DBC-2E8A8F041EA7}"/>
    <cellStyle name="RangeBelow 14 5 3" xfId="26479" xr:uid="{74DF8D5F-16AD-4C10-ADD4-3078932EF95D}"/>
    <cellStyle name="RangeBelow 14 6" xfId="26480" xr:uid="{BA6D309D-8308-4E45-B4B2-FDF98083E171}"/>
    <cellStyle name="RangeBelow 14 6 2" xfId="26481" xr:uid="{B06F1D52-296E-4A90-B49E-F9E8A1E704DC}"/>
    <cellStyle name="RangeBelow 14 7" xfId="26482" xr:uid="{A993046A-430D-48D7-9E8D-EBD567CFB4B5}"/>
    <cellStyle name="RangeBelow 15" xfId="26483" xr:uid="{F3E2D56C-2C99-497C-A5DC-E6FA9907799C}"/>
    <cellStyle name="RangeBelow 15 2" xfId="26484" xr:uid="{9617EF85-7C18-4B27-AB43-704B587BC0CA}"/>
    <cellStyle name="RangeBelow 15 2 2" xfId="26485" xr:uid="{C363C691-A318-4E76-A71E-DBFC61732EE8}"/>
    <cellStyle name="RangeBelow 15 2 2 2" xfId="26486" xr:uid="{41D8A2D6-DCF5-4600-8677-85C67B3B6158}"/>
    <cellStyle name="RangeBelow 15 2 3" xfId="26487" xr:uid="{960D5377-06A5-49F7-A58F-F60151A7F483}"/>
    <cellStyle name="RangeBelow 15 3" xfId="26488" xr:uid="{377AB5C4-FB48-4471-AFB2-1352C1FBC31F}"/>
    <cellStyle name="RangeBelow 15 3 2" xfId="26489" xr:uid="{B862D6C5-D82A-487C-8F52-E8369D23E182}"/>
    <cellStyle name="RangeBelow 15 3 2 2" xfId="26490" xr:uid="{9AD9F9EF-3071-4502-9999-D85CEE4CDAB7}"/>
    <cellStyle name="RangeBelow 15 3 3" xfId="26491" xr:uid="{08353811-D93C-46C6-8560-9D2D99C06A10}"/>
    <cellStyle name="RangeBelow 15 4" xfId="26492" xr:uid="{E62B5BFA-5798-4B2B-A405-964A652E2C9D}"/>
    <cellStyle name="RangeBelow 15 4 2" xfId="26493" xr:uid="{5BD2F1A3-B1F2-43A5-B68F-A2BD827D55CC}"/>
    <cellStyle name="RangeBelow 15 4 2 2" xfId="26494" xr:uid="{5BEAD20B-76C4-4656-9323-148B3D5BF414}"/>
    <cellStyle name="RangeBelow 15 4 3" xfId="26495" xr:uid="{414C624D-FF24-4D58-979E-B90D592252BA}"/>
    <cellStyle name="RangeBelow 15 5" xfId="26496" xr:uid="{92EF86C2-76C6-4D63-9EBE-BEB4DFA1A0EC}"/>
    <cellStyle name="RangeBelow 15 5 2" xfId="26497" xr:uid="{2F59C134-5664-4EDD-9247-E8EEB1A54E97}"/>
    <cellStyle name="RangeBelow 15 5 2 2" xfId="26498" xr:uid="{DC714760-D035-4EBE-BC54-0B3BF313FA5E}"/>
    <cellStyle name="RangeBelow 15 5 3" xfId="26499" xr:uid="{429B063F-8188-474D-B541-68186C127D35}"/>
    <cellStyle name="RangeBelow 15 6" xfId="26500" xr:uid="{5D8AD713-1339-4DB1-A0CE-3C6D3A723758}"/>
    <cellStyle name="RangeBelow 15 6 2" xfId="26501" xr:uid="{045DD5B7-05C5-44F1-AB54-4D863698A5E0}"/>
    <cellStyle name="RangeBelow 15 7" xfId="26502" xr:uid="{9B1DE4BE-DFE1-45D4-8963-A484A8AD2616}"/>
    <cellStyle name="RangeBelow 16" xfId="26503" xr:uid="{2429E12E-C6AE-4FA0-B8A8-8771E3C48D56}"/>
    <cellStyle name="RangeBelow 16 2" xfId="26504" xr:uid="{658BBA17-6AEF-4171-8CC7-2C8B9E785ED3}"/>
    <cellStyle name="RangeBelow 17" xfId="26505" xr:uid="{7174CB0E-9677-4820-862B-A9AF70122E21}"/>
    <cellStyle name="RangeBelow 2" xfId="26506" xr:uid="{7C7F91DD-E7D9-4A04-8BB8-14EB3293430B}"/>
    <cellStyle name="RangeBelow 2 10" xfId="26507" xr:uid="{9D3BDDFA-9A18-48AC-9C9F-ECDE93980762}"/>
    <cellStyle name="RangeBelow 2 10 2" xfId="26508" xr:uid="{3B55E522-C930-46D6-8194-CE79AD8024E4}"/>
    <cellStyle name="RangeBelow 2 10 3" xfId="26509" xr:uid="{CB7469E6-C42A-462C-ACB2-F6EC126B6CF0}"/>
    <cellStyle name="RangeBelow 2 11" xfId="26510" xr:uid="{1D6C0BD2-5C4C-473E-AB94-DE03C408C7DF}"/>
    <cellStyle name="RangeBelow 2 11 2" xfId="26511" xr:uid="{EA5F7C18-EEB2-4FE2-A366-D6403F456080}"/>
    <cellStyle name="RangeBelow 2 12" xfId="26512" xr:uid="{F49A2338-22A7-45D6-81DE-71EA61D9002A}"/>
    <cellStyle name="RangeBelow 2 13" xfId="26513" xr:uid="{0C6FECC7-3344-4592-862D-7CF0CB839384}"/>
    <cellStyle name="RangeBelow 2 14" xfId="26514" xr:uid="{2CB41A59-17AF-4ACB-8129-07D3D2645D2D}"/>
    <cellStyle name="RangeBelow 2 15" xfId="26515" xr:uid="{82B8E774-A07D-4DD0-A5D2-1F2A4800485B}"/>
    <cellStyle name="RangeBelow 2 16" xfId="26516" xr:uid="{448CE85C-AFFB-4CBE-A0B7-BE82154F5403}"/>
    <cellStyle name="RangeBelow 2 17" xfId="26517" xr:uid="{90CCA0EB-B808-442A-AB04-4E845B529368}"/>
    <cellStyle name="RangeBelow 2 18" xfId="26518" xr:uid="{C029BBD7-3CBD-43EE-AF49-2476C7F0FF1E}"/>
    <cellStyle name="RangeBelow 2 19" xfId="26519" xr:uid="{E67EE8D3-D749-4A56-A504-413E800081C7}"/>
    <cellStyle name="RangeBelow 2 2" xfId="26520" xr:uid="{86510F77-4A41-437F-8D58-3DC3B266EBF5}"/>
    <cellStyle name="RangeBelow 2 2 2" xfId="26521" xr:uid="{2CC9830A-13B1-4557-9080-9840A4BCFB93}"/>
    <cellStyle name="RangeBelow 2 2 2 2" xfId="26522" xr:uid="{A755C66A-EC2B-44BC-9D10-4C5B22C5DFBB}"/>
    <cellStyle name="RangeBelow 2 2 2 3" xfId="26523" xr:uid="{30F19779-F232-4AE6-92A6-8DE639A55092}"/>
    <cellStyle name="RangeBelow 2 2 3" xfId="26524" xr:uid="{D65290AC-C51A-4466-97FD-4F9998E9D9AA}"/>
    <cellStyle name="RangeBelow 2 2 3 2" xfId="26525" xr:uid="{47E5C7E2-3245-482C-8788-B4EC472DD5C4}"/>
    <cellStyle name="RangeBelow 2 2 4" xfId="26526" xr:uid="{3483BE11-C25F-4AF6-B94B-67F5366EDF66}"/>
    <cellStyle name="RangeBelow 2 20" xfId="26527" xr:uid="{1E90BC2C-6C10-4C6E-A6E7-55AE39CB1383}"/>
    <cellStyle name="RangeBelow 2 21" xfId="26528" xr:uid="{DFA45EFE-1616-4C20-BC3A-0DD1A5062E19}"/>
    <cellStyle name="RangeBelow 2 22" xfId="26529" xr:uid="{4080A134-5C90-4998-BFF1-DC48BA42B5EF}"/>
    <cellStyle name="RangeBelow 2 23" xfId="26530" xr:uid="{B376ACF4-7F5B-4BA7-851D-9337B92BAED0}"/>
    <cellStyle name="RangeBelow 2 24" xfId="26531" xr:uid="{0FDC0CB1-A7D1-412D-96E3-2BF93923A9C3}"/>
    <cellStyle name="RangeBelow 2 25" xfId="26532" xr:uid="{3635CF20-7F33-45BF-B4A8-E9F300A4914E}"/>
    <cellStyle name="RangeBelow 2 26" xfId="26533" xr:uid="{90BC1C3D-8C36-469D-B410-A3B815CA2060}"/>
    <cellStyle name="RangeBelow 2 27" xfId="26534" xr:uid="{E262A409-235A-46AA-A6C2-85C94588ED82}"/>
    <cellStyle name="RangeBelow 2 28" xfId="26535" xr:uid="{2957DC58-93C0-484A-AD61-C02D7E66CFF2}"/>
    <cellStyle name="RangeBelow 2 3" xfId="26536" xr:uid="{9A05BCCB-F572-4D2E-B504-57F0803B6670}"/>
    <cellStyle name="RangeBelow 2 3 2" xfId="26537" xr:uid="{EF6A219F-2992-4114-9C36-7502FC4CDAC6}"/>
    <cellStyle name="RangeBelow 2 3 2 2" xfId="26538" xr:uid="{22D3EE96-FCC0-4120-B29F-41D12342D867}"/>
    <cellStyle name="RangeBelow 2 3 2 3" xfId="26539" xr:uid="{A3205452-C69E-47DB-85A2-A7AC9DE13EAA}"/>
    <cellStyle name="RangeBelow 2 3 3" xfId="26540" xr:uid="{281C02E1-02DD-475E-8150-62933603A15A}"/>
    <cellStyle name="RangeBelow 2 3 3 2" xfId="26541" xr:uid="{21020F04-C074-4609-B2DF-4CDA4E8B21D8}"/>
    <cellStyle name="RangeBelow 2 3 4" xfId="26542" xr:uid="{8157AB51-7AF6-450E-8DFB-F22FBAA49560}"/>
    <cellStyle name="RangeBelow 2 3 5" xfId="26543" xr:uid="{1A1CD7B8-C1ED-48D2-A73E-D5267278CAB3}"/>
    <cellStyle name="RangeBelow 2 4" xfId="26544" xr:uid="{B8C20E57-9C6A-431B-B008-9C9AFC6073D7}"/>
    <cellStyle name="RangeBelow 2 4 2" xfId="26545" xr:uid="{3DCA8B1F-5E3F-4BE4-B9DD-218670F9C99C}"/>
    <cellStyle name="RangeBelow 2 4 2 2" xfId="26546" xr:uid="{A86056F1-3006-49A5-96AC-3C15E3BB01B4}"/>
    <cellStyle name="RangeBelow 2 4 2 3" xfId="26547" xr:uid="{F6E0E4AD-5BB6-4B07-8A88-AFD202659816}"/>
    <cellStyle name="RangeBelow 2 4 3" xfId="26548" xr:uid="{72D01B85-E44A-4F6D-AE52-D28F367440D7}"/>
    <cellStyle name="RangeBelow 2 4 3 2" xfId="26549" xr:uid="{2E30D48E-2D5A-42D2-922D-6B4EB2F54E86}"/>
    <cellStyle name="RangeBelow 2 4 4" xfId="26550" xr:uid="{FB1757F1-8569-4D5F-893C-BB7CBE98CD0B}"/>
    <cellStyle name="RangeBelow 2 4 5" xfId="26551" xr:uid="{D94C74DE-830A-461C-BA7B-A2524B3F188D}"/>
    <cellStyle name="RangeBelow 2 5" xfId="26552" xr:uid="{B5E2D841-32FB-4FB9-A28D-F189A3A5E44E}"/>
    <cellStyle name="RangeBelow 2 5 2" xfId="26553" xr:uid="{B4E0B753-E120-495B-ADF7-2EE24041F2DD}"/>
    <cellStyle name="RangeBelow 2 5 2 2" xfId="26554" xr:uid="{9A09B1A7-CCF5-42A5-8A6E-851B169C7478}"/>
    <cellStyle name="RangeBelow 2 5 2 3" xfId="26555" xr:uid="{00D1242C-89B2-4A15-9074-573C6DF857C5}"/>
    <cellStyle name="RangeBelow 2 5 3" xfId="26556" xr:uid="{DA43C1E8-240C-4821-8EC9-0F2081DAF669}"/>
    <cellStyle name="RangeBelow 2 5 3 2" xfId="26557" xr:uid="{421BDDBF-ED69-4B3B-8F5A-0E4300EB26D4}"/>
    <cellStyle name="RangeBelow 2 5 4" xfId="26558" xr:uid="{D40989D2-EF1E-439B-A810-4D3DD6A66A6C}"/>
    <cellStyle name="RangeBelow 2 5 5" xfId="26559" xr:uid="{B0AB6FFB-ECCF-4726-BBB6-49F659CF29B5}"/>
    <cellStyle name="RangeBelow 2 6" xfId="26560" xr:uid="{51FEA1DF-68FA-421C-B608-2806E95C083C}"/>
    <cellStyle name="RangeBelow 2 6 2" xfId="26561" xr:uid="{0A90B63A-8BF1-45AD-802F-004BFBA866A5}"/>
    <cellStyle name="RangeBelow 2 6 2 2" xfId="26562" xr:uid="{61DCE9FB-42CC-422D-8DDE-E615F0566ECC}"/>
    <cellStyle name="RangeBelow 2 6 3" xfId="26563" xr:uid="{382AFB3A-30BE-4FA6-A648-FF1901ABC8CB}"/>
    <cellStyle name="RangeBelow 2 6 4" xfId="26564" xr:uid="{DB41CC82-A629-4D0D-B238-C81F28AD78FE}"/>
    <cellStyle name="RangeBelow 2 7" xfId="26565" xr:uid="{4239E1E5-0D6F-49F9-8701-522CE6F27345}"/>
    <cellStyle name="RangeBelow 2 7 2" xfId="26566" xr:uid="{4C6D14E3-CC2C-4805-8939-1A9DA5A41556}"/>
    <cellStyle name="RangeBelow 2 7 2 2" xfId="26567" xr:uid="{A646EE23-8C83-4BFA-82EF-76A0FFAC9E81}"/>
    <cellStyle name="RangeBelow 2 7 3" xfId="26568" xr:uid="{538EDFD2-1E00-44CC-B057-78C078F8C2F0}"/>
    <cellStyle name="RangeBelow 2 7 4" xfId="26569" xr:uid="{E4448C31-4807-4170-AFC2-D7DC9E29E3C9}"/>
    <cellStyle name="RangeBelow 2 8" xfId="26570" xr:uid="{17CE5B78-922A-4041-AD86-66F2326584AF}"/>
    <cellStyle name="RangeBelow 2 8 2" xfId="26571" xr:uid="{BE0E6F9F-48BC-4483-A85C-B1FD3CE7C478}"/>
    <cellStyle name="RangeBelow 2 8 2 2" xfId="26572" xr:uid="{1F2004AA-EB4C-4762-AF37-192F06AFA375}"/>
    <cellStyle name="RangeBelow 2 8 3" xfId="26573" xr:uid="{59661716-A926-4F22-8E3B-82A6B04DDF58}"/>
    <cellStyle name="RangeBelow 2 8 4" xfId="26574" xr:uid="{757EDCD6-B5AF-43F8-A1A5-48FBA08F0956}"/>
    <cellStyle name="RangeBelow 2 9" xfId="26575" xr:uid="{BAEA8142-DAA4-40B6-B19B-88A1E316DB59}"/>
    <cellStyle name="RangeBelow 2 9 2" xfId="26576" xr:uid="{74F4F812-B50C-4841-B22F-93CA02356A7B}"/>
    <cellStyle name="RangeBelow 2 9 2 2" xfId="26577" xr:uid="{23666A03-E341-4C74-A9D2-8F125A18653D}"/>
    <cellStyle name="RangeBelow 2 9 3" xfId="26578" xr:uid="{C49CDBE0-F53D-4C40-8DAD-29E98C94AFED}"/>
    <cellStyle name="RangeBelow 2 9 4" xfId="26579" xr:uid="{0191EF28-9503-4466-9D02-76871E93D36B}"/>
    <cellStyle name="RangeBelow 2_12-31-2009 PES TBBS done" xfId="26580" xr:uid="{878AD24B-7E4B-48E0-AC2C-40709AD77944}"/>
    <cellStyle name="RangeBelow 3" xfId="26581" xr:uid="{381D0C09-5D8C-458A-9DD2-D490503780AB}"/>
    <cellStyle name="RangeBelow 3 10" xfId="26582" xr:uid="{60F1B964-7C61-4A06-B8CD-F6E1F338A49A}"/>
    <cellStyle name="RangeBelow 3 10 2" xfId="26583" xr:uid="{C30132FD-24F9-4364-97F7-5BA1D6AD400E}"/>
    <cellStyle name="RangeBelow 3 10 3" xfId="26584" xr:uid="{B38CE23E-BA36-4471-8115-87892F0B1D5D}"/>
    <cellStyle name="RangeBelow 3 11" xfId="26585" xr:uid="{9225A1BD-97E4-481B-8A25-646B8F3F17EC}"/>
    <cellStyle name="RangeBelow 3 2" xfId="26586" xr:uid="{0C9336DA-9287-4D1D-B43F-2583278279CA}"/>
    <cellStyle name="RangeBelow 3 2 2" xfId="26587" xr:uid="{5262019A-B810-4C72-A0A2-1B5FD80AF47A}"/>
    <cellStyle name="RangeBelow 3 2 2 2" xfId="26588" xr:uid="{7B591067-0370-4702-93BB-4C5D5930DCB2}"/>
    <cellStyle name="RangeBelow 3 2 3" xfId="26589" xr:uid="{DEB6E0AF-2B2D-4CB6-8078-912D039082AE}"/>
    <cellStyle name="RangeBelow 3 2 4" xfId="26590" xr:uid="{13BF5A41-F062-4C4A-915E-AF7333BFD759}"/>
    <cellStyle name="RangeBelow 3 3" xfId="26591" xr:uid="{2D415CF1-EF93-4F86-8BFE-C50E0525A004}"/>
    <cellStyle name="RangeBelow 3 3 2" xfId="26592" xr:uid="{8A779825-DE19-4DF1-B7D3-A4F2D298A8E4}"/>
    <cellStyle name="RangeBelow 3 3 2 2" xfId="26593" xr:uid="{E005C49B-263D-4A7B-BF84-558FF9AF0BC0}"/>
    <cellStyle name="RangeBelow 3 3 3" xfId="26594" xr:uid="{45659795-BF14-4BB2-8230-2D0E2DEEBCCD}"/>
    <cellStyle name="RangeBelow 3 3 4" xfId="26595" xr:uid="{8DE67F53-52FC-48CE-87A8-AF7B9F19FC5A}"/>
    <cellStyle name="RangeBelow 3 4" xfId="26596" xr:uid="{F7B8E24A-9C5B-4890-BB75-05F121D7646D}"/>
    <cellStyle name="RangeBelow 3 4 2" xfId="26597" xr:uid="{AB80A125-956D-4CF5-8DA3-B41BB2B9B4D8}"/>
    <cellStyle name="RangeBelow 3 4 2 2" xfId="26598" xr:uid="{2916AFB5-69C6-46E5-8222-D98337A96413}"/>
    <cellStyle name="RangeBelow 3 4 3" xfId="26599" xr:uid="{0CB1AD08-76BA-456F-B23D-AD1FC7A0CDC6}"/>
    <cellStyle name="RangeBelow 3 4 4" xfId="26600" xr:uid="{BDE05E10-C0DC-429F-8444-34DC42F48D5F}"/>
    <cellStyle name="RangeBelow 3 5" xfId="26601" xr:uid="{0BCAF627-A8F8-4CE0-BA36-A562889FB6F5}"/>
    <cellStyle name="RangeBelow 3 5 2" xfId="26602" xr:uid="{673D29F6-A842-458C-9F68-B0A665970760}"/>
    <cellStyle name="RangeBelow 3 5 2 2" xfId="26603" xr:uid="{6EFAF316-CB21-4837-ADF8-7B66E7C4D4E2}"/>
    <cellStyle name="RangeBelow 3 5 3" xfId="26604" xr:uid="{D2DAB8B7-C048-4EDA-A53F-91DFA070B76A}"/>
    <cellStyle name="RangeBelow 3 5 4" xfId="26605" xr:uid="{C838F1BB-BE37-4CAB-B42E-555243AEA369}"/>
    <cellStyle name="RangeBelow 3 6" xfId="26606" xr:uid="{6ABA4AAC-4E93-4DB9-90B3-BF53D8DF3CE1}"/>
    <cellStyle name="RangeBelow 3 6 2" xfId="26607" xr:uid="{DBD5EF43-251F-4376-9B45-EE97A1143685}"/>
    <cellStyle name="RangeBelow 3 6 2 2" xfId="26608" xr:uid="{1C631F71-075F-4261-8701-96130125025C}"/>
    <cellStyle name="RangeBelow 3 6 3" xfId="26609" xr:uid="{C5B8B1EA-6644-4156-BB5F-0A3B92BE8032}"/>
    <cellStyle name="RangeBelow 3 6 4" xfId="26610" xr:uid="{0E168975-4085-4C75-944C-B213096E71AF}"/>
    <cellStyle name="RangeBelow 3 7" xfId="26611" xr:uid="{227223F9-638D-46D2-BE63-BB1FB54FCE40}"/>
    <cellStyle name="RangeBelow 3 7 2" xfId="26612" xr:uid="{7AC6A4BF-527C-49A9-9477-FB074CB226E9}"/>
    <cellStyle name="RangeBelow 3 7 2 2" xfId="26613" xr:uid="{694BC88A-A6E0-4FED-A022-BF289D4E966C}"/>
    <cellStyle name="RangeBelow 3 7 3" xfId="26614" xr:uid="{2F9FEE19-80BD-4662-9DB9-2CD565FDABEF}"/>
    <cellStyle name="RangeBelow 3 7 4" xfId="26615" xr:uid="{3783B539-33CB-4A1D-8FD7-AC712AAABDD4}"/>
    <cellStyle name="RangeBelow 3 8" xfId="26616" xr:uid="{360B4B83-909B-40CB-B2F2-02FC37D7AB21}"/>
    <cellStyle name="RangeBelow 3 8 2" xfId="26617" xr:uid="{C711C4F7-7BDB-45B0-882D-395D9A8C9233}"/>
    <cellStyle name="RangeBelow 3 8 2 2" xfId="26618" xr:uid="{AD2DFABE-2296-4D8E-B765-AEC13903EA41}"/>
    <cellStyle name="RangeBelow 3 8 3" xfId="26619" xr:uid="{7EAD0605-25EB-4DFB-9D93-B72899975468}"/>
    <cellStyle name="RangeBelow 3 8 4" xfId="26620" xr:uid="{1ABB2406-42C3-404C-AA17-477918C565EB}"/>
    <cellStyle name="RangeBelow 3 9" xfId="26621" xr:uid="{32D22190-61EA-4ACE-9AFC-5F46C9C27051}"/>
    <cellStyle name="RangeBelow 3 9 2" xfId="26622" xr:uid="{1CF28D14-7E42-426E-B5C2-7EA27E132039}"/>
    <cellStyle name="RangeBelow 3 9 2 2" xfId="26623" xr:uid="{42D265EE-6F74-4794-BBF2-D00874D50495}"/>
    <cellStyle name="RangeBelow 3 9 3" xfId="26624" xr:uid="{700E199B-9CE6-42B9-9450-E313430FE49E}"/>
    <cellStyle name="RangeBelow 3 9 4" xfId="26625" xr:uid="{EB351F86-1E62-4136-ADED-C25AC2710324}"/>
    <cellStyle name="RangeBelow 4" xfId="26626" xr:uid="{6B0541AD-EA1A-4760-8FD5-6962E6F80A4D}"/>
    <cellStyle name="RangeBelow 4 10" xfId="26627" xr:uid="{7925C488-DC6E-4074-B556-41B8923973CD}"/>
    <cellStyle name="RangeBelow 4 10 2" xfId="26628" xr:uid="{6E434720-8D9B-4FDF-ACA9-81E028E76133}"/>
    <cellStyle name="RangeBelow 4 11" xfId="26629" xr:uid="{A1AD524E-EA3D-4226-9227-8B6C8E305FF2}"/>
    <cellStyle name="RangeBelow 4 2" xfId="26630" xr:uid="{7F32FEE1-E1A2-46B7-BEDA-E8BF49D9191E}"/>
    <cellStyle name="RangeBelow 4 2 2" xfId="26631" xr:uid="{3650D1A4-BEB2-4197-8F42-EFF2A4B00DA4}"/>
    <cellStyle name="RangeBelow 4 2 2 2" xfId="26632" xr:uid="{6B2D1BDB-7CF6-44F1-97E1-C21DD9D95348}"/>
    <cellStyle name="RangeBelow 4 2 3" xfId="26633" xr:uid="{7A6EFB7D-F9F6-431C-96F3-79393DBBD335}"/>
    <cellStyle name="RangeBelow 4 2 4" xfId="26634" xr:uid="{B0035832-7FB3-4354-A50B-3F48868DAF88}"/>
    <cellStyle name="RangeBelow 4 3" xfId="26635" xr:uid="{0989C096-9658-4905-87EC-717CF6B82D67}"/>
    <cellStyle name="RangeBelow 4 3 2" xfId="26636" xr:uid="{FE1138A1-850D-48BF-842E-3C19311BE277}"/>
    <cellStyle name="RangeBelow 4 3 2 2" xfId="26637" xr:uid="{DC02DF6A-A65F-43F2-8403-A34862615718}"/>
    <cellStyle name="RangeBelow 4 3 3" xfId="26638" xr:uid="{4F05852C-36F6-4E68-B87D-DF965D054668}"/>
    <cellStyle name="RangeBelow 4 3 4" xfId="26639" xr:uid="{43A10AA1-B11E-45C6-9B17-7A2E099E510A}"/>
    <cellStyle name="RangeBelow 4 4" xfId="26640" xr:uid="{6E6A8885-4659-40B6-B1D0-56A71956C719}"/>
    <cellStyle name="RangeBelow 4 4 2" xfId="26641" xr:uid="{A5B97A48-FFA1-41A1-A897-A4D93E8416F6}"/>
    <cellStyle name="RangeBelow 4 4 2 2" xfId="26642" xr:uid="{936FFFCD-E304-4B97-A546-C9EEA882A908}"/>
    <cellStyle name="RangeBelow 4 4 3" xfId="26643" xr:uid="{C3357F4F-7799-4FC7-8C8A-B069035A4411}"/>
    <cellStyle name="RangeBelow 4 4 4" xfId="26644" xr:uid="{13999A8D-1CB5-4340-B49A-F4CB96C34F05}"/>
    <cellStyle name="RangeBelow 4 5" xfId="26645" xr:uid="{C6FBC32A-CCDD-46F8-A127-8391636AED4C}"/>
    <cellStyle name="RangeBelow 4 5 2" xfId="26646" xr:uid="{436DD44F-DC5E-40EA-940C-AC023A0207FE}"/>
    <cellStyle name="RangeBelow 4 5 2 2" xfId="26647" xr:uid="{5DF3F5C0-F96A-4810-B6E9-85406590F8D5}"/>
    <cellStyle name="RangeBelow 4 5 3" xfId="26648" xr:uid="{4741B00D-DFE1-4790-89F3-50005F188309}"/>
    <cellStyle name="RangeBelow 4 5 4" xfId="26649" xr:uid="{0282976A-8646-40D3-8753-3B73930CA43C}"/>
    <cellStyle name="RangeBelow 4 6" xfId="26650" xr:uid="{3FCC2FBC-D8B8-4E74-863C-549F3F9DD6C6}"/>
    <cellStyle name="RangeBelow 4 6 2" xfId="26651" xr:uid="{1D92008D-F008-4019-BFF1-E003D296516E}"/>
    <cellStyle name="RangeBelow 4 6 2 2" xfId="26652" xr:uid="{616ADB84-B888-45F3-BF05-7FC03CBFB741}"/>
    <cellStyle name="RangeBelow 4 6 3" xfId="26653" xr:uid="{D50DD11E-67F6-4531-B761-232EFE496060}"/>
    <cellStyle name="RangeBelow 4 7" xfId="26654" xr:uid="{1E5372D1-0893-4594-902B-A2BB63E33253}"/>
    <cellStyle name="RangeBelow 4 7 2" xfId="26655" xr:uid="{6E8C6F62-AAC0-4942-BE07-FD4E9DA14511}"/>
    <cellStyle name="RangeBelow 4 7 2 2" xfId="26656" xr:uid="{0F7AF0EF-E56A-41F4-A0F0-1D9404B91404}"/>
    <cellStyle name="RangeBelow 4 7 3" xfId="26657" xr:uid="{EC1D125D-8827-4726-BC13-9BDB4F7FBAD5}"/>
    <cellStyle name="RangeBelow 4 8" xfId="26658" xr:uid="{5BF64E82-AAFE-49BC-9B75-7AA6725FA8A4}"/>
    <cellStyle name="RangeBelow 4 8 2" xfId="26659" xr:uid="{F0A563FE-D184-4C6C-A1C4-6A2C0ABC30AD}"/>
    <cellStyle name="RangeBelow 4 8 2 2" xfId="26660" xr:uid="{0B28EC21-5402-4F3B-AFB4-ECA128397974}"/>
    <cellStyle name="RangeBelow 4 8 3" xfId="26661" xr:uid="{593DF6D5-65F7-40A6-8C0F-2D2BECBC080D}"/>
    <cellStyle name="RangeBelow 4 9" xfId="26662" xr:uid="{52F2D0AC-9731-4EFA-B997-56B13D159AF9}"/>
    <cellStyle name="RangeBelow 4 9 2" xfId="26663" xr:uid="{A9FC736A-66D0-48D1-A97C-BED50F99A689}"/>
    <cellStyle name="RangeBelow 4 9 2 2" xfId="26664" xr:uid="{B46A8F32-4F70-472D-90B2-921A11C1E627}"/>
    <cellStyle name="RangeBelow 4 9 3" xfId="26665" xr:uid="{EF58B8E7-9AA2-41D0-840A-3EB071B98D58}"/>
    <cellStyle name="RangeBelow 5" xfId="26666" xr:uid="{5625D260-574C-465A-8953-306A64C4BD8A}"/>
    <cellStyle name="RangeBelow 5 10" xfId="26667" xr:uid="{40D8AAC8-CF40-4F4B-9529-BA95A060B0D3}"/>
    <cellStyle name="RangeBelow 5 10 2" xfId="26668" xr:uid="{B234E263-EA32-4B67-834F-499C0F62EB56}"/>
    <cellStyle name="RangeBelow 5 11" xfId="26669" xr:uid="{6C53901C-7806-4BAB-B063-4EACC884F930}"/>
    <cellStyle name="RangeBelow 5 2" xfId="26670" xr:uid="{D55123EA-BF43-43BC-A583-7D1012F99C93}"/>
    <cellStyle name="RangeBelow 5 2 2" xfId="26671" xr:uid="{F8B4EC27-C49E-42CF-9F6B-35FAE7ED065D}"/>
    <cellStyle name="RangeBelow 5 2 2 2" xfId="26672" xr:uid="{05B2983B-3F43-4C62-9055-8147C97DE203}"/>
    <cellStyle name="RangeBelow 5 2 3" xfId="26673" xr:uid="{D4E6C355-6669-4E38-B1F7-1D6ACCA2F115}"/>
    <cellStyle name="RangeBelow 5 2 4" xfId="26674" xr:uid="{21A2D938-6A6F-4C4C-80CF-F58BA7873650}"/>
    <cellStyle name="RangeBelow 5 3" xfId="26675" xr:uid="{4362FA42-79A3-406E-995B-D8068F720A0B}"/>
    <cellStyle name="RangeBelow 5 3 2" xfId="26676" xr:uid="{1AF2CB3B-BCFC-4D75-B2A1-105643CB1EDA}"/>
    <cellStyle name="RangeBelow 5 3 2 2" xfId="26677" xr:uid="{96F47F14-854D-49AE-A7E8-FE525585F828}"/>
    <cellStyle name="RangeBelow 5 3 3" xfId="26678" xr:uid="{B5A8FD40-6A8C-4C6D-85FB-78E5652F452B}"/>
    <cellStyle name="RangeBelow 5 3 4" xfId="26679" xr:uid="{45E1E9C4-A3E6-4537-AF5D-0D0BE9FADBFC}"/>
    <cellStyle name="RangeBelow 5 4" xfId="26680" xr:uid="{7E518577-1779-406F-BA38-166C2DCE9687}"/>
    <cellStyle name="RangeBelow 5 4 2" xfId="26681" xr:uid="{23FDAEFA-67E3-46E9-BC53-F514D560913E}"/>
    <cellStyle name="RangeBelow 5 4 2 2" xfId="26682" xr:uid="{9C76238A-2A04-4853-8A67-079F10812D87}"/>
    <cellStyle name="RangeBelow 5 4 3" xfId="26683" xr:uid="{93B79293-21DB-47C8-A00C-DBA983110202}"/>
    <cellStyle name="RangeBelow 5 4 4" xfId="26684" xr:uid="{7CFEE0B6-0555-4CB7-98C5-00F50E5461CB}"/>
    <cellStyle name="RangeBelow 5 5" xfId="26685" xr:uid="{01A2EF97-6E3B-4778-BBB8-F540BF53A3F9}"/>
    <cellStyle name="RangeBelow 5 5 2" xfId="26686" xr:uid="{E5D13C3F-55B3-4E88-B792-FE80B752AC54}"/>
    <cellStyle name="RangeBelow 5 5 2 2" xfId="26687" xr:uid="{7C69FE67-F42C-47FF-AF05-F7A7A0F6A842}"/>
    <cellStyle name="RangeBelow 5 5 3" xfId="26688" xr:uid="{761EB70F-1F5B-4CCB-8DCC-08495207EFF1}"/>
    <cellStyle name="RangeBelow 5 6" xfId="26689" xr:uid="{FC59DCC6-4451-4AE8-B99B-4A81203FE6DB}"/>
    <cellStyle name="RangeBelow 5 6 2" xfId="26690" xr:uid="{9BB26ACA-7B56-4CD7-9F93-0A2AD59B3C91}"/>
    <cellStyle name="RangeBelow 5 6 2 2" xfId="26691" xr:uid="{2E5AA2C5-5879-4A68-96AC-45B2F773BAB9}"/>
    <cellStyle name="RangeBelow 5 6 3" xfId="26692" xr:uid="{872B7682-5A50-40D2-8829-8E2274DAE965}"/>
    <cellStyle name="RangeBelow 5 7" xfId="26693" xr:uid="{F788C11D-EB9C-4C49-8380-79B3DD4EFBF9}"/>
    <cellStyle name="RangeBelow 5 7 2" xfId="26694" xr:uid="{5193D059-C82A-4DB2-B280-187DA32160DB}"/>
    <cellStyle name="RangeBelow 5 7 2 2" xfId="26695" xr:uid="{D6803F26-C3C3-4CA0-B6CC-D78ABD6F375F}"/>
    <cellStyle name="RangeBelow 5 7 3" xfId="26696" xr:uid="{8C10C808-6BAB-4D2F-8E71-1C929ADF0956}"/>
    <cellStyle name="RangeBelow 5 8" xfId="26697" xr:uid="{8BC0779E-DDF6-4F4F-9F86-B2BE288DCD81}"/>
    <cellStyle name="RangeBelow 5 8 2" xfId="26698" xr:uid="{780E9A64-C577-489A-997E-17F3AE8CC1F2}"/>
    <cellStyle name="RangeBelow 5 8 2 2" xfId="26699" xr:uid="{EB9CC923-2406-499D-9087-C81FAB5FB164}"/>
    <cellStyle name="RangeBelow 5 8 3" xfId="26700" xr:uid="{854F5368-0FD8-45CE-B0C4-77DDDA0CF1A0}"/>
    <cellStyle name="RangeBelow 5 9" xfId="26701" xr:uid="{24D9203A-442C-44B7-B448-6CA8196DB629}"/>
    <cellStyle name="RangeBelow 5 9 2" xfId="26702" xr:uid="{C8F55530-360C-4A4D-A10F-08097BA3B237}"/>
    <cellStyle name="RangeBelow 5 9 2 2" xfId="26703" xr:uid="{3A9AF374-E304-43D7-8054-BF3ABF4F604C}"/>
    <cellStyle name="RangeBelow 5 9 3" xfId="26704" xr:uid="{452FF5D1-FC00-4FDB-8D24-3CA8682272B8}"/>
    <cellStyle name="RangeBelow 6" xfId="26705" xr:uid="{C4C800AF-38AC-4105-A39C-5C2796DC43BB}"/>
    <cellStyle name="RangeBelow 6 10" xfId="26706" xr:uid="{66D30A01-F302-4C86-AB97-065DC2507E8E}"/>
    <cellStyle name="RangeBelow 6 10 2" xfId="26707" xr:uid="{55B288A3-1474-4A47-97CF-0F21FB7766AF}"/>
    <cellStyle name="RangeBelow 6 11" xfId="26708" xr:uid="{4D1D72F4-B983-4C7F-8F2B-FDED147DC705}"/>
    <cellStyle name="RangeBelow 6 2" xfId="26709" xr:uid="{F911F8CD-DD90-471B-9191-2501EA854069}"/>
    <cellStyle name="RangeBelow 6 2 2" xfId="26710" xr:uid="{90957895-3FCF-467F-A9D8-BEBF44F9A3B0}"/>
    <cellStyle name="RangeBelow 6 2 2 2" xfId="26711" xr:uid="{93910DD3-D360-4FDD-96E2-CFDADBD0353B}"/>
    <cellStyle name="RangeBelow 6 2 3" xfId="26712" xr:uid="{25A60173-9EB4-4DCD-9D5E-39E70CC93A96}"/>
    <cellStyle name="RangeBelow 6 3" xfId="26713" xr:uid="{3212EF7F-D535-4992-9D7C-A6B410A606F7}"/>
    <cellStyle name="RangeBelow 6 3 2" xfId="26714" xr:uid="{C4C5A2BA-B9EC-4EC1-ABFF-2998D7A27F5B}"/>
    <cellStyle name="RangeBelow 6 3 2 2" xfId="26715" xr:uid="{8D1AA489-81D2-45DA-90AA-305CE96EA11B}"/>
    <cellStyle name="RangeBelow 6 3 3" xfId="26716" xr:uid="{A2195F49-FFA4-420C-8F36-C3254E74B8A8}"/>
    <cellStyle name="RangeBelow 6 4" xfId="26717" xr:uid="{83039027-D32F-4D10-A209-ACE7FB511A6B}"/>
    <cellStyle name="RangeBelow 6 4 2" xfId="26718" xr:uid="{40514770-D38B-49CA-BD77-FF4791AB5E77}"/>
    <cellStyle name="RangeBelow 6 4 2 2" xfId="26719" xr:uid="{4FDABA73-2B06-4F69-964E-D74C204F1A38}"/>
    <cellStyle name="RangeBelow 6 4 3" xfId="26720" xr:uid="{702E18E9-3773-42CF-BF28-CB32A898133F}"/>
    <cellStyle name="RangeBelow 6 5" xfId="26721" xr:uid="{9EC15F72-C744-4B73-85B5-871DB057754D}"/>
    <cellStyle name="RangeBelow 6 5 2" xfId="26722" xr:uid="{DBE52EFE-16B7-41BD-8275-C8F255BDBAED}"/>
    <cellStyle name="RangeBelow 6 5 2 2" xfId="26723" xr:uid="{4EAF9FD7-7C76-42FE-A18C-0AE17D3C6E89}"/>
    <cellStyle name="RangeBelow 6 5 3" xfId="26724" xr:uid="{E3143955-4C0F-48D2-8F21-AE4D40036239}"/>
    <cellStyle name="RangeBelow 6 6" xfId="26725" xr:uid="{AE786593-8247-405D-8A78-9AF82831B8A6}"/>
    <cellStyle name="RangeBelow 6 6 2" xfId="26726" xr:uid="{952F06CF-B822-4DCE-B790-20438F415AA1}"/>
    <cellStyle name="RangeBelow 6 6 2 2" xfId="26727" xr:uid="{2B40647D-9BAF-4210-9693-BB7F66256D8D}"/>
    <cellStyle name="RangeBelow 6 6 3" xfId="26728" xr:uid="{39EA3ECC-501F-43BF-B5DB-48CDF3EE9B1A}"/>
    <cellStyle name="RangeBelow 6 7" xfId="26729" xr:uid="{58D20BAE-E8B4-41C6-9388-1D8221AA7E8C}"/>
    <cellStyle name="RangeBelow 6 7 2" xfId="26730" xr:uid="{403F52EA-B45D-46DA-A59B-A51E3A1B091D}"/>
    <cellStyle name="RangeBelow 6 7 2 2" xfId="26731" xr:uid="{4E8299AE-DD8E-493D-A6B1-0B2931B484A1}"/>
    <cellStyle name="RangeBelow 6 7 3" xfId="26732" xr:uid="{28571C5B-D3C1-4510-B87F-43347BC41186}"/>
    <cellStyle name="RangeBelow 6 8" xfId="26733" xr:uid="{01F80033-0332-4E46-9B4B-3C2D0CF22EBE}"/>
    <cellStyle name="RangeBelow 6 8 2" xfId="26734" xr:uid="{6730DD78-5BEE-44BA-8FB5-5408BDE1C042}"/>
    <cellStyle name="RangeBelow 6 8 2 2" xfId="26735" xr:uid="{7EE3CA9E-96A6-416B-8402-714C9B4A2B67}"/>
    <cellStyle name="RangeBelow 6 8 3" xfId="26736" xr:uid="{16538DFF-2F8F-4C96-8C47-C2C58E34CF1D}"/>
    <cellStyle name="RangeBelow 6 9" xfId="26737" xr:uid="{8EAA8986-508F-4FF9-8194-1E2CEC4FEFE8}"/>
    <cellStyle name="RangeBelow 6 9 2" xfId="26738" xr:uid="{DD343C59-A002-4D71-8E1D-43A4985FF03F}"/>
    <cellStyle name="RangeBelow 6 9 2 2" xfId="26739" xr:uid="{2B79DB05-CF98-4B0E-9833-03F7DA9A1673}"/>
    <cellStyle name="RangeBelow 6 9 3" xfId="26740" xr:uid="{D8767511-74BB-473E-88E5-A53077027023}"/>
    <cellStyle name="RangeBelow 7" xfId="26741" xr:uid="{2B62C7B4-2274-4529-B092-03079029498C}"/>
    <cellStyle name="RangeBelow 7 2" xfId="26742" xr:uid="{4B10D7B6-7F81-40DA-9994-9B9777D880B2}"/>
    <cellStyle name="RangeBelow 7 2 2" xfId="26743" xr:uid="{A008EF66-7DA1-41A4-875B-0FDFE4DA8C6C}"/>
    <cellStyle name="RangeBelow 7 2 2 2" xfId="26744" xr:uid="{9E1E35DC-A022-416F-BBF8-F74E973E955C}"/>
    <cellStyle name="RangeBelow 7 2 3" xfId="26745" xr:uid="{064E5425-308A-4AA8-A133-8F4B3E57AE52}"/>
    <cellStyle name="RangeBelow 7 3" xfId="26746" xr:uid="{31553DC9-1BDD-4110-95CC-71D4004F2292}"/>
    <cellStyle name="RangeBelow 7 3 2" xfId="26747" xr:uid="{72B137C7-F479-44B9-9EB5-17FEE14081BE}"/>
    <cellStyle name="RangeBelow 7 3 2 2" xfId="26748" xr:uid="{4E243CD8-D01A-4ED2-8109-B74663742A82}"/>
    <cellStyle name="RangeBelow 7 3 3" xfId="26749" xr:uid="{E456CB1B-5E68-46D3-8233-D92C567FC5C4}"/>
    <cellStyle name="RangeBelow 7 4" xfId="26750" xr:uid="{E281C38D-8623-43A0-854B-AC722F0D2B87}"/>
    <cellStyle name="RangeBelow 7 4 2" xfId="26751" xr:uid="{B6B4CD90-898F-48ED-B957-C1976D7FE1AC}"/>
    <cellStyle name="RangeBelow 7 4 2 2" xfId="26752" xr:uid="{BCB57F66-5D64-4EC2-8277-5D6E417A1724}"/>
    <cellStyle name="RangeBelow 7 4 3" xfId="26753" xr:uid="{96657885-250C-422C-B335-2CC92BDFA0AB}"/>
    <cellStyle name="RangeBelow 7 5" xfId="26754" xr:uid="{8B8A5A54-0816-45D9-B214-26344960409E}"/>
    <cellStyle name="RangeBelow 7 5 2" xfId="26755" xr:uid="{CA93E7B5-2E5B-49E8-B0E3-A9F2AB99E701}"/>
    <cellStyle name="RangeBelow 7 5 2 2" xfId="26756" xr:uid="{DDC51A00-D830-46BE-BF0D-6B451CF9255F}"/>
    <cellStyle name="RangeBelow 7 5 3" xfId="26757" xr:uid="{CD577E90-D2F8-4C43-A7FD-57150BA335E4}"/>
    <cellStyle name="RangeBelow 7 6" xfId="26758" xr:uid="{44DD23BC-2C55-4566-B38D-7514B9521945}"/>
    <cellStyle name="RangeBelow 7 6 2" xfId="26759" xr:uid="{1D33D9FC-C042-4EB2-9637-C56AF62F08CF}"/>
    <cellStyle name="RangeBelow 7 7" xfId="26760" xr:uid="{DA3E2D2D-575F-4E34-8D65-F4E1E758C2A0}"/>
    <cellStyle name="RangeBelow 8" xfId="26761" xr:uid="{DB7FCA93-C318-417F-8B84-EB5698104ADA}"/>
    <cellStyle name="RangeBelow 8 2" xfId="26762" xr:uid="{29FE8999-01A4-4462-90F0-A2751BB73723}"/>
    <cellStyle name="RangeBelow 8 2 2" xfId="26763" xr:uid="{35CF34E2-B92B-4CA5-88E3-68DB937A4992}"/>
    <cellStyle name="RangeBelow 8 2 2 2" xfId="26764" xr:uid="{24690275-CDB1-4791-BB11-3729A4D42876}"/>
    <cellStyle name="RangeBelow 8 2 3" xfId="26765" xr:uid="{94315749-9254-4B8E-B19F-DF4C515EBF5F}"/>
    <cellStyle name="RangeBelow 8 3" xfId="26766" xr:uid="{63C95392-AD64-415E-8F6C-AFD94A005DA6}"/>
    <cellStyle name="RangeBelow 8 3 2" xfId="26767" xr:uid="{CBEC81CD-D28F-4E10-B68A-803639EFE26E}"/>
    <cellStyle name="RangeBelow 8 3 2 2" xfId="26768" xr:uid="{C67D15F7-4A81-4516-BFAB-621F56C36859}"/>
    <cellStyle name="RangeBelow 8 3 3" xfId="26769" xr:uid="{282BD057-8B8B-4A17-9D0D-F4713494A0FB}"/>
    <cellStyle name="RangeBelow 8 4" xfId="26770" xr:uid="{E257974A-E03C-4227-B6C0-4040CFAC0009}"/>
    <cellStyle name="RangeBelow 8 4 2" xfId="26771" xr:uid="{09D3ACFB-C330-44EB-8A1F-5DFF7FDE28F1}"/>
    <cellStyle name="RangeBelow 8 4 2 2" xfId="26772" xr:uid="{C9D3B621-B880-42D6-9123-F4EF964BB97F}"/>
    <cellStyle name="RangeBelow 8 4 3" xfId="26773" xr:uid="{3E490701-C218-493E-86DB-29B6717D01F1}"/>
    <cellStyle name="RangeBelow 8 5" xfId="26774" xr:uid="{D8BB5AB3-21D2-4259-8F50-A2595FEB5F44}"/>
    <cellStyle name="RangeBelow 8 5 2" xfId="26775" xr:uid="{148634DB-356C-415C-A446-69581E19B208}"/>
    <cellStyle name="RangeBelow 8 5 2 2" xfId="26776" xr:uid="{FB17BA65-8718-4A55-9A0A-DA287D89D46B}"/>
    <cellStyle name="RangeBelow 8 5 3" xfId="26777" xr:uid="{EC24E89D-4080-45D0-99FD-B485BEEEFB17}"/>
    <cellStyle name="RangeBelow 8 6" xfId="26778" xr:uid="{1AA6AD7F-1AEA-4181-90EC-19680203CD63}"/>
    <cellStyle name="RangeBelow 8 6 2" xfId="26779" xr:uid="{AAC7D1E6-879E-49AF-9A9A-A2A6120C67A7}"/>
    <cellStyle name="RangeBelow 8 7" xfId="26780" xr:uid="{E394F745-B68F-43A8-B2B2-7909FFCA7101}"/>
    <cellStyle name="RangeBelow 9" xfId="26781" xr:uid="{896D4260-4F74-4608-B4AB-90F1B7EEA538}"/>
    <cellStyle name="RangeBelow 9 2" xfId="26782" xr:uid="{D7F0AB9C-5E6C-41C2-AA0E-1568A4D71680}"/>
    <cellStyle name="RangeBelow 9 2 2" xfId="26783" xr:uid="{4C14A69B-172D-4F97-BA5A-C2BC11125044}"/>
    <cellStyle name="RangeBelow 9 2 2 2" xfId="26784" xr:uid="{911FE34B-D265-4F62-9D34-03FB30774C85}"/>
    <cellStyle name="RangeBelow 9 2 3" xfId="26785" xr:uid="{58CE5634-5832-43CE-AAED-BC11E44315B6}"/>
    <cellStyle name="RangeBelow 9 3" xfId="26786" xr:uid="{BBB41750-ABC5-4658-A04A-8B73E1FC7322}"/>
    <cellStyle name="RangeBelow 9 3 2" xfId="26787" xr:uid="{F2927883-1D4B-4BDA-9DAE-CDE6C06749C8}"/>
    <cellStyle name="RangeBelow 9 3 2 2" xfId="26788" xr:uid="{2E6D64B2-6F1C-4A2C-B300-B8FBD4EE8EA9}"/>
    <cellStyle name="RangeBelow 9 3 3" xfId="26789" xr:uid="{368AD5A1-51C0-4DD7-92CE-D2390278E5AD}"/>
    <cellStyle name="RangeBelow 9 4" xfId="26790" xr:uid="{276E0A1D-A771-4CF7-BA6A-1EB8DBB922D6}"/>
    <cellStyle name="RangeBelow 9 4 2" xfId="26791" xr:uid="{B93B73AA-5258-4281-AECD-8CECC158C58B}"/>
    <cellStyle name="RangeBelow 9 4 2 2" xfId="26792" xr:uid="{F753B134-C95A-486A-9A6A-2802DC52FAEA}"/>
    <cellStyle name="RangeBelow 9 4 3" xfId="26793" xr:uid="{972D8942-6F18-4549-BCA3-4021DDA0BC0D}"/>
    <cellStyle name="RangeBelow 9 5" xfId="26794" xr:uid="{3CAD7276-1DF9-4DB4-B627-5F390C60BDD5}"/>
    <cellStyle name="RangeBelow 9 5 2" xfId="26795" xr:uid="{5C97561D-7E25-430A-B538-5DF6A97EB3ED}"/>
    <cellStyle name="RangeBelow 9 5 2 2" xfId="26796" xr:uid="{0E91CC47-7F29-490A-BE10-C8FA8913EB9B}"/>
    <cellStyle name="RangeBelow 9 5 3" xfId="26797" xr:uid="{20A7B200-FBD7-483C-9EBD-B013C493E5CD}"/>
    <cellStyle name="RangeBelow 9 6" xfId="26798" xr:uid="{407C453E-73FE-4B2B-A5BC-9AC9D21057C6}"/>
    <cellStyle name="RangeBelow 9 6 2" xfId="26799" xr:uid="{28D42F0A-E077-4D31-A663-9A68BA79D4D2}"/>
    <cellStyle name="RangeBelow 9 7" xfId="26800" xr:uid="{0D7CC6C9-A74D-43E9-B3EF-8FD713E14492}"/>
    <cellStyle name="RangeBelow_11-03.1 Pepco" xfId="26801" xr:uid="{D541DF6B-A84F-4843-81E5-417968217960}"/>
    <cellStyle name="ROW #'S" xfId="264" xr:uid="{29113098-A8BB-4CFF-A948-80E738B2974E}"/>
    <cellStyle name="RowLevel_1 2" xfId="26802" xr:uid="{C92A025F-F1E0-4969-8889-D073030BCDBC}"/>
    <cellStyle name="SAPBEXaggData" xfId="265" xr:uid="{D85F97F2-15D8-47BA-A1EB-92A0E5B3A47F}"/>
    <cellStyle name="SAPBEXaggData 10" xfId="26803" xr:uid="{6494358B-D19E-454B-8A7E-28121316F2B5}"/>
    <cellStyle name="SAPBEXaggData 11" xfId="26804" xr:uid="{2A71A1A1-4EE5-494C-A583-8F70E8D2BE7B}"/>
    <cellStyle name="SAPBEXaggData 12" xfId="26805" xr:uid="{8C3B1146-B5E1-4900-8027-41E80619B7F6}"/>
    <cellStyle name="SAPBEXaggData 13" xfId="26806" xr:uid="{59467AFB-A08C-46E5-8B4C-0AEAB9DD3FC3}"/>
    <cellStyle name="SAPBEXaggData 2" xfId="26807" xr:uid="{731C3AAA-4959-4706-9C17-472CD460997B}"/>
    <cellStyle name="SAPBEXaggData 2 2" xfId="26808" xr:uid="{CE1A9407-A0A1-41D6-91AF-08BA23C90C6A}"/>
    <cellStyle name="SAPBEXaggData 2 2 2" xfId="26809" xr:uid="{1893519E-CCC1-4EA4-90DC-E64AA7676E37}"/>
    <cellStyle name="SAPBEXaggData 2 2 3" xfId="26810" xr:uid="{0E0869DC-692C-45AC-9AF6-A0A24514F2C6}"/>
    <cellStyle name="SAPBEXaggData 2 3" xfId="26811" xr:uid="{6A7A5D0E-273A-4035-9280-39929FCA56A1}"/>
    <cellStyle name="SAPBEXaggData 2 3 2" xfId="26812" xr:uid="{C0CB56A1-DE08-4C2B-AC74-E866B7A448A8}"/>
    <cellStyle name="SAPBEXaggData 2 3 3" xfId="26813" xr:uid="{30AEAC27-6D76-40C6-9B62-DE905226E850}"/>
    <cellStyle name="SAPBEXaggData 2 4" xfId="26814" xr:uid="{5D841C11-CE43-4269-8C48-8E2571235688}"/>
    <cellStyle name="SAPBEXaggData 2 5" xfId="26815" xr:uid="{92BBEB08-8D7E-46F9-8D44-26A192263C92}"/>
    <cellStyle name="SAPBEXaggData 2 6" xfId="26816" xr:uid="{0F992378-C98F-43A1-9495-78F705C02A26}"/>
    <cellStyle name="SAPBEXaggData 3" xfId="26817" xr:uid="{6CE39B79-8954-4E52-B344-A9C98CC02D4A}"/>
    <cellStyle name="SAPBEXaggData 3 2" xfId="26818" xr:uid="{AEBECE8E-897A-40F0-B2F3-DF36824C4406}"/>
    <cellStyle name="SAPBEXaggData 3 3" xfId="26819" xr:uid="{F0DA38A9-6AF3-4C99-98AC-60636A674ED2}"/>
    <cellStyle name="SAPBEXaggData 3 4" xfId="26820" xr:uid="{16F1A770-1140-4368-BCDB-0004A42C212C}"/>
    <cellStyle name="SAPBEXaggData 4" xfId="26821" xr:uid="{5ED64C08-47E1-405C-A712-8D4EB87A27BE}"/>
    <cellStyle name="SAPBEXaggData 5" xfId="26822" xr:uid="{7119F823-3882-498A-8E55-B0CB24508BBF}"/>
    <cellStyle name="SAPBEXaggData 6" xfId="26823" xr:uid="{FF46A393-671E-45C0-9632-D620E66A51FD}"/>
    <cellStyle name="SAPBEXaggData 7" xfId="26824" xr:uid="{C6FC7F8F-33F7-41B7-BA2B-F89A53003014}"/>
    <cellStyle name="SAPBEXaggData 8" xfId="26825" xr:uid="{3C4C3193-1439-4186-9795-3893D7BC0AB9}"/>
    <cellStyle name="SAPBEXaggData 9" xfId="26826" xr:uid="{C161F37B-2BC1-4075-9C02-F190E6ABA5A0}"/>
    <cellStyle name="SAPBEXaggDataEmph" xfId="266" xr:uid="{0D4E3B88-66C1-4A4B-A795-ADFB6EA71B12}"/>
    <cellStyle name="SAPBEXaggDataEmph 10" xfId="26827" xr:uid="{86F28AB1-A46B-49F0-B1FE-4F72B6B8EE7D}"/>
    <cellStyle name="SAPBEXaggDataEmph 11" xfId="26828" xr:uid="{5CAB1526-7D2E-459D-83C1-2902F527CB07}"/>
    <cellStyle name="SAPBEXaggDataEmph 12" xfId="26829" xr:uid="{2A7B2183-940E-4F87-884A-37548D8E044B}"/>
    <cellStyle name="SAPBEXaggDataEmph 13" xfId="26830" xr:uid="{7B083CD1-3492-41E7-9ECE-B76A9105ED6F}"/>
    <cellStyle name="SAPBEXaggDataEmph 2" xfId="26831" xr:uid="{84E2D3F9-CC23-4045-832F-965074A82F19}"/>
    <cellStyle name="SAPBEXaggDataEmph 2 2" xfId="26832" xr:uid="{168A1D50-C4BE-4749-9691-6342211CA583}"/>
    <cellStyle name="SAPBEXaggDataEmph 2 2 2" xfId="26833" xr:uid="{F7C75977-5615-46B8-8855-A9C12BC4CEB6}"/>
    <cellStyle name="SAPBEXaggDataEmph 2 2 3" xfId="26834" xr:uid="{B55E63F9-A1C8-42A8-9DA5-0C0CCB1ED55D}"/>
    <cellStyle name="SAPBEXaggDataEmph 2 3" xfId="26835" xr:uid="{F5ADB756-ECC9-4743-BC17-80187CD0A796}"/>
    <cellStyle name="SAPBEXaggDataEmph 2 3 2" xfId="26836" xr:uid="{40355DFA-AB9B-4470-8F8B-AFD5ACA0E465}"/>
    <cellStyle name="SAPBEXaggDataEmph 2 3 3" xfId="26837" xr:uid="{0207C070-A6CD-4521-9D4F-FF42D969BE81}"/>
    <cellStyle name="SAPBEXaggDataEmph 2 4" xfId="26838" xr:uid="{8D3633ED-1ED8-486E-9F62-DEC8FFEB97C5}"/>
    <cellStyle name="SAPBEXaggDataEmph 2 5" xfId="26839" xr:uid="{EEE93E86-B595-4810-8A71-9DE2DC991E4E}"/>
    <cellStyle name="SAPBEXaggDataEmph 2 6" xfId="26840" xr:uid="{CF080B52-6124-43DC-92E4-4190CCDE9294}"/>
    <cellStyle name="SAPBEXaggDataEmph 3" xfId="26841" xr:uid="{574DE67B-2200-47E9-A6A7-23D7BBA253D0}"/>
    <cellStyle name="SAPBEXaggDataEmph 3 2" xfId="26842" xr:uid="{8CDBD128-3EC5-4836-989C-F5132FDCBD99}"/>
    <cellStyle name="SAPBEXaggDataEmph 3 3" xfId="26843" xr:uid="{858AB263-3225-4999-A7B5-6FE626DB27F8}"/>
    <cellStyle name="SAPBEXaggDataEmph 3 4" xfId="26844" xr:uid="{7EE4FD8E-978C-4BA3-BA1E-C5FFBCBA470B}"/>
    <cellStyle name="SAPBEXaggDataEmph 4" xfId="26845" xr:uid="{0A1ADE4E-CDD9-4042-B17F-F49B6517B3DF}"/>
    <cellStyle name="SAPBEXaggDataEmph 5" xfId="26846" xr:uid="{02547D72-9800-49C0-AA4B-53A8F71A6332}"/>
    <cellStyle name="SAPBEXaggDataEmph 6" xfId="26847" xr:uid="{859D3286-B5E2-4CD9-86A7-0ADA4D41D3DF}"/>
    <cellStyle name="SAPBEXaggDataEmph 7" xfId="26848" xr:uid="{28176DD7-8436-4D06-8C15-56DB0BA807D2}"/>
    <cellStyle name="SAPBEXaggDataEmph 8" xfId="26849" xr:uid="{8A80C872-324B-467C-948C-463E503EE23B}"/>
    <cellStyle name="SAPBEXaggDataEmph 9" xfId="26850" xr:uid="{A2230247-4AA5-465F-BF43-AD94F8C2A85E}"/>
    <cellStyle name="SAPBEXaggItem" xfId="267" xr:uid="{443B2656-F567-4570-862C-E74389163AD3}"/>
    <cellStyle name="SAPBEXaggItem 10" xfId="26851" xr:uid="{E585733D-DF32-44F2-BA3A-1E2395A4013D}"/>
    <cellStyle name="SAPBEXaggItem 11" xfId="26852" xr:uid="{9327EF14-E4B2-4C3A-840D-AF9C8F215C88}"/>
    <cellStyle name="SAPBEXaggItem 12" xfId="26853" xr:uid="{F2446DDA-3D98-4320-9FD4-BBB4915AF1AF}"/>
    <cellStyle name="SAPBEXaggItem 13" xfId="26854" xr:uid="{EB998F04-1552-41B4-8E6D-9B4C919603EC}"/>
    <cellStyle name="SAPBEXaggItem 2" xfId="26855" xr:uid="{817E2BB3-773C-45FB-97A8-F021F296A133}"/>
    <cellStyle name="SAPBEXaggItem 2 2" xfId="26856" xr:uid="{0AA23B85-8FCC-425B-A294-C8DF36BEB5CB}"/>
    <cellStyle name="SAPBEXaggItem 2 2 2" xfId="26857" xr:uid="{C3E2D671-15C2-4E4F-ADC2-F53A40ABD055}"/>
    <cellStyle name="SAPBEXaggItem 2 2 3" xfId="26858" xr:uid="{09434D67-83DF-44C3-83B4-5C08420F6CE1}"/>
    <cellStyle name="SAPBEXaggItem 2 3" xfId="26859" xr:uid="{ACB91A3D-4D9B-441C-AF0F-0739B00AB275}"/>
    <cellStyle name="SAPBEXaggItem 2 3 2" xfId="26860" xr:uid="{B6526A1A-3815-4A26-8DF8-132D920D6BBB}"/>
    <cellStyle name="SAPBEXaggItem 2 3 3" xfId="26861" xr:uid="{C0E264F0-52AA-4F25-9CAE-5EBB63AB2710}"/>
    <cellStyle name="SAPBEXaggItem 2 4" xfId="26862" xr:uid="{3A352405-F92E-4F86-A4C9-263342567250}"/>
    <cellStyle name="SAPBEXaggItem 2 5" xfId="26863" xr:uid="{14D8E569-579E-4B9B-9868-F9AA77DCC0E7}"/>
    <cellStyle name="SAPBEXaggItem 2 6" xfId="26864" xr:uid="{CE4BE9AF-9967-4136-97D2-4BB5F2EB1A49}"/>
    <cellStyle name="SAPBEXaggItem 3" xfId="26865" xr:uid="{DD0036D8-27E3-48EE-BC81-5B152630334F}"/>
    <cellStyle name="SAPBEXaggItem 3 2" xfId="26866" xr:uid="{9A333BCA-4714-4C52-90B9-5CA057FD4E2C}"/>
    <cellStyle name="SAPBEXaggItem 3 3" xfId="26867" xr:uid="{D5BE9314-2DCA-464B-9C17-6F6172CD4CC7}"/>
    <cellStyle name="SAPBEXaggItem 3 4" xfId="26868" xr:uid="{211B6A01-5651-4C2D-AD7B-4887E8558138}"/>
    <cellStyle name="SAPBEXaggItem 4" xfId="26869" xr:uid="{79C48E1B-ED28-47B4-A0EF-4A4EFBE473A0}"/>
    <cellStyle name="SAPBEXaggItem 5" xfId="26870" xr:uid="{A1682A67-5D90-43C3-8E49-C333F7394DFD}"/>
    <cellStyle name="SAPBEXaggItem 6" xfId="26871" xr:uid="{EF9E35B4-E94B-4B39-9114-5800E869CB29}"/>
    <cellStyle name="SAPBEXaggItem 7" xfId="26872" xr:uid="{184ED108-AF96-471B-8679-5D2E9E16ED2E}"/>
    <cellStyle name="SAPBEXaggItem 8" xfId="26873" xr:uid="{D75B157B-D4A9-4BA8-9C7B-54100210628B}"/>
    <cellStyle name="SAPBEXaggItem 9" xfId="26874" xr:uid="{07E2766B-5A29-41F4-88E3-4ADF1768DDFA}"/>
    <cellStyle name="SAPBEXaggItemX" xfId="268" xr:uid="{7B4D6940-7F26-49A7-84BA-DC1E58BB804D}"/>
    <cellStyle name="SAPBEXaggItemX 10" xfId="26875" xr:uid="{49A7AB2E-A20C-4264-984C-7A8B0B3D69BC}"/>
    <cellStyle name="SAPBEXaggItemX 11" xfId="26876" xr:uid="{8FBDD47A-3CC4-4F73-89A6-07D63BF0317F}"/>
    <cellStyle name="SAPBEXaggItemX 12" xfId="26877" xr:uid="{9DDB5A92-C5A7-4BBD-8C1D-97F561CE2E4F}"/>
    <cellStyle name="SAPBEXaggItemX 13" xfId="26878" xr:uid="{3AD2E646-3BBA-4FE1-B40A-EBD08BDF33DD}"/>
    <cellStyle name="SAPBEXaggItemX 2" xfId="26879" xr:uid="{1AD78461-33EB-484D-8094-7D36859AF485}"/>
    <cellStyle name="SAPBEXaggItemX 2 2" xfId="26880" xr:uid="{4BBCF2C7-3C17-4AF7-9CA7-94F0A8DAC723}"/>
    <cellStyle name="SAPBEXaggItemX 2 2 2" xfId="26881" xr:uid="{649706A8-2403-4C7F-8068-CF3B8C7EADAE}"/>
    <cellStyle name="SAPBEXaggItemX 2 2 3" xfId="26882" xr:uid="{2C54ADE7-F126-4EA7-BA14-D3F553BE1080}"/>
    <cellStyle name="SAPBEXaggItemX 2 3" xfId="26883" xr:uid="{EE6746BA-8916-4D83-A4B1-4CA51C2A7460}"/>
    <cellStyle name="SAPBEXaggItemX 2 3 2" xfId="26884" xr:uid="{08120C36-919D-4998-8036-77AEA4339F41}"/>
    <cellStyle name="SAPBEXaggItemX 2 3 3" xfId="26885" xr:uid="{1DFC91FF-B8C1-4411-8F7F-619FFFEBD42D}"/>
    <cellStyle name="SAPBEXaggItemX 2 4" xfId="26886" xr:uid="{977C3584-7DB5-4345-9551-30D88EDB32A9}"/>
    <cellStyle name="SAPBEXaggItemX 2 5" xfId="26887" xr:uid="{5D3466FC-E2C1-4497-9CF2-A0A67E6AEC3A}"/>
    <cellStyle name="SAPBEXaggItemX 2 6" xfId="26888" xr:uid="{F7C7098E-45E5-4137-9742-44FFBB52D42D}"/>
    <cellStyle name="SAPBEXaggItemX 3" xfId="26889" xr:uid="{3CA998B2-196B-4F37-9D72-6389917A8C0C}"/>
    <cellStyle name="SAPBEXaggItemX 3 2" xfId="26890" xr:uid="{3F6FDE80-8787-4292-8A65-6EBC6257BD9F}"/>
    <cellStyle name="SAPBEXaggItemX 3 3" xfId="26891" xr:uid="{E8B55991-D861-41E9-AE29-997A78391CAF}"/>
    <cellStyle name="SAPBEXaggItemX 3 4" xfId="26892" xr:uid="{8053E65E-478F-44D6-8A48-8AAC1373EEEF}"/>
    <cellStyle name="SAPBEXaggItemX 4" xfId="26893" xr:uid="{30E205AC-D9B4-435A-AF59-F32FA6175AFA}"/>
    <cellStyle name="SAPBEXaggItemX 5" xfId="26894" xr:uid="{D4528E61-DD84-42C3-9609-133F0B730A6E}"/>
    <cellStyle name="SAPBEXaggItemX 6" xfId="26895" xr:uid="{E46869FF-17CA-4D09-8912-92C49CFA73A4}"/>
    <cellStyle name="SAPBEXaggItemX 7" xfId="26896" xr:uid="{3FE5087C-1B6A-4731-917E-5F10A05EDD9A}"/>
    <cellStyle name="SAPBEXaggItemX 8" xfId="26897" xr:uid="{7C61C827-4FC7-4ABF-9452-3A369E35D01A}"/>
    <cellStyle name="SAPBEXaggItemX 9" xfId="26898" xr:uid="{84EF5793-9DB9-4C22-AF18-7E96943765E4}"/>
    <cellStyle name="SAPBEXchaText" xfId="269" xr:uid="{BC101BC1-4651-474F-ADC5-819425258A23}"/>
    <cellStyle name="SAPBEXchaText 10" xfId="26899" xr:uid="{DA126C8C-7621-49C9-984C-2A1D93BFE36F}"/>
    <cellStyle name="SAPBEXchaText 11" xfId="26900" xr:uid="{5B8EB070-E600-4602-B44F-C763AAAD7997}"/>
    <cellStyle name="SAPBEXchaText 12" xfId="26901" xr:uid="{6EB33941-2E86-40F2-ACB9-A58D3AF043B2}"/>
    <cellStyle name="SAPBEXchaText 13" xfId="26902" xr:uid="{1DE07EC9-88D4-4C34-88DB-F8924E4A74F5}"/>
    <cellStyle name="SAPBEXchaText 14" xfId="26903" xr:uid="{C1D55D0D-8E25-4A44-9638-0652309B2D3F}"/>
    <cellStyle name="SAPBEXchaText 15" xfId="26904" xr:uid="{EFF1B79C-BD8C-4D8E-804F-52C7F8180557}"/>
    <cellStyle name="SAPBEXchaText 2" xfId="26905" xr:uid="{5060B675-E2ED-4388-8B63-EC942DF594E7}"/>
    <cellStyle name="SAPBEXchaText 2 2" xfId="26906" xr:uid="{04899A27-575C-43B3-A169-54C03C0ACC8E}"/>
    <cellStyle name="SAPBEXchaText 2 2 2" xfId="26907" xr:uid="{50800A52-E5DC-46A6-8008-F42DAED59DDF}"/>
    <cellStyle name="SAPBEXchaText 2 2 2 2" xfId="26908" xr:uid="{FDAB5155-0DEA-4EE4-82F9-E0DD2410B6C7}"/>
    <cellStyle name="SAPBEXchaText 2 2 3" xfId="26909" xr:uid="{90D8F95C-14EB-4BB7-AFB3-1FF545F3F1CA}"/>
    <cellStyle name="SAPBEXchaText 2 2 4" xfId="26910" xr:uid="{F22F432A-BE38-4738-9E62-E35C965051E8}"/>
    <cellStyle name="SAPBEXchaText 2 2 5" xfId="26911" xr:uid="{98897AB3-C96D-4970-BBEC-2D98A5474741}"/>
    <cellStyle name="SAPBEXchaText 2 3" xfId="26912" xr:uid="{0FEBBC65-F653-4463-88F0-41B84C283421}"/>
    <cellStyle name="SAPBEXchaText 2 3 2" xfId="26913" xr:uid="{0BC5BDA6-8BFD-4AD7-A48B-D90BADF739C2}"/>
    <cellStyle name="SAPBEXchaText 2 3 3" xfId="26914" xr:uid="{77352BF9-8D3A-4F69-ABEA-E45B246AB06B}"/>
    <cellStyle name="SAPBEXchaText 2 3 4" xfId="26915" xr:uid="{B2C7AFED-5507-49CC-9EC3-0AAC1FBE89B1}"/>
    <cellStyle name="SAPBEXchaText 2 4" xfId="26916" xr:uid="{2398F7C3-A3B9-4BB5-B548-D77F9119E6A8}"/>
    <cellStyle name="SAPBEXchaText 2 5" xfId="26917" xr:uid="{B1A8795C-709E-4364-B8C1-5F1E1C04EDAB}"/>
    <cellStyle name="SAPBEXchaText 2 6" xfId="26918" xr:uid="{669F8200-65B4-4676-98B6-EEA818A5F2B3}"/>
    <cellStyle name="SAPBEXchaText 2 7" xfId="26919" xr:uid="{D996E5A9-4FF7-4E4F-98D5-7006D94FDD4B}"/>
    <cellStyle name="SAPBEXchaText 2 8" xfId="26920" xr:uid="{6C6E291E-A849-45B2-A68F-40C0DE67FBD5}"/>
    <cellStyle name="SAPBEXchaText 3" xfId="26921" xr:uid="{1F87E30B-9FAA-4617-AA1A-96BAA03666D0}"/>
    <cellStyle name="SAPBEXchaText 3 2" xfId="26922" xr:uid="{94389FE9-C333-42B1-8E77-63BE47829F25}"/>
    <cellStyle name="SAPBEXchaText 3 2 2" xfId="26923" xr:uid="{C874FDBF-13DD-4318-BA86-75AE133E0900}"/>
    <cellStyle name="SAPBEXchaText 3 2 3" xfId="26924" xr:uid="{93506780-648C-4119-BF8C-9B0BCB7A7482}"/>
    <cellStyle name="SAPBEXchaText 3 3" xfId="26925" xr:uid="{9EA73E10-9148-455F-911A-21BDF1C1A18C}"/>
    <cellStyle name="SAPBEXchaText 3 4" xfId="26926" xr:uid="{70BE9D54-3BF2-42E8-824A-4186AD938B34}"/>
    <cellStyle name="SAPBEXchaText 3 5" xfId="26927" xr:uid="{A4CE23DD-605D-418F-A2CA-1CC0113D2040}"/>
    <cellStyle name="SAPBEXchaText 3 6" xfId="26928" xr:uid="{B9F3522D-FD49-4AD7-B1DE-08DA26E8FD0D}"/>
    <cellStyle name="SAPBEXchaText 3 7" xfId="26929" xr:uid="{A857E16F-2696-4FCC-A562-547FCD6CA120}"/>
    <cellStyle name="SAPBEXchaText 3 8" xfId="26930" xr:uid="{A016295F-C67E-4711-B254-9A95EB7AC8C9}"/>
    <cellStyle name="SAPBEXchaText 4" xfId="26931" xr:uid="{41B7DDB3-54F0-4D7C-B5B8-61B02C599925}"/>
    <cellStyle name="SAPBEXchaText 4 2" xfId="26932" xr:uid="{121CDFAA-3DEB-4E55-BB88-1911FBC04C7D}"/>
    <cellStyle name="SAPBEXchaText 4 2 2" xfId="26933" xr:uid="{632C6650-9324-4B50-9DD2-0C4760997CC5}"/>
    <cellStyle name="SAPBEXchaText 4 2 3" xfId="26934" xr:uid="{E0A53BB8-0301-40CB-B011-3E3CE6D06CFB}"/>
    <cellStyle name="SAPBEXchaText 4 3" xfId="26935" xr:uid="{CCB0246E-293F-490C-B497-AB634980DC77}"/>
    <cellStyle name="SAPBEXchaText 4 4" xfId="26936" xr:uid="{6E67B6D9-29CA-4422-B414-8F586CF0263E}"/>
    <cellStyle name="SAPBEXchaText 4 5" xfId="26937" xr:uid="{513C2018-8F17-41CB-B43D-DB2378E92645}"/>
    <cellStyle name="SAPBEXchaText 5" xfId="26938" xr:uid="{82DD2C35-6BB8-4593-84C5-E7BE54ED865F}"/>
    <cellStyle name="SAPBEXchaText 5 2" xfId="26939" xr:uid="{517C382F-5B81-404A-A707-CF4555D8C04E}"/>
    <cellStyle name="SAPBEXchaText 5 2 2" xfId="26940" xr:uid="{37CBA3E0-FADB-4900-931C-EFDFFB60A8A8}"/>
    <cellStyle name="SAPBEXchaText 5 2 3" xfId="26941" xr:uid="{FC9FDE91-1E51-4064-B143-F9192F847572}"/>
    <cellStyle name="SAPBEXchaText 5 3" xfId="26942" xr:uid="{3CCA399B-B105-4D6A-86DE-4D679D7ED101}"/>
    <cellStyle name="SAPBEXchaText 5 4" xfId="26943" xr:uid="{DF779377-188F-4A06-9537-EA5C03DD6995}"/>
    <cellStyle name="SAPBEXchaText 5 5" xfId="26944" xr:uid="{CD9D5D08-235D-458E-996E-848CC2BD1646}"/>
    <cellStyle name="SAPBEXchaText 6" xfId="26945" xr:uid="{9BAA731C-68C8-46A7-B98F-142B1D4B8699}"/>
    <cellStyle name="SAPBEXchaText 6 2" xfId="26946" xr:uid="{A110C60E-E15E-4DE2-87C9-BC1473BE358E}"/>
    <cellStyle name="SAPBEXchaText 6 2 2" xfId="26947" xr:uid="{34894843-FBF0-4066-B98D-027D495B35E7}"/>
    <cellStyle name="SAPBEXchaText 6 2 3" xfId="26948" xr:uid="{3C0439EA-02EA-4812-90FC-07EF89580C8B}"/>
    <cellStyle name="SAPBEXchaText 6 3" xfId="26949" xr:uid="{FF8A62F1-5491-45EC-85F7-D2EC24D45D07}"/>
    <cellStyle name="SAPBEXchaText 6 4" xfId="26950" xr:uid="{B82A7CBA-70E7-4645-BD21-DA40DE2784B6}"/>
    <cellStyle name="SAPBEXchaText 6 5" xfId="26951" xr:uid="{446BA364-3D5F-45A2-AE75-84E072C3FF4D}"/>
    <cellStyle name="SAPBEXchaText 7" xfId="26952" xr:uid="{B8D0D9B4-37BF-4EFB-AA28-919236278999}"/>
    <cellStyle name="SAPBEXchaText 7 2" xfId="26953" xr:uid="{09E80EA5-2FC8-4A62-8776-B37D234BE5D0}"/>
    <cellStyle name="SAPBEXchaText 7 3" xfId="26954" xr:uid="{D3D65891-8813-4C62-9ECD-4453FC7D8AC8}"/>
    <cellStyle name="SAPBEXchaText 7 4" xfId="26955" xr:uid="{47C56B89-4CDE-4D21-B657-5C055C4B4B0B}"/>
    <cellStyle name="SAPBEXchaText 8" xfId="26956" xr:uid="{8CE82CC0-7BA0-488D-ADE3-42DDDA1C9D99}"/>
    <cellStyle name="SAPBEXchaText 8 2" xfId="26957" xr:uid="{C222A93B-1832-4B2B-8F37-1B21D4F2C016}"/>
    <cellStyle name="SAPBEXchaText 8 3" xfId="26958" xr:uid="{BBC24E1A-3E89-46C9-AB61-36BEA9A64743}"/>
    <cellStyle name="SAPBEXchaText 8 4" xfId="26959" xr:uid="{AF55C399-CA37-447E-B286-24CC8E3D3890}"/>
    <cellStyle name="SAPBEXchaText 9" xfId="26960" xr:uid="{4BEB4064-94BE-491B-B445-A6758B5CD23A}"/>
    <cellStyle name="SAPBEXchaText 9 2" xfId="26961" xr:uid="{3041FFF4-4B37-4A29-811B-6A0E58090376}"/>
    <cellStyle name="SAPBEXchaText 9 3" xfId="26962" xr:uid="{993BB1A7-5349-47FF-9265-FBFB5EE0C967}"/>
    <cellStyle name="SAPBEXexcBad7" xfId="270" xr:uid="{EBF81E31-EEAA-4192-AC57-4077086174AB}"/>
    <cellStyle name="SAPBEXexcBad7 10" xfId="26963" xr:uid="{497AE2B0-9A2E-4CF0-9E49-708486560CF8}"/>
    <cellStyle name="SAPBEXexcBad7 11" xfId="26964" xr:uid="{2034697F-50D3-4DF1-A53A-99395A5BB594}"/>
    <cellStyle name="SAPBEXexcBad7 12" xfId="26965" xr:uid="{522F41D7-623C-42B3-A1FC-8D0F7F16EA91}"/>
    <cellStyle name="SAPBEXexcBad7 13" xfId="26966" xr:uid="{F85EB6B3-AFBD-4CF6-ACE0-FA18C31337D6}"/>
    <cellStyle name="SAPBEXexcBad7 2" xfId="26967" xr:uid="{23A0ADDF-9BDF-451B-93D3-23AC5F12387B}"/>
    <cellStyle name="SAPBEXexcBad7 2 2" xfId="26968" xr:uid="{9CE792C0-34C9-4240-8E64-719B074E3A62}"/>
    <cellStyle name="SAPBEXexcBad7 2 2 2" xfId="26969" xr:uid="{40793A55-BD31-473C-A3AC-153AAD3179F4}"/>
    <cellStyle name="SAPBEXexcBad7 2 2 3" xfId="26970" xr:uid="{CEAA0508-2A6B-4373-8774-20D793778BDA}"/>
    <cellStyle name="SAPBEXexcBad7 2 3" xfId="26971" xr:uid="{FB7BA852-9287-471B-B3D4-9E306311ACDA}"/>
    <cellStyle name="SAPBEXexcBad7 2 3 2" xfId="26972" xr:uid="{457C95FE-EA98-4D48-A494-182DB5F69471}"/>
    <cellStyle name="SAPBEXexcBad7 2 3 3" xfId="26973" xr:uid="{B8403507-9696-4811-A643-E316BC578BF6}"/>
    <cellStyle name="SAPBEXexcBad7 2 4" xfId="26974" xr:uid="{63671B9C-A8D2-427B-8B29-F39951D0A827}"/>
    <cellStyle name="SAPBEXexcBad7 2 5" xfId="26975" xr:uid="{1ECD817D-EED8-4EF9-B056-ECB1922E4AA0}"/>
    <cellStyle name="SAPBEXexcBad7 2 6" xfId="26976" xr:uid="{53E05CE7-7DB8-4851-8EAD-D73ECE160D1B}"/>
    <cellStyle name="SAPBEXexcBad7 3" xfId="26977" xr:uid="{DA831BEE-4B87-44DF-BFD7-5098A35C5D5F}"/>
    <cellStyle name="SAPBEXexcBad7 3 2" xfId="26978" xr:uid="{C6DDE849-F794-4B10-A0F4-9231B541EC0E}"/>
    <cellStyle name="SAPBEXexcBad7 3 3" xfId="26979" xr:uid="{2ED1E5D2-C262-4E34-B873-0FD41D77DD23}"/>
    <cellStyle name="SAPBEXexcBad7 3 4" xfId="26980" xr:uid="{02BF660F-DBEC-49D5-95AB-78855899EF2E}"/>
    <cellStyle name="SAPBEXexcBad7 4" xfId="26981" xr:uid="{AFD21285-6EDD-403E-8F34-2656356CCECC}"/>
    <cellStyle name="SAPBEXexcBad7 5" xfId="26982" xr:uid="{7774BCA9-56FF-45DF-B206-449FBB04B274}"/>
    <cellStyle name="SAPBEXexcBad7 6" xfId="26983" xr:uid="{C682F9E2-A449-4F8B-BFA0-8F8AA824B233}"/>
    <cellStyle name="SAPBEXexcBad7 7" xfId="26984" xr:uid="{4D096907-1037-47E6-98C2-CD1053DD4997}"/>
    <cellStyle name="SAPBEXexcBad7 8" xfId="26985" xr:uid="{E44CCC6F-28FE-43CD-A7E3-32BE4C5B12DA}"/>
    <cellStyle name="SAPBEXexcBad7 9" xfId="26986" xr:uid="{B4F65597-4498-420B-9663-1FA6AEF2E5B0}"/>
    <cellStyle name="SAPBEXexcBad8" xfId="271" xr:uid="{D30E263F-3B4E-4683-AE2B-C0D2D354F306}"/>
    <cellStyle name="SAPBEXexcBad8 10" xfId="26987" xr:uid="{993C1B3E-CB75-42C3-8234-9CCFF73779EA}"/>
    <cellStyle name="SAPBEXexcBad8 11" xfId="26988" xr:uid="{00095C69-D658-4545-983F-5898C089F986}"/>
    <cellStyle name="SAPBEXexcBad8 12" xfId="26989" xr:uid="{87614A74-86A1-4A1E-8050-B00FACE2C921}"/>
    <cellStyle name="SAPBEXexcBad8 13" xfId="26990" xr:uid="{AB05BED9-2109-4B23-AC51-67D209C4C7FF}"/>
    <cellStyle name="SAPBEXexcBad8 2" xfId="26991" xr:uid="{78C7D85F-A484-4584-B7F1-FF01AEBE9C8E}"/>
    <cellStyle name="SAPBEXexcBad8 2 2" xfId="26992" xr:uid="{ABDE4808-8A8A-4D81-AABA-AC6C08F7C7F1}"/>
    <cellStyle name="SAPBEXexcBad8 2 2 2" xfId="26993" xr:uid="{27919DC7-286D-4925-B1B7-0C7713A4A024}"/>
    <cellStyle name="SAPBEXexcBad8 2 2 3" xfId="26994" xr:uid="{5CDFBA70-52C5-4041-A9FF-A97C6828B1E1}"/>
    <cellStyle name="SAPBEXexcBad8 2 3" xfId="26995" xr:uid="{E7D31729-5F7D-4E7A-8D7B-96E10E303A1B}"/>
    <cellStyle name="SAPBEXexcBad8 2 3 2" xfId="26996" xr:uid="{581A465C-1966-464D-B4BD-B937FDC98360}"/>
    <cellStyle name="SAPBEXexcBad8 2 3 3" xfId="26997" xr:uid="{67C8D75D-D366-4734-97EB-9EAFF6C4461D}"/>
    <cellStyle name="SAPBEXexcBad8 2 4" xfId="26998" xr:uid="{933EBE35-5223-4072-AE6D-323814B8795C}"/>
    <cellStyle name="SAPBEXexcBad8 2 5" xfId="26999" xr:uid="{816D47E0-901D-4030-B6AC-816CFFC91315}"/>
    <cellStyle name="SAPBEXexcBad8 2 6" xfId="27000" xr:uid="{42A9C177-688D-4A89-8B0A-A347CA6BC56D}"/>
    <cellStyle name="SAPBEXexcBad8 3" xfId="27001" xr:uid="{7C02485A-5043-4D97-AFA0-601F27C2B892}"/>
    <cellStyle name="SAPBEXexcBad8 3 2" xfId="27002" xr:uid="{87830605-81ED-48FC-BD44-331380232A15}"/>
    <cellStyle name="SAPBEXexcBad8 3 3" xfId="27003" xr:uid="{B65F96CD-158F-4B36-9C8E-47B31DAB9732}"/>
    <cellStyle name="SAPBEXexcBad8 3 4" xfId="27004" xr:uid="{872F1734-343E-4018-85EE-BBAC378A92E7}"/>
    <cellStyle name="SAPBEXexcBad8 4" xfId="27005" xr:uid="{E9562683-06A8-40D2-A9AF-30F1460BE937}"/>
    <cellStyle name="SAPBEXexcBad8 5" xfId="27006" xr:uid="{68530A39-1A0C-454C-A679-1D4CA61B7BD4}"/>
    <cellStyle name="SAPBEXexcBad8 6" xfId="27007" xr:uid="{0D7951AB-49B7-454A-B22D-7D7F632902A2}"/>
    <cellStyle name="SAPBEXexcBad8 7" xfId="27008" xr:uid="{A72B0A84-4D1E-463D-A3DD-061910CD5B3B}"/>
    <cellStyle name="SAPBEXexcBad8 8" xfId="27009" xr:uid="{5B0FC480-8B04-4FBA-A760-FD3E911BD102}"/>
    <cellStyle name="SAPBEXexcBad8 9" xfId="27010" xr:uid="{6F3B3F9B-C69C-4880-8ED0-E577FEEA3FA2}"/>
    <cellStyle name="SAPBEXexcBad9" xfId="272" xr:uid="{FFF8B89B-D39D-4DB2-8C42-0578D3D2DDD7}"/>
    <cellStyle name="SAPBEXexcBad9 10" xfId="27011" xr:uid="{7BA4C4D4-40C8-4539-9649-4C8BDF0CE19F}"/>
    <cellStyle name="SAPBEXexcBad9 11" xfId="27012" xr:uid="{3D0600C3-5B4C-4D44-8E39-05F63671249C}"/>
    <cellStyle name="SAPBEXexcBad9 12" xfId="27013" xr:uid="{9DE8DE90-B07B-423C-9D0A-D85820377367}"/>
    <cellStyle name="SAPBEXexcBad9 13" xfId="27014" xr:uid="{A3D622B8-994F-4469-AF5F-3D466CA8ACA2}"/>
    <cellStyle name="SAPBEXexcBad9 2" xfId="27015" xr:uid="{6BFE9A7A-DCC6-47A6-B91F-0BF496A0900C}"/>
    <cellStyle name="SAPBEXexcBad9 2 2" xfId="27016" xr:uid="{10EDE74C-1168-4EAF-8D55-2084BEBC7F67}"/>
    <cellStyle name="SAPBEXexcBad9 2 2 2" xfId="27017" xr:uid="{4ECA8E20-FA1F-49C7-993F-B8CEBDBFD025}"/>
    <cellStyle name="SAPBEXexcBad9 2 2 3" xfId="27018" xr:uid="{3C50C925-D89A-4EBA-BBEA-D12CC198AA46}"/>
    <cellStyle name="SAPBEXexcBad9 2 3" xfId="27019" xr:uid="{CE8C58C3-E5B5-46E4-BBE1-D49B13D90C1E}"/>
    <cellStyle name="SAPBEXexcBad9 2 3 2" xfId="27020" xr:uid="{440C4826-B866-48B7-9120-36673FE46E6A}"/>
    <cellStyle name="SAPBEXexcBad9 2 3 3" xfId="27021" xr:uid="{08A87D61-FC35-45CF-9D19-A880BF345F12}"/>
    <cellStyle name="SAPBEXexcBad9 2 4" xfId="27022" xr:uid="{1607B687-959B-4ADB-807A-A728D7DB0C2A}"/>
    <cellStyle name="SAPBEXexcBad9 2 5" xfId="27023" xr:uid="{83D51D47-5FA1-488B-92D4-D2E6B3DBCE69}"/>
    <cellStyle name="SAPBEXexcBad9 2 6" xfId="27024" xr:uid="{4E75AE8D-422A-4BCD-8437-BA6721352705}"/>
    <cellStyle name="SAPBEXexcBad9 3" xfId="27025" xr:uid="{98C31840-6B33-42A2-94A8-602C4C72166F}"/>
    <cellStyle name="SAPBEXexcBad9 3 2" xfId="27026" xr:uid="{12A99A90-83C4-42B7-AAAC-F596E2B6563E}"/>
    <cellStyle name="SAPBEXexcBad9 3 3" xfId="27027" xr:uid="{9DC60AF8-2F6D-48CA-A0D6-0F09418D2CCC}"/>
    <cellStyle name="SAPBEXexcBad9 3 4" xfId="27028" xr:uid="{492DBAF1-C214-49CE-82B8-5359E1E51B80}"/>
    <cellStyle name="SAPBEXexcBad9 4" xfId="27029" xr:uid="{CB579F20-A16C-4A23-A197-4CC37753FD02}"/>
    <cellStyle name="SAPBEXexcBad9 5" xfId="27030" xr:uid="{DD3E21F2-FC2B-44F9-AD46-71062B289910}"/>
    <cellStyle name="SAPBEXexcBad9 6" xfId="27031" xr:uid="{303BC6D2-C799-4EF3-9819-5C33FB18D211}"/>
    <cellStyle name="SAPBEXexcBad9 7" xfId="27032" xr:uid="{FFAEBE61-46A3-48FD-8862-47F8348EA06A}"/>
    <cellStyle name="SAPBEXexcBad9 8" xfId="27033" xr:uid="{BC3DE704-8227-4A28-BC48-7E479170DD7D}"/>
    <cellStyle name="SAPBEXexcBad9 9" xfId="27034" xr:uid="{8686CE0D-413A-40E0-B908-E6E41492BB25}"/>
    <cellStyle name="SAPBEXexcCritical4" xfId="273" xr:uid="{B8D91F42-A61E-4390-9312-6004C9C5B3AC}"/>
    <cellStyle name="SAPBEXexcCritical4 10" xfId="27035" xr:uid="{7A4D74F5-6FE4-4567-8D31-49CBFCD98B0E}"/>
    <cellStyle name="SAPBEXexcCritical4 11" xfId="27036" xr:uid="{FE799113-DAFB-4F6F-BE04-59D85EB62CA4}"/>
    <cellStyle name="SAPBEXexcCritical4 12" xfId="27037" xr:uid="{9026B94C-2615-410E-B410-60EF87C30E35}"/>
    <cellStyle name="SAPBEXexcCritical4 13" xfId="27038" xr:uid="{4FD2D618-E2FE-4EC1-90F3-FAC4CAFCE442}"/>
    <cellStyle name="SAPBEXexcCritical4 2" xfId="27039" xr:uid="{C0C03987-084F-4B9E-BCB2-FDC9755BF1C2}"/>
    <cellStyle name="SAPBEXexcCritical4 2 2" xfId="27040" xr:uid="{03371B0E-527F-43E9-890D-7175F536EBC5}"/>
    <cellStyle name="SAPBEXexcCritical4 2 2 2" xfId="27041" xr:uid="{CEA1A287-7D2F-4194-A92F-D46763D7F0FE}"/>
    <cellStyle name="SAPBEXexcCritical4 2 2 3" xfId="27042" xr:uid="{9F3F3A21-B9C9-4BF0-955D-51BFC5903F5D}"/>
    <cellStyle name="SAPBEXexcCritical4 2 3" xfId="27043" xr:uid="{0A086095-16AB-4BE8-ACB7-1879BDFF1B63}"/>
    <cellStyle name="SAPBEXexcCritical4 2 3 2" xfId="27044" xr:uid="{EF1A13B6-F1F8-4A12-BCEB-ED6446326474}"/>
    <cellStyle name="SAPBEXexcCritical4 2 3 3" xfId="27045" xr:uid="{B3386504-4E67-47F3-BC71-A73A5958338D}"/>
    <cellStyle name="SAPBEXexcCritical4 2 4" xfId="27046" xr:uid="{A7A233D2-C1AD-441F-913C-1385E012A354}"/>
    <cellStyle name="SAPBEXexcCritical4 2 5" xfId="27047" xr:uid="{B501CE59-46FD-43FF-B657-72A12A46D324}"/>
    <cellStyle name="SAPBEXexcCritical4 2 6" xfId="27048" xr:uid="{D62BAF36-7D78-4A25-B4FD-04C570E02B16}"/>
    <cellStyle name="SAPBEXexcCritical4 3" xfId="27049" xr:uid="{BBDCEE43-80B5-4011-8F1F-67B5FF1E245A}"/>
    <cellStyle name="SAPBEXexcCritical4 3 2" xfId="27050" xr:uid="{5FDB6905-45AB-4F15-A082-399E660417C6}"/>
    <cellStyle name="SAPBEXexcCritical4 3 3" xfId="27051" xr:uid="{01FB45E4-2BF2-47C7-94D0-E6A938F61091}"/>
    <cellStyle name="SAPBEXexcCritical4 3 4" xfId="27052" xr:uid="{2983D35D-3383-4B6F-8056-23DBBC47B8EB}"/>
    <cellStyle name="SAPBEXexcCritical4 4" xfId="27053" xr:uid="{8986536D-A7DE-46EF-96F5-0775FC308AEC}"/>
    <cellStyle name="SAPBEXexcCritical4 5" xfId="27054" xr:uid="{445B6581-0994-495C-A680-F894F1AE3C71}"/>
    <cellStyle name="SAPBEXexcCritical4 6" xfId="27055" xr:uid="{551F23BC-3773-46C9-821D-35CDE2C310CB}"/>
    <cellStyle name="SAPBEXexcCritical4 7" xfId="27056" xr:uid="{762A5BB0-5F28-42AA-B6B7-ECB9FC452CD0}"/>
    <cellStyle name="SAPBEXexcCritical4 8" xfId="27057" xr:uid="{E01073B6-342F-4448-BB08-AA852C58E38E}"/>
    <cellStyle name="SAPBEXexcCritical4 9" xfId="27058" xr:uid="{3C036396-A5B6-409F-9459-16F4B56FA3CB}"/>
    <cellStyle name="SAPBEXexcCritical5" xfId="274" xr:uid="{84870206-A397-4AA9-ACCC-46655551D62F}"/>
    <cellStyle name="SAPBEXexcCritical5 10" xfId="27059" xr:uid="{E8BA516C-06B3-41F1-B6A8-D30446A6236F}"/>
    <cellStyle name="SAPBEXexcCritical5 11" xfId="27060" xr:uid="{7B429D02-8FE0-4CB0-BA3F-4A1D78F13642}"/>
    <cellStyle name="SAPBEXexcCritical5 12" xfId="27061" xr:uid="{C2F2C2D3-8017-418D-A7E5-9B426EE2653B}"/>
    <cellStyle name="SAPBEXexcCritical5 13" xfId="27062" xr:uid="{F6D7F8F8-F371-46D3-B152-72975FA025D9}"/>
    <cellStyle name="SAPBEXexcCritical5 2" xfId="27063" xr:uid="{5BF26350-4EEC-474F-962C-B3E9CA679CD3}"/>
    <cellStyle name="SAPBEXexcCritical5 2 2" xfId="27064" xr:uid="{F02E8492-7110-4156-8A77-C6304C833785}"/>
    <cellStyle name="SAPBEXexcCritical5 2 2 2" xfId="27065" xr:uid="{8816FDEB-FAC6-421D-A532-6081DD2C1348}"/>
    <cellStyle name="SAPBEXexcCritical5 2 2 3" xfId="27066" xr:uid="{9E9E1271-A9A0-4B58-AB1C-870E8A8916AB}"/>
    <cellStyle name="SAPBEXexcCritical5 2 3" xfId="27067" xr:uid="{D52A3327-9E23-4ECD-A56D-4C96757BCF1D}"/>
    <cellStyle name="SAPBEXexcCritical5 2 3 2" xfId="27068" xr:uid="{DC99D852-40F7-4D56-89D8-D4E613AC0C64}"/>
    <cellStyle name="SAPBEXexcCritical5 2 3 3" xfId="27069" xr:uid="{8F4290C2-46CA-4DC6-8047-F4A1ECAC115B}"/>
    <cellStyle name="SAPBEXexcCritical5 2 4" xfId="27070" xr:uid="{506B792B-44D4-4248-8D28-37C460D70CEC}"/>
    <cellStyle name="SAPBEXexcCritical5 2 5" xfId="27071" xr:uid="{E09FF1F3-B2AA-45FF-8512-F9DC36B888B6}"/>
    <cellStyle name="SAPBEXexcCritical5 2 6" xfId="27072" xr:uid="{C08A14BF-005F-4969-BA25-BB2E01E5A5B8}"/>
    <cellStyle name="SAPBEXexcCritical5 3" xfId="27073" xr:uid="{2F50AD39-1BD3-4AD3-9AB4-62BCB89C2A31}"/>
    <cellStyle name="SAPBEXexcCritical5 3 2" xfId="27074" xr:uid="{1F495450-6CD1-4D72-95A4-A7261CAAD6F6}"/>
    <cellStyle name="SAPBEXexcCritical5 3 3" xfId="27075" xr:uid="{D31960C2-6D5B-4721-9112-0AA6384EFDD4}"/>
    <cellStyle name="SAPBEXexcCritical5 3 4" xfId="27076" xr:uid="{626072F8-65B0-45F1-B92A-CAD2A4283A94}"/>
    <cellStyle name="SAPBEXexcCritical5 4" xfId="27077" xr:uid="{3EFA877D-F978-487E-8C2C-2044651DC213}"/>
    <cellStyle name="SAPBEXexcCritical5 5" xfId="27078" xr:uid="{9FDE176A-6F08-40EC-B5CE-299CE541A6C1}"/>
    <cellStyle name="SAPBEXexcCritical5 6" xfId="27079" xr:uid="{7F7B30BE-68DD-4B7C-92AD-E17EF0D489E0}"/>
    <cellStyle name="SAPBEXexcCritical5 7" xfId="27080" xr:uid="{C56DD701-1181-47CA-BAC8-BA201EC78BE5}"/>
    <cellStyle name="SAPBEXexcCritical5 8" xfId="27081" xr:uid="{4135F9B2-3ADC-4873-8AE1-E34BB63C8A96}"/>
    <cellStyle name="SAPBEXexcCritical5 9" xfId="27082" xr:uid="{06D706F5-E86F-494E-B5E2-D77D4C00060B}"/>
    <cellStyle name="SAPBEXexcCritical6" xfId="275" xr:uid="{FF3C534A-2EDE-4370-8702-B96070CBAEF3}"/>
    <cellStyle name="SAPBEXexcCritical6 10" xfId="27083" xr:uid="{2905FD35-3FC0-4B9C-AB7B-A95AA13BA203}"/>
    <cellStyle name="SAPBEXexcCritical6 11" xfId="27084" xr:uid="{42CAA4CE-A9F4-4AB2-B297-1742B6B5B511}"/>
    <cellStyle name="SAPBEXexcCritical6 12" xfId="27085" xr:uid="{63D3208C-E31E-40AD-B013-92233570D787}"/>
    <cellStyle name="SAPBEXexcCritical6 13" xfId="27086" xr:uid="{589F00CC-BC10-4501-A3B7-22B4779A9D51}"/>
    <cellStyle name="SAPBEXexcCritical6 2" xfId="27087" xr:uid="{EC875A60-5E0D-43F6-BF24-BF8F12D02A29}"/>
    <cellStyle name="SAPBEXexcCritical6 2 2" xfId="27088" xr:uid="{CD0E524C-1472-46A9-AF36-BB03C4F6D3BA}"/>
    <cellStyle name="SAPBEXexcCritical6 2 2 2" xfId="27089" xr:uid="{7870691A-6635-45B3-BB40-C63E35065CA5}"/>
    <cellStyle name="SAPBEXexcCritical6 2 2 3" xfId="27090" xr:uid="{5885E6A9-8F46-4736-868B-7CCAC9F08E0E}"/>
    <cellStyle name="SAPBEXexcCritical6 2 3" xfId="27091" xr:uid="{0EACBA5B-47EC-4D7E-8529-FB9142992A63}"/>
    <cellStyle name="SAPBEXexcCritical6 2 3 2" xfId="27092" xr:uid="{5EC010B3-E16F-4492-82A0-5FBE693EBEDC}"/>
    <cellStyle name="SAPBEXexcCritical6 2 3 3" xfId="27093" xr:uid="{143DED0D-0A0A-45AD-BD9D-CEF06D32184D}"/>
    <cellStyle name="SAPBEXexcCritical6 2 4" xfId="27094" xr:uid="{C8B4C92A-AF66-4DCD-9142-F7A0FFB2FD89}"/>
    <cellStyle name="SAPBEXexcCritical6 2 5" xfId="27095" xr:uid="{78365A3A-1BF0-4795-88B6-9F1AEFAB277C}"/>
    <cellStyle name="SAPBEXexcCritical6 2 6" xfId="27096" xr:uid="{B0B3E012-8674-40D5-ADCB-8C4F5A47DADD}"/>
    <cellStyle name="SAPBEXexcCritical6 3" xfId="27097" xr:uid="{715E577C-3BF6-4483-804C-E104C496ED09}"/>
    <cellStyle name="SAPBEXexcCritical6 3 2" xfId="27098" xr:uid="{8E85C5B8-531A-48BF-AF85-12585F8A12DF}"/>
    <cellStyle name="SAPBEXexcCritical6 3 3" xfId="27099" xr:uid="{B234040C-7B96-445D-A725-841706B4E66A}"/>
    <cellStyle name="SAPBEXexcCritical6 3 4" xfId="27100" xr:uid="{5AAD1D93-FB5B-4A14-805B-5E4E0C08DAEE}"/>
    <cellStyle name="SAPBEXexcCritical6 4" xfId="27101" xr:uid="{D8635B09-DC7F-464E-9CED-39754CB3585D}"/>
    <cellStyle name="SAPBEXexcCritical6 5" xfId="27102" xr:uid="{3AB600BF-97ED-41A7-9578-D5FA6CAF27AE}"/>
    <cellStyle name="SAPBEXexcCritical6 6" xfId="27103" xr:uid="{D1685B37-25A1-4FD9-95E7-234DFA72D281}"/>
    <cellStyle name="SAPBEXexcCritical6 7" xfId="27104" xr:uid="{DD973A1E-E1C8-4887-A62D-9085DA4C17C6}"/>
    <cellStyle name="SAPBEXexcCritical6 8" xfId="27105" xr:uid="{836652A7-1259-4179-99B9-8A10062ADA1E}"/>
    <cellStyle name="SAPBEXexcCritical6 9" xfId="27106" xr:uid="{166F92FB-77CC-4530-81F7-0AEBD2DC54ED}"/>
    <cellStyle name="SAPBEXexcGood1" xfId="276" xr:uid="{1228335A-005F-496F-951D-3B16C3F3EA42}"/>
    <cellStyle name="SAPBEXexcGood1 10" xfId="27107" xr:uid="{59530CD4-DBD5-4B04-A211-0B5FAF612BB5}"/>
    <cellStyle name="SAPBEXexcGood1 11" xfId="27108" xr:uid="{893C2ADF-A95E-4161-81BC-20685346FC9B}"/>
    <cellStyle name="SAPBEXexcGood1 12" xfId="27109" xr:uid="{A1BC96AC-1E71-4BEE-ACC5-ADD7599D4791}"/>
    <cellStyle name="SAPBEXexcGood1 13" xfId="27110" xr:uid="{83FC0698-E793-4623-9B90-E15F77A689FC}"/>
    <cellStyle name="SAPBEXexcGood1 2" xfId="27111" xr:uid="{93CBCA38-89F5-4071-893E-A26FC5155328}"/>
    <cellStyle name="SAPBEXexcGood1 2 2" xfId="27112" xr:uid="{36C192D2-DBB5-40B9-A9DF-F074765ADBBC}"/>
    <cellStyle name="SAPBEXexcGood1 2 2 2" xfId="27113" xr:uid="{B5FF58A1-4041-4FEF-B229-6A9E54DC88AB}"/>
    <cellStyle name="SAPBEXexcGood1 2 2 3" xfId="27114" xr:uid="{71EE563B-C6CB-443E-90CE-E401D9B7D56F}"/>
    <cellStyle name="SAPBEXexcGood1 2 3" xfId="27115" xr:uid="{E2ED722F-20F6-4604-8986-B37C2C16B4C5}"/>
    <cellStyle name="SAPBEXexcGood1 2 3 2" xfId="27116" xr:uid="{CB513DC4-9694-45AF-9C73-4B2F90105022}"/>
    <cellStyle name="SAPBEXexcGood1 2 3 3" xfId="27117" xr:uid="{F643B990-17D4-4378-AD15-A758BF4BF157}"/>
    <cellStyle name="SAPBEXexcGood1 2 4" xfId="27118" xr:uid="{D8E551E6-30CA-40A1-BCE6-BFE2DDE0863D}"/>
    <cellStyle name="SAPBEXexcGood1 2 5" xfId="27119" xr:uid="{BF8DC5F3-A9BA-44EF-938E-B1933D7D5C0A}"/>
    <cellStyle name="SAPBEXexcGood1 2 6" xfId="27120" xr:uid="{22AC5DCA-03A2-4FE9-932B-14678AB9631D}"/>
    <cellStyle name="SAPBEXexcGood1 3" xfId="27121" xr:uid="{AF697BF3-D10E-4F16-8389-FFA7EE085913}"/>
    <cellStyle name="SAPBEXexcGood1 3 2" xfId="27122" xr:uid="{F3C0BADC-FDBC-46B9-B61F-6A8D27730305}"/>
    <cellStyle name="SAPBEXexcGood1 3 3" xfId="27123" xr:uid="{A724CB2A-FA28-4828-B9B6-94A88D85FE3A}"/>
    <cellStyle name="SAPBEXexcGood1 3 4" xfId="27124" xr:uid="{10786283-B100-47C0-A539-5F2CDAB72BCE}"/>
    <cellStyle name="SAPBEXexcGood1 4" xfId="27125" xr:uid="{BBCE1214-6CF1-4BC9-85B8-01A7C2FDEBF0}"/>
    <cellStyle name="SAPBEXexcGood1 5" xfId="27126" xr:uid="{D0072C9C-2A00-4A8F-998E-1C6FBBFACECC}"/>
    <cellStyle name="SAPBEXexcGood1 6" xfId="27127" xr:uid="{FD270A53-8846-411C-A210-CF8CDDC523AF}"/>
    <cellStyle name="SAPBEXexcGood1 7" xfId="27128" xr:uid="{34A314D0-954C-4B41-9567-BB7A37247850}"/>
    <cellStyle name="SAPBEXexcGood1 8" xfId="27129" xr:uid="{ED655C4C-70C7-4727-AC8C-FD347EB42623}"/>
    <cellStyle name="SAPBEXexcGood1 9" xfId="27130" xr:uid="{C7B2FA46-1CBD-48BF-A61D-984BB06ECF7C}"/>
    <cellStyle name="SAPBEXexcGood2" xfId="277" xr:uid="{563BD6C3-61E1-4EC3-9BDB-3D9C027F4868}"/>
    <cellStyle name="SAPBEXexcGood2 10" xfId="27131" xr:uid="{0114C9D2-87EB-4F08-B749-0414280AC9A3}"/>
    <cellStyle name="SAPBEXexcGood2 11" xfId="27132" xr:uid="{9902A5B5-DCD6-4079-97C7-9078D5ACC0C1}"/>
    <cellStyle name="SAPBEXexcGood2 12" xfId="27133" xr:uid="{9869A38C-E67E-4DD2-90AD-7D3CD9700DD4}"/>
    <cellStyle name="SAPBEXexcGood2 13" xfId="27134" xr:uid="{D745CC04-621F-4752-90BD-C7DE68FFB27A}"/>
    <cellStyle name="SAPBEXexcGood2 2" xfId="27135" xr:uid="{3E5D714A-92D9-48AC-80E3-B7AF0C10D71D}"/>
    <cellStyle name="SAPBEXexcGood2 2 2" xfId="27136" xr:uid="{E03865E7-F823-4A54-9CD5-185DFEBDBA39}"/>
    <cellStyle name="SAPBEXexcGood2 2 2 2" xfId="27137" xr:uid="{415BABA9-620D-4B3B-9827-03398A0E4815}"/>
    <cellStyle name="SAPBEXexcGood2 2 2 3" xfId="27138" xr:uid="{D7C4484B-BE8D-424B-B813-0EE3FAE5B290}"/>
    <cellStyle name="SAPBEXexcGood2 2 3" xfId="27139" xr:uid="{E9EB0796-86BD-4B19-AE18-B694F11E43CF}"/>
    <cellStyle name="SAPBEXexcGood2 2 3 2" xfId="27140" xr:uid="{4881ED8F-E400-4033-82CE-C408160C7352}"/>
    <cellStyle name="SAPBEXexcGood2 2 3 3" xfId="27141" xr:uid="{1F3F136C-7A43-49A2-BE5A-58D67D9671C9}"/>
    <cellStyle name="SAPBEXexcGood2 2 4" xfId="27142" xr:uid="{40713F2D-F9E7-4A5C-ADF6-E489A3EA4A7D}"/>
    <cellStyle name="SAPBEXexcGood2 2 5" xfId="27143" xr:uid="{95DC8443-5CF0-4042-801B-C9FBB82FB206}"/>
    <cellStyle name="SAPBEXexcGood2 2 6" xfId="27144" xr:uid="{2098ACAE-DDCB-4FA7-BD9D-8E79786AFFA9}"/>
    <cellStyle name="SAPBEXexcGood2 3" xfId="27145" xr:uid="{2A07CA22-616F-4E33-BBCB-8F35BC61C129}"/>
    <cellStyle name="SAPBEXexcGood2 3 2" xfId="27146" xr:uid="{DAECDB20-79DF-4B5F-B7CA-397D56E0CAC3}"/>
    <cellStyle name="SAPBEXexcGood2 3 3" xfId="27147" xr:uid="{0A73B9B0-3908-4C61-817A-78D26AF1DD31}"/>
    <cellStyle name="SAPBEXexcGood2 3 4" xfId="27148" xr:uid="{4A261050-FF2A-410A-9170-837EFDBE5599}"/>
    <cellStyle name="SAPBEXexcGood2 4" xfId="27149" xr:uid="{377BF8F1-2DA0-48A7-8F1D-A3D1BBB25132}"/>
    <cellStyle name="SAPBEXexcGood2 5" xfId="27150" xr:uid="{C5672D60-751F-4915-AE2F-F6FA1C12570D}"/>
    <cellStyle name="SAPBEXexcGood2 6" xfId="27151" xr:uid="{FFEFC56C-B279-449C-8641-CCA8FEFAFBA5}"/>
    <cellStyle name="SAPBEXexcGood2 7" xfId="27152" xr:uid="{E8961ADD-BC1B-4DCC-B8EC-14F761F65D2F}"/>
    <cellStyle name="SAPBEXexcGood2 8" xfId="27153" xr:uid="{33D571DC-2C4F-469C-9BC3-AF25AFD9D5B6}"/>
    <cellStyle name="SAPBEXexcGood2 9" xfId="27154" xr:uid="{D7B26067-0220-4E93-BB04-18A5276BBBA7}"/>
    <cellStyle name="SAPBEXexcGood3" xfId="278" xr:uid="{56580F5A-307D-4252-ABD4-BE5F69BD0D68}"/>
    <cellStyle name="SAPBEXexcGood3 10" xfId="27155" xr:uid="{11A2AD85-AAFD-4BE3-98D3-0E47639C97E5}"/>
    <cellStyle name="SAPBEXexcGood3 11" xfId="27156" xr:uid="{BE86B4C6-27F2-43A5-84E6-2980F1568BF1}"/>
    <cellStyle name="SAPBEXexcGood3 12" xfId="27157" xr:uid="{C54BA6B0-DD60-4735-A6C3-D6A5DA50B470}"/>
    <cellStyle name="SAPBEXexcGood3 13" xfId="27158" xr:uid="{7741B823-ED85-4261-81E1-AF08C187105A}"/>
    <cellStyle name="SAPBEXexcGood3 2" xfId="27159" xr:uid="{6F35DBD4-8562-4F92-8C2B-82174346C6CB}"/>
    <cellStyle name="SAPBEXexcGood3 2 2" xfId="27160" xr:uid="{9F4C48C8-B3EF-4042-8E69-9C8BD27AC4E5}"/>
    <cellStyle name="SAPBEXexcGood3 2 2 2" xfId="27161" xr:uid="{25D96E0A-E62D-4C42-9602-7FE0BBA53523}"/>
    <cellStyle name="SAPBEXexcGood3 2 2 3" xfId="27162" xr:uid="{E7EE04FE-3BB2-4BCE-A3C4-8C4576581FCC}"/>
    <cellStyle name="SAPBEXexcGood3 2 3" xfId="27163" xr:uid="{09ECB11F-F8B0-4DA7-9B38-784EB57124BA}"/>
    <cellStyle name="SAPBEXexcGood3 2 3 2" xfId="27164" xr:uid="{8E925E32-C5A1-41C7-95B6-D5A7FB670E67}"/>
    <cellStyle name="SAPBEXexcGood3 2 3 3" xfId="27165" xr:uid="{60686C73-0E86-436E-B870-D8968284F2BD}"/>
    <cellStyle name="SAPBEXexcGood3 2 4" xfId="27166" xr:uid="{EBAF4B80-9745-467A-B34A-5B04C2F5C73A}"/>
    <cellStyle name="SAPBEXexcGood3 2 5" xfId="27167" xr:uid="{130789E4-CB45-452A-BF17-E7E872EECBA7}"/>
    <cellStyle name="SAPBEXexcGood3 2 6" xfId="27168" xr:uid="{71E5205E-FA4D-4368-96A7-2FD957DCDEEC}"/>
    <cellStyle name="SAPBEXexcGood3 3" xfId="27169" xr:uid="{8FF6FE3C-1130-4E2F-9BF1-548EFDC807B0}"/>
    <cellStyle name="SAPBEXexcGood3 3 2" xfId="27170" xr:uid="{1B7DB09A-9465-4E15-85C2-B915B4E6DE16}"/>
    <cellStyle name="SAPBEXexcGood3 3 3" xfId="27171" xr:uid="{9E827571-429B-485F-92F1-18DB64A2BE70}"/>
    <cellStyle name="SAPBEXexcGood3 3 4" xfId="27172" xr:uid="{6CBB8517-E735-4E7B-9C74-7EF1FBAD32D0}"/>
    <cellStyle name="SAPBEXexcGood3 4" xfId="27173" xr:uid="{5DDC26DF-E1DA-40E2-B70B-FA41A7A19724}"/>
    <cellStyle name="SAPBEXexcGood3 5" xfId="27174" xr:uid="{B8940F59-97F0-43C2-9161-1CD465B361AC}"/>
    <cellStyle name="SAPBEXexcGood3 6" xfId="27175" xr:uid="{30954DCF-9CEF-4FB4-95A9-C9936082F072}"/>
    <cellStyle name="SAPBEXexcGood3 7" xfId="27176" xr:uid="{8414FF36-E879-4194-ACB9-24CF2FD29648}"/>
    <cellStyle name="SAPBEXexcGood3 8" xfId="27177" xr:uid="{0BFE92A8-19E4-4AA8-B2E7-5A0A19A8D9B7}"/>
    <cellStyle name="SAPBEXexcGood3 9" xfId="27178" xr:uid="{BC08053D-FBDD-4492-8242-583006A40975}"/>
    <cellStyle name="SAPBEXfilterDrill" xfId="279" xr:uid="{C86CC98A-25DE-423A-992B-E54EA1BB0186}"/>
    <cellStyle name="SAPBEXfilterDrill 10" xfId="27179" xr:uid="{3683824E-29C6-4026-ADD2-41C6CB7090B2}"/>
    <cellStyle name="SAPBEXfilterDrill 11" xfId="27180" xr:uid="{9D82B211-4130-4EAE-853D-1CC5220AAC89}"/>
    <cellStyle name="SAPBEXfilterDrill 12" xfId="27181" xr:uid="{B90DDBC4-5E52-4F40-A0D9-39C0840E5D7E}"/>
    <cellStyle name="SAPBEXfilterDrill 13" xfId="27182" xr:uid="{E3EE7703-7CB5-47B1-B893-F11DAA861490}"/>
    <cellStyle name="SAPBEXfilterDrill 2" xfId="27183" xr:uid="{B0BDCA19-1487-4F3F-96C7-FC7B22044EE4}"/>
    <cellStyle name="SAPBEXfilterDrill 2 2" xfId="27184" xr:uid="{CE82D5E7-3186-4B6A-A76D-37A889846412}"/>
    <cellStyle name="SAPBEXfilterDrill 2 2 2" xfId="27185" xr:uid="{C9AE2F6F-A16F-4B88-B0E0-2A1598229251}"/>
    <cellStyle name="SAPBEXfilterDrill 2 2 3" xfId="27186" xr:uid="{379A5305-F8C7-43CD-9DC9-8DB5E3D8E015}"/>
    <cellStyle name="SAPBEXfilterDrill 2 3" xfId="27187" xr:uid="{384EEB4D-3438-445B-8874-2749494E0D3E}"/>
    <cellStyle name="SAPBEXfilterDrill 2 4" xfId="27188" xr:uid="{DFEB4C47-1769-4F0C-AB7A-C85F02B3861F}"/>
    <cellStyle name="SAPBEXfilterDrill 2 5" xfId="27189" xr:uid="{2460D287-5E18-44A5-B647-A34C8BD81D25}"/>
    <cellStyle name="SAPBEXfilterDrill 2 6" xfId="27190" xr:uid="{A4ADD643-B164-4470-813E-F3AF1533EBA3}"/>
    <cellStyle name="SAPBEXfilterDrill 3" xfId="27191" xr:uid="{9E998535-9621-458F-952C-B6A9D7B59814}"/>
    <cellStyle name="SAPBEXfilterDrill 3 2" xfId="27192" xr:uid="{7706B129-026A-4091-B494-3BFD6B491D30}"/>
    <cellStyle name="SAPBEXfilterDrill 4" xfId="27193" xr:uid="{ABCD4D34-C919-4C0E-8FFC-059C40639B7C}"/>
    <cellStyle name="SAPBEXfilterDrill 5" xfId="27194" xr:uid="{AE2C7E7B-4082-4B54-A8A7-69DDA587241C}"/>
    <cellStyle name="SAPBEXfilterDrill 6" xfId="27195" xr:uid="{EB3D61E5-C50D-4F8E-8F6D-C34917EDC6BE}"/>
    <cellStyle name="SAPBEXfilterDrill 7" xfId="27196" xr:uid="{131BD7D9-DB51-4122-8C88-12C153425207}"/>
    <cellStyle name="SAPBEXfilterDrill 8" xfId="27197" xr:uid="{6FB4B6B7-E2E5-4544-9798-7E93ADEEE8FD}"/>
    <cellStyle name="SAPBEXfilterDrill 9" xfId="27198" xr:uid="{960E3D48-5561-4C10-AE0B-8CB12BC86AC6}"/>
    <cellStyle name="SAPBEXfilterItem" xfId="280" xr:uid="{29F01C3C-E022-42DF-A6F0-AA45CCCF684D}"/>
    <cellStyle name="SAPBEXfilterItem 10" xfId="27199" xr:uid="{8BDCBC3F-8F33-4C9C-BB87-910AB23E4F4E}"/>
    <cellStyle name="SAPBEXfilterItem 11" xfId="27200" xr:uid="{04287CFE-B3FF-4957-BA1C-99F6526CF0B2}"/>
    <cellStyle name="SAPBEXfilterItem 12" xfId="27201" xr:uid="{8405B58E-F073-40A0-B6A1-27721801514A}"/>
    <cellStyle name="SAPBEXfilterItem 2" xfId="27202" xr:uid="{A6258531-D3CD-4AB4-B661-D2D8A348B015}"/>
    <cellStyle name="SAPBEXfilterItem 2 2" xfId="27203" xr:uid="{E035BA09-2582-4B0D-A1F2-57209E64C542}"/>
    <cellStyle name="SAPBEXfilterItem 2 2 2" xfId="27204" xr:uid="{D23327FC-B5FA-4B36-93EC-895C907AD4F5}"/>
    <cellStyle name="SAPBEXfilterItem 2 2 3" xfId="27205" xr:uid="{D50B98EA-289C-4103-828B-EE3D7956798A}"/>
    <cellStyle name="SAPBEXfilterItem 2 3" xfId="27206" xr:uid="{7810CF2E-3E75-4167-9018-51DEC151A0F8}"/>
    <cellStyle name="SAPBEXfilterItem 2 4" xfId="27207" xr:uid="{5D9210EE-3FE9-4F72-97C2-CD9C98171A81}"/>
    <cellStyle name="SAPBEXfilterItem 2 5" xfId="27208" xr:uid="{64225DC6-1DBD-4BDF-BB2A-3E75C67C79C6}"/>
    <cellStyle name="SAPBEXfilterItem 2 6" xfId="27209" xr:uid="{33842CD4-2CE8-4963-A525-FB26E6762525}"/>
    <cellStyle name="SAPBEXfilterItem 3" xfId="27210" xr:uid="{573E6B36-2419-4033-AEDB-96CB5B16EBCE}"/>
    <cellStyle name="SAPBEXfilterItem 3 2" xfId="27211" xr:uid="{0A5581EC-A273-4FF9-8206-FEABBE7FF3C3}"/>
    <cellStyle name="SAPBEXfilterItem 4" xfId="27212" xr:uid="{B26BA4B5-2A4A-4F1F-93BE-02264DF911DE}"/>
    <cellStyle name="SAPBEXfilterItem 4 2" xfId="27213" xr:uid="{6AD7CE0E-3E13-484A-AF86-A0FA57E6A9E4}"/>
    <cellStyle name="SAPBEXfilterItem 4 3" xfId="27214" xr:uid="{32CB2019-3A09-4D1E-B89A-3C8DD0D91EA5}"/>
    <cellStyle name="SAPBEXfilterItem 4 4" xfId="27215" xr:uid="{AFAF20D4-DA8A-45FB-9DC3-07B26E9DBB1E}"/>
    <cellStyle name="SAPBEXfilterItem 5" xfId="27216" xr:uid="{413A189A-125E-4B37-96C8-B133F96CB330}"/>
    <cellStyle name="SAPBEXfilterItem 6" xfId="27217" xr:uid="{9A4D9E7E-1B68-46DD-85B9-0ED2E2522F30}"/>
    <cellStyle name="SAPBEXfilterItem 7" xfId="27218" xr:uid="{AEDAC081-A84E-4713-9F0C-7D6D107218F5}"/>
    <cellStyle name="SAPBEXfilterItem 8" xfId="27219" xr:uid="{1E5F10F4-BF1A-4ED0-B071-00924A8DDF92}"/>
    <cellStyle name="SAPBEXfilterItem 9" xfId="27220" xr:uid="{7C9EECBB-7861-468C-9635-F9F987192A04}"/>
    <cellStyle name="SAPBEXfilterText" xfId="281" xr:uid="{FEC0DE85-DDC8-4153-BB25-D55011FC51C0}"/>
    <cellStyle name="SAPBEXfilterText 10" xfId="43403" xr:uid="{73CBEEDC-26CD-41CD-BE7B-DD1065674F2C}"/>
    <cellStyle name="SAPBEXfilterText 2" xfId="27221" xr:uid="{20544F29-17EF-456C-800D-6604BDDF6B92}"/>
    <cellStyle name="SAPBEXfilterText 2 2" xfId="27222" xr:uid="{82A55CBA-5948-4AC8-BF9B-2DA295D4DDAC}"/>
    <cellStyle name="SAPBEXfilterText 3" xfId="27223" xr:uid="{9B783C54-A383-4952-AAF3-EC4BB5E65175}"/>
    <cellStyle name="SAPBEXfilterText 3 2" xfId="27224" xr:uid="{F08D020A-8AFD-43CF-B896-68CEEEF855B2}"/>
    <cellStyle name="SAPBEXfilterText 4" xfId="43404" xr:uid="{B4654D7C-4B94-4960-87FC-F765BDD39A1D}"/>
    <cellStyle name="SAPBEXfilterText 5" xfId="43405" xr:uid="{193B0181-0AE4-442F-9673-8CF958B0DD28}"/>
    <cellStyle name="SAPBEXfilterText 6" xfId="43406" xr:uid="{D6804A92-0E6A-4647-BF1A-51BF1B4E0B6D}"/>
    <cellStyle name="SAPBEXfilterText 7" xfId="43407" xr:uid="{178F8738-6929-4A68-8277-0908EB939D8E}"/>
    <cellStyle name="SAPBEXfilterText 8" xfId="43408" xr:uid="{C301C06E-5830-4735-A66F-98552C078195}"/>
    <cellStyle name="SAPBEXfilterText 9" xfId="43409" xr:uid="{7A13EA3F-8FA4-4F97-8841-62255E6B18A4}"/>
    <cellStyle name="SAPBEXformats" xfId="282" xr:uid="{2FD17EB9-4811-43CA-971C-4E34F6CB34C5}"/>
    <cellStyle name="SAPBEXformats 10" xfId="27225" xr:uid="{FED58831-5B2C-45A7-946D-127345774F21}"/>
    <cellStyle name="SAPBEXformats 10 2" xfId="27226" xr:uid="{41928686-B15B-4C03-A472-4E53387F7936}"/>
    <cellStyle name="SAPBEXformats 10 3" xfId="27227" xr:uid="{8530EB96-ED41-4D02-AF1E-1C5C9BA4F9D4}"/>
    <cellStyle name="SAPBEXformats 11" xfId="27228" xr:uid="{481E6FF6-D9D6-451E-8915-FE96099E9258}"/>
    <cellStyle name="SAPBEXformats 12" xfId="27229" xr:uid="{4A594602-D51D-4AD8-AC44-FD85FCEDF0FE}"/>
    <cellStyle name="SAPBEXformats 13" xfId="27230" xr:uid="{F193DE83-5E90-46F9-9705-849D832383BC}"/>
    <cellStyle name="SAPBEXformats 14" xfId="27231" xr:uid="{8943D218-437F-4DD9-B40D-E16D7C380B56}"/>
    <cellStyle name="SAPBEXformats 15" xfId="27232" xr:uid="{5EF17FC5-D2CF-41EC-A2DA-B666DD774AA4}"/>
    <cellStyle name="SAPBEXformats 2" xfId="27233" xr:uid="{4178863D-CAC2-45FB-BC5E-CE99A29B81A2}"/>
    <cellStyle name="SAPBEXformats 2 2" xfId="27234" xr:uid="{BA03BAC5-BB80-409E-8204-E417FE927F0A}"/>
    <cellStyle name="SAPBEXformats 2 2 2" xfId="27235" xr:uid="{A12DDD5A-3EB3-498C-87BB-3FB0EB4FB342}"/>
    <cellStyle name="SAPBEXformats 2 2 2 2" xfId="27236" xr:uid="{FB6055C8-8C02-42B7-AFB7-24F567080D5F}"/>
    <cellStyle name="SAPBEXformats 2 2 3" xfId="27237" xr:uid="{8EBCD092-E55B-41AB-A444-EADC929A4AD6}"/>
    <cellStyle name="SAPBEXformats 2 2 4" xfId="27238" xr:uid="{F96ECF97-F42D-4379-99B1-338CB395D167}"/>
    <cellStyle name="SAPBEXformats 2 2 5" xfId="27239" xr:uid="{306C2D1B-F130-4FEB-8179-8F17159E5641}"/>
    <cellStyle name="SAPBEXformats 2 3" xfId="27240" xr:uid="{0A981B7B-6596-43C1-AB58-470775C8AFAC}"/>
    <cellStyle name="SAPBEXformats 2 3 2" xfId="27241" xr:uid="{0A6481BB-19C3-4278-9B10-1B57F22BEDD7}"/>
    <cellStyle name="SAPBEXformats 2 3 3" xfId="27242" xr:uid="{C911F200-3E11-4EFF-B7AB-860332345D0B}"/>
    <cellStyle name="SAPBEXformats 2 3 4" xfId="27243" xr:uid="{D7644A45-BE98-4945-BD12-5E72E2360EB4}"/>
    <cellStyle name="SAPBEXformats 2 4" xfId="27244" xr:uid="{0F7CD2B0-745A-40FB-ADBF-C8463CB4EF22}"/>
    <cellStyle name="SAPBEXformats 2 5" xfId="27245" xr:uid="{C9F51480-F4AA-4490-9532-1D89EC1AFFC3}"/>
    <cellStyle name="SAPBEXformats 2 6" xfId="27246" xr:uid="{28392C48-05BD-40B1-9284-ED619E5D4A06}"/>
    <cellStyle name="SAPBEXformats 2 7" xfId="27247" xr:uid="{E556D5EE-9169-4857-8AD6-7CAE216AF008}"/>
    <cellStyle name="SAPBEXformats 2 8" xfId="27248" xr:uid="{0621D10F-77B7-48E9-887C-7BE131426DE3}"/>
    <cellStyle name="SAPBEXformats 3" xfId="27249" xr:uid="{3FC9CDFD-8D8E-41F0-A1D0-B63E694EC209}"/>
    <cellStyle name="SAPBEXformats 3 2" xfId="27250" xr:uid="{44D40736-3819-440F-AE27-779DBE4C0E08}"/>
    <cellStyle name="SAPBEXformats 3 2 2" xfId="27251" xr:uid="{CAA182F9-2243-4934-B3B7-C21A0872F755}"/>
    <cellStyle name="SAPBEXformats 3 2 3" xfId="27252" xr:uid="{C2DE2CD7-18C4-4029-A6B7-D3D170DED3DB}"/>
    <cellStyle name="SAPBEXformats 3 3" xfId="27253" xr:uid="{CD716BF3-4F72-4D7B-BA58-7D545C8040CD}"/>
    <cellStyle name="SAPBEXformats 3 4" xfId="27254" xr:uid="{FE49933A-D0DB-4580-9E2F-6C89AC8483C0}"/>
    <cellStyle name="SAPBEXformats 3 5" xfId="27255" xr:uid="{0B848A86-E636-438D-84FA-7244A67D69AC}"/>
    <cellStyle name="SAPBEXformats 4" xfId="27256" xr:uid="{FCEE7A71-95D1-4300-AA14-CBB08E2806DA}"/>
    <cellStyle name="SAPBEXformats 4 2" xfId="27257" xr:uid="{936BA9F6-C207-4FEF-A03A-43FA319B131E}"/>
    <cellStyle name="SAPBEXformats 4 2 2" xfId="27258" xr:uid="{96024FE1-804C-44E7-852C-E7DA119C576F}"/>
    <cellStyle name="SAPBEXformats 4 2 3" xfId="27259" xr:uid="{193E25A8-EC1F-4BDD-AC2F-C6824180684A}"/>
    <cellStyle name="SAPBEXformats 4 3" xfId="27260" xr:uid="{B7F9962E-2D52-4732-98F0-8863EF7CCA32}"/>
    <cellStyle name="SAPBEXformats 4 4" xfId="27261" xr:uid="{53B221FD-4079-4E0C-82AE-A45426B7A3CC}"/>
    <cellStyle name="SAPBEXformats 4 5" xfId="27262" xr:uid="{F4D32EFB-CB8D-49DF-B566-1EDB2F2DF69D}"/>
    <cellStyle name="SAPBEXformats 5" xfId="27263" xr:uid="{75097348-9EEC-4487-88BC-B41F7A574882}"/>
    <cellStyle name="SAPBEXformats 5 2" xfId="27264" xr:uid="{83CB5F27-858E-4EA1-AC04-4307873C75A5}"/>
    <cellStyle name="SAPBEXformats 5 2 2" xfId="27265" xr:uid="{6AAF693D-359E-44BD-898F-8092F13A69D1}"/>
    <cellStyle name="SAPBEXformats 5 2 3" xfId="27266" xr:uid="{1F7A9DE8-E67E-44B6-9FEA-B3A42BFA8CB2}"/>
    <cellStyle name="SAPBEXformats 5 3" xfId="27267" xr:uid="{43A675F9-D9B9-4C29-9C7C-F56C81955DAE}"/>
    <cellStyle name="SAPBEXformats 5 4" xfId="27268" xr:uid="{84F3622A-6EF4-4D05-9051-DFE4C9B94F5A}"/>
    <cellStyle name="SAPBEXformats 5 5" xfId="27269" xr:uid="{0CFFCAC1-C7DF-4EEB-AD32-494F9021DD41}"/>
    <cellStyle name="SAPBEXformats 6" xfId="27270" xr:uid="{91D5894D-C01D-4A0A-B1B6-161DEF2F3EEE}"/>
    <cellStyle name="SAPBEXformats 6 2" xfId="27271" xr:uid="{D33D5400-AE1A-458A-9BED-1C43573FCDB8}"/>
    <cellStyle name="SAPBEXformats 6 2 2" xfId="27272" xr:uid="{DAC47091-2CEF-493A-B693-DD4D32F48E59}"/>
    <cellStyle name="SAPBEXformats 6 2 3" xfId="27273" xr:uid="{862E921A-3672-4B5E-9525-1E37C520F457}"/>
    <cellStyle name="SAPBEXformats 6 3" xfId="27274" xr:uid="{37AB20CA-F9FE-4E32-A1E7-FFDED0B53527}"/>
    <cellStyle name="SAPBEXformats 6 4" xfId="27275" xr:uid="{3CB8605F-B545-4430-8964-0233C2F14C9C}"/>
    <cellStyle name="SAPBEXformats 6 5" xfId="27276" xr:uid="{AA4C7803-53D8-452D-9012-A6BB2F21323A}"/>
    <cellStyle name="SAPBEXformats 7" xfId="27277" xr:uid="{72F3886D-0EAC-4199-B2A9-3F647B666EAB}"/>
    <cellStyle name="SAPBEXformats 7 2" xfId="27278" xr:uid="{823C9D1B-4858-4060-9BA1-CB2F43D15ECF}"/>
    <cellStyle name="SAPBEXformats 7 3" xfId="27279" xr:uid="{4FBD432C-F8F2-4491-B9C4-7B1C236E7736}"/>
    <cellStyle name="SAPBEXformats 7 4" xfId="27280" xr:uid="{813337C3-C92D-4847-B9A8-DCED3E06234F}"/>
    <cellStyle name="SAPBEXformats 8" xfId="27281" xr:uid="{D336EC70-FF34-4C87-BB4C-5001D43A4979}"/>
    <cellStyle name="SAPBEXformats 8 2" xfId="27282" xr:uid="{3E4470A3-E618-4E84-A8B3-883F944DA7AD}"/>
    <cellStyle name="SAPBEXformats 8 3" xfId="27283" xr:uid="{FAD0BCDC-2752-498F-9ECF-50AE89A8F3D5}"/>
    <cellStyle name="SAPBEXformats 8 4" xfId="27284" xr:uid="{DFC41759-EE52-4FE9-9689-3DCE148AB754}"/>
    <cellStyle name="SAPBEXformats 9" xfId="27285" xr:uid="{BCFE7619-CD69-471A-BDC5-ED2C8801858E}"/>
    <cellStyle name="SAPBEXformats 9 2" xfId="27286" xr:uid="{65A11C87-58B6-4CB9-9CE9-2CEAACEAAD27}"/>
    <cellStyle name="SAPBEXformats 9 3" xfId="27287" xr:uid="{4E12048D-2BFC-469F-A745-0956BB190790}"/>
    <cellStyle name="SAPBEXheaderItem" xfId="283" xr:uid="{22DE0B9A-9313-4054-823F-D0FF0B78936B}"/>
    <cellStyle name="SAPBEXheaderItem 10" xfId="27288" xr:uid="{FD00AD75-C04C-4E79-B13B-C541FEA6EC74}"/>
    <cellStyle name="SAPBEXheaderItem 11" xfId="27289" xr:uid="{DC448A21-BCE8-4587-8CC9-04D84E73E666}"/>
    <cellStyle name="SAPBEXheaderItem 12" xfId="27290" xr:uid="{11EBC5D2-7C08-4179-8452-605C6F3AA2F2}"/>
    <cellStyle name="SAPBEXheaderItem 13" xfId="27291" xr:uid="{C6603379-DB03-464B-A2F2-B90CA88C7CDC}"/>
    <cellStyle name="SAPBEXheaderItem 2" xfId="27292" xr:uid="{FEADBCE6-E562-4078-9C5A-6E2E2E2F2F32}"/>
    <cellStyle name="SAPBEXheaderItem 2 2" xfId="27293" xr:uid="{E65CE632-FE5C-4232-BBAA-FCA4383F4A35}"/>
    <cellStyle name="SAPBEXheaderItem 2 2 2" xfId="27294" xr:uid="{798323F6-FAEA-4DC5-B1BF-FA4A42AC873B}"/>
    <cellStyle name="SAPBEXheaderItem 2 2 3" xfId="27295" xr:uid="{BC2CAD5C-596A-4D2D-BED0-F2BD1E080235}"/>
    <cellStyle name="SAPBEXheaderItem 2 3" xfId="27296" xr:uid="{792ECC73-1DB4-479A-8D2D-56185A92A3EA}"/>
    <cellStyle name="SAPBEXheaderItem 2 3 2" xfId="27297" xr:uid="{5B21EC53-4157-4CF2-8FAB-F95836315001}"/>
    <cellStyle name="SAPBEXheaderItem 2 3 3" xfId="27298" xr:uid="{94A5C823-3975-4221-AB16-E5FC1B5CF8C7}"/>
    <cellStyle name="SAPBEXheaderItem 2 4" xfId="27299" xr:uid="{255FA91D-3650-4DC5-BE32-2CF9288F9135}"/>
    <cellStyle name="SAPBEXheaderItem 2 5" xfId="27300" xr:uid="{1B6ED431-9DD2-448D-9E4E-F55AC951FA32}"/>
    <cellStyle name="SAPBEXheaderItem 2 6" xfId="27301" xr:uid="{BCEA3B07-38F6-4AE0-AB99-45FF31B9987E}"/>
    <cellStyle name="SAPBEXheaderItem 2 7" xfId="27302" xr:uid="{A893C4AC-E9F7-4E40-8F85-E54B44E9E2F1}"/>
    <cellStyle name="SAPBEXheaderItem 2 8" xfId="27303" xr:uid="{A5262481-7C02-4588-9D21-5FBD7636B75F}"/>
    <cellStyle name="SAPBEXheaderItem 3" xfId="27304" xr:uid="{95AE74DA-E6FE-4514-8FB2-9B4EA8892E88}"/>
    <cellStyle name="SAPBEXheaderItem 3 2" xfId="27305" xr:uid="{48579057-BEED-4886-B1A4-63A7215BC56C}"/>
    <cellStyle name="SAPBEXheaderItem 3 2 2" xfId="27306" xr:uid="{7E308E84-4B26-49CA-A645-C23E50F32FCB}"/>
    <cellStyle name="SAPBEXheaderItem 3 2 3" xfId="27307" xr:uid="{09F59D55-0B19-4AAB-A5C4-8D5EB4A7666D}"/>
    <cellStyle name="SAPBEXheaderItem 3 3" xfId="27308" xr:uid="{A69069A2-8BF9-4C4D-B910-3B4D3DD41A99}"/>
    <cellStyle name="SAPBEXheaderItem 3 3 2" xfId="27309" xr:uid="{30E361F4-9EF3-4B46-A6F9-53647724B7C3}"/>
    <cellStyle name="SAPBEXheaderItem 3 3 3" xfId="27310" xr:uid="{24B06C6A-5212-46D8-B0A8-6CEF41BAC0EF}"/>
    <cellStyle name="SAPBEXheaderItem 3 4" xfId="27311" xr:uid="{A1B2B32D-D4D2-4FFB-9FC8-5D9CC7244908}"/>
    <cellStyle name="SAPBEXheaderItem 3 5" xfId="27312" xr:uid="{CF6AB756-70BF-48FA-A0DF-9559F1259DDC}"/>
    <cellStyle name="SAPBEXheaderItem 3 6" xfId="27313" xr:uid="{31573D2C-8F92-4050-9CF3-1CBFCD148D2B}"/>
    <cellStyle name="SAPBEXheaderItem 3 7" xfId="27314" xr:uid="{7DF62AFB-41F8-41F2-A191-10D88AF2FD60}"/>
    <cellStyle name="SAPBEXheaderItem 3 8" xfId="27315" xr:uid="{BF0D4284-589E-4556-BC54-A90137809A7C}"/>
    <cellStyle name="SAPBEXheaderItem 3 9" xfId="27316" xr:uid="{A5684823-5F91-4492-A1FD-B4E87087E2CF}"/>
    <cellStyle name="SAPBEXheaderItem 4" xfId="27317" xr:uid="{5F55524C-ABF3-4853-B630-6AD93F71769C}"/>
    <cellStyle name="SAPBEXheaderItem 4 2" xfId="27318" xr:uid="{243AF562-6B50-4647-B886-35950CA15551}"/>
    <cellStyle name="SAPBEXheaderItem 4 2 2" xfId="27319" xr:uid="{8D41D03D-E497-4D21-8183-A26711B9B78E}"/>
    <cellStyle name="SAPBEXheaderItem 4 2 3" xfId="27320" xr:uid="{F217AFCB-D9E7-48B1-BF35-8926EA05F175}"/>
    <cellStyle name="SAPBEXheaderItem 4 3" xfId="27321" xr:uid="{C9EB646C-D6B6-4678-B0BA-54FC6B47B6D0}"/>
    <cellStyle name="SAPBEXheaderItem 4 4" xfId="27322" xr:uid="{D37D2FF6-EDCA-408E-8186-829ECFCBA8CD}"/>
    <cellStyle name="SAPBEXheaderItem 4 5" xfId="27323" xr:uid="{DB2AC7D5-717F-4205-9C44-FEE3C429F81E}"/>
    <cellStyle name="SAPBEXheaderItem 4 6" xfId="27324" xr:uid="{06DD4133-4AD4-463A-92CD-5CD722DAA200}"/>
    <cellStyle name="SAPBEXheaderItem 4 7" xfId="27325" xr:uid="{6E6A3754-A8CA-4FC4-8A1B-EA6C77ADA16F}"/>
    <cellStyle name="SAPBEXheaderItem 5" xfId="27326" xr:uid="{7A287E3F-F185-440A-B538-5A44C50A6B76}"/>
    <cellStyle name="SAPBEXheaderItem 5 2" xfId="27327" xr:uid="{068CCD5A-FAFC-4BFD-9365-75D76E3653A4}"/>
    <cellStyle name="SAPBEXheaderItem 5 3" xfId="27328" xr:uid="{C8E196B4-7ED7-49FA-A07B-07E1F5082BB0}"/>
    <cellStyle name="SAPBEXheaderItem 5 4" xfId="27329" xr:uid="{79E6FD46-07B8-486D-B0CE-E32529A87739}"/>
    <cellStyle name="SAPBEXheaderItem 6" xfId="27330" xr:uid="{CBD49A63-97AB-480F-8E37-A62CB451FDAE}"/>
    <cellStyle name="SAPBEXheaderItem 6 2" xfId="27331" xr:uid="{09E630D1-BA48-47A0-B668-03248FE0DC2D}"/>
    <cellStyle name="SAPBEXheaderItem 7" xfId="27332" xr:uid="{47C04B33-4D7A-478E-8C9A-E2BC151784F7}"/>
    <cellStyle name="SAPBEXheaderItem 8" xfId="27333" xr:uid="{C13099B2-8F79-4C31-B72E-E48980AE7BCF}"/>
    <cellStyle name="SAPBEXheaderItem 9" xfId="27334" xr:uid="{87868FBF-04B1-4562-9D2A-237B517C91BB}"/>
    <cellStyle name="SAPBEXheaderText" xfId="284" xr:uid="{E4CBEB77-F3CF-4129-8E81-9C6F1D0F7667}"/>
    <cellStyle name="SAPBEXheaderText 10" xfId="27335" xr:uid="{F5967A6C-8F29-4FD4-B6C0-DBB92EB4997A}"/>
    <cellStyle name="SAPBEXheaderText 11" xfId="27336" xr:uid="{5C35D0AC-41FF-4EED-9064-EB1B118445F5}"/>
    <cellStyle name="SAPBEXheaderText 12" xfId="27337" xr:uid="{5526A08A-CAEF-456A-8F31-7B26EE314F22}"/>
    <cellStyle name="SAPBEXheaderText 13" xfId="27338" xr:uid="{B778E580-8FB1-4C23-8747-109286BB43A5}"/>
    <cellStyle name="SAPBEXheaderText 2" xfId="27339" xr:uid="{AA90DAF9-2C32-489F-8FC0-5FC41BC40026}"/>
    <cellStyle name="SAPBEXheaderText 2 2" xfId="27340" xr:uid="{737A0A24-5ABB-4109-A437-5B0A3336ECE0}"/>
    <cellStyle name="SAPBEXheaderText 2 2 2" xfId="27341" xr:uid="{F8CCD712-8A54-4FBE-A0B5-D783E7A7D06D}"/>
    <cellStyle name="SAPBEXheaderText 2 2 3" xfId="27342" xr:uid="{A7CD13D9-FEC6-4E47-A922-D9B23A457515}"/>
    <cellStyle name="SAPBEXheaderText 2 3" xfId="27343" xr:uid="{E40F81F7-9842-4102-8B8F-BB5B1A57B778}"/>
    <cellStyle name="SAPBEXheaderText 2 3 2" xfId="27344" xr:uid="{7484F3E8-69A5-441C-AE99-6B068FCEC4D8}"/>
    <cellStyle name="SAPBEXheaderText 2 3 3" xfId="27345" xr:uid="{E8B26152-1262-47C0-B04B-3780F35218DB}"/>
    <cellStyle name="SAPBEXheaderText 2 4" xfId="27346" xr:uid="{72FF7403-A161-4F45-96B6-00DBC92B14FC}"/>
    <cellStyle name="SAPBEXheaderText 2 5" xfId="27347" xr:uid="{196BCEFB-7C8E-4C39-B776-054C349C50C7}"/>
    <cellStyle name="SAPBEXheaderText 2 6" xfId="27348" xr:uid="{F83A7292-ED4F-4B96-B02C-F853AB39FF20}"/>
    <cellStyle name="SAPBEXheaderText 2 7" xfId="27349" xr:uid="{85438ADF-853E-4E18-B59E-14DFF1F852E8}"/>
    <cellStyle name="SAPBEXheaderText 2 8" xfId="27350" xr:uid="{718C9C00-63C1-4211-9EF5-7C378AC1774C}"/>
    <cellStyle name="SAPBEXheaderText 3" xfId="27351" xr:uid="{08636E43-C612-41BF-BB0F-80524F3F857C}"/>
    <cellStyle name="SAPBEXheaderText 3 2" xfId="27352" xr:uid="{DB67676A-80BF-4041-B7B6-31E5B9CE6DA1}"/>
    <cellStyle name="SAPBEXheaderText 3 2 2" xfId="27353" xr:uid="{4AE9E0EF-6503-4EBC-BFC2-C91DB84496E7}"/>
    <cellStyle name="SAPBEXheaderText 3 2 3" xfId="27354" xr:uid="{9E4E00F6-178F-4652-A0DD-EFB78359B1EA}"/>
    <cellStyle name="SAPBEXheaderText 3 3" xfId="27355" xr:uid="{F576D9E2-B238-4E47-8468-246759663157}"/>
    <cellStyle name="SAPBEXheaderText 3 3 2" xfId="27356" xr:uid="{6F6E6FAC-3571-44E9-A1CD-0249432271D6}"/>
    <cellStyle name="SAPBEXheaderText 3 3 3" xfId="27357" xr:uid="{CFC7F2D9-6A4C-431A-82D2-D8DF7A0A45ED}"/>
    <cellStyle name="SAPBEXheaderText 3 4" xfId="27358" xr:uid="{0A952F7C-C645-45B6-AE25-644809FEB809}"/>
    <cellStyle name="SAPBEXheaderText 3 5" xfId="27359" xr:uid="{DCA1675E-B59E-4B3A-BE85-E62137BE61CF}"/>
    <cellStyle name="SAPBEXheaderText 3 6" xfId="27360" xr:uid="{C249F899-4D69-4AE1-96DA-8D216F4AE940}"/>
    <cellStyle name="SAPBEXheaderText 3 7" xfId="27361" xr:uid="{BB18E6A5-ED6A-4527-A061-FC87C029ED9D}"/>
    <cellStyle name="SAPBEXheaderText 3 8" xfId="27362" xr:uid="{1CDE0EE6-42DC-4799-A8AC-B2133E06B041}"/>
    <cellStyle name="SAPBEXheaderText 3 9" xfId="27363" xr:uid="{88F348AC-29CF-4DEA-8628-49565D63D725}"/>
    <cellStyle name="SAPBEXheaderText 4" xfId="27364" xr:uid="{659C77E6-61EB-422A-8E43-12E546ADB0B0}"/>
    <cellStyle name="SAPBEXheaderText 4 2" xfId="27365" xr:uid="{AFC05EA5-3E70-425D-AB12-2BA68E907ABD}"/>
    <cellStyle name="SAPBEXheaderText 4 2 2" xfId="27366" xr:uid="{61F7E1A4-10EA-4319-B4F0-220F2FEFAEF2}"/>
    <cellStyle name="SAPBEXheaderText 4 2 3" xfId="27367" xr:uid="{860FEEA9-434D-4F90-92BC-A860DC8C8A16}"/>
    <cellStyle name="SAPBEXheaderText 4 3" xfId="27368" xr:uid="{E1494409-ECF4-4B5F-8283-77FDB5B37610}"/>
    <cellStyle name="SAPBEXheaderText 4 4" xfId="27369" xr:uid="{57FA3A83-5EB4-4BA0-9CB6-BE1022596D88}"/>
    <cellStyle name="SAPBEXheaderText 4 5" xfId="27370" xr:uid="{EB9252E7-E2A8-44A7-B3BE-7BE48E0D8B88}"/>
    <cellStyle name="SAPBEXheaderText 4 6" xfId="27371" xr:uid="{8CA126D0-782E-453B-A5C9-8106DA60C2DC}"/>
    <cellStyle name="SAPBEXheaderText 4 7" xfId="27372" xr:uid="{86726006-B5DD-490C-9B5B-706AF2B7F79A}"/>
    <cellStyle name="SAPBEXheaderText 5" xfId="27373" xr:uid="{DC6FFEC3-185D-4010-9094-D3CA4E36F8F6}"/>
    <cellStyle name="SAPBEXheaderText 5 2" xfId="27374" xr:uid="{8E2E2F7C-BA9E-455E-9FDC-2E75B1988710}"/>
    <cellStyle name="SAPBEXheaderText 5 3" xfId="27375" xr:uid="{FAB45D3B-96FD-4F77-B277-6E23FB063932}"/>
    <cellStyle name="SAPBEXheaderText 5 4" xfId="27376" xr:uid="{00200952-418F-4075-A027-869CA769EEA0}"/>
    <cellStyle name="SAPBEXheaderText 6" xfId="27377" xr:uid="{91CBE18F-42D3-4DBC-8AC1-865C87AD75E1}"/>
    <cellStyle name="SAPBEXheaderText 6 2" xfId="27378" xr:uid="{07614437-97BD-4B4D-A715-3F67E4B373A7}"/>
    <cellStyle name="SAPBEXheaderText 7" xfId="27379" xr:uid="{0C7DA38F-BCF6-4025-95FE-9CF8BABF63F2}"/>
    <cellStyle name="SAPBEXheaderText 8" xfId="27380" xr:uid="{4CD975E7-A9E0-4BC2-BA74-5AF571CD5F4B}"/>
    <cellStyle name="SAPBEXheaderText 9" xfId="27381" xr:uid="{B154C91C-20D0-4947-A7E8-25D13847DC38}"/>
    <cellStyle name="SAPBEXHLevel0" xfId="285" xr:uid="{50266C63-6345-467C-8CF9-5A1FB96180D7}"/>
    <cellStyle name="SAPBEXHLevel0 10" xfId="27382" xr:uid="{4C32F1F2-4B76-431F-89EA-7EA33693EAEC}"/>
    <cellStyle name="SAPBEXHLevel0 10 2" xfId="27383" xr:uid="{A2D74CDD-6D01-4507-8232-474E24A94F2D}"/>
    <cellStyle name="SAPBEXHLevel0 10 3" xfId="27384" xr:uid="{1CA0B40A-50F9-4EAF-931E-5E8EC184141E}"/>
    <cellStyle name="SAPBEXHLevel0 11" xfId="27385" xr:uid="{4A770051-8655-46CB-986E-105CD230CFF7}"/>
    <cellStyle name="SAPBEXHLevel0 12" xfId="27386" xr:uid="{92F1CC03-894F-475C-9BE4-C38D6E7EBC53}"/>
    <cellStyle name="SAPBEXHLevel0 13" xfId="27387" xr:uid="{C3E40329-145D-4A0C-A3CB-BD10F16576BC}"/>
    <cellStyle name="SAPBEXHLevel0 14" xfId="27388" xr:uid="{33BFA790-0F31-4D1F-9E3E-F109EF0FD2C2}"/>
    <cellStyle name="SAPBEXHLevel0 15" xfId="27389" xr:uid="{3C1AA47E-AC0F-4FBF-96E8-DF305B47273D}"/>
    <cellStyle name="SAPBEXHLevel0 2" xfId="27390" xr:uid="{27E16D5B-D119-4C19-B402-1776969FD93C}"/>
    <cellStyle name="SAPBEXHLevel0 2 2" xfId="27391" xr:uid="{A577B33A-E505-4872-B6A1-3EF1F3E539F9}"/>
    <cellStyle name="SAPBEXHLevel0 2 2 2" xfId="27392" xr:uid="{0948516C-90B0-4A2C-BD38-257460BC3C63}"/>
    <cellStyle name="SAPBEXHLevel0 2 2 2 2" xfId="27393" xr:uid="{4545E4AD-8D10-4E36-94EE-7B609E7474D3}"/>
    <cellStyle name="SAPBEXHLevel0 2 2 3" xfId="27394" xr:uid="{DB66838B-496E-4A80-B3F7-1B05F808C88B}"/>
    <cellStyle name="SAPBEXHLevel0 2 2 4" xfId="27395" xr:uid="{F174CBEB-8142-4B48-998A-69018B83D01D}"/>
    <cellStyle name="SAPBEXHLevel0 2 2 5" xfId="27396" xr:uid="{BA1F4FCE-4801-4EFE-8381-D64FE7037F6B}"/>
    <cellStyle name="SAPBEXHLevel0 2 3" xfId="27397" xr:uid="{19D694EF-6BBC-4690-900A-8508A2B4353A}"/>
    <cellStyle name="SAPBEXHLevel0 2 3 2" xfId="27398" xr:uid="{3587815D-861A-400F-8B1E-20BE6E2E8556}"/>
    <cellStyle name="SAPBEXHLevel0 2 3 3" xfId="27399" xr:uid="{1521BD29-5CFB-48CA-8913-9BAD0E4AB811}"/>
    <cellStyle name="SAPBEXHLevel0 2 3 4" xfId="27400" xr:uid="{2FAC1B6F-37BE-4A5E-8C37-C7843CAAE78B}"/>
    <cellStyle name="SAPBEXHLevel0 2 4" xfId="27401" xr:uid="{F651BB7F-E7F4-43C4-99F9-5840A9B3AD08}"/>
    <cellStyle name="SAPBEXHLevel0 2 5" xfId="27402" xr:uid="{9F3EC2A8-E556-42A9-BF60-016B39C62AD5}"/>
    <cellStyle name="SAPBEXHLevel0 2 6" xfId="27403" xr:uid="{B9A9D707-22B4-4B20-A57C-AAED13855331}"/>
    <cellStyle name="SAPBEXHLevel0 2 7" xfId="27404" xr:uid="{482173A9-1D6B-43E2-A3DA-FBCBDA2A25F4}"/>
    <cellStyle name="SAPBEXHLevel0 2 8" xfId="27405" xr:uid="{937282E0-290F-46AA-8676-0D8B6E3CC5DE}"/>
    <cellStyle name="SAPBEXHLevel0 3" xfId="27406" xr:uid="{B52C4F53-DCF4-4ABF-9688-10AD2EB6EF50}"/>
    <cellStyle name="SAPBEXHLevel0 3 2" xfId="27407" xr:uid="{6D564CBB-0949-4CB5-8C6F-CDB4D5E56EDA}"/>
    <cellStyle name="SAPBEXHLevel0 3 2 2" xfId="27408" xr:uid="{24AEA9B7-9790-402B-B9C8-B1418162B814}"/>
    <cellStyle name="SAPBEXHLevel0 3 2 3" xfId="27409" xr:uid="{50FE2114-F2A3-47F6-9295-242D16405FCD}"/>
    <cellStyle name="SAPBEXHLevel0 3 3" xfId="27410" xr:uid="{388BA572-FBC3-46C6-9028-2E6B92639D62}"/>
    <cellStyle name="SAPBEXHLevel0 3 3 2" xfId="27411" xr:uid="{2CF93275-D593-4339-9C87-94581A7AD739}"/>
    <cellStyle name="SAPBEXHLevel0 3 3 3" xfId="27412" xr:uid="{8D5C1222-5CBF-478E-8A11-693979B6C8AE}"/>
    <cellStyle name="SAPBEXHLevel0 3 4" xfId="27413" xr:uid="{3A0C6D76-E249-4591-BE18-8C507522EA31}"/>
    <cellStyle name="SAPBEXHLevel0 3 5" xfId="27414" xr:uid="{6E30F8C0-38B5-4FF2-B52D-D8D4E66B99A9}"/>
    <cellStyle name="SAPBEXHLevel0 3 6" xfId="27415" xr:uid="{F6B63315-0A67-47EC-85D3-A22D133E741B}"/>
    <cellStyle name="SAPBEXHLevel0 3 7" xfId="27416" xr:uid="{9DE1CC75-B845-49BA-A471-722D5F56D091}"/>
    <cellStyle name="SAPBEXHLevel0 3 8" xfId="27417" xr:uid="{C780AFDD-1DBE-4EEA-9043-94ECAC7222F4}"/>
    <cellStyle name="SAPBEXHLevel0 4" xfId="27418" xr:uid="{3904022A-9E1D-4D81-9F1F-0D950FE8CD88}"/>
    <cellStyle name="SAPBEXHLevel0 4 2" xfId="27419" xr:uid="{20DE7E30-57CB-45EF-B777-34918FE036F1}"/>
    <cellStyle name="SAPBEXHLevel0 4 2 2" xfId="27420" xr:uid="{B2B89706-612D-4371-95C3-DB2F10CA6076}"/>
    <cellStyle name="SAPBEXHLevel0 4 2 3" xfId="27421" xr:uid="{565626EA-BD65-4384-94A3-AA3A66ECAB94}"/>
    <cellStyle name="SAPBEXHLevel0 4 3" xfId="27422" xr:uid="{84843B30-CC40-4280-B4F6-7A852D7DC9FF}"/>
    <cellStyle name="SAPBEXHLevel0 4 4" xfId="27423" xr:uid="{52D4F6B8-287F-4E2A-941B-B5B3455BF0CB}"/>
    <cellStyle name="SAPBEXHLevel0 4 5" xfId="27424" xr:uid="{86D34DEE-C590-49C4-A066-222FF8A24A42}"/>
    <cellStyle name="SAPBEXHLevel0 5" xfId="27425" xr:uid="{FEA5EE1C-5EC0-4BC2-8305-DD9B8ED5BEE9}"/>
    <cellStyle name="SAPBEXHLevel0 5 2" xfId="27426" xr:uid="{9EBD59C9-610E-4C35-8C91-507C3B878060}"/>
    <cellStyle name="SAPBEXHLevel0 5 2 2" xfId="27427" xr:uid="{48020C2F-D6DB-4640-860A-E08BBBF185F1}"/>
    <cellStyle name="SAPBEXHLevel0 5 2 3" xfId="27428" xr:uid="{89DE5C66-453B-4235-9189-D264D7D65AE6}"/>
    <cellStyle name="SAPBEXHLevel0 5 3" xfId="27429" xr:uid="{0261DAC2-D1B4-44E3-B881-E1D163A65FB0}"/>
    <cellStyle name="SAPBEXHLevel0 5 4" xfId="27430" xr:uid="{A2693EB0-B443-4F86-81EA-D9AB222954FE}"/>
    <cellStyle name="SAPBEXHLevel0 5 5" xfId="27431" xr:uid="{ADECBDAB-C10D-46D8-8892-E20E853D468F}"/>
    <cellStyle name="SAPBEXHLevel0 6" xfId="27432" xr:uid="{96FF3C73-0310-4271-82C1-DE8D534A2482}"/>
    <cellStyle name="SAPBEXHLevel0 6 2" xfId="27433" xr:uid="{64C6CF8D-E95A-4775-B9EC-D1E122335B23}"/>
    <cellStyle name="SAPBEXHLevel0 6 2 2" xfId="27434" xr:uid="{07A30562-D377-4083-AD2F-638CF3AF3E5B}"/>
    <cellStyle name="SAPBEXHLevel0 6 2 3" xfId="27435" xr:uid="{1FC7A070-F4AD-46C2-B856-7D7A606547FA}"/>
    <cellStyle name="SAPBEXHLevel0 6 3" xfId="27436" xr:uid="{2C7EF556-28F4-49A5-A048-E8D5A50671B7}"/>
    <cellStyle name="SAPBEXHLevel0 6 4" xfId="27437" xr:uid="{1C69FFCD-9835-4E5E-9242-709D8F47F919}"/>
    <cellStyle name="SAPBEXHLevel0 6 5" xfId="27438" xr:uid="{2E14633E-109C-4BB3-B1F4-8A4A11BF5FD2}"/>
    <cellStyle name="SAPBEXHLevel0 7" xfId="27439" xr:uid="{989A3F8C-10F4-4913-882B-E7CC8BFEEF2D}"/>
    <cellStyle name="SAPBEXHLevel0 7 2" xfId="27440" xr:uid="{1EA12C79-E740-432B-A5C2-BFB27D27D491}"/>
    <cellStyle name="SAPBEXHLevel0 7 3" xfId="27441" xr:uid="{6102FC8A-4DE8-4383-B830-3A4DC60C56B5}"/>
    <cellStyle name="SAPBEXHLevel0 7 4" xfId="27442" xr:uid="{F50BEF01-C3C6-4D1E-B5CC-20365216EF4B}"/>
    <cellStyle name="SAPBEXHLevel0 8" xfId="27443" xr:uid="{79592F89-CB05-41BC-A706-CE3DDDE17313}"/>
    <cellStyle name="SAPBEXHLevel0 8 2" xfId="27444" xr:uid="{44BC1C93-6501-4F2B-AAD1-71227C08013B}"/>
    <cellStyle name="SAPBEXHLevel0 8 3" xfId="27445" xr:uid="{E8A4A76C-2DB9-4969-827C-2F7A666171D0}"/>
    <cellStyle name="SAPBEXHLevel0 8 4" xfId="27446" xr:uid="{EDABC51F-2DAD-4E4E-8E08-2773DF72D236}"/>
    <cellStyle name="SAPBEXHLevel0 9" xfId="27447" xr:uid="{DF40A9AE-9D48-4F85-88D6-570EADA41780}"/>
    <cellStyle name="SAPBEXHLevel0 9 2" xfId="27448" xr:uid="{117E4458-7C39-4772-90BD-A6BA084ED341}"/>
    <cellStyle name="SAPBEXHLevel0 9 3" xfId="27449" xr:uid="{127D1ABF-7672-43F1-BC60-EB6490AF8449}"/>
    <cellStyle name="SAPBEXHLevel0X" xfId="286" xr:uid="{D09C0BA6-CC85-4E62-8C19-A49EF12EB36B}"/>
    <cellStyle name="SAPBEXHLevel0X 10" xfId="27450" xr:uid="{FCA13DAD-8F29-4151-8A3D-67209C782BBE}"/>
    <cellStyle name="SAPBEXHLevel0X 10 2" xfId="27451" xr:uid="{70DD18AC-37BE-43D1-9E50-ECDA251BA855}"/>
    <cellStyle name="SAPBEXHLevel0X 10 3" xfId="27452" xr:uid="{9362554B-2352-496C-8766-5C6307BCE2B9}"/>
    <cellStyle name="SAPBEXHLevel0X 11" xfId="27453" xr:uid="{1A9D9AA0-678A-468D-969A-CBBB0A9CDFBA}"/>
    <cellStyle name="SAPBEXHLevel0X 12" xfId="27454" xr:uid="{C5D2E7DA-3186-4DDD-A772-E5327D0864B5}"/>
    <cellStyle name="SAPBEXHLevel0X 13" xfId="27455" xr:uid="{87A352D0-96F4-471C-AFE3-2147D25FA612}"/>
    <cellStyle name="SAPBEXHLevel0X 14" xfId="27456" xr:uid="{EA4ADACB-F8A6-4384-9752-4C9177A74EEA}"/>
    <cellStyle name="SAPBEXHLevel0X 15" xfId="27457" xr:uid="{D06D73FD-1D8C-4BB7-9520-170C8F6E82BD}"/>
    <cellStyle name="SAPBEXHLevel0X 2" xfId="27458" xr:uid="{B870977A-FA3A-4718-A715-82E547A2163C}"/>
    <cellStyle name="SAPBEXHLevel0X 2 2" xfId="27459" xr:uid="{5B7E832A-9002-41C0-A986-A784FE6B083D}"/>
    <cellStyle name="SAPBEXHLevel0X 2 2 2" xfId="27460" xr:uid="{1EDAABFE-053D-412F-8FDF-763C5DED00C8}"/>
    <cellStyle name="SAPBEXHLevel0X 2 2 2 2" xfId="27461" xr:uid="{94114529-9B08-402D-BA5C-1F431A6D95A3}"/>
    <cellStyle name="SAPBEXHLevel0X 2 2 3" xfId="27462" xr:uid="{F6091DEB-2C3D-4239-B3C0-9CB1BE0E4480}"/>
    <cellStyle name="SAPBEXHLevel0X 2 2 4" xfId="27463" xr:uid="{E55573E0-B78E-42C7-8F4A-35E72514EA1A}"/>
    <cellStyle name="SAPBEXHLevel0X 2 2 5" xfId="27464" xr:uid="{8DE8C312-FDB2-4659-8D8B-B04901E61F41}"/>
    <cellStyle name="SAPBEXHLevel0X 2 3" xfId="27465" xr:uid="{42558FC4-4E7D-495E-8282-12E831B0F827}"/>
    <cellStyle name="SAPBEXHLevel0X 2 3 2" xfId="27466" xr:uid="{D7F99511-984B-442C-B5D1-7124B0584619}"/>
    <cellStyle name="SAPBEXHLevel0X 2 3 3" xfId="27467" xr:uid="{EFF13EDB-E007-4EAA-972C-627F9FDF334B}"/>
    <cellStyle name="SAPBEXHLevel0X 2 3 4" xfId="27468" xr:uid="{69EF5BDA-8D0F-400C-AC9A-B32FD50BFA73}"/>
    <cellStyle name="SAPBEXHLevel0X 2 4" xfId="27469" xr:uid="{041CB94A-C3BC-4A44-87FB-7BE919B1DEB7}"/>
    <cellStyle name="SAPBEXHLevel0X 2 5" xfId="27470" xr:uid="{CA5EE279-DA53-4F4C-A8D2-F6BBFC00BB9A}"/>
    <cellStyle name="SAPBEXHLevel0X 2 6" xfId="27471" xr:uid="{ABC457B2-05EA-4688-94FC-DF10217B7214}"/>
    <cellStyle name="SAPBEXHLevel0X 2 7" xfId="27472" xr:uid="{F469F3A1-3AC1-40E3-9676-B9695DC83636}"/>
    <cellStyle name="SAPBEXHLevel0X 2 8" xfId="27473" xr:uid="{06F76BFA-1A7E-4352-8B8B-4B409768ECAD}"/>
    <cellStyle name="SAPBEXHLevel0X 3" xfId="27474" xr:uid="{7DF1BEBA-2DD7-4C95-95F0-B4900F38591C}"/>
    <cellStyle name="SAPBEXHLevel0X 3 2" xfId="27475" xr:uid="{24801A42-1FBD-4E5F-A6A5-7F4DDBED5001}"/>
    <cellStyle name="SAPBEXHLevel0X 3 2 2" xfId="27476" xr:uid="{C6E73A78-71F7-423B-A369-EBCBED82C8F9}"/>
    <cellStyle name="SAPBEXHLevel0X 3 2 3" xfId="27477" xr:uid="{D49A9225-E590-45A9-B438-B5FB1A086808}"/>
    <cellStyle name="SAPBEXHLevel0X 3 3" xfId="27478" xr:uid="{05F151DC-6E8F-46C3-93AA-600BE9BAD21C}"/>
    <cellStyle name="SAPBEXHLevel0X 3 4" xfId="27479" xr:uid="{9D07180F-3FFD-49F5-880B-60A45CBB9441}"/>
    <cellStyle name="SAPBEXHLevel0X 3 5" xfId="27480" xr:uid="{F7D08F83-DFF6-4734-A0D2-E957928E80E0}"/>
    <cellStyle name="SAPBEXHLevel0X 4" xfId="27481" xr:uid="{23D96748-A352-48BA-96B2-557FB6B66F56}"/>
    <cellStyle name="SAPBEXHLevel0X 4 2" xfId="27482" xr:uid="{779CE769-740D-436C-856B-25D933981BEF}"/>
    <cellStyle name="SAPBEXHLevel0X 4 2 2" xfId="27483" xr:uid="{AB27D5D1-58DA-4DFD-815F-0B2599C23B77}"/>
    <cellStyle name="SAPBEXHLevel0X 4 2 3" xfId="27484" xr:uid="{6B9E4A50-6535-4771-8125-5E3739373671}"/>
    <cellStyle name="SAPBEXHLevel0X 4 3" xfId="27485" xr:uid="{7A1E9401-0843-4D91-BDBC-8285AA4A99EB}"/>
    <cellStyle name="SAPBEXHLevel0X 4 4" xfId="27486" xr:uid="{3CC933EC-96A0-4AFF-A9D1-E8B362917F2A}"/>
    <cellStyle name="SAPBEXHLevel0X 4 5" xfId="27487" xr:uid="{FAF720D1-76AF-4AF1-BC06-F6D4F0C0C481}"/>
    <cellStyle name="SAPBEXHLevel0X 5" xfId="27488" xr:uid="{785C059C-5DAB-4D6D-9A66-68CCCB4AA123}"/>
    <cellStyle name="SAPBEXHLevel0X 5 2" xfId="27489" xr:uid="{2FD7AEF8-B953-4263-8B13-E0E1AAF7DC39}"/>
    <cellStyle name="SAPBEXHLevel0X 5 2 2" xfId="27490" xr:uid="{DEF102D8-C972-4546-A032-DAA06159C059}"/>
    <cellStyle name="SAPBEXHLevel0X 5 2 3" xfId="27491" xr:uid="{D747A5C9-918A-4B43-B634-73AA2E02B19C}"/>
    <cellStyle name="SAPBEXHLevel0X 5 3" xfId="27492" xr:uid="{22B2F59C-85AC-40DE-9BF8-9EE72110FC65}"/>
    <cellStyle name="SAPBEXHLevel0X 5 4" xfId="27493" xr:uid="{23D3A787-E0DC-4C87-A96D-0DB995BDB54F}"/>
    <cellStyle name="SAPBEXHLevel0X 5 5" xfId="27494" xr:uid="{2ABCA14A-F3A1-4EF2-9573-8651C0AA9C02}"/>
    <cellStyle name="SAPBEXHLevel0X 6" xfId="27495" xr:uid="{0B4929CA-7B1D-47C2-94FD-2EABCDF11F48}"/>
    <cellStyle name="SAPBEXHLevel0X 6 2" xfId="27496" xr:uid="{97958576-43C5-4CB6-B107-8EA5F7905DFB}"/>
    <cellStyle name="SAPBEXHLevel0X 6 2 2" xfId="27497" xr:uid="{8D993D5B-1491-4E51-BEBB-CB71EA18F350}"/>
    <cellStyle name="SAPBEXHLevel0X 6 2 3" xfId="27498" xr:uid="{6B0556C3-361D-4A69-9A53-F6220677E540}"/>
    <cellStyle name="SAPBEXHLevel0X 6 3" xfId="27499" xr:uid="{AA2FD918-84A2-439B-95CB-F5C1A6273297}"/>
    <cellStyle name="SAPBEXHLevel0X 6 4" xfId="27500" xr:uid="{C37BC4EE-6B7C-4BE4-831C-6D197A89EACA}"/>
    <cellStyle name="SAPBEXHLevel0X 6 5" xfId="27501" xr:uid="{8CED8C90-A521-468C-897C-9CFF2354D1BB}"/>
    <cellStyle name="SAPBEXHLevel0X 7" xfId="27502" xr:uid="{659DEE69-099A-4CBD-A09D-65FCA19CFD3F}"/>
    <cellStyle name="SAPBEXHLevel0X 7 2" xfId="27503" xr:uid="{881205BD-96D1-406A-A5D6-224A1E4D30F5}"/>
    <cellStyle name="SAPBEXHLevel0X 7 3" xfId="27504" xr:uid="{DA8F5D26-98FE-48C1-835C-D4C002BCD0A5}"/>
    <cellStyle name="SAPBEXHLevel0X 7 4" xfId="27505" xr:uid="{6128F2B8-1505-4D3D-B341-48748DE99EE8}"/>
    <cellStyle name="SAPBEXHLevel0X 8" xfId="27506" xr:uid="{6B7CCCE4-2376-4648-8A70-363743C0C475}"/>
    <cellStyle name="SAPBEXHLevel0X 8 2" xfId="27507" xr:uid="{6A260977-03E8-40B9-A423-177EC599AFCB}"/>
    <cellStyle name="SAPBEXHLevel0X 8 3" xfId="27508" xr:uid="{9ED2E79A-999E-428B-B1B7-A53E23F810E4}"/>
    <cellStyle name="SAPBEXHLevel0X 8 4" xfId="27509" xr:uid="{A8B6E9C2-18A3-49F4-8757-FEA66A9AE4DB}"/>
    <cellStyle name="SAPBEXHLevel0X 9" xfId="27510" xr:uid="{773E1EF9-4162-4EDF-9047-CD48F31A23E0}"/>
    <cellStyle name="SAPBEXHLevel0X 9 2" xfId="27511" xr:uid="{69593F52-BB89-4F92-9929-5405C37A93E9}"/>
    <cellStyle name="SAPBEXHLevel0X 9 3" xfId="27512" xr:uid="{DF583F73-ED02-46C1-B867-4962E56EFBA2}"/>
    <cellStyle name="SAPBEXHLevel1" xfId="287" xr:uid="{FE5A2D88-0B56-4749-B895-A882F5490E64}"/>
    <cellStyle name="SAPBEXHLevel1 10" xfId="27513" xr:uid="{983F1A9C-7594-46C8-9EB1-FD8B125C9DE9}"/>
    <cellStyle name="SAPBEXHLevel1 10 2" xfId="27514" xr:uid="{AE9E3BE7-1E2F-4AFC-B882-AC6CA4B6E3DB}"/>
    <cellStyle name="SAPBEXHLevel1 10 3" xfId="27515" xr:uid="{BE8808F8-DDF4-4F06-906F-8FB13AFEA3D3}"/>
    <cellStyle name="SAPBEXHLevel1 11" xfId="27516" xr:uid="{98CA2295-5F21-4F11-B72C-A9AB14D6B74C}"/>
    <cellStyle name="SAPBEXHLevel1 12" xfId="27517" xr:uid="{12BC0E2B-AC96-465A-A1D3-E925E145A609}"/>
    <cellStyle name="SAPBEXHLevel1 13" xfId="27518" xr:uid="{F599574A-B4F1-4981-9AC4-36F2C9B25112}"/>
    <cellStyle name="SAPBEXHLevel1 14" xfId="27519" xr:uid="{BFDAF7E1-C3A8-42C6-806F-3139F953463E}"/>
    <cellStyle name="SAPBEXHLevel1 15" xfId="27520" xr:uid="{0EC6C2AF-9511-4737-B504-DBF5FEA7E621}"/>
    <cellStyle name="SAPBEXHLevel1 2" xfId="27521" xr:uid="{208E0EEB-311D-492F-B9A3-1D8F8BB8E95E}"/>
    <cellStyle name="SAPBEXHLevel1 2 2" xfId="27522" xr:uid="{3C4E32B5-5728-44AA-AD01-C1AD98F7D4D6}"/>
    <cellStyle name="SAPBEXHLevel1 2 2 2" xfId="27523" xr:uid="{F855D56E-87D6-4F44-9E7F-FC7579205CBB}"/>
    <cellStyle name="SAPBEXHLevel1 2 2 2 2" xfId="27524" xr:uid="{C065397F-8969-47EE-BCBA-2F279FA7CA73}"/>
    <cellStyle name="SAPBEXHLevel1 2 2 3" xfId="27525" xr:uid="{87F146D8-2911-4ED0-B5F6-EC0487A287E5}"/>
    <cellStyle name="SAPBEXHLevel1 2 2 4" xfId="27526" xr:uid="{403FD8F7-6E2F-465C-98BC-1B03CEF4E2E0}"/>
    <cellStyle name="SAPBEXHLevel1 2 2 5" xfId="27527" xr:uid="{39D8658B-8269-4627-B194-97331A67AE6A}"/>
    <cellStyle name="SAPBEXHLevel1 2 3" xfId="27528" xr:uid="{F2287160-928E-465D-BF80-F52F81CE902C}"/>
    <cellStyle name="SAPBEXHLevel1 2 3 2" xfId="27529" xr:uid="{52F7E511-6534-4414-B81E-C81A6E8A2A98}"/>
    <cellStyle name="SAPBEXHLevel1 2 3 3" xfId="27530" xr:uid="{A0F82FB9-1E3A-4CA2-BB70-B74125649350}"/>
    <cellStyle name="SAPBEXHLevel1 2 3 4" xfId="27531" xr:uid="{B5FCFBDF-2F76-4DE5-9030-EA5FAC99E524}"/>
    <cellStyle name="SAPBEXHLevel1 2 4" xfId="27532" xr:uid="{D665FFDA-1DFF-4414-8AE2-D23653894371}"/>
    <cellStyle name="SAPBEXHLevel1 2 5" xfId="27533" xr:uid="{1B3C68B9-0071-4C76-B6C1-995F92E62043}"/>
    <cellStyle name="SAPBEXHLevel1 2 6" xfId="27534" xr:uid="{032CC4A0-4A57-4A82-823C-C41D12B9B7BE}"/>
    <cellStyle name="SAPBEXHLevel1 2 7" xfId="27535" xr:uid="{7B349BC3-19F9-45F2-B263-F255A440E6BE}"/>
    <cellStyle name="SAPBEXHLevel1 2 8" xfId="27536" xr:uid="{DD672FA4-A451-4A53-8230-B3169A86CAB2}"/>
    <cellStyle name="SAPBEXHLevel1 3" xfId="27537" xr:uid="{B9DDF60A-92A7-46AE-B894-1208E71AACCC}"/>
    <cellStyle name="SAPBEXHLevel1 3 2" xfId="27538" xr:uid="{2C39857C-451D-45FD-8717-A535F975ADAA}"/>
    <cellStyle name="SAPBEXHLevel1 3 2 2" xfId="27539" xr:uid="{228F5307-D332-4842-B700-D5CF1A392DD4}"/>
    <cellStyle name="SAPBEXHLevel1 3 2 3" xfId="27540" xr:uid="{0B9BE7F5-119D-4E95-A8FB-2FE77A16A750}"/>
    <cellStyle name="SAPBEXHLevel1 3 3" xfId="27541" xr:uid="{89409C1A-F6F1-47CB-8304-BAF4C17DBD16}"/>
    <cellStyle name="SAPBEXHLevel1 3 3 2" xfId="27542" xr:uid="{44AE3E81-C813-4FF8-91BD-A73ECE2F2712}"/>
    <cellStyle name="SAPBEXHLevel1 3 3 3" xfId="27543" xr:uid="{D743D5EF-819C-40BC-A28E-203572146158}"/>
    <cellStyle name="SAPBEXHLevel1 3 4" xfId="27544" xr:uid="{51F89E66-B96E-4D5D-9E0E-E587DC9A4AAD}"/>
    <cellStyle name="SAPBEXHLevel1 3 5" xfId="27545" xr:uid="{3B8074CF-B367-40B5-A244-36EEA57FFDAA}"/>
    <cellStyle name="SAPBEXHLevel1 3 6" xfId="27546" xr:uid="{E7AC1D69-31DD-4419-8079-8B4C9847F893}"/>
    <cellStyle name="SAPBEXHLevel1 3 7" xfId="27547" xr:uid="{36BE213A-7463-4000-A7C4-A3701941C4A3}"/>
    <cellStyle name="SAPBEXHLevel1 3 8" xfId="27548" xr:uid="{701FB670-CC73-481C-9159-BAFFDA870815}"/>
    <cellStyle name="SAPBEXHLevel1 4" xfId="27549" xr:uid="{A8C63CC5-1690-4CAC-BD48-D30BA05523E4}"/>
    <cellStyle name="SAPBEXHLevel1 4 2" xfId="27550" xr:uid="{4365D431-9371-4EDA-87FD-5560386C7DD4}"/>
    <cellStyle name="SAPBEXHLevel1 4 2 2" xfId="27551" xr:uid="{76035699-89E0-475A-BEBC-EF7ED907C525}"/>
    <cellStyle name="SAPBEXHLevel1 4 2 3" xfId="27552" xr:uid="{6F37DE1E-D44A-40AE-B4E5-894809A13708}"/>
    <cellStyle name="SAPBEXHLevel1 4 3" xfId="27553" xr:uid="{15BD226F-9270-490C-BDDB-7897A7343A07}"/>
    <cellStyle name="SAPBEXHLevel1 4 4" xfId="27554" xr:uid="{BF4671A2-6871-40EE-9543-F3FE485AF296}"/>
    <cellStyle name="SAPBEXHLevel1 4 5" xfId="27555" xr:uid="{13E96F3B-42F9-4932-8FA5-74E9937DE7EC}"/>
    <cellStyle name="SAPBEXHLevel1 5" xfId="27556" xr:uid="{16943181-A8CD-4943-8BC3-26B81D8361A4}"/>
    <cellStyle name="SAPBEXHLevel1 5 2" xfId="27557" xr:uid="{DF19687D-AEA0-4055-8D2C-6B6F741A626D}"/>
    <cellStyle name="SAPBEXHLevel1 5 2 2" xfId="27558" xr:uid="{C6AB95B8-8BDD-4222-840A-4FE66487E96A}"/>
    <cellStyle name="SAPBEXHLevel1 5 2 3" xfId="27559" xr:uid="{5C566DDF-3753-4F68-8512-8DA470D384AB}"/>
    <cellStyle name="SAPBEXHLevel1 5 3" xfId="27560" xr:uid="{1B51ED23-8A47-4E4A-A2D9-6CFC192B019E}"/>
    <cellStyle name="SAPBEXHLevel1 5 4" xfId="27561" xr:uid="{88AF0966-5A76-4C1A-A98C-F26169543815}"/>
    <cellStyle name="SAPBEXHLevel1 5 5" xfId="27562" xr:uid="{3343831F-2E75-4ED3-9858-692814454639}"/>
    <cellStyle name="SAPBEXHLevel1 6" xfId="27563" xr:uid="{C5143720-B4EF-4F3F-9817-B625F35925C1}"/>
    <cellStyle name="SAPBEXHLevel1 6 2" xfId="27564" xr:uid="{C378EA13-B029-462B-B30B-93484B21D07F}"/>
    <cellStyle name="SAPBEXHLevel1 6 2 2" xfId="27565" xr:uid="{D97B272F-72E3-4400-86AF-3DC976D4F075}"/>
    <cellStyle name="SAPBEXHLevel1 6 2 3" xfId="27566" xr:uid="{D4F8D0FC-C807-468D-B460-7137662AAC91}"/>
    <cellStyle name="SAPBEXHLevel1 6 3" xfId="27567" xr:uid="{C0DEE0B4-FB25-4246-82DB-BD043B6A6B70}"/>
    <cellStyle name="SAPBEXHLevel1 6 4" xfId="27568" xr:uid="{FEB48917-6BC5-476F-8C73-03641745BFAE}"/>
    <cellStyle name="SAPBEXHLevel1 6 5" xfId="27569" xr:uid="{50662373-D8B0-44DC-BF6F-63D5B9282B5B}"/>
    <cellStyle name="SAPBEXHLevel1 7" xfId="27570" xr:uid="{930922B2-4535-4073-B219-7DED0304BF5D}"/>
    <cellStyle name="SAPBEXHLevel1 7 2" xfId="27571" xr:uid="{A9945FA2-C909-4939-8C97-A88CAD865D51}"/>
    <cellStyle name="SAPBEXHLevel1 7 3" xfId="27572" xr:uid="{4FF1F379-DE44-492F-B6E8-707B0ACEBBDE}"/>
    <cellStyle name="SAPBEXHLevel1 7 4" xfId="27573" xr:uid="{F8510B8B-2FA8-43A9-BD74-7EC32D89BCE8}"/>
    <cellStyle name="SAPBEXHLevel1 8" xfId="27574" xr:uid="{7CF8722E-7C23-46C8-BF53-40B168F61D07}"/>
    <cellStyle name="SAPBEXHLevel1 8 2" xfId="27575" xr:uid="{56614578-F610-4717-9AD8-69A52C27F456}"/>
    <cellStyle name="SAPBEXHLevel1 8 3" xfId="27576" xr:uid="{16BA4CC3-D62A-442A-9E88-678BCBEFB244}"/>
    <cellStyle name="SAPBEXHLevel1 8 4" xfId="27577" xr:uid="{B0D497BB-636B-4148-AD8A-A7A0C8C5D5E3}"/>
    <cellStyle name="SAPBEXHLevel1 9" xfId="27578" xr:uid="{A596B845-B9FA-4339-97BF-A33C9FD12803}"/>
    <cellStyle name="SAPBEXHLevel1 9 2" xfId="27579" xr:uid="{8BF04BFA-F00C-4669-AE2A-04D4E7EDBFEA}"/>
    <cellStyle name="SAPBEXHLevel1 9 3" xfId="27580" xr:uid="{EB4565F8-128C-407C-9E03-2588F1DBD507}"/>
    <cellStyle name="SAPBEXHLevel1X" xfId="288" xr:uid="{26FAFBD5-D1A9-4C35-A7AC-B3E7C7A5795E}"/>
    <cellStyle name="SAPBEXHLevel1X 10" xfId="27581" xr:uid="{766121E9-E70D-47CC-8A46-9504E9FF71D3}"/>
    <cellStyle name="SAPBEXHLevel1X 10 2" xfId="27582" xr:uid="{C15904F4-748A-4AE8-854D-1A7DD657912F}"/>
    <cellStyle name="SAPBEXHLevel1X 10 3" xfId="27583" xr:uid="{A4CC5726-E1B0-419E-8A30-6E4AA8D3DCAB}"/>
    <cellStyle name="SAPBEXHLevel1X 11" xfId="27584" xr:uid="{3D5A8E86-0BEA-4DC5-A007-FD04A39340D2}"/>
    <cellStyle name="SAPBEXHLevel1X 12" xfId="27585" xr:uid="{EAB560B7-5159-4859-AF86-D12816A59086}"/>
    <cellStyle name="SAPBEXHLevel1X 13" xfId="27586" xr:uid="{BF33DE2F-099D-4A1D-AFCD-6A995F21D33E}"/>
    <cellStyle name="SAPBEXHLevel1X 14" xfId="27587" xr:uid="{9C1483D8-5118-465B-B63D-6BA06952062B}"/>
    <cellStyle name="SAPBEXHLevel1X 15" xfId="27588" xr:uid="{9CF82195-32DB-4A7C-BEBB-4BBB5F9B6DD2}"/>
    <cellStyle name="SAPBEXHLevel1X 2" xfId="27589" xr:uid="{93CDD1A5-394B-4728-A22D-D08599827BAE}"/>
    <cellStyle name="SAPBEXHLevel1X 2 2" xfId="27590" xr:uid="{3825EC10-F29B-4988-B78D-F720083B486B}"/>
    <cellStyle name="SAPBEXHLevel1X 2 2 2" xfId="27591" xr:uid="{65C71FE6-080B-4615-8689-7487AF4EF4D3}"/>
    <cellStyle name="SAPBEXHLevel1X 2 2 2 2" xfId="27592" xr:uid="{E091BF48-11A9-401E-97DC-80085652D3FC}"/>
    <cellStyle name="SAPBEXHLevel1X 2 2 3" xfId="27593" xr:uid="{D395F60D-50D1-44FA-B012-D41E03FDD94F}"/>
    <cellStyle name="SAPBEXHLevel1X 2 2 4" xfId="27594" xr:uid="{A7D747F1-9AD2-4F94-8D4B-DDA3D9BDA6F1}"/>
    <cellStyle name="SAPBEXHLevel1X 2 2 5" xfId="27595" xr:uid="{0806A73E-DBF5-4371-B006-7A871BB9E202}"/>
    <cellStyle name="SAPBEXHLevel1X 2 3" xfId="27596" xr:uid="{6C57A137-F452-4F10-80FA-B1554E5BABCE}"/>
    <cellStyle name="SAPBEXHLevel1X 2 3 2" xfId="27597" xr:uid="{2C22152B-4064-4FBB-AC24-1008DBDFCB74}"/>
    <cellStyle name="SAPBEXHLevel1X 2 3 3" xfId="27598" xr:uid="{FC86F495-9AF9-488C-98EC-3D46DE0D5565}"/>
    <cellStyle name="SAPBEXHLevel1X 2 3 4" xfId="27599" xr:uid="{35CA476C-0094-42E5-B287-DC46CEE68668}"/>
    <cellStyle name="SAPBEXHLevel1X 2 4" xfId="27600" xr:uid="{54778FD2-5496-43AD-92DC-0339393F1A3C}"/>
    <cellStyle name="SAPBEXHLevel1X 2 5" xfId="27601" xr:uid="{7916BE0B-3295-401A-82B2-D107649C9EA3}"/>
    <cellStyle name="SAPBEXHLevel1X 2 6" xfId="27602" xr:uid="{B6129088-5B5A-4919-ABD6-482714F393EC}"/>
    <cellStyle name="SAPBEXHLevel1X 2 7" xfId="27603" xr:uid="{E2A0E750-9098-4AC1-A85B-5F8509C327BB}"/>
    <cellStyle name="SAPBEXHLevel1X 2 8" xfId="27604" xr:uid="{F93D0608-51B0-4BEC-8556-F8352F4D1C63}"/>
    <cellStyle name="SAPBEXHLevel1X 3" xfId="27605" xr:uid="{DC732EEF-26B6-453B-AC8F-C154AA47642F}"/>
    <cellStyle name="SAPBEXHLevel1X 3 2" xfId="27606" xr:uid="{41E90017-61D3-4C15-AAD3-14333A784627}"/>
    <cellStyle name="SAPBEXHLevel1X 3 2 2" xfId="27607" xr:uid="{EF181CFE-494A-4155-B8A8-7D0FF7F0D297}"/>
    <cellStyle name="SAPBEXHLevel1X 3 2 3" xfId="27608" xr:uid="{83BD8CD5-40EF-4665-AE8A-A191FE679405}"/>
    <cellStyle name="SAPBEXHLevel1X 3 3" xfId="27609" xr:uid="{E538C6DE-7D78-4D85-8347-604439F8A12E}"/>
    <cellStyle name="SAPBEXHLevel1X 3 4" xfId="27610" xr:uid="{06C7920E-43C9-406E-8E87-7686A3FD40DD}"/>
    <cellStyle name="SAPBEXHLevel1X 3 5" xfId="27611" xr:uid="{584EECB1-6F4E-470E-8A7B-7B9EFD0C153D}"/>
    <cellStyle name="SAPBEXHLevel1X 4" xfId="27612" xr:uid="{29CD4860-5B06-47AB-9284-C9DCECEB4B60}"/>
    <cellStyle name="SAPBEXHLevel1X 4 2" xfId="27613" xr:uid="{5A31BB2B-0FD8-4703-85B3-524305045471}"/>
    <cellStyle name="SAPBEXHLevel1X 4 2 2" xfId="27614" xr:uid="{9C9A36D0-FDD6-44F6-BF08-1FE2113D69FD}"/>
    <cellStyle name="SAPBEXHLevel1X 4 2 3" xfId="27615" xr:uid="{5E8485F4-588B-4603-91B9-259570715411}"/>
    <cellStyle name="SAPBEXHLevel1X 4 3" xfId="27616" xr:uid="{58276535-5259-4199-8301-089A1BB802CD}"/>
    <cellStyle name="SAPBEXHLevel1X 4 4" xfId="27617" xr:uid="{D502AE9A-6790-42FF-AA1B-6667997973A3}"/>
    <cellStyle name="SAPBEXHLevel1X 4 5" xfId="27618" xr:uid="{FC3739CB-5101-49ED-8DE7-E680903D2D7B}"/>
    <cellStyle name="SAPBEXHLevel1X 5" xfId="27619" xr:uid="{755EA948-F9B4-4CCA-8A2A-611F9849D789}"/>
    <cellStyle name="SAPBEXHLevel1X 5 2" xfId="27620" xr:uid="{926A39B1-2D24-460D-9D82-63EABBB267A9}"/>
    <cellStyle name="SAPBEXHLevel1X 5 2 2" xfId="27621" xr:uid="{C9239A11-77C1-4EB5-90A3-2A02742C3676}"/>
    <cellStyle name="SAPBEXHLevel1X 5 2 3" xfId="27622" xr:uid="{F805D7E2-B832-4D99-9D27-092783B93BB1}"/>
    <cellStyle name="SAPBEXHLevel1X 5 3" xfId="27623" xr:uid="{9FA4E132-A1D8-4042-8B59-7C05AB956061}"/>
    <cellStyle name="SAPBEXHLevel1X 5 4" xfId="27624" xr:uid="{EF7CC467-8F72-475A-93F1-1B4C6DBA9ECA}"/>
    <cellStyle name="SAPBEXHLevel1X 5 5" xfId="27625" xr:uid="{918A0290-113A-481A-BF80-B576622FF66A}"/>
    <cellStyle name="SAPBEXHLevel1X 6" xfId="27626" xr:uid="{D61604E4-198B-48E2-B63D-9D287BE8F545}"/>
    <cellStyle name="SAPBEXHLevel1X 6 2" xfId="27627" xr:uid="{22CAE1AF-08D3-4DCF-9B24-A8E981718E39}"/>
    <cellStyle name="SAPBEXHLevel1X 6 2 2" xfId="27628" xr:uid="{4F697AAD-6FCD-4B4C-A02F-1F6A4FFA5EFA}"/>
    <cellStyle name="SAPBEXHLevel1X 6 2 3" xfId="27629" xr:uid="{E81CA0A3-08D5-4FFF-BD02-702145FF9224}"/>
    <cellStyle name="SAPBEXHLevel1X 6 3" xfId="27630" xr:uid="{7E57178E-86C9-48D6-8D63-9C5D5DC9915B}"/>
    <cellStyle name="SAPBEXHLevel1X 6 4" xfId="27631" xr:uid="{03705837-718F-4E82-A8E0-0909EE9DDA92}"/>
    <cellStyle name="SAPBEXHLevel1X 6 5" xfId="27632" xr:uid="{06A7FB7B-89D5-4DA6-97AD-3E13E690A1A0}"/>
    <cellStyle name="SAPBEXHLevel1X 7" xfId="27633" xr:uid="{B2B01120-602A-4A6B-A788-AD1CC8F41332}"/>
    <cellStyle name="SAPBEXHLevel1X 7 2" xfId="27634" xr:uid="{6FE27171-2BDE-4C74-9457-33F0B8AF647B}"/>
    <cellStyle name="SAPBEXHLevel1X 7 3" xfId="27635" xr:uid="{C2329B9B-D357-4C4F-91C5-12ECE1AEF531}"/>
    <cellStyle name="SAPBEXHLevel1X 7 4" xfId="27636" xr:uid="{202BDA6F-7085-4F3E-88BB-A7D53CADABA6}"/>
    <cellStyle name="SAPBEXHLevel1X 8" xfId="27637" xr:uid="{F33C36CC-9C21-4117-869B-F841EB04E603}"/>
    <cellStyle name="SAPBEXHLevel1X 8 2" xfId="27638" xr:uid="{3D9504E8-7C7E-4583-AA52-C82F64C9F091}"/>
    <cellStyle name="SAPBEXHLevel1X 8 3" xfId="27639" xr:uid="{4BF278F5-EEF7-4B7C-918A-7ADB4134C77C}"/>
    <cellStyle name="SAPBEXHLevel1X 8 4" xfId="27640" xr:uid="{95E97883-647B-410D-A79C-D352CFA23A38}"/>
    <cellStyle name="SAPBEXHLevel1X 9" xfId="27641" xr:uid="{A2350699-6861-4E22-A28C-B97D6F770D78}"/>
    <cellStyle name="SAPBEXHLevel1X 9 2" xfId="27642" xr:uid="{3F3420F1-D908-41CD-A6BF-9681F5C215D0}"/>
    <cellStyle name="SAPBEXHLevel1X 9 3" xfId="27643" xr:uid="{E692D469-AF77-4796-A297-E504D89FA3BA}"/>
    <cellStyle name="SAPBEXHLevel2" xfId="289" xr:uid="{668862A5-591B-48C7-93DE-C34F71E30D02}"/>
    <cellStyle name="SAPBEXHLevel2 10" xfId="27644" xr:uid="{B8C345FE-56EA-4333-ACF2-91BDC2CA0DDD}"/>
    <cellStyle name="SAPBEXHLevel2 10 2" xfId="27645" xr:uid="{EA3CF404-334C-45B5-8BB1-2C998A54710D}"/>
    <cellStyle name="SAPBEXHLevel2 10 3" xfId="27646" xr:uid="{04637936-0233-46D0-AA7C-A82E28382BA6}"/>
    <cellStyle name="SAPBEXHLevel2 11" xfId="27647" xr:uid="{3ED8A857-05BF-4210-8880-3CCC1B01EA35}"/>
    <cellStyle name="SAPBEXHLevel2 12" xfId="27648" xr:uid="{DA04A698-EE51-46AD-8E33-94D16B24A05D}"/>
    <cellStyle name="SAPBEXHLevel2 13" xfId="27649" xr:uid="{A420F52B-9A03-43FE-AA98-AE98B3473E7F}"/>
    <cellStyle name="SAPBEXHLevel2 14" xfId="27650" xr:uid="{468FA39B-1A0E-443C-A235-B76E02D0C331}"/>
    <cellStyle name="SAPBEXHLevel2 15" xfId="27651" xr:uid="{2731940E-01E9-424A-9F3D-EEBA4F3A03F8}"/>
    <cellStyle name="SAPBEXHLevel2 2" xfId="27652" xr:uid="{8EDA17A5-7AE7-4AB1-A879-5E29D2F9396A}"/>
    <cellStyle name="SAPBEXHLevel2 2 2" xfId="27653" xr:uid="{C1F8FBD7-4AD0-48FC-8C1F-F2BC67966125}"/>
    <cellStyle name="SAPBEXHLevel2 2 2 2" xfId="27654" xr:uid="{923D1B2F-78F9-4A5F-A639-6F43F14D49D8}"/>
    <cellStyle name="SAPBEXHLevel2 2 2 2 2" xfId="27655" xr:uid="{387C05B5-9366-446C-BA62-C86E36BD4EF1}"/>
    <cellStyle name="SAPBEXHLevel2 2 2 3" xfId="27656" xr:uid="{BFE2E1EF-ABD5-411A-9EEC-1549A67F1B09}"/>
    <cellStyle name="SAPBEXHLevel2 2 2 4" xfId="27657" xr:uid="{7C043D9A-F983-4DFE-9E57-BE8FF5164289}"/>
    <cellStyle name="SAPBEXHLevel2 2 2 5" xfId="27658" xr:uid="{67734D62-1D45-4A7A-934C-418ECEE71CB0}"/>
    <cellStyle name="SAPBEXHLevel2 2 3" xfId="27659" xr:uid="{0984CB2F-6702-4FED-89E9-8BFEF02A9E57}"/>
    <cellStyle name="SAPBEXHLevel2 2 3 2" xfId="27660" xr:uid="{2FE71DC7-12B6-45F5-9EA5-2917B94A6D0D}"/>
    <cellStyle name="SAPBEXHLevel2 2 3 3" xfId="27661" xr:uid="{2856B049-59FD-4501-BCF2-F7B9C961512E}"/>
    <cellStyle name="SAPBEXHLevel2 2 3 4" xfId="27662" xr:uid="{C2EAB392-7145-4C11-8D73-2D21ABB05276}"/>
    <cellStyle name="SAPBEXHLevel2 2 4" xfId="27663" xr:uid="{02B37EAC-B470-4B5E-83FE-1C3DF321C31A}"/>
    <cellStyle name="SAPBEXHLevel2 2 5" xfId="27664" xr:uid="{E253C56F-5434-47E4-9BFF-42EE3E655224}"/>
    <cellStyle name="SAPBEXHLevel2 2 6" xfId="27665" xr:uid="{61E418F6-DD8A-4494-ADBE-8CF70BC3F59E}"/>
    <cellStyle name="SAPBEXHLevel2 2 7" xfId="27666" xr:uid="{3E7E587B-A19E-436F-8230-2961EB1F6F07}"/>
    <cellStyle name="SAPBEXHLevel2 2 8" xfId="27667" xr:uid="{8932F469-CA3F-4435-8CC4-3A31C0C98CCE}"/>
    <cellStyle name="SAPBEXHLevel2 3" xfId="27668" xr:uid="{83920168-2E11-42E3-9271-185D55071D3D}"/>
    <cellStyle name="SAPBEXHLevel2 3 2" xfId="27669" xr:uid="{C50161AD-1A04-425B-BECE-20500309639E}"/>
    <cellStyle name="SAPBEXHLevel2 3 2 2" xfId="27670" xr:uid="{0C69C768-2599-489F-A16C-9233FE6FA02E}"/>
    <cellStyle name="SAPBEXHLevel2 3 2 3" xfId="27671" xr:uid="{2D5CAEC9-1D67-4C87-9158-01582010664B}"/>
    <cellStyle name="SAPBEXHLevel2 3 3" xfId="27672" xr:uid="{937B0316-6A69-4E16-BBEC-B38DE071709C}"/>
    <cellStyle name="SAPBEXHLevel2 3 3 2" xfId="27673" xr:uid="{9A261A50-A92C-4CD9-BEF4-322C87ECFF30}"/>
    <cellStyle name="SAPBEXHLevel2 3 3 3" xfId="27674" xr:uid="{0027A1CD-45CF-4135-A433-273D8AEDD603}"/>
    <cellStyle name="SAPBEXHLevel2 3 4" xfId="27675" xr:uid="{FC3581F0-EDBA-4884-8E66-108F68DBED46}"/>
    <cellStyle name="SAPBEXHLevel2 3 5" xfId="27676" xr:uid="{C4B6D68D-4B22-428F-8559-181FC3B95D2B}"/>
    <cellStyle name="SAPBEXHLevel2 3 6" xfId="27677" xr:uid="{1F4FAE7F-7B0D-4872-AFEA-2C7250546A6D}"/>
    <cellStyle name="SAPBEXHLevel2 3 7" xfId="27678" xr:uid="{75D2376D-6484-4113-B03A-84C863541A39}"/>
    <cellStyle name="SAPBEXHLevel2 3 8" xfId="27679" xr:uid="{367CD94A-31AB-4339-AB2A-3C5EBF306194}"/>
    <cellStyle name="SAPBEXHLevel2 4" xfId="27680" xr:uid="{639E9D54-B595-4113-B01C-A870F16089A9}"/>
    <cellStyle name="SAPBEXHLevel2 4 2" xfId="27681" xr:uid="{C830017E-BE42-454B-B149-4400075B705B}"/>
    <cellStyle name="SAPBEXHLevel2 4 2 2" xfId="27682" xr:uid="{54AEBC2B-E00F-4B0B-B0B7-622C71BA3124}"/>
    <cellStyle name="SAPBEXHLevel2 4 2 3" xfId="27683" xr:uid="{B6E82AAD-1CC0-4856-A263-D8B4469BEF01}"/>
    <cellStyle name="SAPBEXHLevel2 4 3" xfId="27684" xr:uid="{ED9E0094-BD4E-4565-ADB6-FB93A5735F05}"/>
    <cellStyle name="SAPBEXHLevel2 4 4" xfId="27685" xr:uid="{61472DB0-F207-4D21-85B6-0DA3DA97379B}"/>
    <cellStyle name="SAPBEXHLevel2 4 5" xfId="27686" xr:uid="{207AD76D-34C9-43DF-86B3-B5386CFE0D6F}"/>
    <cellStyle name="SAPBEXHLevel2 5" xfId="27687" xr:uid="{B20C8CD8-58FB-4ACB-9E63-49CB474311AC}"/>
    <cellStyle name="SAPBEXHLevel2 5 2" xfId="27688" xr:uid="{7AAFA6B5-2B91-48DA-9708-29AF386927E3}"/>
    <cellStyle name="SAPBEXHLevel2 5 2 2" xfId="27689" xr:uid="{FBF3A35B-F23B-4027-8AA7-5FBB67CD748E}"/>
    <cellStyle name="SAPBEXHLevel2 5 2 3" xfId="27690" xr:uid="{5C96CD11-7403-4236-BE1F-9488A5D094B1}"/>
    <cellStyle name="SAPBEXHLevel2 5 3" xfId="27691" xr:uid="{3293F975-6A6E-46BF-B8F9-BC573E1727A5}"/>
    <cellStyle name="SAPBEXHLevel2 5 4" xfId="27692" xr:uid="{231C0EFB-1C6C-4D56-B0DC-28314724076B}"/>
    <cellStyle name="SAPBEXHLevel2 5 5" xfId="27693" xr:uid="{FD680BCB-0FDB-46BA-98B9-A5A5D1E50DC9}"/>
    <cellStyle name="SAPBEXHLevel2 6" xfId="27694" xr:uid="{C5B927A0-8594-4FA5-885D-EF1BEF9BBCE4}"/>
    <cellStyle name="SAPBEXHLevel2 6 2" xfId="27695" xr:uid="{51348BC4-6502-403C-84BB-A9426924E9DC}"/>
    <cellStyle name="SAPBEXHLevel2 6 2 2" xfId="27696" xr:uid="{B1AC309D-07D5-497B-9794-D226F5B20A9C}"/>
    <cellStyle name="SAPBEXHLevel2 6 2 3" xfId="27697" xr:uid="{276C3DBE-0CA4-4EF8-9B45-63F4CFB12D46}"/>
    <cellStyle name="SAPBEXHLevel2 6 3" xfId="27698" xr:uid="{C7CDAFD1-4C60-46E0-BF6D-9CF93C977163}"/>
    <cellStyle name="SAPBEXHLevel2 6 4" xfId="27699" xr:uid="{9E549995-3D7A-4CEA-AFE2-B77DB7869DDB}"/>
    <cellStyle name="SAPBEXHLevel2 6 5" xfId="27700" xr:uid="{61870381-6C3A-41AF-B920-742DF656F186}"/>
    <cellStyle name="SAPBEXHLevel2 7" xfId="27701" xr:uid="{568D870E-439F-4D46-8828-6F5D878876B1}"/>
    <cellStyle name="SAPBEXHLevel2 7 2" xfId="27702" xr:uid="{E66C204C-44E1-4F57-868D-8575DFB5E691}"/>
    <cellStyle name="SAPBEXHLevel2 7 3" xfId="27703" xr:uid="{81BDB934-F92D-4E8A-AB4E-13ACB310C7C7}"/>
    <cellStyle name="SAPBEXHLevel2 7 4" xfId="27704" xr:uid="{C7610B27-B734-48FC-AA8B-0521CAA23525}"/>
    <cellStyle name="SAPBEXHLevel2 8" xfId="27705" xr:uid="{CC75B2E8-82F7-429F-B939-9A34C70ECDDE}"/>
    <cellStyle name="SAPBEXHLevel2 8 2" xfId="27706" xr:uid="{1356E730-EB72-46AE-9285-B2551A61C6C5}"/>
    <cellStyle name="SAPBEXHLevel2 8 3" xfId="27707" xr:uid="{4352D327-F635-471A-B582-73BE67CEF1C5}"/>
    <cellStyle name="SAPBEXHLevel2 8 4" xfId="27708" xr:uid="{854F7D55-411F-4577-9151-5D20D26F3759}"/>
    <cellStyle name="SAPBEXHLevel2 9" xfId="27709" xr:uid="{8D3B021C-01E6-49EF-9A19-3156272C4837}"/>
    <cellStyle name="SAPBEXHLevel2 9 2" xfId="27710" xr:uid="{FBFB32EF-0E41-4B2E-8079-10DC216110F0}"/>
    <cellStyle name="SAPBEXHLevel2 9 3" xfId="27711" xr:uid="{039721BD-8194-4C5B-8F4B-9D0B6568FAF0}"/>
    <cellStyle name="SAPBEXHLevel2X" xfId="290" xr:uid="{3ADAED1A-CABC-4EDE-BA5F-A5D277AB3E83}"/>
    <cellStyle name="SAPBEXHLevel2X 10" xfId="27712" xr:uid="{46B23D4D-A628-4FC2-89B0-B9458E00A69B}"/>
    <cellStyle name="SAPBEXHLevel2X 10 2" xfId="27713" xr:uid="{636A2BBA-717E-44EF-AACA-2BE06A1EFBE0}"/>
    <cellStyle name="SAPBEXHLevel2X 10 3" xfId="27714" xr:uid="{73888684-287A-4C2E-B7BB-026A68B4591B}"/>
    <cellStyle name="SAPBEXHLevel2X 11" xfId="27715" xr:uid="{8947E093-F3C6-4D9F-A533-C8BBFDEC4BB6}"/>
    <cellStyle name="SAPBEXHLevel2X 12" xfId="27716" xr:uid="{DBBE5200-802B-43B3-A29A-24C02CFC327D}"/>
    <cellStyle name="SAPBEXHLevel2X 13" xfId="27717" xr:uid="{780F24B6-6841-484C-A8D4-2FC02B8C1526}"/>
    <cellStyle name="SAPBEXHLevel2X 14" xfId="27718" xr:uid="{BDB6EE25-B559-4CAC-806A-BFDFF95F5EBB}"/>
    <cellStyle name="SAPBEXHLevel2X 15" xfId="27719" xr:uid="{573541DC-4CE5-47A4-B576-E5F5BBD1B1BC}"/>
    <cellStyle name="SAPBEXHLevel2X 2" xfId="27720" xr:uid="{91EACABB-5C6F-45F3-8AFA-B5C1D422E179}"/>
    <cellStyle name="SAPBEXHLevel2X 2 2" xfId="27721" xr:uid="{C8F27D6C-D463-486B-B47C-79DDE954285B}"/>
    <cellStyle name="SAPBEXHLevel2X 2 2 2" xfId="27722" xr:uid="{B4F36F65-5871-4114-A925-275A4D1F1679}"/>
    <cellStyle name="SAPBEXHLevel2X 2 2 2 2" xfId="27723" xr:uid="{70A45C37-6DCE-4415-A194-CF0076506640}"/>
    <cellStyle name="SAPBEXHLevel2X 2 2 3" xfId="27724" xr:uid="{F9BA1602-E0FB-4CB8-A6CA-D72EC76505D3}"/>
    <cellStyle name="SAPBEXHLevel2X 2 2 4" xfId="27725" xr:uid="{B28B4CBF-7CFC-431B-A9D7-80A4A7386CD3}"/>
    <cellStyle name="SAPBEXHLevel2X 2 2 5" xfId="27726" xr:uid="{62569E31-60E4-4FDA-B657-BA7C3ABED908}"/>
    <cellStyle name="SAPBEXHLevel2X 2 3" xfId="27727" xr:uid="{68EF4CB1-8E68-4D1F-A96B-D854D5F0425A}"/>
    <cellStyle name="SAPBEXHLevel2X 2 3 2" xfId="27728" xr:uid="{4B5AF2AB-F882-48CE-972E-FAFA944D4278}"/>
    <cellStyle name="SAPBEXHLevel2X 2 3 3" xfId="27729" xr:uid="{8994D9E4-BBD6-4BAA-A931-AA1C9863E444}"/>
    <cellStyle name="SAPBEXHLevel2X 2 3 4" xfId="27730" xr:uid="{C84129E7-5DBD-461A-B490-79A6CF691022}"/>
    <cellStyle name="SAPBEXHLevel2X 2 4" xfId="27731" xr:uid="{168B86C1-B65C-4B89-88CB-8E3E24106924}"/>
    <cellStyle name="SAPBEXHLevel2X 2 5" xfId="27732" xr:uid="{A2DCAB7B-51AB-4360-91E8-29D1DEEE849B}"/>
    <cellStyle name="SAPBEXHLevel2X 2 6" xfId="27733" xr:uid="{47CD7800-0F81-4381-BD2A-E9165B4727A0}"/>
    <cellStyle name="SAPBEXHLevel2X 2 7" xfId="27734" xr:uid="{196583A4-6C33-485E-8AE2-4E834DB47C20}"/>
    <cellStyle name="SAPBEXHLevel2X 2 8" xfId="27735" xr:uid="{79118A13-D0D1-45B5-9D9A-3EC623D9C551}"/>
    <cellStyle name="SAPBEXHLevel2X 3" xfId="27736" xr:uid="{A68648E7-3060-4402-943E-8DBB6FEF1459}"/>
    <cellStyle name="SAPBEXHLevel2X 3 2" xfId="27737" xr:uid="{55A98AEE-FC29-4140-B655-3189FA415D1D}"/>
    <cellStyle name="SAPBEXHLevel2X 3 2 2" xfId="27738" xr:uid="{AD76B2FD-8A20-40EE-B115-5C9A0CF5CB16}"/>
    <cellStyle name="SAPBEXHLevel2X 3 2 3" xfId="27739" xr:uid="{46EF68C0-F6CB-487F-9CD7-8E0FEE344566}"/>
    <cellStyle name="SAPBEXHLevel2X 3 3" xfId="27740" xr:uid="{CAD8DDC6-83C7-4180-BF9A-82FDE05CAC62}"/>
    <cellStyle name="SAPBEXHLevel2X 3 4" xfId="27741" xr:uid="{5AE8492F-06FB-4FBB-B9A5-72BBFB5077EA}"/>
    <cellStyle name="SAPBEXHLevel2X 3 5" xfId="27742" xr:uid="{8E57710B-C674-450F-95EB-4C9D60C47DD0}"/>
    <cellStyle name="SAPBEXHLevel2X 4" xfId="27743" xr:uid="{D5D0DE92-25D3-4A58-8710-4171E5A3D859}"/>
    <cellStyle name="SAPBEXHLevel2X 4 2" xfId="27744" xr:uid="{3680FA12-BC3F-43AD-B3AA-DA2D93D461C0}"/>
    <cellStyle name="SAPBEXHLevel2X 4 2 2" xfId="27745" xr:uid="{43A1CABD-59BB-4231-BA73-581F63355B53}"/>
    <cellStyle name="SAPBEXHLevel2X 4 2 3" xfId="27746" xr:uid="{73C0B910-D539-46C5-8E46-2B4BAA36697E}"/>
    <cellStyle name="SAPBEXHLevel2X 4 3" xfId="27747" xr:uid="{EA8CF53C-EA97-4B6F-A2CA-F5F8EED11ACA}"/>
    <cellStyle name="SAPBEXHLevel2X 4 4" xfId="27748" xr:uid="{C6C28D62-93C2-4654-832F-124A9EFE4858}"/>
    <cellStyle name="SAPBEXHLevel2X 4 5" xfId="27749" xr:uid="{156F1B68-E39D-46A3-A9DE-0A79FAA9CD51}"/>
    <cellStyle name="SAPBEXHLevel2X 5" xfId="27750" xr:uid="{61FA2E64-C31D-422C-BCEC-75077D0F7B4F}"/>
    <cellStyle name="SAPBEXHLevel2X 5 2" xfId="27751" xr:uid="{4A9AF463-1BBB-45A9-93F3-99328F0250BE}"/>
    <cellStyle name="SAPBEXHLevel2X 5 2 2" xfId="27752" xr:uid="{7B4F0B26-22D4-445E-A71C-0197C335B507}"/>
    <cellStyle name="SAPBEXHLevel2X 5 2 3" xfId="27753" xr:uid="{E8CA18FF-73EF-4C93-9378-2AA7BB7DB0D5}"/>
    <cellStyle name="SAPBEXHLevel2X 5 3" xfId="27754" xr:uid="{2E70F60C-72FF-4599-A057-60B247317F6A}"/>
    <cellStyle name="SAPBEXHLevel2X 5 4" xfId="27755" xr:uid="{BDA82D60-925D-48D1-B671-E884C487FDEB}"/>
    <cellStyle name="SAPBEXHLevel2X 5 5" xfId="27756" xr:uid="{57FBE919-A582-4B0F-B304-E9E2EE5238F7}"/>
    <cellStyle name="SAPBEXHLevel2X 6" xfId="27757" xr:uid="{816C698E-9CD7-4A9D-9792-CD9939BB5C3D}"/>
    <cellStyle name="SAPBEXHLevel2X 6 2" xfId="27758" xr:uid="{4F445C5A-50E9-4239-B8F4-2646E0613816}"/>
    <cellStyle name="SAPBEXHLevel2X 6 2 2" xfId="27759" xr:uid="{42239B02-0A73-4998-B2C8-38CC4B0EA7F8}"/>
    <cellStyle name="SAPBEXHLevel2X 6 2 3" xfId="27760" xr:uid="{016C5FA8-F0B1-4F9C-8EBB-1570C668E323}"/>
    <cellStyle name="SAPBEXHLevel2X 6 3" xfId="27761" xr:uid="{CEC5A101-12DE-42F6-922C-1E338107FE31}"/>
    <cellStyle name="SAPBEXHLevel2X 6 4" xfId="27762" xr:uid="{92FB91BA-45D6-4A0D-8598-34904680B2B6}"/>
    <cellStyle name="SAPBEXHLevel2X 6 5" xfId="27763" xr:uid="{D8A153A6-343C-445E-AA45-CEBF80065476}"/>
    <cellStyle name="SAPBEXHLevel2X 7" xfId="27764" xr:uid="{908DD2EB-CA95-4EFF-8157-9597D87F4815}"/>
    <cellStyle name="SAPBEXHLevel2X 7 2" xfId="27765" xr:uid="{5F67C09D-260A-46CB-A59D-B32CDA8D731C}"/>
    <cellStyle name="SAPBEXHLevel2X 7 3" xfId="27766" xr:uid="{212FF12A-EA65-4ECC-80DC-158DDF695091}"/>
    <cellStyle name="SAPBEXHLevel2X 7 4" xfId="27767" xr:uid="{854EF063-21F0-42D4-9342-1B32FC906D71}"/>
    <cellStyle name="SAPBEXHLevel2X 8" xfId="27768" xr:uid="{9F10754F-1502-486E-8452-8BE9534714B1}"/>
    <cellStyle name="SAPBEXHLevel2X 8 2" xfId="27769" xr:uid="{48F63BC6-AD2B-44B2-B333-236900B325E9}"/>
    <cellStyle name="SAPBEXHLevel2X 8 3" xfId="27770" xr:uid="{3154DDAA-4F20-48DB-804F-43B96614BA4F}"/>
    <cellStyle name="SAPBEXHLevel2X 8 4" xfId="27771" xr:uid="{F465676C-9B88-42B3-BD9F-AB549C308AAF}"/>
    <cellStyle name="SAPBEXHLevel2X 9" xfId="27772" xr:uid="{E56D63B3-27E0-4BB9-A87F-3C1918832EB3}"/>
    <cellStyle name="SAPBEXHLevel2X 9 2" xfId="27773" xr:uid="{4CCCE12A-EE54-4F3B-8941-FEE9F08AC659}"/>
    <cellStyle name="SAPBEXHLevel2X 9 3" xfId="27774" xr:uid="{394F66D2-5210-4655-87F7-AC5ED13E252D}"/>
    <cellStyle name="SAPBEXHLevel3" xfId="291" xr:uid="{CF0B5B85-BBA9-4358-B5D4-13E004C3AD13}"/>
    <cellStyle name="SAPBEXHLevel3 10" xfId="27775" xr:uid="{BCB1C461-EA5F-4F41-9EFD-C1BB683FE6DD}"/>
    <cellStyle name="SAPBEXHLevel3 10 2" xfId="27776" xr:uid="{D4E3DDB1-44FF-441B-BF89-B7A61B833449}"/>
    <cellStyle name="SAPBEXHLevel3 10 3" xfId="27777" xr:uid="{051E3831-071F-4CF0-B61C-AA9587F1C911}"/>
    <cellStyle name="SAPBEXHLevel3 11" xfId="27778" xr:uid="{F09127F8-CC93-4F95-A178-0EB353E5D42E}"/>
    <cellStyle name="SAPBEXHLevel3 12" xfId="27779" xr:uid="{77E090DE-457B-405B-B004-C6DE8A0B902F}"/>
    <cellStyle name="SAPBEXHLevel3 13" xfId="27780" xr:uid="{8A1263D1-F581-4ABE-8D9D-4CB664BB18EF}"/>
    <cellStyle name="SAPBEXHLevel3 14" xfId="27781" xr:uid="{DD57E88F-8CBB-4B28-9FEE-17E48C669D66}"/>
    <cellStyle name="SAPBEXHLevel3 15" xfId="27782" xr:uid="{3458ACF0-A307-4F5B-864C-68F28EB572FC}"/>
    <cellStyle name="SAPBEXHLevel3 2" xfId="27783" xr:uid="{FEB97B84-D765-43DE-A670-81EE8D1A34A9}"/>
    <cellStyle name="SAPBEXHLevel3 2 2" xfId="27784" xr:uid="{EC01138B-0EF2-4F6C-BBD9-81CBB94A51D5}"/>
    <cellStyle name="SAPBEXHLevel3 2 2 2" xfId="27785" xr:uid="{40D4FFA7-84BC-49A9-893F-58495772EE33}"/>
    <cellStyle name="SAPBEXHLevel3 2 2 2 2" xfId="27786" xr:uid="{07AF6D1F-4461-4FD6-A717-58A4E79CA747}"/>
    <cellStyle name="SAPBEXHLevel3 2 2 3" xfId="27787" xr:uid="{52C4F298-6C39-4C26-8714-68673A192836}"/>
    <cellStyle name="SAPBEXHLevel3 2 2 4" xfId="27788" xr:uid="{8B61C722-95CD-4C0C-A372-AA8D536BF1B5}"/>
    <cellStyle name="SAPBEXHLevel3 2 2 5" xfId="27789" xr:uid="{F6026D27-1B63-472E-9AA0-250AD0AD11A2}"/>
    <cellStyle name="SAPBEXHLevel3 2 3" xfId="27790" xr:uid="{C39432EE-F5D3-4B48-836E-CE7BCBF0901D}"/>
    <cellStyle name="SAPBEXHLevel3 2 3 2" xfId="27791" xr:uid="{D63D5D1B-B65E-45E5-9607-48E679EA8E16}"/>
    <cellStyle name="SAPBEXHLevel3 2 3 3" xfId="27792" xr:uid="{FDD28A1B-C38D-40F7-A7AB-C6B43578075E}"/>
    <cellStyle name="SAPBEXHLevel3 2 3 4" xfId="27793" xr:uid="{7E45CD31-33A4-45F8-9830-2A51D30C3438}"/>
    <cellStyle name="SAPBEXHLevel3 2 4" xfId="27794" xr:uid="{EB4313E7-3191-4109-840A-BCC6975611CE}"/>
    <cellStyle name="SAPBEXHLevel3 2 5" xfId="27795" xr:uid="{ACBA1A25-B8E6-4B40-97AB-DBD4442E688B}"/>
    <cellStyle name="SAPBEXHLevel3 2 6" xfId="27796" xr:uid="{0E7BBCBC-EAB3-4D3A-816C-70FA23230023}"/>
    <cellStyle name="SAPBEXHLevel3 2 7" xfId="27797" xr:uid="{0A981BD2-1494-4627-8E52-A64A56B8B9A2}"/>
    <cellStyle name="SAPBEXHLevel3 2 8" xfId="27798" xr:uid="{BDB99983-EB5E-47EE-B0DB-4EFDDB0A63A5}"/>
    <cellStyle name="SAPBEXHLevel3 3" xfId="27799" xr:uid="{8A1D6D51-31E5-40C9-95FD-0E52F81A99DF}"/>
    <cellStyle name="SAPBEXHLevel3 3 2" xfId="27800" xr:uid="{0B3AF85A-E414-4681-9DC6-F5101C70F48F}"/>
    <cellStyle name="SAPBEXHLevel3 3 2 2" xfId="27801" xr:uid="{5E545CB7-05FD-4C41-9CC6-460D097F336E}"/>
    <cellStyle name="SAPBEXHLevel3 3 2 3" xfId="27802" xr:uid="{8F6E927B-D94E-404A-8AD0-40C8D9B8E7C6}"/>
    <cellStyle name="SAPBEXHLevel3 3 3" xfId="27803" xr:uid="{9FF460AA-D41A-4737-808F-905F02D79E03}"/>
    <cellStyle name="SAPBEXHLevel3 3 3 2" xfId="27804" xr:uid="{8429534A-BDFF-419C-9CC8-D28C427B1E7F}"/>
    <cellStyle name="SAPBEXHLevel3 3 3 3" xfId="27805" xr:uid="{E827571A-9A8C-40EC-8668-01842AB39451}"/>
    <cellStyle name="SAPBEXHLevel3 3 4" xfId="27806" xr:uid="{0BEC4BC9-24E8-49C8-9038-8F5837439F69}"/>
    <cellStyle name="SAPBEXHLevel3 3 5" xfId="27807" xr:uid="{9E69BCD1-D0E6-4E36-A73B-57ABA00D92BC}"/>
    <cellStyle name="SAPBEXHLevel3 3 6" xfId="27808" xr:uid="{7D6CBCE7-E8AF-4A5D-81D2-AB2382FBE188}"/>
    <cellStyle name="SAPBEXHLevel3 3 7" xfId="27809" xr:uid="{BBF65455-800A-4195-9930-313C7A53E184}"/>
    <cellStyle name="SAPBEXHLevel3 3 8" xfId="27810" xr:uid="{9D2DFFC9-6F3B-46E0-BD66-5F8D628ED581}"/>
    <cellStyle name="SAPBEXHLevel3 4" xfId="27811" xr:uid="{7A81000D-772E-4737-978E-AA0E63FAD727}"/>
    <cellStyle name="SAPBEXHLevel3 4 2" xfId="27812" xr:uid="{80D7E2CA-69CC-4FAF-BE25-A0849BDB9D4A}"/>
    <cellStyle name="SAPBEXHLevel3 4 2 2" xfId="27813" xr:uid="{734B17AF-4C97-4135-8566-1338621AB86F}"/>
    <cellStyle name="SAPBEXHLevel3 4 2 3" xfId="27814" xr:uid="{1C74620C-FD2A-49F8-A948-20F0F1E98801}"/>
    <cellStyle name="SAPBEXHLevel3 4 3" xfId="27815" xr:uid="{0CFEEB02-C374-4CB8-9043-A3EEA074518E}"/>
    <cellStyle name="SAPBEXHLevel3 4 4" xfId="27816" xr:uid="{CFCD4837-EBE2-4F3B-A6AA-B2D5B71A0A99}"/>
    <cellStyle name="SAPBEXHLevel3 4 5" xfId="27817" xr:uid="{5F215F0F-E177-4B1A-A366-09023083EEBA}"/>
    <cellStyle name="SAPBEXHLevel3 5" xfId="27818" xr:uid="{0F7B1A8A-B43B-4641-9838-474E8AB938F5}"/>
    <cellStyle name="SAPBEXHLevel3 5 2" xfId="27819" xr:uid="{4667544D-7778-4E04-8E71-98926F4DF021}"/>
    <cellStyle name="SAPBEXHLevel3 5 2 2" xfId="27820" xr:uid="{A5EBDADB-C58C-455B-BF3B-EB11783D49F4}"/>
    <cellStyle name="SAPBEXHLevel3 5 2 3" xfId="27821" xr:uid="{62A0D9C2-090C-4C76-B392-66B1210C6BA3}"/>
    <cellStyle name="SAPBEXHLevel3 5 3" xfId="27822" xr:uid="{8BF82E07-EE64-496C-9908-BF7D10EABFE2}"/>
    <cellStyle name="SAPBEXHLevel3 5 4" xfId="27823" xr:uid="{7D50459E-46C1-474A-B4E4-A95194A9BC53}"/>
    <cellStyle name="SAPBEXHLevel3 5 5" xfId="27824" xr:uid="{2FD92A45-614D-4D85-9E3F-FE273A71A438}"/>
    <cellStyle name="SAPBEXHLevel3 6" xfId="27825" xr:uid="{265A5F0F-7F44-4681-BA80-EB94B72C3C98}"/>
    <cellStyle name="SAPBEXHLevel3 6 2" xfId="27826" xr:uid="{3904B447-03B3-47EB-B429-71D7F66ED69A}"/>
    <cellStyle name="SAPBEXHLevel3 6 2 2" xfId="27827" xr:uid="{C6009E92-4994-4EFA-9087-DB5E3BA66B7F}"/>
    <cellStyle name="SAPBEXHLevel3 6 2 3" xfId="27828" xr:uid="{6D0C54A0-B5C3-4652-86EC-869400802884}"/>
    <cellStyle name="SAPBEXHLevel3 6 3" xfId="27829" xr:uid="{850E0A1E-18AD-4A80-89A2-B43B9D38E23A}"/>
    <cellStyle name="SAPBEXHLevel3 6 4" xfId="27830" xr:uid="{698B04F9-4271-45A9-813F-E566AD1DB495}"/>
    <cellStyle name="SAPBEXHLevel3 6 5" xfId="27831" xr:uid="{C9987CC5-5EEC-46AC-8729-D76E76EBF4CD}"/>
    <cellStyle name="SAPBEXHLevel3 7" xfId="27832" xr:uid="{65595709-1B94-4018-B042-FBB33C89D5BF}"/>
    <cellStyle name="SAPBEXHLevel3 7 2" xfId="27833" xr:uid="{B120E900-AFC1-48B4-ADBA-1515B3CCCF1B}"/>
    <cellStyle name="SAPBEXHLevel3 7 3" xfId="27834" xr:uid="{903FA4F2-8DE3-4E5E-BD92-9340C76724A5}"/>
    <cellStyle name="SAPBEXHLevel3 7 4" xfId="27835" xr:uid="{1D25B97B-9D8D-4696-B17B-63B482382E64}"/>
    <cellStyle name="SAPBEXHLevel3 8" xfId="27836" xr:uid="{E7313953-F786-4AAC-8AA6-659438E324A7}"/>
    <cellStyle name="SAPBEXHLevel3 8 2" xfId="27837" xr:uid="{82753C1D-E6C6-4F8C-B2FC-0B77ECD4A5E7}"/>
    <cellStyle name="SAPBEXHLevel3 8 3" xfId="27838" xr:uid="{8A931D50-E747-4D5F-B976-4340036262AA}"/>
    <cellStyle name="SAPBEXHLevel3 8 4" xfId="27839" xr:uid="{CD6980AF-55AB-4422-B077-F7E038DF3044}"/>
    <cellStyle name="SAPBEXHLevel3 9" xfId="27840" xr:uid="{08681243-0CC8-4890-BC90-AB277A0B9649}"/>
    <cellStyle name="SAPBEXHLevel3 9 2" xfId="27841" xr:uid="{FE192106-21A7-4D7F-A71F-0AA7E69672C2}"/>
    <cellStyle name="SAPBEXHLevel3 9 3" xfId="27842" xr:uid="{4BA8012F-D61C-4529-8F33-07BE349B16C1}"/>
    <cellStyle name="SAPBEXHLevel3X" xfId="292" xr:uid="{38B1BDAD-8AC0-48DE-969E-FA872CCD163F}"/>
    <cellStyle name="SAPBEXHLevel3X 10" xfId="27843" xr:uid="{A727FE01-B746-4EBA-9A2B-6B4AC840F7CA}"/>
    <cellStyle name="SAPBEXHLevel3X 10 2" xfId="27844" xr:uid="{BE4CEAED-8805-4FCA-881C-86D181BAFBC3}"/>
    <cellStyle name="SAPBEXHLevel3X 10 3" xfId="27845" xr:uid="{282084AE-59A2-488C-850D-BA47C17735B4}"/>
    <cellStyle name="SAPBEXHLevel3X 11" xfId="27846" xr:uid="{E5B28E0A-8C55-4F92-A3E4-AAF2C4108C18}"/>
    <cellStyle name="SAPBEXHLevel3X 12" xfId="27847" xr:uid="{5414BF7B-FF0C-4D0E-8D7B-675844CDBD6C}"/>
    <cellStyle name="SAPBEXHLevel3X 13" xfId="27848" xr:uid="{C9B75DDF-4444-48A1-9954-4489D916CF14}"/>
    <cellStyle name="SAPBEXHLevel3X 14" xfId="27849" xr:uid="{E03AFA0D-CD08-45D8-8A8B-3D325AF6EE06}"/>
    <cellStyle name="SAPBEXHLevel3X 15" xfId="27850" xr:uid="{41729282-B301-4A36-98EF-6F4297915FD2}"/>
    <cellStyle name="SAPBEXHLevel3X 2" xfId="27851" xr:uid="{76D3191C-1BA9-4E07-8F32-56F9BB918B8C}"/>
    <cellStyle name="SAPBEXHLevel3X 2 2" xfId="27852" xr:uid="{B44337B9-8C50-4333-91E4-30AD5EBD4DC8}"/>
    <cellStyle name="SAPBEXHLevel3X 2 2 2" xfId="27853" xr:uid="{48772A09-D47A-47BB-8F21-77C7F75728F6}"/>
    <cellStyle name="SAPBEXHLevel3X 2 2 2 2" xfId="27854" xr:uid="{F16747E3-676C-40EC-97C2-62AB6E3F45DA}"/>
    <cellStyle name="SAPBEXHLevel3X 2 2 3" xfId="27855" xr:uid="{B1514F12-22D9-4B3E-B451-F1DD53AC9159}"/>
    <cellStyle name="SAPBEXHLevel3X 2 2 4" xfId="27856" xr:uid="{025B4E00-0810-49A3-B683-D24D725494E6}"/>
    <cellStyle name="SAPBEXHLevel3X 2 2 5" xfId="27857" xr:uid="{81E9FC95-BCCC-4CF7-9415-D1BAD3CA2FCA}"/>
    <cellStyle name="SAPBEXHLevel3X 2 3" xfId="27858" xr:uid="{E3708AF0-8E12-4A0E-9F3F-8B7D0188CD94}"/>
    <cellStyle name="SAPBEXHLevel3X 2 3 2" xfId="27859" xr:uid="{F3A57EEF-3B82-44BA-8CD0-111039FEB802}"/>
    <cellStyle name="SAPBEXHLevel3X 2 3 3" xfId="27860" xr:uid="{E431D9B0-5762-4061-9CD8-A23E56E7A04E}"/>
    <cellStyle name="SAPBEXHLevel3X 2 3 4" xfId="27861" xr:uid="{FCB95136-F71E-4E9B-9FCE-F61F88ED0860}"/>
    <cellStyle name="SAPBEXHLevel3X 2 4" xfId="27862" xr:uid="{F339DAB0-A7E8-4659-AE0C-9819833C1A72}"/>
    <cellStyle name="SAPBEXHLevel3X 2 5" xfId="27863" xr:uid="{0A19C0DC-2EB4-4D9B-BE3C-39FECA9DA08F}"/>
    <cellStyle name="SAPBEXHLevel3X 2 6" xfId="27864" xr:uid="{EC6A6CA5-1D9D-4555-A4A3-FADA05A341AB}"/>
    <cellStyle name="SAPBEXHLevel3X 2 7" xfId="27865" xr:uid="{BE8FC545-6B0A-4C77-8034-316FEF0F977A}"/>
    <cellStyle name="SAPBEXHLevel3X 2 8" xfId="27866" xr:uid="{E2305427-79F5-4C50-AB0D-6050B5BB11F7}"/>
    <cellStyle name="SAPBEXHLevel3X 3" xfId="27867" xr:uid="{45985458-CFD6-47CE-B684-638F6BE1277D}"/>
    <cellStyle name="SAPBEXHLevel3X 3 2" xfId="27868" xr:uid="{8996649B-61AE-437D-B209-25AC48A6441E}"/>
    <cellStyle name="SAPBEXHLevel3X 3 2 2" xfId="27869" xr:uid="{EE66034B-A206-46ED-A10C-9AE70AEFB836}"/>
    <cellStyle name="SAPBEXHLevel3X 3 2 3" xfId="27870" xr:uid="{7BAC5CB0-70A2-48B8-8883-C4A016052464}"/>
    <cellStyle name="SAPBEXHLevel3X 3 3" xfId="27871" xr:uid="{A282063E-8917-4F93-9D09-87971D9757FC}"/>
    <cellStyle name="SAPBEXHLevel3X 3 4" xfId="27872" xr:uid="{1F1C22A9-B638-4149-90CE-FB0ED8C39482}"/>
    <cellStyle name="SAPBEXHLevel3X 3 5" xfId="27873" xr:uid="{D3B3C1C4-8192-4453-BED6-56BA81CAD686}"/>
    <cellStyle name="SAPBEXHLevel3X 4" xfId="27874" xr:uid="{74E1D424-C38A-4A07-86EF-69E0A65B910D}"/>
    <cellStyle name="SAPBEXHLevel3X 4 2" xfId="27875" xr:uid="{B2466653-1C9F-4BFE-80E3-6F5A4C41EB47}"/>
    <cellStyle name="SAPBEXHLevel3X 4 2 2" xfId="27876" xr:uid="{016B4BE8-EDC5-41F5-9275-31585B97A92C}"/>
    <cellStyle name="SAPBEXHLevel3X 4 2 3" xfId="27877" xr:uid="{C47F78FD-7AF8-42C9-95A7-010EFE555148}"/>
    <cellStyle name="SAPBEXHLevel3X 4 3" xfId="27878" xr:uid="{F529AAC1-15E4-44B2-B5CC-1E0179E0A862}"/>
    <cellStyle name="SAPBEXHLevel3X 4 4" xfId="27879" xr:uid="{592C007D-9F3F-423D-AD17-060EE7127B11}"/>
    <cellStyle name="SAPBEXHLevel3X 4 5" xfId="27880" xr:uid="{C72F62D7-E267-4EF6-85CA-A51414FCFD78}"/>
    <cellStyle name="SAPBEXHLevel3X 5" xfId="27881" xr:uid="{98D4076D-1053-40FD-BB5B-BD50BE785439}"/>
    <cellStyle name="SAPBEXHLevel3X 5 2" xfId="27882" xr:uid="{27EF9987-66F0-498B-A3B1-8566886E4A75}"/>
    <cellStyle name="SAPBEXHLevel3X 5 2 2" xfId="27883" xr:uid="{9AB36810-DC93-4815-8D91-547F41592868}"/>
    <cellStyle name="SAPBEXHLevel3X 5 2 3" xfId="27884" xr:uid="{EAE89835-C111-4D9C-AC42-F7B1A4A6915F}"/>
    <cellStyle name="SAPBEXHLevel3X 5 3" xfId="27885" xr:uid="{C61FDDCF-AEF4-4A34-BA32-7936942458FA}"/>
    <cellStyle name="SAPBEXHLevel3X 5 4" xfId="27886" xr:uid="{0462296C-9696-4191-9E93-4ACC237E9061}"/>
    <cellStyle name="SAPBEXHLevel3X 5 5" xfId="27887" xr:uid="{0C028CB1-1986-4DEA-A8C8-847C8C8CAAE7}"/>
    <cellStyle name="SAPBEXHLevel3X 6" xfId="27888" xr:uid="{DAA97765-BD8C-4556-B287-37EF33A622E5}"/>
    <cellStyle name="SAPBEXHLevel3X 6 2" xfId="27889" xr:uid="{DCB79274-EDFD-4FF0-B4F8-0BBAAF7BD80C}"/>
    <cellStyle name="SAPBEXHLevel3X 6 2 2" xfId="27890" xr:uid="{363D4312-8AA4-4491-BC6B-8B7EB532F411}"/>
    <cellStyle name="SAPBEXHLevel3X 6 2 3" xfId="27891" xr:uid="{7C1C3C83-9192-4C6B-9BDD-26983160D0C1}"/>
    <cellStyle name="SAPBEXHLevel3X 6 3" xfId="27892" xr:uid="{A39E3454-0055-438A-883A-5CB39DD691C6}"/>
    <cellStyle name="SAPBEXHLevel3X 6 4" xfId="27893" xr:uid="{98B3FB8C-B338-4616-AF63-3E696596DFAE}"/>
    <cellStyle name="SAPBEXHLevel3X 6 5" xfId="27894" xr:uid="{149FB6E7-EA16-4345-A73B-BF3D6B9D8CAA}"/>
    <cellStyle name="SAPBEXHLevel3X 7" xfId="27895" xr:uid="{11E6E629-6C15-4F90-AB38-58EB4B48D320}"/>
    <cellStyle name="SAPBEXHLevel3X 7 2" xfId="27896" xr:uid="{C7BC5385-F6F3-46F2-B6DC-80D47E1C5A3F}"/>
    <cellStyle name="SAPBEXHLevel3X 7 3" xfId="27897" xr:uid="{9C44CA22-7941-4FE2-997C-0AB492EFD3D4}"/>
    <cellStyle name="SAPBEXHLevel3X 7 4" xfId="27898" xr:uid="{57A70D40-6B14-48D2-A4CB-4A31BEF3DF2C}"/>
    <cellStyle name="SAPBEXHLevel3X 8" xfId="27899" xr:uid="{B7A0834E-1E3D-46B6-8A7F-DCF11CA78EFA}"/>
    <cellStyle name="SAPBEXHLevel3X 8 2" xfId="27900" xr:uid="{E8112CC8-B2D3-4E4B-9269-B77820AC1FBA}"/>
    <cellStyle name="SAPBEXHLevel3X 8 3" xfId="27901" xr:uid="{3D514533-23B8-44C6-8264-849A57EA460B}"/>
    <cellStyle name="SAPBEXHLevel3X 8 4" xfId="27902" xr:uid="{3634C8E9-1B92-4E27-A933-D71295917310}"/>
    <cellStyle name="SAPBEXHLevel3X 9" xfId="27903" xr:uid="{558B6E16-BFEC-4F07-B4C6-62CAA8EFCA8E}"/>
    <cellStyle name="SAPBEXHLevel3X 9 2" xfId="27904" xr:uid="{BEB8BC2F-B7FC-496A-A753-B89E9E9530B4}"/>
    <cellStyle name="SAPBEXHLevel3X 9 3" xfId="27905" xr:uid="{609E7B99-62EC-4CEB-A158-4081888D2E73}"/>
    <cellStyle name="SAPBEXinputData" xfId="27906" xr:uid="{7AF620DF-E539-4AE2-AE98-10592F60CDA7}"/>
    <cellStyle name="SAPBEXinputData 2" xfId="27907" xr:uid="{8A561A74-3D27-40F7-8D2C-656948CE4525}"/>
    <cellStyle name="SAPBEXinputData 2 2" xfId="43410" xr:uid="{1F2CC876-E7C7-46F2-AC8E-D1883EC07C21}"/>
    <cellStyle name="SAPBEXinputData 2 3" xfId="43411" xr:uid="{09FD6FC8-F33A-4219-995A-61A379083CCD}"/>
    <cellStyle name="SAPBEXinputData 2 4" xfId="43412" xr:uid="{ADC24A54-1E89-426A-9F88-C816F3CCF39C}"/>
    <cellStyle name="SAPBEXinputData 2 5" xfId="43413" xr:uid="{821FA2CE-56D4-41B2-AF9F-7A86D70383E5}"/>
    <cellStyle name="SAPBEXinputData 3" xfId="43414" xr:uid="{5A35A5A2-7539-4B93-B602-F57EDE05043C}"/>
    <cellStyle name="SAPBEXinputData 4" xfId="43415" xr:uid="{D03BCF97-C4EA-4F72-B32E-7B2591BF944A}"/>
    <cellStyle name="SAPBEXinputData 5" xfId="43416" xr:uid="{10106870-D1C7-4830-89CF-41F28562FF48}"/>
    <cellStyle name="SAPBEXinputData 6" xfId="43417" xr:uid="{B59CFF43-8CE5-49C4-980F-8965B8CCDD79}"/>
    <cellStyle name="SAPBEXinputData 7" xfId="43418" xr:uid="{CA6D5497-2DA9-4812-BA88-76EAE788A007}"/>
    <cellStyle name="SAPBEXinputData 8" xfId="43419" xr:uid="{18850140-4A6F-49A7-BE82-C80B5799BE94}"/>
    <cellStyle name="SAPBEXinputData 9" xfId="43420" xr:uid="{8D43B632-3E8D-4A4F-8D81-258F77C3AA41}"/>
    <cellStyle name="SAPBEXItemHeader" xfId="27908" xr:uid="{44DE10A4-461D-42D3-88B9-7E09A608A933}"/>
    <cellStyle name="SAPBEXItemHeader 10" xfId="43421" xr:uid="{6C7F94B8-5531-46C2-9E6E-980DFACA47B2}"/>
    <cellStyle name="SAPBEXItemHeader 2" xfId="27909" xr:uid="{EFEF3A49-2C51-4414-9667-A2D8D7561905}"/>
    <cellStyle name="SAPBEXItemHeader 2 2" xfId="27910" xr:uid="{C2F15011-6D8E-4D97-9D0C-F7F83F1A400E}"/>
    <cellStyle name="SAPBEXItemHeader 2 3" xfId="27911" xr:uid="{64DD96AD-7363-4298-A7EE-D27AB3719800}"/>
    <cellStyle name="SAPBEXItemHeader 3" xfId="27912" xr:uid="{F0B416EF-A7DB-4743-B348-BB89C478AA81}"/>
    <cellStyle name="SAPBEXItemHeader 4" xfId="27913" xr:uid="{2F449A18-4119-4348-A1A9-9E9B6EBB58AC}"/>
    <cellStyle name="SAPBEXItemHeader 5" xfId="27914" xr:uid="{BAE4FC97-C42D-477F-B9AA-5E96134C87A6}"/>
    <cellStyle name="SAPBEXItemHeader 6" xfId="27915" xr:uid="{1F4B2BAB-7FC9-4D7F-BFFF-7C540F929AE0}"/>
    <cellStyle name="SAPBEXItemHeader 7" xfId="43422" xr:uid="{10736744-8846-4CD5-A407-798376432182}"/>
    <cellStyle name="SAPBEXItemHeader 8" xfId="43423" xr:uid="{444E71FB-0091-406F-9E1C-61AF833C8D94}"/>
    <cellStyle name="SAPBEXItemHeader 9" xfId="43424" xr:uid="{F00F97C5-11E1-4630-9D74-364B0F68EF7F}"/>
    <cellStyle name="SAPBEXresData" xfId="293" xr:uid="{2786F69E-6196-403C-A1CA-BF90291EF3E9}"/>
    <cellStyle name="SAPBEXresData 10" xfId="27916" xr:uid="{20BF4CD7-9F89-4747-9937-6A1BD62F5404}"/>
    <cellStyle name="SAPBEXresData 11" xfId="27917" xr:uid="{87057DA5-F48C-4680-A28B-8055C0509F71}"/>
    <cellStyle name="SAPBEXresData 12" xfId="27918" xr:uid="{9B0870FF-6B2C-4CEE-B410-372D8E382EA6}"/>
    <cellStyle name="SAPBEXresData 13" xfId="27919" xr:uid="{90EB53EE-95EE-48BB-842F-867CDDC298AF}"/>
    <cellStyle name="SAPBEXresData 2" xfId="27920" xr:uid="{CA20D61A-37AC-4009-AAB2-E178A809F7BF}"/>
    <cellStyle name="SAPBEXresData 2 2" xfId="27921" xr:uid="{0C5D6BDD-A344-455C-A342-5C0DF237DB15}"/>
    <cellStyle name="SAPBEXresData 2 2 2" xfId="27922" xr:uid="{202D01BE-FF8A-4F14-BF11-81876F40982B}"/>
    <cellStyle name="SAPBEXresData 2 2 3" xfId="27923" xr:uid="{B9DEBC6B-764D-4DA1-9C98-8AF189E6B11F}"/>
    <cellStyle name="SAPBEXresData 2 3" xfId="27924" xr:uid="{C50806C7-B816-45BE-AD06-A19E34BA7152}"/>
    <cellStyle name="SAPBEXresData 2 3 2" xfId="27925" xr:uid="{D02BFCC9-8A30-4DC7-B252-6E8289C71529}"/>
    <cellStyle name="SAPBEXresData 2 3 3" xfId="27926" xr:uid="{97A462FD-A636-48FC-940E-56CE25E2759F}"/>
    <cellStyle name="SAPBEXresData 2 4" xfId="27927" xr:uid="{3D034B53-00B7-4734-B104-B37B51B0F8FE}"/>
    <cellStyle name="SAPBEXresData 2 5" xfId="27928" xr:uid="{EFBD0C00-9FDF-4C47-A4DC-865CE82DFDF6}"/>
    <cellStyle name="SAPBEXresData 2 6" xfId="27929" xr:uid="{38D7A154-C7F9-438F-B143-C843710CC7BB}"/>
    <cellStyle name="SAPBEXresData 3" xfId="27930" xr:uid="{9701C109-0D13-42C1-A097-D24B3FE2093A}"/>
    <cellStyle name="SAPBEXresData 3 2" xfId="27931" xr:uid="{6D86C741-7966-43E8-83DD-5F8868AB3A19}"/>
    <cellStyle name="SAPBEXresData 3 3" xfId="27932" xr:uid="{781A2856-C7D2-4DF0-A3C2-F11E076FFDC1}"/>
    <cellStyle name="SAPBEXresData 3 4" xfId="27933" xr:uid="{4DBD2BEB-139E-4FCC-87D1-1BB251A75CF1}"/>
    <cellStyle name="SAPBEXresData 4" xfId="27934" xr:uid="{29731EDC-B531-4307-8D50-50FCB9677389}"/>
    <cellStyle name="SAPBEXresData 5" xfId="27935" xr:uid="{F8C9AB3F-544C-4FB6-88D0-B9F43BC24063}"/>
    <cellStyle name="SAPBEXresData 6" xfId="27936" xr:uid="{4B40A57D-3E49-49CD-B427-83E4BE070E1E}"/>
    <cellStyle name="SAPBEXresData 7" xfId="27937" xr:uid="{EF7D4665-D2BE-4010-8C22-622975525787}"/>
    <cellStyle name="SAPBEXresData 8" xfId="27938" xr:uid="{36AD821C-ECD0-42B9-ADCC-00948324D113}"/>
    <cellStyle name="SAPBEXresData 9" xfId="27939" xr:uid="{3B35BE4F-034D-46AF-A416-1DF7B4BA39C2}"/>
    <cellStyle name="SAPBEXresDataEmph" xfId="294" xr:uid="{36F9FECA-DDA7-44E0-95FD-3C643750103C}"/>
    <cellStyle name="SAPBEXresDataEmph 10" xfId="27940" xr:uid="{FA6BB47F-F956-4A89-B768-FDF470B34DEE}"/>
    <cellStyle name="SAPBEXresDataEmph 11" xfId="27941" xr:uid="{2E039425-C0CF-4716-B8EE-769BB0150C8F}"/>
    <cellStyle name="SAPBEXresDataEmph 12" xfId="27942" xr:uid="{81805577-EBE2-48C3-8BCF-B9DC6D1CEEE2}"/>
    <cellStyle name="SAPBEXresDataEmph 13" xfId="27943" xr:uid="{1577E8B0-3E1F-4E5C-A11B-1222EC306C3C}"/>
    <cellStyle name="SAPBEXresDataEmph 2" xfId="27944" xr:uid="{7717D1BA-D758-4B20-96C1-F95E111943FC}"/>
    <cellStyle name="SAPBEXresDataEmph 2 2" xfId="27945" xr:uid="{3AB4B2C2-83B7-4BA9-890B-0908F04FAAE5}"/>
    <cellStyle name="SAPBEXresDataEmph 2 2 2" xfId="27946" xr:uid="{D84328E5-569D-4923-A873-B3C693F7CEDA}"/>
    <cellStyle name="SAPBEXresDataEmph 2 2 3" xfId="27947" xr:uid="{45C387E2-D7C3-4115-BBDC-08B093BE77D7}"/>
    <cellStyle name="SAPBEXresDataEmph 2 3" xfId="27948" xr:uid="{04422E7E-872F-4FED-A49B-8B3FD575E522}"/>
    <cellStyle name="SAPBEXresDataEmph 2 3 2" xfId="27949" xr:uid="{5906030E-1D18-44D6-9B66-D55D12E4177F}"/>
    <cellStyle name="SAPBEXresDataEmph 2 3 3" xfId="27950" xr:uid="{70BFCE5A-316F-40B6-BDA4-F4B57EC2D358}"/>
    <cellStyle name="SAPBEXresDataEmph 2 4" xfId="27951" xr:uid="{101F01E7-F068-40F3-8E2D-F261C1E36B29}"/>
    <cellStyle name="SAPBEXresDataEmph 2 5" xfId="27952" xr:uid="{D636D1E8-BCF9-411A-8C9C-6542BB646656}"/>
    <cellStyle name="SAPBEXresDataEmph 2 6" xfId="27953" xr:uid="{37B46B2E-37B0-4929-B11B-37E02D9F0E69}"/>
    <cellStyle name="SAPBEXresDataEmph 3" xfId="27954" xr:uid="{D612949B-B4F5-486C-ABDF-F03B2C6FFA7B}"/>
    <cellStyle name="SAPBEXresDataEmph 3 2" xfId="27955" xr:uid="{60CF1937-DE02-4F49-8CCB-EC7738A8A7BB}"/>
    <cellStyle name="SAPBEXresDataEmph 3 3" xfId="27956" xr:uid="{8F06E979-E9D9-4EF9-A08C-661471B46358}"/>
    <cellStyle name="SAPBEXresDataEmph 3 4" xfId="27957" xr:uid="{26710A16-4D6A-4BFB-905C-9A3EDFD230CA}"/>
    <cellStyle name="SAPBEXresDataEmph 4" xfId="27958" xr:uid="{C24F0C8E-6ADD-46A3-BD68-5566A0C70708}"/>
    <cellStyle name="SAPBEXresDataEmph 5" xfId="27959" xr:uid="{E3B2D697-AF7F-4096-AE80-072798F1D8A9}"/>
    <cellStyle name="SAPBEXresDataEmph 6" xfId="27960" xr:uid="{32C69FF0-5D3B-473C-B2EC-2076E7E0EACF}"/>
    <cellStyle name="SAPBEXresDataEmph 7" xfId="27961" xr:uid="{2B3F6496-F11C-4708-B2DC-95EEE5CC8188}"/>
    <cellStyle name="SAPBEXresDataEmph 8" xfId="27962" xr:uid="{4165D33D-9391-4D20-8C6F-19AD15371F3C}"/>
    <cellStyle name="SAPBEXresDataEmph 9" xfId="27963" xr:uid="{E784235F-F48B-423B-9E71-F7E42B263682}"/>
    <cellStyle name="SAPBEXresItem" xfId="295" xr:uid="{F61529B5-EF42-43FB-B5D0-C8A3D8680903}"/>
    <cellStyle name="SAPBEXresItem 10" xfId="27964" xr:uid="{1B077877-CBAC-4974-B80F-2733BCE8B5D3}"/>
    <cellStyle name="SAPBEXresItem 11" xfId="27965" xr:uid="{C533C255-794C-4A70-8EAF-DA8EF77E5D08}"/>
    <cellStyle name="SAPBEXresItem 12" xfId="27966" xr:uid="{7BF2E9C9-E7AA-4083-A6F6-21D6528C2E63}"/>
    <cellStyle name="SAPBEXresItem 13" xfId="27967" xr:uid="{8B9F54CD-4F57-4E4B-8CEB-82A70AA75E0F}"/>
    <cellStyle name="SAPBEXresItem 2" xfId="27968" xr:uid="{A69A60EF-CB03-4911-BB04-970291583929}"/>
    <cellStyle name="SAPBEXresItem 2 2" xfId="27969" xr:uid="{EB441F80-4CC3-486B-A03B-4B029A42A038}"/>
    <cellStyle name="SAPBEXresItem 2 2 2" xfId="27970" xr:uid="{86D9A06B-EACE-4018-95F3-5F3DC63AD81F}"/>
    <cellStyle name="SAPBEXresItem 2 2 3" xfId="27971" xr:uid="{37C5A3D8-8C37-496B-B0EF-0775CBE067A1}"/>
    <cellStyle name="SAPBEXresItem 2 3" xfId="27972" xr:uid="{83B2421F-7B22-4C61-8890-20D8B82AF939}"/>
    <cellStyle name="SAPBEXresItem 2 3 2" xfId="27973" xr:uid="{264566F6-65C5-41F1-B1A1-63C5BD1993DD}"/>
    <cellStyle name="SAPBEXresItem 2 3 3" xfId="27974" xr:uid="{C15F22FA-52BA-4AC0-9A2D-94955BC00D1C}"/>
    <cellStyle name="SAPBEXresItem 2 4" xfId="27975" xr:uid="{247D5D9C-0AC9-48FB-8202-DCFED2CDD8E1}"/>
    <cellStyle name="SAPBEXresItem 2 5" xfId="27976" xr:uid="{6A3E2321-C6AA-4272-AFC5-E145E60D1BB2}"/>
    <cellStyle name="SAPBEXresItem 2 6" xfId="27977" xr:uid="{00D3A600-E445-4FE3-BF34-0C2DCD2F07C6}"/>
    <cellStyle name="SAPBEXresItem 3" xfId="27978" xr:uid="{ECAF25FA-BDBA-4963-9A72-FF5EA7C2B7EC}"/>
    <cellStyle name="SAPBEXresItem 3 2" xfId="27979" xr:uid="{A2C1AF4E-39EB-4D34-8131-AA7A7BECAA84}"/>
    <cellStyle name="SAPBEXresItem 3 3" xfId="27980" xr:uid="{5D2936A5-20BF-4B4B-9EAF-0465326E9663}"/>
    <cellStyle name="SAPBEXresItem 3 4" xfId="27981" xr:uid="{8E86B57B-5CF8-4C7D-82D4-168FD75F0E00}"/>
    <cellStyle name="SAPBEXresItem 4" xfId="27982" xr:uid="{5B98371B-59D5-4825-952A-2D29F467D287}"/>
    <cellStyle name="SAPBEXresItem 5" xfId="27983" xr:uid="{4137755F-993C-4882-B1D4-A8651B175CE7}"/>
    <cellStyle name="SAPBEXresItem 6" xfId="27984" xr:uid="{5998DDBC-0C94-4CFF-9177-83522E92E6F6}"/>
    <cellStyle name="SAPBEXresItem 7" xfId="27985" xr:uid="{EABD3365-2BE3-4C9D-97E2-851DFA03D954}"/>
    <cellStyle name="SAPBEXresItem 8" xfId="27986" xr:uid="{1B4C2C49-6150-4791-BA8C-3B2FF1D95F6C}"/>
    <cellStyle name="SAPBEXresItem 9" xfId="27987" xr:uid="{2A51F912-E510-4E39-B77E-662A0B8BEEE3}"/>
    <cellStyle name="SAPBEXresItemX" xfId="296" xr:uid="{A44937FC-E52A-49BC-BFA7-70160C053C17}"/>
    <cellStyle name="SAPBEXresItemX 10" xfId="27988" xr:uid="{9F7EC786-C234-461D-9875-0822B1F50BB8}"/>
    <cellStyle name="SAPBEXresItemX 11" xfId="27989" xr:uid="{9F49939E-4AE4-4128-B678-58EB1B395A76}"/>
    <cellStyle name="SAPBEXresItemX 12" xfId="27990" xr:uid="{06C67124-A9A7-4288-BC25-34C496D2B79A}"/>
    <cellStyle name="SAPBEXresItemX 13" xfId="27991" xr:uid="{96428A42-8673-4B3F-AEE9-68BC65F733A2}"/>
    <cellStyle name="SAPBEXresItemX 2" xfId="27992" xr:uid="{2BF54A4F-2D80-473F-B454-21579929D5B9}"/>
    <cellStyle name="SAPBEXresItemX 2 2" xfId="27993" xr:uid="{8127CB07-611D-40A0-A137-1A2AE93BC3AB}"/>
    <cellStyle name="SAPBEXresItemX 2 2 2" xfId="27994" xr:uid="{922FD280-875F-4BCD-BFD3-8282BA43BBE9}"/>
    <cellStyle name="SAPBEXresItemX 2 2 3" xfId="27995" xr:uid="{81910F6F-9E5E-4F4A-9C5A-9E551E0F1AB4}"/>
    <cellStyle name="SAPBEXresItemX 2 3" xfId="27996" xr:uid="{7160FC1F-4E60-44DC-859D-50FC9570FC72}"/>
    <cellStyle name="SAPBEXresItemX 2 3 2" xfId="27997" xr:uid="{5498D926-E3CB-41C9-8D44-7E024D0500A2}"/>
    <cellStyle name="SAPBEXresItemX 2 3 3" xfId="27998" xr:uid="{2061F77C-1F55-4B00-BCA9-3C57B7DAC464}"/>
    <cellStyle name="SAPBEXresItemX 2 4" xfId="27999" xr:uid="{86E4465B-0D8D-47A7-B6CF-B9EEC5617FDB}"/>
    <cellStyle name="SAPBEXresItemX 2 5" xfId="28000" xr:uid="{A86C5D61-5B8B-47D8-ABDF-8D8C69F4B681}"/>
    <cellStyle name="SAPBEXresItemX 2 6" xfId="28001" xr:uid="{4EFA4AAB-4ABC-4241-9785-19E653B9E0E9}"/>
    <cellStyle name="SAPBEXresItemX 3" xfId="28002" xr:uid="{2EA9A90E-6FD3-4A67-A227-FF13C671E4C4}"/>
    <cellStyle name="SAPBEXresItemX 3 2" xfId="28003" xr:uid="{E5399C64-CEDA-4E6B-BEA6-9DDFDD0365F9}"/>
    <cellStyle name="SAPBEXresItemX 3 3" xfId="28004" xr:uid="{91909DE2-9A2F-4184-946D-6854A8835D76}"/>
    <cellStyle name="SAPBEXresItemX 3 4" xfId="28005" xr:uid="{521824EB-FB55-4E9D-B5ED-E753EBD6B664}"/>
    <cellStyle name="SAPBEXresItemX 4" xfId="28006" xr:uid="{CF0EE128-51E0-43A1-B3C0-635B1E13C8B3}"/>
    <cellStyle name="SAPBEXresItemX 5" xfId="28007" xr:uid="{FDD93C8A-00F1-45FE-88CE-3657A5E39B59}"/>
    <cellStyle name="SAPBEXresItemX 6" xfId="28008" xr:uid="{45A9D05B-7508-4DF9-90F0-075FE7DDFFA5}"/>
    <cellStyle name="SAPBEXresItemX 7" xfId="28009" xr:uid="{A00DEEA6-FD80-46DB-80FF-BAC8C2FBF414}"/>
    <cellStyle name="SAPBEXresItemX 8" xfId="28010" xr:uid="{5CA80B19-6928-43CB-976D-77EC15451C73}"/>
    <cellStyle name="SAPBEXresItemX 9" xfId="28011" xr:uid="{AFA49207-BB06-49A5-8DB9-CA9A0B45B1E8}"/>
    <cellStyle name="SAPBEXstdData" xfId="297" xr:uid="{0DF7A5AE-4C04-4917-996E-D31EACE5AC7E}"/>
    <cellStyle name="SAPBEXstdData 10" xfId="28012" xr:uid="{B7B6C209-D2C1-43F1-812A-F8BB0D7F1D51}"/>
    <cellStyle name="SAPBEXstdData 11" xfId="28013" xr:uid="{6865618E-01D7-40FB-BCAE-D196E290DDEF}"/>
    <cellStyle name="SAPBEXstdData 12" xfId="28014" xr:uid="{8390EF26-2C45-4039-BF83-E068A9A8DA5E}"/>
    <cellStyle name="SAPBEXstdData 13" xfId="28015" xr:uid="{5424E4CD-C39F-4CA7-95AB-39AFF0AE17AB}"/>
    <cellStyle name="SAPBEXstdData 2" xfId="28016" xr:uid="{48D4BA81-8932-4C8D-84E1-DECB86D1C65E}"/>
    <cellStyle name="SAPBEXstdData 2 2" xfId="28017" xr:uid="{48738D77-23E0-4090-AA8B-AFF559EBA7F9}"/>
    <cellStyle name="SAPBEXstdData 2 2 2" xfId="28018" xr:uid="{ED34D7BD-A25A-4967-B1EE-12B32B0C81A1}"/>
    <cellStyle name="SAPBEXstdData 2 2 3" xfId="28019" xr:uid="{B26887B8-2F42-4DAB-9DA9-48650402DE83}"/>
    <cellStyle name="SAPBEXstdData 2 3" xfId="28020" xr:uid="{43CB6BC4-CC60-4EAA-99DC-1219876CAD88}"/>
    <cellStyle name="SAPBEXstdData 2 3 2" xfId="28021" xr:uid="{D0BB9E1A-81CD-4FD6-9968-AB00A3F5A979}"/>
    <cellStyle name="SAPBEXstdData 2 3 3" xfId="28022" xr:uid="{5BCFCB02-999C-45F9-A5CF-48F6B0223B70}"/>
    <cellStyle name="SAPBEXstdData 2 4" xfId="28023" xr:uid="{B18DF81F-6EEC-4F3B-95B8-93C3441C0BC9}"/>
    <cellStyle name="SAPBEXstdData 2 5" xfId="28024" xr:uid="{B008F564-1326-4406-AD85-A53637E907C3}"/>
    <cellStyle name="SAPBEXstdData 2 6" xfId="28025" xr:uid="{34F8EBDB-F01C-48FE-B569-5B1619299F36}"/>
    <cellStyle name="SAPBEXstdData 3" xfId="28026" xr:uid="{228167E3-17E0-4CF2-B937-C9B5B077112F}"/>
    <cellStyle name="SAPBEXstdData 3 2" xfId="28027" xr:uid="{1E464FCC-8C82-4961-B41A-6985E7F885E2}"/>
    <cellStyle name="SAPBEXstdData 3 3" xfId="28028" xr:uid="{CA4E46DA-754B-4561-91E4-EC828932A22D}"/>
    <cellStyle name="SAPBEXstdData 3 4" xfId="28029" xr:uid="{ACA01062-4F97-4190-A7B8-353AE46483EC}"/>
    <cellStyle name="SAPBEXstdData 4" xfId="28030" xr:uid="{D98B45FD-2C38-446D-8410-010E7988AC11}"/>
    <cellStyle name="SAPBEXstdData 5" xfId="28031" xr:uid="{FF1DCCA4-A840-4A83-B804-D591FF456734}"/>
    <cellStyle name="SAPBEXstdData 6" xfId="28032" xr:uid="{5C95EF37-BE01-4D87-A8BD-4E6A99C4D112}"/>
    <cellStyle name="SAPBEXstdData 7" xfId="28033" xr:uid="{B711EA3D-3A5C-427C-BC54-4304B29E3D28}"/>
    <cellStyle name="SAPBEXstdData 8" xfId="28034" xr:uid="{BC367BF9-6A49-4D8B-9C02-82BDABCB2858}"/>
    <cellStyle name="SAPBEXstdData 9" xfId="28035" xr:uid="{0BC14919-BD3A-4FE8-9C1C-D5A8D6F7B31B}"/>
    <cellStyle name="SAPBEXstdDataEmph" xfId="298" xr:uid="{90011F4A-62C4-4B22-AFE2-84C5140A9BFA}"/>
    <cellStyle name="SAPBEXstdDataEmph 10" xfId="28036" xr:uid="{D7A18875-8B1F-4542-AE0D-4717B6741189}"/>
    <cellStyle name="SAPBEXstdDataEmph 11" xfId="28037" xr:uid="{77EA9712-DCE0-4B8F-A8F1-C508AF11370A}"/>
    <cellStyle name="SAPBEXstdDataEmph 12" xfId="28038" xr:uid="{BA374B91-22DD-4959-AFB2-BD95281670E7}"/>
    <cellStyle name="SAPBEXstdDataEmph 13" xfId="28039" xr:uid="{D0C9FDD4-9181-4160-B062-E802D6D0702E}"/>
    <cellStyle name="SAPBEXstdDataEmph 2" xfId="28040" xr:uid="{A6088BF2-6A42-4BEC-8528-E6846645A57A}"/>
    <cellStyle name="SAPBEXstdDataEmph 2 2" xfId="28041" xr:uid="{779807CD-5FFE-42C4-8FB0-F0918FFE6D69}"/>
    <cellStyle name="SAPBEXstdDataEmph 2 2 2" xfId="28042" xr:uid="{BF145CC1-0025-455C-8AE8-BF9F96F8E597}"/>
    <cellStyle name="SAPBEXstdDataEmph 2 2 3" xfId="28043" xr:uid="{B7582704-5B70-4B4C-BF65-3822BCE0A016}"/>
    <cellStyle name="SAPBEXstdDataEmph 2 3" xfId="28044" xr:uid="{6763F7C6-CAAD-4792-B0A3-A950D784EB9B}"/>
    <cellStyle name="SAPBEXstdDataEmph 2 3 2" xfId="28045" xr:uid="{3AB20970-4A2E-4618-828E-B97CC19BC82A}"/>
    <cellStyle name="SAPBEXstdDataEmph 2 3 3" xfId="28046" xr:uid="{2B0055A3-A453-4BC8-B355-54D2498815BD}"/>
    <cellStyle name="SAPBEXstdDataEmph 2 4" xfId="28047" xr:uid="{798472EA-9785-4CD2-9082-5BD27E189A37}"/>
    <cellStyle name="SAPBEXstdDataEmph 2 5" xfId="28048" xr:uid="{A5B5C452-801E-4041-BD0D-3D8680CD8EEC}"/>
    <cellStyle name="SAPBEXstdDataEmph 2 6" xfId="28049" xr:uid="{D560AECB-7AE0-4E43-8297-4C2CE34027E0}"/>
    <cellStyle name="SAPBEXstdDataEmph 3" xfId="28050" xr:uid="{630DD9F7-D840-4761-970F-2557FC092ABC}"/>
    <cellStyle name="SAPBEXstdDataEmph 3 2" xfId="28051" xr:uid="{FC95DB2D-8E98-401B-B18D-B002685B9260}"/>
    <cellStyle name="SAPBEXstdDataEmph 3 3" xfId="28052" xr:uid="{EC8C9F86-C58A-4374-8F79-39B66A9DC382}"/>
    <cellStyle name="SAPBEXstdDataEmph 3 4" xfId="28053" xr:uid="{A902A99E-869E-4608-999D-A181E0CC4841}"/>
    <cellStyle name="SAPBEXstdDataEmph 4" xfId="28054" xr:uid="{A00203EA-E0DB-4644-8BBF-DE455FFB81D8}"/>
    <cellStyle name="SAPBEXstdDataEmph 5" xfId="28055" xr:uid="{88CF0B13-B657-4A81-8758-48633DFB5123}"/>
    <cellStyle name="SAPBEXstdDataEmph 6" xfId="28056" xr:uid="{40B3BDDB-677D-4008-9614-0B9BDBC2111A}"/>
    <cellStyle name="SAPBEXstdDataEmph 7" xfId="28057" xr:uid="{ABEBDD41-09B8-4184-BA0D-9B33A7EC66A0}"/>
    <cellStyle name="SAPBEXstdDataEmph 8" xfId="28058" xr:uid="{1D2D3B06-6BA8-441E-997E-1CC592D91FAC}"/>
    <cellStyle name="SAPBEXstdDataEmph 9" xfId="28059" xr:uid="{A48C8693-4F7E-4141-A7A5-482A039ECF5D}"/>
    <cellStyle name="SAPBEXstdItem" xfId="299" xr:uid="{A85933EB-D239-4B6C-95D0-4F3EDCB64166}"/>
    <cellStyle name="SAPBEXstdItem 10" xfId="28060" xr:uid="{301F2C76-8E08-44CB-A810-8AF298C867ED}"/>
    <cellStyle name="SAPBEXstdItem 10 10" xfId="28061" xr:uid="{CC5CF8E4-25AE-4CED-92EF-77B53DA7B6D7}"/>
    <cellStyle name="SAPBEXstdItem 10 11" xfId="28062" xr:uid="{737065FB-B1DD-4E01-98A1-469A1FDA640F}"/>
    <cellStyle name="SAPBEXstdItem 10 2" xfId="28063" xr:uid="{D1E12118-59EF-4360-A652-CFFE2986D091}"/>
    <cellStyle name="SAPBEXstdItem 10 2 2" xfId="28064" xr:uid="{24B3A216-BF87-4202-ABB8-CCADDBD3B80E}"/>
    <cellStyle name="SAPBEXstdItem 10 2 2 2" xfId="28065" xr:uid="{E1CA8907-8B3E-405F-B088-71E6A2351766}"/>
    <cellStyle name="SAPBEXstdItem 10 2 2 2 2" xfId="28066" xr:uid="{8C10EB8D-53F7-44AA-AF09-9A946627E9A2}"/>
    <cellStyle name="SAPBEXstdItem 10 2 2 2 3" xfId="28067" xr:uid="{F0C0F884-8857-4705-8628-1E57339F905C}"/>
    <cellStyle name="SAPBEXstdItem 10 2 2 3" xfId="28068" xr:uid="{CCCA4488-1093-41BB-8E42-9C823A9F0B8C}"/>
    <cellStyle name="SAPBEXstdItem 10 2 2 4" xfId="28069" xr:uid="{33D19413-0DEA-4303-A46B-670E559A7DEB}"/>
    <cellStyle name="SAPBEXstdItem 10 2 2 5" xfId="28070" xr:uid="{A4EB8875-9C48-4A22-8FAD-79AEDCC36B20}"/>
    <cellStyle name="SAPBEXstdItem 10 2 3" xfId="28071" xr:uid="{8BFA5F6D-66B7-47BD-8054-8917B0AE5C31}"/>
    <cellStyle name="SAPBEXstdItem 10 2 3 2" xfId="28072" xr:uid="{006833C6-44B4-4579-9C58-B1803A84AAA0}"/>
    <cellStyle name="SAPBEXstdItem 10 2 3 3" xfId="28073" xr:uid="{D1DB86C6-E03D-48DB-A134-C20845B78F51}"/>
    <cellStyle name="SAPBEXstdItem 10 2 4" xfId="28074" xr:uid="{25E0C73E-811E-4191-917B-5B261B52BBAB}"/>
    <cellStyle name="SAPBEXstdItem 10 2 5" xfId="28075" xr:uid="{2094B180-EA87-433B-B126-52A493B872BB}"/>
    <cellStyle name="SAPBEXstdItem 10 2 6" xfId="28076" xr:uid="{8879326F-7576-48EF-842F-3BE7512D03AF}"/>
    <cellStyle name="SAPBEXstdItem 10 3" xfId="28077" xr:uid="{0820A956-3519-441A-BF3D-17022FF9F10C}"/>
    <cellStyle name="SAPBEXstdItem 10 3 2" xfId="28078" xr:uid="{5F1B4D91-366D-4912-A71E-38589E31EACB}"/>
    <cellStyle name="SAPBEXstdItem 10 3 2 2" xfId="28079" xr:uid="{F1100CE2-1768-4ED4-A508-DF969179E2A0}"/>
    <cellStyle name="SAPBEXstdItem 10 3 2 2 2" xfId="28080" xr:uid="{871C38A1-8E44-4DE6-87BE-C025D324AAF7}"/>
    <cellStyle name="SAPBEXstdItem 10 3 2 2 3" xfId="28081" xr:uid="{FFC31954-603D-4429-8CD4-FB9CD1F6BB87}"/>
    <cellStyle name="SAPBEXstdItem 10 3 2 3" xfId="28082" xr:uid="{9E926912-DEB8-49A1-B624-6887DEDD851D}"/>
    <cellStyle name="SAPBEXstdItem 10 3 2 4" xfId="28083" xr:uid="{F11C333F-6E9E-4185-AC57-947D6C2AB83C}"/>
    <cellStyle name="SAPBEXstdItem 10 3 2 5" xfId="28084" xr:uid="{51634618-4FF6-413F-94A0-91F5D23A763E}"/>
    <cellStyle name="SAPBEXstdItem 10 3 3" xfId="28085" xr:uid="{69178F00-82FE-4E6D-9BCF-C8AD7711C91B}"/>
    <cellStyle name="SAPBEXstdItem 10 3 3 2" xfId="28086" xr:uid="{E0920A40-148E-496A-9009-A98E2FD4D83C}"/>
    <cellStyle name="SAPBEXstdItem 10 3 3 3" xfId="28087" xr:uid="{5D6F9025-A5C3-4E2A-82E4-8E84FF975663}"/>
    <cellStyle name="SAPBEXstdItem 10 3 4" xfId="28088" xr:uid="{10523A45-7E15-45A3-8616-B7BEF71B0041}"/>
    <cellStyle name="SAPBEXstdItem 10 3 5" xfId="28089" xr:uid="{33E702C8-5611-44CB-9A8E-5AEE62FC60E4}"/>
    <cellStyle name="SAPBEXstdItem 10 3 6" xfId="28090" xr:uid="{BB09894F-863E-4744-88E7-BA0C08E3D11A}"/>
    <cellStyle name="SAPBEXstdItem 10 4" xfId="28091" xr:uid="{3FA81231-A84D-4179-8D90-B4DB931F098D}"/>
    <cellStyle name="SAPBEXstdItem 10 4 2" xfId="28092" xr:uid="{1C5A41F7-F620-446D-9A63-EFD141B7D64F}"/>
    <cellStyle name="SAPBEXstdItem 10 4 2 2" xfId="28093" xr:uid="{BB102630-97F3-48CC-BBEB-9C1A28D9E6A6}"/>
    <cellStyle name="SAPBEXstdItem 10 4 2 2 2" xfId="28094" xr:uid="{9623AA7F-5F54-44AE-8E32-C0C6EE4247C4}"/>
    <cellStyle name="SAPBEXstdItem 10 4 2 2 3" xfId="28095" xr:uid="{A4CEEF3B-69FA-4C0A-945E-DEF77C0B9231}"/>
    <cellStyle name="SAPBEXstdItem 10 4 2 3" xfId="28096" xr:uid="{B8C1AB4F-7D95-4149-B50F-621746D1BAA6}"/>
    <cellStyle name="SAPBEXstdItem 10 4 2 4" xfId="28097" xr:uid="{8949FC89-8478-4FA4-A05C-702B8D227581}"/>
    <cellStyle name="SAPBEXstdItem 10 4 2 5" xfId="28098" xr:uid="{8FBEF698-9952-4D33-8E32-85936A84F272}"/>
    <cellStyle name="SAPBEXstdItem 10 4 3" xfId="28099" xr:uid="{DA9C4C25-E029-409B-8111-162F8D22A9DE}"/>
    <cellStyle name="SAPBEXstdItem 10 4 3 2" xfId="28100" xr:uid="{E9737B6D-2CAB-4C10-A508-124AB20C970B}"/>
    <cellStyle name="SAPBEXstdItem 10 4 3 3" xfId="28101" xr:uid="{6BE01BC3-E720-45BE-8ACA-06CC71865349}"/>
    <cellStyle name="SAPBEXstdItem 10 4 4" xfId="28102" xr:uid="{BC9AB32B-94DC-42FE-9ED5-747A59D140E6}"/>
    <cellStyle name="SAPBEXstdItem 10 4 5" xfId="28103" xr:uid="{022308E3-EBC4-444A-89B2-D1E03FFC3C0B}"/>
    <cellStyle name="SAPBEXstdItem 10 4 6" xfId="28104" xr:uid="{743DC2DB-C95D-4B0E-B66E-5DFFBCCD005C}"/>
    <cellStyle name="SAPBEXstdItem 10 5" xfId="28105" xr:uid="{0A0FD887-48BC-4CA3-B2BF-F0589D79E551}"/>
    <cellStyle name="SAPBEXstdItem 10 5 2" xfId="28106" xr:uid="{6788CB3D-66A5-4E31-8772-F2D82B7CAAB6}"/>
    <cellStyle name="SAPBEXstdItem 10 5 2 2" xfId="28107" xr:uid="{F1A35C1F-96EB-4DA0-98DA-2944C2404A56}"/>
    <cellStyle name="SAPBEXstdItem 10 5 2 2 2" xfId="28108" xr:uid="{AF31DE07-1FFA-4DCC-A96D-314F2253484D}"/>
    <cellStyle name="SAPBEXstdItem 10 5 2 2 3" xfId="28109" xr:uid="{10ADF54B-3C98-4784-A867-BCFE30487D8E}"/>
    <cellStyle name="SAPBEXstdItem 10 5 2 3" xfId="28110" xr:uid="{3995E393-5F35-4F77-88FE-2E7BAFABF877}"/>
    <cellStyle name="SAPBEXstdItem 10 5 2 4" xfId="28111" xr:uid="{2A41162F-D435-4665-AF1D-E80E1083587C}"/>
    <cellStyle name="SAPBEXstdItem 10 5 2 5" xfId="28112" xr:uid="{6C26B576-F23A-4F5E-AE3F-DDF430928A6E}"/>
    <cellStyle name="SAPBEXstdItem 10 5 3" xfId="28113" xr:uid="{60B28494-AD4A-4871-858E-F6CCC548D9B7}"/>
    <cellStyle name="SAPBEXstdItem 10 5 3 2" xfId="28114" xr:uid="{912D0799-DAC5-4CE6-B864-BA13DE37FAD4}"/>
    <cellStyle name="SAPBEXstdItem 10 5 3 3" xfId="28115" xr:uid="{25A540A2-0AA7-4654-BC8A-A5F4A56AB412}"/>
    <cellStyle name="SAPBEXstdItem 10 5 4" xfId="28116" xr:uid="{971973CC-AE08-4845-8802-1D7D0CDD0CAB}"/>
    <cellStyle name="SAPBEXstdItem 10 5 5" xfId="28117" xr:uid="{00C54DE6-3A88-4300-9245-96838F97D3B5}"/>
    <cellStyle name="SAPBEXstdItem 10 5 6" xfId="28118" xr:uid="{72FC0D53-8347-4B94-91DC-B993CC783C16}"/>
    <cellStyle name="SAPBEXstdItem 10 6" xfId="28119" xr:uid="{A8D74855-FEE7-490E-A40C-8BA87BBD4268}"/>
    <cellStyle name="SAPBEXstdItem 10 6 2" xfId="28120" xr:uid="{6B800F42-6880-44D1-836F-41E183DD04E3}"/>
    <cellStyle name="SAPBEXstdItem 10 6 2 2" xfId="28121" xr:uid="{1024D93D-FD71-4DA1-9DBF-EB8138734AA2}"/>
    <cellStyle name="SAPBEXstdItem 10 6 2 3" xfId="28122" xr:uid="{0B59C399-2B4D-4C89-8737-75D79566BCB1}"/>
    <cellStyle name="SAPBEXstdItem 10 6 3" xfId="28123" xr:uid="{B16856FD-17ED-45D5-ADE6-8DB71855C58F}"/>
    <cellStyle name="SAPBEXstdItem 10 6 4" xfId="28124" xr:uid="{2A668B36-7F24-4C01-BA0D-2E99F82B47B3}"/>
    <cellStyle name="SAPBEXstdItem 10 6 5" xfId="28125" xr:uid="{166E9875-6FE2-478F-97F9-12DD15EE64D0}"/>
    <cellStyle name="SAPBEXstdItem 10 7" xfId="28126" xr:uid="{D7E3C025-CC4A-4C3A-AE2F-7A64DDF479EF}"/>
    <cellStyle name="SAPBEXstdItem 10 7 2" xfId="28127" xr:uid="{F3AE9DE7-0901-48AF-956D-25D71EB13BFD}"/>
    <cellStyle name="SAPBEXstdItem 10 7 3" xfId="28128" xr:uid="{6A2C165C-42EA-40F4-8506-BA3014E11B4B}"/>
    <cellStyle name="SAPBEXstdItem 10 7 4" xfId="28129" xr:uid="{3079BBF0-742D-4A7F-B5CC-B495C8FBDA37}"/>
    <cellStyle name="SAPBEXstdItem 10 7 5" xfId="28130" xr:uid="{47F9D5F6-44F5-4BDB-90B1-C1B185C350E7}"/>
    <cellStyle name="SAPBEXstdItem 10 8" xfId="28131" xr:uid="{33115434-75B0-458E-B3A7-51B1361DAA23}"/>
    <cellStyle name="SAPBEXstdItem 10 9" xfId="28132" xr:uid="{50474188-D527-4DEF-9830-D61F9B2DE474}"/>
    <cellStyle name="SAPBEXstdItem 11" xfId="28133" xr:uid="{80D50E6E-166A-4119-8A9E-A70DF12CF813}"/>
    <cellStyle name="SAPBEXstdItem 11 10" xfId="28134" xr:uid="{26E844F1-58CC-4730-A1EA-FB91F20D9E29}"/>
    <cellStyle name="SAPBEXstdItem 11 11" xfId="28135" xr:uid="{5322D61B-F049-49F4-BA84-E8A0D93B6709}"/>
    <cellStyle name="SAPBEXstdItem 11 2" xfId="28136" xr:uid="{98D3417F-148A-4262-AC81-A0B731C3D896}"/>
    <cellStyle name="SAPBEXstdItem 11 2 2" xfId="28137" xr:uid="{59211435-F016-4C55-8B29-EECF94D69729}"/>
    <cellStyle name="SAPBEXstdItem 11 2 2 2" xfId="28138" xr:uid="{3CC24BAA-1FD9-4737-946B-B678865DA5FC}"/>
    <cellStyle name="SAPBEXstdItem 11 2 2 2 2" xfId="28139" xr:uid="{C455FFC5-4D6D-4878-AABC-158E0200439B}"/>
    <cellStyle name="SAPBEXstdItem 11 2 2 2 3" xfId="28140" xr:uid="{5585CAD7-ED16-4D3F-AC52-D1ED77E0627D}"/>
    <cellStyle name="SAPBEXstdItem 11 2 2 3" xfId="28141" xr:uid="{CA43AC70-5925-468C-B6D9-36CF24E92154}"/>
    <cellStyle name="SAPBEXstdItem 11 2 2 4" xfId="28142" xr:uid="{63374B1C-5092-4B48-A659-F6E97AF2F147}"/>
    <cellStyle name="SAPBEXstdItem 11 2 2 5" xfId="28143" xr:uid="{B419BD62-49F8-4149-ACFE-5ACDA870D012}"/>
    <cellStyle name="SAPBEXstdItem 11 2 3" xfId="28144" xr:uid="{71F06622-D344-4A3C-82FB-80C910A30E94}"/>
    <cellStyle name="SAPBEXstdItem 11 2 3 2" xfId="28145" xr:uid="{1857F929-B9C6-4405-B2B4-88FE623A2BC6}"/>
    <cellStyle name="SAPBEXstdItem 11 2 3 3" xfId="28146" xr:uid="{30D25367-92B2-4A3D-9B38-E67047ED6FD8}"/>
    <cellStyle name="SAPBEXstdItem 11 2 4" xfId="28147" xr:uid="{1B0482BF-77D2-4820-8C5C-31437D7717FE}"/>
    <cellStyle name="SAPBEXstdItem 11 2 5" xfId="28148" xr:uid="{DDDA4145-1596-4491-8819-894C8C6D3FB4}"/>
    <cellStyle name="SAPBEXstdItem 11 2 6" xfId="28149" xr:uid="{C71F383A-C35D-47D3-8795-64D4B103B208}"/>
    <cellStyle name="SAPBEXstdItem 11 3" xfId="28150" xr:uid="{267A4470-0683-4D65-9363-32A8D188A577}"/>
    <cellStyle name="SAPBEXstdItem 11 3 2" xfId="28151" xr:uid="{F2FACAE5-42B7-4637-B9D2-209F36A9ECB4}"/>
    <cellStyle name="SAPBEXstdItem 11 3 2 2" xfId="28152" xr:uid="{BE5DE989-227C-496A-9887-9E3067629EF3}"/>
    <cellStyle name="SAPBEXstdItem 11 3 2 2 2" xfId="28153" xr:uid="{7E3067CD-2B32-4904-974F-C7A906156FAB}"/>
    <cellStyle name="SAPBEXstdItem 11 3 2 2 3" xfId="28154" xr:uid="{85C8DD91-2819-453F-BD04-92C89F61B4CB}"/>
    <cellStyle name="SAPBEXstdItem 11 3 2 3" xfId="28155" xr:uid="{D14D0EA6-E1A2-4E05-9079-D4378D7162F9}"/>
    <cellStyle name="SAPBEXstdItem 11 3 2 4" xfId="28156" xr:uid="{5356D463-5772-4D47-A4C8-F03CA6A97737}"/>
    <cellStyle name="SAPBEXstdItem 11 3 2 5" xfId="28157" xr:uid="{C284DCE2-A148-481F-9617-41DFE8F352B0}"/>
    <cellStyle name="SAPBEXstdItem 11 3 3" xfId="28158" xr:uid="{16875342-4967-453A-B0A8-9380E29D9038}"/>
    <cellStyle name="SAPBEXstdItem 11 3 3 2" xfId="28159" xr:uid="{22895069-2D6E-4FBE-8B99-5ECD76FEE4EC}"/>
    <cellStyle name="SAPBEXstdItem 11 3 3 3" xfId="28160" xr:uid="{12D9D4A4-9857-455E-99D5-5F5424C93A0A}"/>
    <cellStyle name="SAPBEXstdItem 11 3 4" xfId="28161" xr:uid="{501DD676-7BBC-4543-8479-6AC8698FE4C4}"/>
    <cellStyle name="SAPBEXstdItem 11 3 5" xfId="28162" xr:uid="{25E2C2D9-F0BF-4EC2-844C-6C2C151C2265}"/>
    <cellStyle name="SAPBEXstdItem 11 3 6" xfId="28163" xr:uid="{4ADB69EA-117A-4413-99E5-C269F38AAC1D}"/>
    <cellStyle name="SAPBEXstdItem 11 4" xfId="28164" xr:uid="{EA1C1E72-A935-4344-AF03-DB62922B1AC7}"/>
    <cellStyle name="SAPBEXstdItem 11 4 2" xfId="28165" xr:uid="{51FAD9A5-84A2-4427-86A8-9D8430D0E0AD}"/>
    <cellStyle name="SAPBEXstdItem 11 4 2 2" xfId="28166" xr:uid="{57DCF1E3-4B5F-42FD-8D67-B4A371498009}"/>
    <cellStyle name="SAPBEXstdItem 11 4 2 2 2" xfId="28167" xr:uid="{2BB45DEF-C5DB-4CDF-BD1C-5BCFCF16467D}"/>
    <cellStyle name="SAPBEXstdItem 11 4 2 2 3" xfId="28168" xr:uid="{01EE91F5-A0FB-4349-89C2-5B2E3CDF012F}"/>
    <cellStyle name="SAPBEXstdItem 11 4 2 3" xfId="28169" xr:uid="{31DE28FA-6640-44B7-9034-F78991837EBC}"/>
    <cellStyle name="SAPBEXstdItem 11 4 2 4" xfId="28170" xr:uid="{A602A335-85B5-44AE-8828-205077148E98}"/>
    <cellStyle name="SAPBEXstdItem 11 4 2 5" xfId="28171" xr:uid="{1CF2DE01-13CE-4411-BEE6-732221A76F4D}"/>
    <cellStyle name="SAPBEXstdItem 11 4 3" xfId="28172" xr:uid="{B6D855CE-5106-433F-979D-DAD7EE3D5EC1}"/>
    <cellStyle name="SAPBEXstdItem 11 4 3 2" xfId="28173" xr:uid="{6AB2B094-E4D0-49F2-A64C-E85C87C92FA0}"/>
    <cellStyle name="SAPBEXstdItem 11 4 3 3" xfId="28174" xr:uid="{62CCD93F-6A9C-4B32-A9C3-604D992B3522}"/>
    <cellStyle name="SAPBEXstdItem 11 4 4" xfId="28175" xr:uid="{714653CD-5068-4D79-B432-FDD5FC2DE8C9}"/>
    <cellStyle name="SAPBEXstdItem 11 4 5" xfId="28176" xr:uid="{E8C7BAC9-2BA2-43AA-81CA-7E930D2200D0}"/>
    <cellStyle name="SAPBEXstdItem 11 4 6" xfId="28177" xr:uid="{4327E8FB-298F-4BBA-A6BD-1DB22857440D}"/>
    <cellStyle name="SAPBEXstdItem 11 5" xfId="28178" xr:uid="{4C61EF5F-EEF5-4D21-9078-A65AD23C25AE}"/>
    <cellStyle name="SAPBEXstdItem 11 5 2" xfId="28179" xr:uid="{E85C8AC3-CA95-48CB-88A1-66DA57FE4233}"/>
    <cellStyle name="SAPBEXstdItem 11 5 2 2" xfId="28180" xr:uid="{129D1335-892F-4205-B8EC-51A44432FC61}"/>
    <cellStyle name="SAPBEXstdItem 11 5 2 2 2" xfId="28181" xr:uid="{674767AA-1DA8-4220-A2E4-0E027B1A980B}"/>
    <cellStyle name="SAPBEXstdItem 11 5 2 2 3" xfId="28182" xr:uid="{8B50BF9D-0DCB-4C2E-8378-5D4EC369D7DA}"/>
    <cellStyle name="SAPBEXstdItem 11 5 2 3" xfId="28183" xr:uid="{8744937A-7CD8-43FB-A3EC-EF5C3644E8F5}"/>
    <cellStyle name="SAPBEXstdItem 11 5 2 4" xfId="28184" xr:uid="{BADAA16F-36E9-4253-BF87-BE4B7B74ADB4}"/>
    <cellStyle name="SAPBEXstdItem 11 5 2 5" xfId="28185" xr:uid="{A92CDE66-60D0-47D6-A016-08698511A239}"/>
    <cellStyle name="SAPBEXstdItem 11 5 3" xfId="28186" xr:uid="{D9056C91-7BF2-470A-BC57-6719D4F31E70}"/>
    <cellStyle name="SAPBEXstdItem 11 5 3 2" xfId="28187" xr:uid="{533D48A8-5FEA-4472-B9A8-9261CF182DB5}"/>
    <cellStyle name="SAPBEXstdItem 11 5 3 3" xfId="28188" xr:uid="{4F62F611-8442-4263-8090-3C93E19DEF14}"/>
    <cellStyle name="SAPBEXstdItem 11 5 4" xfId="28189" xr:uid="{4D8601A4-45D5-4E85-B5E9-3CA0121C19D9}"/>
    <cellStyle name="SAPBEXstdItem 11 5 5" xfId="28190" xr:uid="{B009EDAA-2645-4EE0-99D7-168B1A4DDC06}"/>
    <cellStyle name="SAPBEXstdItem 11 5 6" xfId="28191" xr:uid="{2E21D83E-F6B8-4AF6-90B9-17E34F8B30ED}"/>
    <cellStyle name="SAPBEXstdItem 11 6" xfId="28192" xr:uid="{9167BA93-8775-4E18-97DA-5C917B4B3A8D}"/>
    <cellStyle name="SAPBEXstdItem 11 6 2" xfId="28193" xr:uid="{B207907C-AFD0-473B-9841-603169CF4F96}"/>
    <cellStyle name="SAPBEXstdItem 11 6 2 2" xfId="28194" xr:uid="{2D55FCB4-69CC-42DB-8504-74F224BF8E6A}"/>
    <cellStyle name="SAPBEXstdItem 11 6 2 3" xfId="28195" xr:uid="{C7E1921D-6E58-4BB5-ADA5-E8DC7FF9F3C6}"/>
    <cellStyle name="SAPBEXstdItem 11 6 3" xfId="28196" xr:uid="{5B3D079A-4A97-441C-80C9-468FCC93E7C6}"/>
    <cellStyle name="SAPBEXstdItem 11 6 4" xfId="28197" xr:uid="{B57E6212-402A-48E2-ABC0-557EF5B0AC16}"/>
    <cellStyle name="SAPBEXstdItem 11 6 5" xfId="28198" xr:uid="{945E6786-A978-4814-B414-E2531D7A7DC9}"/>
    <cellStyle name="SAPBEXstdItem 11 7" xfId="28199" xr:uid="{F9BA6A29-3982-41D0-917A-829F0CCD3E0A}"/>
    <cellStyle name="SAPBEXstdItem 11 7 2" xfId="28200" xr:uid="{9850A7E4-73F4-4F46-AE23-0EFA9A1C54B5}"/>
    <cellStyle name="SAPBEXstdItem 11 7 3" xfId="28201" xr:uid="{80821F1A-6816-40C5-A218-6A57DE753294}"/>
    <cellStyle name="SAPBEXstdItem 11 7 4" xfId="28202" xr:uid="{D0506D17-6B85-4084-B562-8889D4ED94EF}"/>
    <cellStyle name="SAPBEXstdItem 11 7 5" xfId="28203" xr:uid="{9F48EBEA-A67A-4CF9-8B31-EBFACE7AF55B}"/>
    <cellStyle name="SAPBEXstdItem 11 8" xfId="28204" xr:uid="{6DB4C4C7-2B4A-4AC5-B15E-28FD52E2BEAC}"/>
    <cellStyle name="SAPBEXstdItem 11 9" xfId="28205" xr:uid="{2FC3AA98-F642-4D88-8121-32B7F8923C17}"/>
    <cellStyle name="SAPBEXstdItem 12" xfId="28206" xr:uid="{3E244E9E-E69A-4BDE-BCDF-7056E275AA88}"/>
    <cellStyle name="SAPBEXstdItem 12 10" xfId="28207" xr:uid="{BEA39DAB-A79A-4BBB-9364-C89314EE1C58}"/>
    <cellStyle name="SAPBEXstdItem 12 11" xfId="28208" xr:uid="{D0E7D8AE-3A3E-4FD3-9655-344C7CDDB374}"/>
    <cellStyle name="SAPBEXstdItem 12 2" xfId="28209" xr:uid="{17209B18-A6D5-4E81-A1E4-DF0E4FF28B96}"/>
    <cellStyle name="SAPBEXstdItem 12 2 2" xfId="28210" xr:uid="{BDB73ED3-CAB0-418B-8BA3-94014780A43C}"/>
    <cellStyle name="SAPBEXstdItem 12 2 2 2" xfId="28211" xr:uid="{B6DE45A8-6469-44B0-8959-83B2D5E3DA0D}"/>
    <cellStyle name="SAPBEXstdItem 12 2 2 2 2" xfId="28212" xr:uid="{CFF18652-42E9-4A0A-9386-660A5E4BBE97}"/>
    <cellStyle name="SAPBEXstdItem 12 2 2 2 3" xfId="28213" xr:uid="{313F85B9-8CF5-46F0-A77F-4D7193988000}"/>
    <cellStyle name="SAPBEXstdItem 12 2 2 3" xfId="28214" xr:uid="{E62DB83E-7FE2-4ECB-8175-1011B802FD2B}"/>
    <cellStyle name="SAPBEXstdItem 12 2 2 4" xfId="28215" xr:uid="{94F019E4-399B-4613-9DFA-E2EC1D106DF1}"/>
    <cellStyle name="SAPBEXstdItem 12 2 2 5" xfId="28216" xr:uid="{2DDE3FB7-8DC6-4B5A-AD9E-E2754BDF5938}"/>
    <cellStyle name="SAPBEXstdItem 12 2 3" xfId="28217" xr:uid="{CB486CE2-3FCF-4F5E-90B6-A6A09DD86F97}"/>
    <cellStyle name="SAPBEXstdItem 12 2 3 2" xfId="28218" xr:uid="{83C0AF97-D42B-4A7F-ABEA-F1E2E9ABF8A9}"/>
    <cellStyle name="SAPBEXstdItem 12 2 3 3" xfId="28219" xr:uid="{BFA5C6E8-8128-4E86-A5D2-4AE466485BCF}"/>
    <cellStyle name="SAPBEXstdItem 12 2 4" xfId="28220" xr:uid="{5E3CC539-54D3-4878-92CB-1161E9E02094}"/>
    <cellStyle name="SAPBEXstdItem 12 2 5" xfId="28221" xr:uid="{46841FD7-A50C-4969-99F1-F2350BC95362}"/>
    <cellStyle name="SAPBEXstdItem 12 2 6" xfId="28222" xr:uid="{0BF538EE-B730-4C9E-8CF1-9F8BB350754A}"/>
    <cellStyle name="SAPBEXstdItem 12 3" xfId="28223" xr:uid="{FAD7813F-809B-4761-B15E-5A51B7FCC4A2}"/>
    <cellStyle name="SAPBEXstdItem 12 3 2" xfId="28224" xr:uid="{8D0796D0-F72A-4657-B9EB-6395B8E6AF4F}"/>
    <cellStyle name="SAPBEXstdItem 12 3 2 2" xfId="28225" xr:uid="{CD8DB9F0-2703-4D6A-923A-FFE5F47D045A}"/>
    <cellStyle name="SAPBEXstdItem 12 3 2 2 2" xfId="28226" xr:uid="{2E91867D-CC6E-458E-8FA6-CDA548113ADB}"/>
    <cellStyle name="SAPBEXstdItem 12 3 2 2 3" xfId="28227" xr:uid="{4C1AEB94-9009-428C-8DAE-3B8D2BB5F114}"/>
    <cellStyle name="SAPBEXstdItem 12 3 2 3" xfId="28228" xr:uid="{6C32D105-F9BD-43B4-B77C-8100A04427D0}"/>
    <cellStyle name="SAPBEXstdItem 12 3 2 4" xfId="28229" xr:uid="{91EF4863-55F5-42A4-B6C2-EE27562747B6}"/>
    <cellStyle name="SAPBEXstdItem 12 3 2 5" xfId="28230" xr:uid="{6F0EA8E0-0AFB-4C76-9CD2-4914A6D0F12B}"/>
    <cellStyle name="SAPBEXstdItem 12 3 3" xfId="28231" xr:uid="{03C5704D-8296-46A1-92C5-A5AD8EA7FF80}"/>
    <cellStyle name="SAPBEXstdItem 12 3 3 2" xfId="28232" xr:uid="{7BDA1BD7-6FE0-45E8-9E89-8D380E8F1898}"/>
    <cellStyle name="SAPBEXstdItem 12 3 3 3" xfId="28233" xr:uid="{FCB76703-8A60-4AD1-B8B6-5468D3FDBCCD}"/>
    <cellStyle name="SAPBEXstdItem 12 3 4" xfId="28234" xr:uid="{4D6AD7EE-68D1-4910-9CF8-A8E0EC728196}"/>
    <cellStyle name="SAPBEXstdItem 12 3 5" xfId="28235" xr:uid="{CD90446F-2A96-4A35-A789-C5DEB4C76122}"/>
    <cellStyle name="SAPBEXstdItem 12 3 6" xfId="28236" xr:uid="{ED9C8375-B178-4B01-8C98-0460B0EAC4BD}"/>
    <cellStyle name="SAPBEXstdItem 12 4" xfId="28237" xr:uid="{37DF8B65-E8C0-4036-9C24-69F2446F16EC}"/>
    <cellStyle name="SAPBEXstdItem 12 4 2" xfId="28238" xr:uid="{3EFF060D-4835-49E8-9B6C-34FBB6D60A12}"/>
    <cellStyle name="SAPBEXstdItem 12 4 2 2" xfId="28239" xr:uid="{356B62E2-607A-4AC6-B259-2DBC937F5D49}"/>
    <cellStyle name="SAPBEXstdItem 12 4 2 2 2" xfId="28240" xr:uid="{8BC381CA-9681-4F83-89E2-17B17361D2EC}"/>
    <cellStyle name="SAPBEXstdItem 12 4 2 2 3" xfId="28241" xr:uid="{13CF3B3C-25FE-43E6-812A-768FF3AB207B}"/>
    <cellStyle name="SAPBEXstdItem 12 4 2 3" xfId="28242" xr:uid="{FB4FC626-A500-4A27-8F8D-DCAC87BCD5FD}"/>
    <cellStyle name="SAPBEXstdItem 12 4 2 4" xfId="28243" xr:uid="{53B3698B-5ADB-42AD-8B7F-A7A5303F9E18}"/>
    <cellStyle name="SAPBEXstdItem 12 4 2 5" xfId="28244" xr:uid="{01989F29-514E-4C8A-9004-D218BE0B293E}"/>
    <cellStyle name="SAPBEXstdItem 12 4 3" xfId="28245" xr:uid="{5D0B46FE-E790-460F-8A40-6179E38B99DF}"/>
    <cellStyle name="SAPBEXstdItem 12 4 3 2" xfId="28246" xr:uid="{87FFA184-8587-4970-B4E7-F33E6F3DA685}"/>
    <cellStyle name="SAPBEXstdItem 12 4 3 3" xfId="28247" xr:uid="{340BBE4F-2C2F-437E-8D42-0A5EA86CB1EB}"/>
    <cellStyle name="SAPBEXstdItem 12 4 4" xfId="28248" xr:uid="{EE2493AE-F8BC-4157-8848-5A3412C14D0F}"/>
    <cellStyle name="SAPBEXstdItem 12 4 5" xfId="28249" xr:uid="{62AFBE3E-70E6-48E5-86BC-FEFA1973B645}"/>
    <cellStyle name="SAPBEXstdItem 12 4 6" xfId="28250" xr:uid="{1F668152-7303-4CD5-A2C8-902BF1456459}"/>
    <cellStyle name="SAPBEXstdItem 12 5" xfId="28251" xr:uid="{4FC304C3-220B-431F-BF15-6B1A95BD058F}"/>
    <cellStyle name="SAPBEXstdItem 12 5 2" xfId="28252" xr:uid="{6C36BD95-4FE6-4023-982F-4B81755901C2}"/>
    <cellStyle name="SAPBEXstdItem 12 5 2 2" xfId="28253" xr:uid="{BC9D5034-7D37-4CCC-B3EC-E45052212688}"/>
    <cellStyle name="SAPBEXstdItem 12 5 2 2 2" xfId="28254" xr:uid="{D48D1C9B-612A-469B-BB8E-8008C979C4A5}"/>
    <cellStyle name="SAPBEXstdItem 12 5 2 2 3" xfId="28255" xr:uid="{D9557A1C-9EFB-4FA5-AD1B-B39DD5416876}"/>
    <cellStyle name="SAPBEXstdItem 12 5 2 3" xfId="28256" xr:uid="{EFDE569E-2728-47EC-ACE8-95F5C3886692}"/>
    <cellStyle name="SAPBEXstdItem 12 5 2 4" xfId="28257" xr:uid="{7789168F-A500-496A-BF4C-313CE158C028}"/>
    <cellStyle name="SAPBEXstdItem 12 5 2 5" xfId="28258" xr:uid="{38D90A79-54F3-43B6-AC65-AEC8CF962B1F}"/>
    <cellStyle name="SAPBEXstdItem 12 5 3" xfId="28259" xr:uid="{8C7BEA07-1CA1-469E-84FC-0DFB2DF6BEB2}"/>
    <cellStyle name="SAPBEXstdItem 12 5 3 2" xfId="28260" xr:uid="{F520A734-A095-4893-9DCE-A594F9140A94}"/>
    <cellStyle name="SAPBEXstdItem 12 5 3 3" xfId="28261" xr:uid="{19DF6FDE-25B7-4D69-AB33-CC93CCFF3C25}"/>
    <cellStyle name="SAPBEXstdItem 12 5 4" xfId="28262" xr:uid="{1DBB5BA0-3CFC-4A47-B48B-ADB043BBED61}"/>
    <cellStyle name="SAPBEXstdItem 12 5 5" xfId="28263" xr:uid="{570ADF1A-0E1B-41D1-8686-31C010995CB7}"/>
    <cellStyle name="SAPBEXstdItem 12 5 6" xfId="28264" xr:uid="{EC956DFD-AD72-48A0-AA63-D4713BCCED56}"/>
    <cellStyle name="SAPBEXstdItem 12 6" xfId="28265" xr:uid="{75116C88-63B9-436D-BDF9-6F23F730420D}"/>
    <cellStyle name="SAPBEXstdItem 12 6 2" xfId="28266" xr:uid="{81ADC2EC-7808-4F49-891F-90FAAA4AFFCB}"/>
    <cellStyle name="SAPBEXstdItem 12 6 2 2" xfId="28267" xr:uid="{7C0D669F-7BC0-483B-903F-E520E98164F5}"/>
    <cellStyle name="SAPBEXstdItem 12 6 2 3" xfId="28268" xr:uid="{F6CB708E-5424-4970-A5FB-D86FDD4D4AD8}"/>
    <cellStyle name="SAPBEXstdItem 12 6 3" xfId="28269" xr:uid="{1BBD9942-9125-4FF6-AEBB-68DCB1903244}"/>
    <cellStyle name="SAPBEXstdItem 12 6 4" xfId="28270" xr:uid="{FAEE625D-67EF-492B-9F2C-5B7A58144D00}"/>
    <cellStyle name="SAPBEXstdItem 12 6 5" xfId="28271" xr:uid="{1E23067B-3D8D-4552-8D56-5AC6090E527B}"/>
    <cellStyle name="SAPBEXstdItem 12 7" xfId="28272" xr:uid="{7E369227-6DE9-433F-9750-ABA333585593}"/>
    <cellStyle name="SAPBEXstdItem 12 7 2" xfId="28273" xr:uid="{E7FFFC94-ED31-429A-9ABC-DB82C97ACC9C}"/>
    <cellStyle name="SAPBEXstdItem 12 7 3" xfId="28274" xr:uid="{DC52B8EE-DC12-4E47-BC56-F5F7F06B6088}"/>
    <cellStyle name="SAPBEXstdItem 12 7 4" xfId="28275" xr:uid="{BDC7DBAB-E68C-47D4-A2F8-2CA2F116B12C}"/>
    <cellStyle name="SAPBEXstdItem 12 7 5" xfId="28276" xr:uid="{7C6D2778-15A7-4193-9CD9-EDBEC60C28D1}"/>
    <cellStyle name="SAPBEXstdItem 12 8" xfId="28277" xr:uid="{2C3AD9FC-9D57-4050-9377-27EBB75009AC}"/>
    <cellStyle name="SAPBEXstdItem 12 9" xfId="28278" xr:uid="{27943A99-8BC6-4540-92CE-CDDCC8978421}"/>
    <cellStyle name="SAPBEXstdItem 13" xfId="28279" xr:uid="{6A0E424B-31D0-4E9E-8935-0EFB6BDA6348}"/>
    <cellStyle name="SAPBEXstdItem 13 10" xfId="28280" xr:uid="{31790613-7633-4B2C-BAB5-334E047C3DAB}"/>
    <cellStyle name="SAPBEXstdItem 13 11" xfId="28281" xr:uid="{4A13692C-F9C1-4B69-ADB3-D987984A7F0A}"/>
    <cellStyle name="SAPBEXstdItem 13 2" xfId="28282" xr:uid="{C767BB13-3B89-4C7B-A3CE-F4B018EA71C5}"/>
    <cellStyle name="SAPBEXstdItem 13 2 2" xfId="28283" xr:uid="{747E5BA4-9D30-4AFA-80BE-BC15BA23F0BA}"/>
    <cellStyle name="SAPBEXstdItem 13 2 2 2" xfId="28284" xr:uid="{7E5DC29E-8E6E-427A-BB27-0A2DB219349F}"/>
    <cellStyle name="SAPBEXstdItem 13 2 2 2 2" xfId="28285" xr:uid="{1FD3EA33-3171-4EDF-AED7-A01201BAA1C3}"/>
    <cellStyle name="SAPBEXstdItem 13 2 2 2 3" xfId="28286" xr:uid="{144169F3-46A8-42AA-9CFF-67F4460F44C2}"/>
    <cellStyle name="SAPBEXstdItem 13 2 2 3" xfId="28287" xr:uid="{4058FE63-5DA2-41C7-9DFE-C4A50A35B2DC}"/>
    <cellStyle name="SAPBEXstdItem 13 2 2 4" xfId="28288" xr:uid="{4EB0567D-7AB9-463F-9D29-82456D38A490}"/>
    <cellStyle name="SAPBEXstdItem 13 2 2 5" xfId="28289" xr:uid="{8CD94543-110A-486B-8C77-53A8F34222F8}"/>
    <cellStyle name="SAPBEXstdItem 13 2 3" xfId="28290" xr:uid="{C72536DE-CCCB-4186-B9D4-DC619335C9E5}"/>
    <cellStyle name="SAPBEXstdItem 13 2 3 2" xfId="28291" xr:uid="{1B7328A6-D925-479E-A68F-2072CD81D28A}"/>
    <cellStyle name="SAPBEXstdItem 13 2 3 3" xfId="28292" xr:uid="{56250BFF-9724-4A14-875B-B1B69E9E047F}"/>
    <cellStyle name="SAPBEXstdItem 13 2 4" xfId="28293" xr:uid="{8BEAE497-7225-45A5-9157-F5D80BC22407}"/>
    <cellStyle name="SAPBEXstdItem 13 2 5" xfId="28294" xr:uid="{46994D74-1DFB-4527-A31E-7B45137887F8}"/>
    <cellStyle name="SAPBEXstdItem 13 2 6" xfId="28295" xr:uid="{7286D050-198E-4086-84D8-18F699275951}"/>
    <cellStyle name="SAPBEXstdItem 13 3" xfId="28296" xr:uid="{B9AE932A-1F45-414F-838E-2B5B40F699CE}"/>
    <cellStyle name="SAPBEXstdItem 13 3 2" xfId="28297" xr:uid="{7BF38FD0-0476-4F12-A0F6-19203F4988D8}"/>
    <cellStyle name="SAPBEXstdItem 13 3 2 2" xfId="28298" xr:uid="{2089EC16-E9FF-43FE-A83B-72E04911DD3C}"/>
    <cellStyle name="SAPBEXstdItem 13 3 2 2 2" xfId="28299" xr:uid="{57E3C0E0-6958-4B53-B5CD-B59C0F2D8D64}"/>
    <cellStyle name="SAPBEXstdItem 13 3 2 2 3" xfId="28300" xr:uid="{7F7DC968-57C8-4F6B-A0C6-2522CC56F6ED}"/>
    <cellStyle name="SAPBEXstdItem 13 3 2 3" xfId="28301" xr:uid="{C9B0E540-1CE3-4E3F-A229-2A3052208ACB}"/>
    <cellStyle name="SAPBEXstdItem 13 3 2 4" xfId="28302" xr:uid="{0CDAAAEF-AFF7-466D-B922-741930DBCF63}"/>
    <cellStyle name="SAPBEXstdItem 13 3 2 5" xfId="28303" xr:uid="{8DD46926-6293-42AB-A641-4C12FF0CCF0A}"/>
    <cellStyle name="SAPBEXstdItem 13 3 3" xfId="28304" xr:uid="{D7DC27C2-CAD6-460E-AA3E-1354BA17C5FD}"/>
    <cellStyle name="SAPBEXstdItem 13 3 3 2" xfId="28305" xr:uid="{0A8580BC-F56D-429A-9A2A-BB865B258A10}"/>
    <cellStyle name="SAPBEXstdItem 13 3 3 3" xfId="28306" xr:uid="{E923C2C4-A877-493D-B3D8-18F5343B090D}"/>
    <cellStyle name="SAPBEXstdItem 13 3 4" xfId="28307" xr:uid="{1A2BD92D-211D-4264-A010-A06786473387}"/>
    <cellStyle name="SAPBEXstdItem 13 3 5" xfId="28308" xr:uid="{C9595331-44C9-44D0-BF91-FEA7CBB832F5}"/>
    <cellStyle name="SAPBEXstdItem 13 3 6" xfId="28309" xr:uid="{B4B6B95C-208F-45FC-B4EB-FDB1886B3ADF}"/>
    <cellStyle name="SAPBEXstdItem 13 4" xfId="28310" xr:uid="{7942A31D-7169-438A-A8BD-83FF5E653AE3}"/>
    <cellStyle name="SAPBEXstdItem 13 4 2" xfId="28311" xr:uid="{BAAB3C40-7E85-47B6-AA01-F76B3430EE6C}"/>
    <cellStyle name="SAPBEXstdItem 13 4 2 2" xfId="28312" xr:uid="{4B49F213-C9A9-471B-80A8-492426B6EC31}"/>
    <cellStyle name="SAPBEXstdItem 13 4 2 2 2" xfId="28313" xr:uid="{A1124653-4D84-43AF-BE24-9B64EC26D336}"/>
    <cellStyle name="SAPBEXstdItem 13 4 2 2 3" xfId="28314" xr:uid="{AEF2DD63-4CD1-4E5E-9972-885C2F2E06BC}"/>
    <cellStyle name="SAPBEXstdItem 13 4 2 3" xfId="28315" xr:uid="{ED4F08CB-8F89-4A6D-ADC7-6EFEEB26353D}"/>
    <cellStyle name="SAPBEXstdItem 13 4 2 4" xfId="28316" xr:uid="{0F712B9D-0131-4513-8911-882DD785559A}"/>
    <cellStyle name="SAPBEXstdItem 13 4 2 5" xfId="28317" xr:uid="{D4FE2109-BE5F-48FA-A1E1-E849E722F232}"/>
    <cellStyle name="SAPBEXstdItem 13 4 3" xfId="28318" xr:uid="{33BF4089-A926-46E3-8828-4C837A2141C8}"/>
    <cellStyle name="SAPBEXstdItem 13 4 3 2" xfId="28319" xr:uid="{5CA89663-6E02-4780-927F-48555C438A2F}"/>
    <cellStyle name="SAPBEXstdItem 13 4 3 3" xfId="28320" xr:uid="{1B3A8232-D10E-4103-BEBE-1BFA06813EA6}"/>
    <cellStyle name="SAPBEXstdItem 13 4 4" xfId="28321" xr:uid="{C3E2DF5A-7057-4483-BA72-DBAFB8D012D3}"/>
    <cellStyle name="SAPBEXstdItem 13 4 5" xfId="28322" xr:uid="{6D30D205-FF5D-441C-AF89-9FF9DFB5FB9C}"/>
    <cellStyle name="SAPBEXstdItem 13 4 6" xfId="28323" xr:uid="{7590A733-D9E1-4D78-8F3D-C465787ECF8D}"/>
    <cellStyle name="SAPBEXstdItem 13 5" xfId="28324" xr:uid="{ABFBB9D6-CE08-4BA6-9F53-0AE7E79AF797}"/>
    <cellStyle name="SAPBEXstdItem 13 5 2" xfId="28325" xr:uid="{143DF206-3FE4-4492-BF99-CD38B290EF90}"/>
    <cellStyle name="SAPBEXstdItem 13 5 2 2" xfId="28326" xr:uid="{D8F5B100-1F7F-4988-9201-A92E8EDB5FBD}"/>
    <cellStyle name="SAPBEXstdItem 13 5 2 2 2" xfId="28327" xr:uid="{161F5662-5D95-4B5C-9129-AB14A0B0CA55}"/>
    <cellStyle name="SAPBEXstdItem 13 5 2 2 3" xfId="28328" xr:uid="{B5A70DC6-48B1-4671-BACA-73E366CE06D3}"/>
    <cellStyle name="SAPBEXstdItem 13 5 2 3" xfId="28329" xr:uid="{69741EDE-3C86-4E8B-8B7A-D81E90FC61B5}"/>
    <cellStyle name="SAPBEXstdItem 13 5 2 4" xfId="28330" xr:uid="{D0DBD204-4D9A-4C08-B4EE-98BA16B74AE9}"/>
    <cellStyle name="SAPBEXstdItem 13 5 2 5" xfId="28331" xr:uid="{9F70C725-0027-49D9-A272-5519D9FAAF42}"/>
    <cellStyle name="SAPBEXstdItem 13 5 3" xfId="28332" xr:uid="{4FDC5C36-ED2C-4665-8086-4192F5FD0E43}"/>
    <cellStyle name="SAPBEXstdItem 13 5 3 2" xfId="28333" xr:uid="{DE4DD1CF-9F29-47B6-99B8-CE7C68714368}"/>
    <cellStyle name="SAPBEXstdItem 13 5 3 3" xfId="28334" xr:uid="{476D0B69-978D-451F-BE50-CF000A7BD98A}"/>
    <cellStyle name="SAPBEXstdItem 13 5 4" xfId="28335" xr:uid="{1B6042C6-DCE0-496A-8123-4A7ABEF16D97}"/>
    <cellStyle name="SAPBEXstdItem 13 5 5" xfId="28336" xr:uid="{A417CC82-16A5-4475-ABEF-5C93B3C6B1C1}"/>
    <cellStyle name="SAPBEXstdItem 13 5 6" xfId="28337" xr:uid="{82108356-47FD-4DD7-B040-7CABF2FD9C3F}"/>
    <cellStyle name="SAPBEXstdItem 13 6" xfId="28338" xr:uid="{CDB413D2-9155-4AA8-BEEB-845FE09564F2}"/>
    <cellStyle name="SAPBEXstdItem 13 6 2" xfId="28339" xr:uid="{F1DC8CC6-2D71-4C42-8473-AB1E5B01C2E3}"/>
    <cellStyle name="SAPBEXstdItem 13 6 2 2" xfId="28340" xr:uid="{FDCC2AE0-D5D3-4066-9876-C911680E4857}"/>
    <cellStyle name="SAPBEXstdItem 13 6 2 3" xfId="28341" xr:uid="{587554FF-D791-45A8-B400-F4C2A50A093E}"/>
    <cellStyle name="SAPBEXstdItem 13 6 3" xfId="28342" xr:uid="{DF64EC48-7EF6-4D41-A795-3AC014FB948B}"/>
    <cellStyle name="SAPBEXstdItem 13 6 4" xfId="28343" xr:uid="{2ECC5FCD-650B-4921-9CFC-7139687689F6}"/>
    <cellStyle name="SAPBEXstdItem 13 6 5" xfId="28344" xr:uid="{18729C58-6E72-42C4-988C-7736A9638F4B}"/>
    <cellStyle name="SAPBEXstdItem 13 7" xfId="28345" xr:uid="{9A51F61F-16BC-4FDD-A34C-E98D89C90A97}"/>
    <cellStyle name="SAPBEXstdItem 13 7 2" xfId="28346" xr:uid="{0C901539-119B-4608-BA85-F015B681A472}"/>
    <cellStyle name="SAPBEXstdItem 13 7 3" xfId="28347" xr:uid="{3BD73269-E3C6-44E8-8FF9-602D888666AE}"/>
    <cellStyle name="SAPBEXstdItem 13 7 4" xfId="28348" xr:uid="{86AE08C9-676D-4E07-9528-184AED5184F1}"/>
    <cellStyle name="SAPBEXstdItem 13 7 5" xfId="28349" xr:uid="{756A0A6B-32C9-480D-8B36-B14F31C7DCEE}"/>
    <cellStyle name="SAPBEXstdItem 13 8" xfId="28350" xr:uid="{5028A744-4B41-4157-AD5A-8035EF0A140F}"/>
    <cellStyle name="SAPBEXstdItem 13 9" xfId="28351" xr:uid="{D32988B0-738D-4696-ADF9-A333B6E9E05F}"/>
    <cellStyle name="SAPBEXstdItem 14" xfId="28352" xr:uid="{6BD6C2D2-E27D-4541-B0FE-0BAFFBBC5C04}"/>
    <cellStyle name="SAPBEXstdItem 14 10" xfId="28353" xr:uid="{BB854C9E-8437-45B7-87E1-9DCE87A5ABC4}"/>
    <cellStyle name="SAPBEXstdItem 14 2" xfId="28354" xr:uid="{6DA716A6-C325-4D05-B01C-13CFBB4517CE}"/>
    <cellStyle name="SAPBEXstdItem 14 2 2" xfId="28355" xr:uid="{CAE69EC4-E383-4F55-9E8E-70F82A71D205}"/>
    <cellStyle name="SAPBEXstdItem 14 2 2 2" xfId="28356" xr:uid="{EDE71275-8A6D-494C-8F0F-8CFE8A6B4DEA}"/>
    <cellStyle name="SAPBEXstdItem 14 2 2 2 2" xfId="28357" xr:uid="{29A3984D-57F4-4AF2-8992-6057D362E73F}"/>
    <cellStyle name="SAPBEXstdItem 14 2 2 2 3" xfId="28358" xr:uid="{2D6B245D-81D8-4DA1-81D3-8029E28502F6}"/>
    <cellStyle name="SAPBEXstdItem 14 2 2 3" xfId="28359" xr:uid="{28D5BAC7-75C6-45F4-97F2-543D55E748B9}"/>
    <cellStyle name="SAPBEXstdItem 14 2 2 4" xfId="28360" xr:uid="{443E5ABE-113F-4AE6-BD73-9157D4DA839C}"/>
    <cellStyle name="SAPBEXstdItem 14 2 2 5" xfId="28361" xr:uid="{2B79473B-D6A4-4092-AABA-7D1D1EC5FC57}"/>
    <cellStyle name="SAPBEXstdItem 14 2 3" xfId="28362" xr:uid="{F6AA1D31-D8AA-480F-9E63-B1AAD0283DD6}"/>
    <cellStyle name="SAPBEXstdItem 14 2 3 2" xfId="28363" xr:uid="{55576D38-92D6-4D0C-AD10-D711793285EA}"/>
    <cellStyle name="SAPBEXstdItem 14 2 3 3" xfId="28364" xr:uid="{C36D3FBE-818E-4148-9B09-F4E43606D00A}"/>
    <cellStyle name="SAPBEXstdItem 14 2 4" xfId="28365" xr:uid="{65651A93-B5C6-4D57-9309-32EE0D3077A6}"/>
    <cellStyle name="SAPBEXstdItem 14 2 5" xfId="28366" xr:uid="{32CCC7B6-2586-4467-BB58-30FDEDCD98DF}"/>
    <cellStyle name="SAPBEXstdItem 14 2 6" xfId="28367" xr:uid="{0AC8DF6E-8350-4DD5-9DC7-51F6334CFAA3}"/>
    <cellStyle name="SAPBEXstdItem 14 3" xfId="28368" xr:uid="{CD1D3A78-EA1E-40FC-8211-53CE8B50BDD3}"/>
    <cellStyle name="SAPBEXstdItem 14 3 2" xfId="28369" xr:uid="{4697D814-62C2-4EB3-8ADF-62D041CD34AD}"/>
    <cellStyle name="SAPBEXstdItem 14 3 2 2" xfId="28370" xr:uid="{6B8E7330-32AF-460E-8C5E-BFB63280D330}"/>
    <cellStyle name="SAPBEXstdItem 14 3 2 2 2" xfId="28371" xr:uid="{3E264CFF-31A8-4244-9802-5B7F46304C84}"/>
    <cellStyle name="SAPBEXstdItem 14 3 2 2 3" xfId="28372" xr:uid="{48A55ECB-23C2-4471-8AA6-77052C64F804}"/>
    <cellStyle name="SAPBEXstdItem 14 3 2 3" xfId="28373" xr:uid="{F30C0C43-BC15-451F-BDB4-36DFA68DB3A6}"/>
    <cellStyle name="SAPBEXstdItem 14 3 2 4" xfId="28374" xr:uid="{A2D68C74-9B43-4C87-B40C-7A6352E5472A}"/>
    <cellStyle name="SAPBEXstdItem 14 3 2 5" xfId="28375" xr:uid="{B53092AC-1BFD-4FC9-8764-CA7496AA8878}"/>
    <cellStyle name="SAPBEXstdItem 14 3 3" xfId="28376" xr:uid="{586C4F50-63A9-4B13-BA1B-567FDC7309FB}"/>
    <cellStyle name="SAPBEXstdItem 14 3 3 2" xfId="28377" xr:uid="{A754CC14-7BDF-4652-BD7D-76FF4D475DFC}"/>
    <cellStyle name="SAPBEXstdItem 14 3 3 3" xfId="28378" xr:uid="{6342DFDD-F4C5-4D38-8E7B-21EA5ED21DFE}"/>
    <cellStyle name="SAPBEXstdItem 14 3 4" xfId="28379" xr:uid="{27A6265E-8EAA-46F8-8B3E-BBF0ABF40C93}"/>
    <cellStyle name="SAPBEXstdItem 14 3 5" xfId="28380" xr:uid="{30A9079B-67B9-4BF5-860F-1D12D009A615}"/>
    <cellStyle name="SAPBEXstdItem 14 3 6" xfId="28381" xr:uid="{28A6F8FB-77BE-456C-A434-E4D97E68347C}"/>
    <cellStyle name="SAPBEXstdItem 14 4" xfId="28382" xr:uid="{0AA5C93D-F32C-4DE7-B30B-057535D8F7B6}"/>
    <cellStyle name="SAPBEXstdItem 14 4 2" xfId="28383" xr:uid="{C93CF91C-20F6-48A6-92B1-5A6826C54517}"/>
    <cellStyle name="SAPBEXstdItem 14 4 2 2" xfId="28384" xr:uid="{17B824A7-980F-4D47-8FE3-841144DEF45B}"/>
    <cellStyle name="SAPBEXstdItem 14 4 2 2 2" xfId="28385" xr:uid="{8D51249B-EC8E-4700-80AC-C101195DE587}"/>
    <cellStyle name="SAPBEXstdItem 14 4 2 2 3" xfId="28386" xr:uid="{2D1E1A7D-E778-4BA9-AECA-E8310FFCD856}"/>
    <cellStyle name="SAPBEXstdItem 14 4 2 3" xfId="28387" xr:uid="{D2D1E280-2FB6-445E-80DC-5276A3855E4D}"/>
    <cellStyle name="SAPBEXstdItem 14 4 2 4" xfId="28388" xr:uid="{254ED027-ADE8-4710-B131-F6E9FF66E5B0}"/>
    <cellStyle name="SAPBEXstdItem 14 4 2 5" xfId="28389" xr:uid="{93A6320C-BD44-4190-9415-A7544E44A3F5}"/>
    <cellStyle name="SAPBEXstdItem 14 4 3" xfId="28390" xr:uid="{8CF2626B-5D2E-47A2-946B-24ADD37ABC7D}"/>
    <cellStyle name="SAPBEXstdItem 14 4 3 2" xfId="28391" xr:uid="{CCC3D1B8-F3BF-49B3-BACB-9FF1794CA986}"/>
    <cellStyle name="SAPBEXstdItem 14 4 3 3" xfId="28392" xr:uid="{799036A0-09C3-4689-BA66-CA2CD34FBC7D}"/>
    <cellStyle name="SAPBEXstdItem 14 4 4" xfId="28393" xr:uid="{50530F8A-B366-4ABA-B5A7-A49E03256012}"/>
    <cellStyle name="SAPBEXstdItem 14 4 5" xfId="28394" xr:uid="{F44EE671-ABD0-4DCE-AF37-08F91307ACAA}"/>
    <cellStyle name="SAPBEXstdItem 14 4 6" xfId="28395" xr:uid="{D2DFAA61-4978-4FE5-BF28-4154D8481778}"/>
    <cellStyle name="SAPBEXstdItem 14 5" xfId="28396" xr:uid="{246FD3FC-9100-4AC5-B36A-FE7EE8AFF3C4}"/>
    <cellStyle name="SAPBEXstdItem 14 5 2" xfId="28397" xr:uid="{1F439F57-63DA-411A-8A3A-02801CF77658}"/>
    <cellStyle name="SAPBEXstdItem 14 5 2 2" xfId="28398" xr:uid="{3887A54F-56F0-4FE2-A6CC-8FE825A36CD8}"/>
    <cellStyle name="SAPBEXstdItem 14 5 2 2 2" xfId="28399" xr:uid="{62AA9AB5-5974-44EC-916B-C067426F077A}"/>
    <cellStyle name="SAPBEXstdItem 14 5 2 2 3" xfId="28400" xr:uid="{75882295-AA5B-4EF4-8644-A1E48A9E0CA4}"/>
    <cellStyle name="SAPBEXstdItem 14 5 2 3" xfId="28401" xr:uid="{4AE9E7FE-E256-42BE-A376-C5E2191F5167}"/>
    <cellStyle name="SAPBEXstdItem 14 5 2 4" xfId="28402" xr:uid="{B5E86603-7F38-4505-B7BC-367DB9B65194}"/>
    <cellStyle name="SAPBEXstdItem 14 5 2 5" xfId="28403" xr:uid="{B6310B37-0984-40D2-8E27-BC5AEF176E5B}"/>
    <cellStyle name="SAPBEXstdItem 14 5 3" xfId="28404" xr:uid="{F84B208E-7227-4328-BB15-66C3D1D25FE3}"/>
    <cellStyle name="SAPBEXstdItem 14 5 3 2" xfId="28405" xr:uid="{7E2CF79A-C32F-4CC0-936B-567D111FBDC6}"/>
    <cellStyle name="SAPBEXstdItem 14 5 3 3" xfId="28406" xr:uid="{4250FE10-8681-4447-9DBA-28EF12F17B5E}"/>
    <cellStyle name="SAPBEXstdItem 14 5 4" xfId="28407" xr:uid="{FB43241C-6049-4EE6-99F5-8EF47A1FAD8F}"/>
    <cellStyle name="SAPBEXstdItem 14 5 5" xfId="28408" xr:uid="{4E8253DA-8F1E-4199-A212-D92DB9578437}"/>
    <cellStyle name="SAPBEXstdItem 14 5 6" xfId="28409" xr:uid="{3FD39AAF-9A1D-44A0-B9E5-F9830DF8A184}"/>
    <cellStyle name="SAPBEXstdItem 14 6" xfId="28410" xr:uid="{2FEABD4A-9A8F-453C-A274-A6F0DAA889A0}"/>
    <cellStyle name="SAPBEXstdItem 14 6 2" xfId="28411" xr:uid="{87B8EF1B-C3AD-4644-8605-10909E508C92}"/>
    <cellStyle name="SAPBEXstdItem 14 6 2 2" xfId="28412" xr:uid="{A5984405-DE99-4F2F-B3C5-D10A1FB1546B}"/>
    <cellStyle name="SAPBEXstdItem 14 6 2 3" xfId="28413" xr:uid="{BAF530BF-D9F5-4B6B-B1B9-BB0B55AEE74C}"/>
    <cellStyle name="SAPBEXstdItem 14 6 3" xfId="28414" xr:uid="{8F9F5C10-3688-4723-898F-BE5866843507}"/>
    <cellStyle name="SAPBEXstdItem 14 6 4" xfId="28415" xr:uid="{B014EC0E-52C2-4BD1-9AC1-D4FE393D3A8B}"/>
    <cellStyle name="SAPBEXstdItem 14 6 5" xfId="28416" xr:uid="{A5F4C432-37E2-4400-B6EE-499C3428A359}"/>
    <cellStyle name="SAPBEXstdItem 14 7" xfId="28417" xr:uid="{8021163E-7639-466C-A8A9-6224FE5E0498}"/>
    <cellStyle name="SAPBEXstdItem 14 7 2" xfId="28418" xr:uid="{C70D8EC3-EF85-435A-AA9E-C7738A04AC8F}"/>
    <cellStyle name="SAPBEXstdItem 14 7 3" xfId="28419" xr:uid="{8E097F5B-8C0F-438E-9113-264AE81002E9}"/>
    <cellStyle name="SAPBEXstdItem 14 8" xfId="28420" xr:uid="{2583C95C-CDCF-4EE3-9004-C8EEDA6163F8}"/>
    <cellStyle name="SAPBEXstdItem 14 9" xfId="28421" xr:uid="{8175642D-2D71-420F-95CC-C8AED818A960}"/>
    <cellStyle name="SAPBEXstdItem 15" xfId="28422" xr:uid="{E210666E-4150-432A-B35A-307B2214E0A8}"/>
    <cellStyle name="SAPBEXstdItem 15 10" xfId="28423" xr:uid="{6294A972-EEDE-401E-951D-8722AD16588D}"/>
    <cellStyle name="SAPBEXstdItem 15 2" xfId="28424" xr:uid="{1973C645-A630-4943-89F8-E224F7A679F8}"/>
    <cellStyle name="SAPBEXstdItem 15 2 2" xfId="28425" xr:uid="{BD3D59FE-875E-49FE-A686-E0496943661C}"/>
    <cellStyle name="SAPBEXstdItem 15 2 2 2" xfId="28426" xr:uid="{A5BE03C4-E985-47B7-B772-137BC014D743}"/>
    <cellStyle name="SAPBEXstdItem 15 2 2 2 2" xfId="28427" xr:uid="{FAE6CB80-4410-4ED0-8276-6EAFDB8C906A}"/>
    <cellStyle name="SAPBEXstdItem 15 2 2 2 3" xfId="28428" xr:uid="{9BDB99AD-8160-4D19-887F-A1BC1B4E6812}"/>
    <cellStyle name="SAPBEXstdItem 15 2 2 3" xfId="28429" xr:uid="{80786950-0584-4773-A06A-66C2D93DAEBC}"/>
    <cellStyle name="SAPBEXstdItem 15 2 2 4" xfId="28430" xr:uid="{ADC28489-7D14-4541-80B9-E6FB7011F16C}"/>
    <cellStyle name="SAPBEXstdItem 15 2 2 5" xfId="28431" xr:uid="{66ACF6BD-2E49-4F94-9389-F12AA88B2D0D}"/>
    <cellStyle name="SAPBEXstdItem 15 2 3" xfId="28432" xr:uid="{11912354-B73A-4010-976D-65EA29CF35D6}"/>
    <cellStyle name="SAPBEXstdItem 15 2 3 2" xfId="28433" xr:uid="{FB279BC5-423B-45E2-BD0C-89D0752279DD}"/>
    <cellStyle name="SAPBEXstdItem 15 2 3 3" xfId="28434" xr:uid="{CFC9386E-CD40-4D2D-BC7A-53DC20E5BA0C}"/>
    <cellStyle name="SAPBEXstdItem 15 2 4" xfId="28435" xr:uid="{3DDD5189-C287-4658-9260-7D5700825C05}"/>
    <cellStyle name="SAPBEXstdItem 15 2 5" xfId="28436" xr:uid="{7B6D09A8-A8FE-44C7-B4C6-8674AC715A4B}"/>
    <cellStyle name="SAPBEXstdItem 15 2 6" xfId="28437" xr:uid="{919DE674-1BEB-47ED-B4BB-86E58235F8C6}"/>
    <cellStyle name="SAPBEXstdItem 15 3" xfId="28438" xr:uid="{F2946B7C-6F57-4DD3-97CE-FA342B199B94}"/>
    <cellStyle name="SAPBEXstdItem 15 3 2" xfId="28439" xr:uid="{8996C762-3AA5-4D5E-B41B-F6D6D413D923}"/>
    <cellStyle name="SAPBEXstdItem 15 3 2 2" xfId="28440" xr:uid="{49553CF7-AE7A-4E6F-810E-26B42D9FEAAD}"/>
    <cellStyle name="SAPBEXstdItem 15 3 2 2 2" xfId="28441" xr:uid="{2AE4DFA8-6E93-4F86-8939-80C5BD07B395}"/>
    <cellStyle name="SAPBEXstdItem 15 3 2 2 3" xfId="28442" xr:uid="{329402A4-53B9-4D2E-8C4F-F1708333F513}"/>
    <cellStyle name="SAPBEXstdItem 15 3 2 3" xfId="28443" xr:uid="{C69EB568-8F67-43A9-9C85-D708DE60ED9B}"/>
    <cellStyle name="SAPBEXstdItem 15 3 2 4" xfId="28444" xr:uid="{24E70F9F-82D2-4FF1-86AC-3C8385F710A2}"/>
    <cellStyle name="SAPBEXstdItem 15 3 2 5" xfId="28445" xr:uid="{B975CF09-7F9D-4B06-B949-3B1FE6B95B06}"/>
    <cellStyle name="SAPBEXstdItem 15 3 3" xfId="28446" xr:uid="{A7533716-BFB5-4F30-815A-0416C5BB295A}"/>
    <cellStyle name="SAPBEXstdItem 15 3 3 2" xfId="28447" xr:uid="{74F02D8E-D2E2-4728-9396-B33BDD6AB5E4}"/>
    <cellStyle name="SAPBEXstdItem 15 3 3 3" xfId="28448" xr:uid="{4F7BB0AF-C998-41A7-A12C-172F241D71AB}"/>
    <cellStyle name="SAPBEXstdItem 15 3 4" xfId="28449" xr:uid="{B7763360-98FC-4100-AB83-7A894646D93F}"/>
    <cellStyle name="SAPBEXstdItem 15 3 5" xfId="28450" xr:uid="{3A1E110A-3474-4901-8ED7-799165974A26}"/>
    <cellStyle name="SAPBEXstdItem 15 3 6" xfId="28451" xr:uid="{42B6F1EB-63E6-47FA-BDF7-AF59E32029A2}"/>
    <cellStyle name="SAPBEXstdItem 15 4" xfId="28452" xr:uid="{3531C2D9-E7BE-409F-8D8C-68640C627278}"/>
    <cellStyle name="SAPBEXstdItem 15 4 2" xfId="28453" xr:uid="{4C3D2CA0-95F2-4405-B2A9-3A067912C0B2}"/>
    <cellStyle name="SAPBEXstdItem 15 4 2 2" xfId="28454" xr:uid="{925403C1-9786-4D44-8F88-E98F057AB712}"/>
    <cellStyle name="SAPBEXstdItem 15 4 2 2 2" xfId="28455" xr:uid="{0568BA4E-DE8D-4FDD-AE77-1BA8039EF65D}"/>
    <cellStyle name="SAPBEXstdItem 15 4 2 2 3" xfId="28456" xr:uid="{D6072098-0248-4575-861D-AB19402A3719}"/>
    <cellStyle name="SAPBEXstdItem 15 4 2 3" xfId="28457" xr:uid="{8F6F1619-E99D-4F11-A2CC-993A4B4CA43C}"/>
    <cellStyle name="SAPBEXstdItem 15 4 2 4" xfId="28458" xr:uid="{CBEEA0DA-C183-45D0-90A8-BC13D7B40729}"/>
    <cellStyle name="SAPBEXstdItem 15 4 2 5" xfId="28459" xr:uid="{72D479C3-5F6C-4220-A09B-88E7D707C866}"/>
    <cellStyle name="SAPBEXstdItem 15 4 3" xfId="28460" xr:uid="{FAC402F8-2E57-4F4B-83EC-9B8C336B06CA}"/>
    <cellStyle name="SAPBEXstdItem 15 4 3 2" xfId="28461" xr:uid="{A8F0D640-F30C-4B01-B14D-B8A69251948E}"/>
    <cellStyle name="SAPBEXstdItem 15 4 3 3" xfId="28462" xr:uid="{23367EA0-6E58-470B-AAF9-6A67E0882DFA}"/>
    <cellStyle name="SAPBEXstdItem 15 4 4" xfId="28463" xr:uid="{464D8044-6F5F-4E8F-A415-1AFF6DEA8A3F}"/>
    <cellStyle name="SAPBEXstdItem 15 4 5" xfId="28464" xr:uid="{54FB1E23-059D-4B79-AF29-D06C63B0026A}"/>
    <cellStyle name="SAPBEXstdItem 15 4 6" xfId="28465" xr:uid="{7492F860-C29B-41F0-82C0-D4FA6DC49C4D}"/>
    <cellStyle name="SAPBEXstdItem 15 5" xfId="28466" xr:uid="{D2806F40-750C-4BF3-8C09-B8A21A3BF1F4}"/>
    <cellStyle name="SAPBEXstdItem 15 5 2" xfId="28467" xr:uid="{6D70738A-9D1E-4193-8420-0BF5829B7D80}"/>
    <cellStyle name="SAPBEXstdItem 15 5 2 2" xfId="28468" xr:uid="{38462DBB-AB1A-4EB4-810E-78722718A2E7}"/>
    <cellStyle name="SAPBEXstdItem 15 5 2 2 2" xfId="28469" xr:uid="{3053BD7C-F748-4B9D-AB01-B34C4BBC710E}"/>
    <cellStyle name="SAPBEXstdItem 15 5 2 2 3" xfId="28470" xr:uid="{B25AB546-E9FB-49D8-8B50-C6DE6DE6DC7B}"/>
    <cellStyle name="SAPBEXstdItem 15 5 2 3" xfId="28471" xr:uid="{0FC70487-0365-417B-8401-9CABC961D135}"/>
    <cellStyle name="SAPBEXstdItem 15 5 2 4" xfId="28472" xr:uid="{61B21E76-B83F-4EF8-B139-6795F3F5D9AF}"/>
    <cellStyle name="SAPBEXstdItem 15 5 2 5" xfId="28473" xr:uid="{D0956D4B-23DC-4986-BA4C-FD6A546CD3E2}"/>
    <cellStyle name="SAPBEXstdItem 15 5 3" xfId="28474" xr:uid="{4D8EB167-17A9-4616-A6B0-BB730F832C37}"/>
    <cellStyle name="SAPBEXstdItem 15 5 3 2" xfId="28475" xr:uid="{B4371057-856A-4833-AF6E-530EA9F485A9}"/>
    <cellStyle name="SAPBEXstdItem 15 5 3 3" xfId="28476" xr:uid="{41EA0B42-EF43-4827-8179-926B8EB7783F}"/>
    <cellStyle name="SAPBEXstdItem 15 5 4" xfId="28477" xr:uid="{7A0C3410-D3D1-425F-80B9-4F543BAE837F}"/>
    <cellStyle name="SAPBEXstdItem 15 5 5" xfId="28478" xr:uid="{E631F8E8-DD20-4027-AFDF-01F6EED236D5}"/>
    <cellStyle name="SAPBEXstdItem 15 5 6" xfId="28479" xr:uid="{7F0E1EBC-DECF-4078-9005-484AE257C408}"/>
    <cellStyle name="SAPBEXstdItem 15 6" xfId="28480" xr:uid="{9D8C95DD-B450-4749-980C-968574D48965}"/>
    <cellStyle name="SAPBEXstdItem 15 6 2" xfId="28481" xr:uid="{C24EA1A6-9767-4F4F-9C99-D1BD60F805ED}"/>
    <cellStyle name="SAPBEXstdItem 15 6 2 2" xfId="28482" xr:uid="{CF86F3F8-3E5F-47F2-8F86-F094B18609A9}"/>
    <cellStyle name="SAPBEXstdItem 15 6 2 3" xfId="28483" xr:uid="{3B342988-682F-4531-9C69-80806DEEF6A0}"/>
    <cellStyle name="SAPBEXstdItem 15 6 3" xfId="28484" xr:uid="{DD48BEC5-5AAE-4B56-BAE5-6BF41576C3F5}"/>
    <cellStyle name="SAPBEXstdItem 15 6 4" xfId="28485" xr:uid="{BD91337B-29F6-4368-B1C0-7536DF570BDE}"/>
    <cellStyle name="SAPBEXstdItem 15 6 5" xfId="28486" xr:uid="{B6AEF8BD-2D7D-4AB4-8A7B-374584FC1ACD}"/>
    <cellStyle name="SAPBEXstdItem 15 7" xfId="28487" xr:uid="{8EB7FF3A-466A-481A-B9A6-03115B1BADE4}"/>
    <cellStyle name="SAPBEXstdItem 15 7 2" xfId="28488" xr:uid="{1788CAC9-F6DE-4309-A51D-35E526816E6F}"/>
    <cellStyle name="SAPBEXstdItem 15 7 3" xfId="28489" xr:uid="{594787DB-F484-41FE-90DD-6230250320E5}"/>
    <cellStyle name="SAPBEXstdItem 15 8" xfId="28490" xr:uid="{E323A07C-2D1C-4BB1-98D4-A357D8A399D2}"/>
    <cellStyle name="SAPBEXstdItem 15 9" xfId="28491" xr:uid="{301968F3-6F8F-4E5E-A280-DF08837C35DD}"/>
    <cellStyle name="SAPBEXstdItem 16" xfId="28492" xr:uid="{44D91B4B-7853-46DD-B0D4-90FD5AA8E495}"/>
    <cellStyle name="SAPBEXstdItem 16 10" xfId="28493" xr:uid="{AC02557A-7903-43CF-9295-3551910E7E33}"/>
    <cellStyle name="SAPBEXstdItem 16 2" xfId="28494" xr:uid="{90D564A4-D757-4ED7-8D82-D5C4A398E3D0}"/>
    <cellStyle name="SAPBEXstdItem 16 2 2" xfId="28495" xr:uid="{DAA07E1E-CCB1-49F0-A4B9-CD792D726673}"/>
    <cellStyle name="SAPBEXstdItem 16 2 2 2" xfId="28496" xr:uid="{97EB0CEE-6EF5-4586-989A-3774F61E433C}"/>
    <cellStyle name="SAPBEXstdItem 16 2 2 2 2" xfId="28497" xr:uid="{84B72788-910D-4CE4-92DA-D2DBD430C79D}"/>
    <cellStyle name="SAPBEXstdItem 16 2 2 2 3" xfId="28498" xr:uid="{9E901532-4D59-4D5C-B71B-BD049A2F4E19}"/>
    <cellStyle name="SAPBEXstdItem 16 2 2 3" xfId="28499" xr:uid="{A73634EE-53D8-488B-A163-F5AEFBA259F6}"/>
    <cellStyle name="SAPBEXstdItem 16 2 2 4" xfId="28500" xr:uid="{9B5F0DCC-E00E-4F7A-A4C3-BD5E127E6B4E}"/>
    <cellStyle name="SAPBEXstdItem 16 2 2 5" xfId="28501" xr:uid="{4B0EAF94-9F32-446E-9D6D-B6A3D2F401CF}"/>
    <cellStyle name="SAPBEXstdItem 16 2 3" xfId="28502" xr:uid="{F2B77DC6-A69E-4BE9-8CA9-295F91CA4F5F}"/>
    <cellStyle name="SAPBEXstdItem 16 2 3 2" xfId="28503" xr:uid="{2A85FBC8-0D99-4D17-935F-5599EAD52A3E}"/>
    <cellStyle name="SAPBEXstdItem 16 2 3 3" xfId="28504" xr:uid="{E5849665-E23E-4D6E-9E30-9C7849ACAFA9}"/>
    <cellStyle name="SAPBEXstdItem 16 2 4" xfId="28505" xr:uid="{3E651B56-B464-48F0-A9A6-D2B1E2F96D4B}"/>
    <cellStyle name="SAPBEXstdItem 16 2 5" xfId="28506" xr:uid="{B0A0F6FC-0FBA-4DED-9B44-51EAFCE18A26}"/>
    <cellStyle name="SAPBEXstdItem 16 2 6" xfId="28507" xr:uid="{9F900026-88C4-404E-BF08-2542D64C58C6}"/>
    <cellStyle name="SAPBEXstdItem 16 3" xfId="28508" xr:uid="{84DDDD44-2DC7-41B9-AC28-402DDDDD4F68}"/>
    <cellStyle name="SAPBEXstdItem 16 3 2" xfId="28509" xr:uid="{0C08CDAB-C0EC-4E41-80DF-1EA10C8753DB}"/>
    <cellStyle name="SAPBEXstdItem 16 3 2 2" xfId="28510" xr:uid="{8524DD69-D1FB-4F09-97C2-FC727CCEC699}"/>
    <cellStyle name="SAPBEXstdItem 16 3 2 2 2" xfId="28511" xr:uid="{6275CDFF-4A63-4BF8-9496-82D5C8EDFD8E}"/>
    <cellStyle name="SAPBEXstdItem 16 3 2 2 3" xfId="28512" xr:uid="{D20CD475-33D7-4C0B-8B73-0A01061E8AC2}"/>
    <cellStyle name="SAPBEXstdItem 16 3 2 3" xfId="28513" xr:uid="{C06A6ACC-7365-42A1-B037-09A6D5994627}"/>
    <cellStyle name="SAPBEXstdItem 16 3 2 4" xfId="28514" xr:uid="{804B80C2-E3EE-4DFB-B2EF-2E09BCB137C4}"/>
    <cellStyle name="SAPBEXstdItem 16 3 2 5" xfId="28515" xr:uid="{83B266D3-09D1-4FE1-9F7F-0B5F122F45E9}"/>
    <cellStyle name="SAPBEXstdItem 16 3 3" xfId="28516" xr:uid="{7099FC07-93A3-476D-A293-98575CE492D1}"/>
    <cellStyle name="SAPBEXstdItem 16 3 3 2" xfId="28517" xr:uid="{74420279-E5D3-4D96-8420-2F3DFB9A25D2}"/>
    <cellStyle name="SAPBEXstdItem 16 3 3 3" xfId="28518" xr:uid="{23F818D6-CD33-4915-8351-2588EAE3EB91}"/>
    <cellStyle name="SAPBEXstdItem 16 3 4" xfId="28519" xr:uid="{6B4770B4-8DEE-49CA-BBB5-E5E3DC90590F}"/>
    <cellStyle name="SAPBEXstdItem 16 3 5" xfId="28520" xr:uid="{D5116187-ECBA-405E-989D-7ADE69D6C56F}"/>
    <cellStyle name="SAPBEXstdItem 16 3 6" xfId="28521" xr:uid="{E04F39BF-1860-4443-8A42-F0EDECBB139A}"/>
    <cellStyle name="SAPBEXstdItem 16 4" xfId="28522" xr:uid="{89D69E05-8040-401E-A3C7-8FE8CE753998}"/>
    <cellStyle name="SAPBEXstdItem 16 4 2" xfId="28523" xr:uid="{ACF2DA93-9FE0-4E2C-A4FA-5FE4F814A5A6}"/>
    <cellStyle name="SAPBEXstdItem 16 4 2 2" xfId="28524" xr:uid="{959C965F-0F02-4911-8799-A252A6C580D5}"/>
    <cellStyle name="SAPBEXstdItem 16 4 2 2 2" xfId="28525" xr:uid="{6DEA7053-A070-4B8A-8570-FBCE52D2D6AC}"/>
    <cellStyle name="SAPBEXstdItem 16 4 2 2 3" xfId="28526" xr:uid="{23AE52B0-048A-4EF2-AB52-8A558D8C089D}"/>
    <cellStyle name="SAPBEXstdItem 16 4 2 3" xfId="28527" xr:uid="{5BE54C10-E848-4899-A589-E2E228F6A13B}"/>
    <cellStyle name="SAPBEXstdItem 16 4 2 4" xfId="28528" xr:uid="{7AF8C2D3-2A71-4087-9232-4F82953CC11E}"/>
    <cellStyle name="SAPBEXstdItem 16 4 2 5" xfId="28529" xr:uid="{831143C9-5CDD-4A09-A7D1-02B6D02534F8}"/>
    <cellStyle name="SAPBEXstdItem 16 4 3" xfId="28530" xr:uid="{E6E8D336-1838-4C4A-8E9C-AE215645FC44}"/>
    <cellStyle name="SAPBEXstdItem 16 4 3 2" xfId="28531" xr:uid="{CE367123-23E4-4C1A-8B94-093BDE98466D}"/>
    <cellStyle name="SAPBEXstdItem 16 4 3 3" xfId="28532" xr:uid="{E5F9A71C-9D56-4A84-917C-1ABAD28C029E}"/>
    <cellStyle name="SAPBEXstdItem 16 4 4" xfId="28533" xr:uid="{A44A0F9E-66B1-4BF5-B86B-05A4E98C794C}"/>
    <cellStyle name="SAPBEXstdItem 16 4 5" xfId="28534" xr:uid="{0E734828-3EAE-43AD-B72C-26956AB21136}"/>
    <cellStyle name="SAPBEXstdItem 16 4 6" xfId="28535" xr:uid="{91E8AE5A-00F9-4706-A79A-A348B4C3D828}"/>
    <cellStyle name="SAPBEXstdItem 16 5" xfId="28536" xr:uid="{C9C14B57-11BF-4C70-8CB7-C3EA64F5FF7B}"/>
    <cellStyle name="SAPBEXstdItem 16 5 2" xfId="28537" xr:uid="{B51FE587-C978-497C-8E28-DA1D2C4E4FF5}"/>
    <cellStyle name="SAPBEXstdItem 16 5 2 2" xfId="28538" xr:uid="{B00D30A6-AF31-4792-8154-435150049222}"/>
    <cellStyle name="SAPBEXstdItem 16 5 2 2 2" xfId="28539" xr:uid="{19738EAC-CCD9-40A6-A48D-C4739985E8DC}"/>
    <cellStyle name="SAPBEXstdItem 16 5 2 2 3" xfId="28540" xr:uid="{549B29C4-C553-43A2-8241-E6F313EA538F}"/>
    <cellStyle name="SAPBEXstdItem 16 5 2 3" xfId="28541" xr:uid="{DFA1B8A6-3271-4A9C-839E-3E6808D5FC64}"/>
    <cellStyle name="SAPBEXstdItem 16 5 2 4" xfId="28542" xr:uid="{171A9FEE-64FC-44F6-8301-78A40CDCD861}"/>
    <cellStyle name="SAPBEXstdItem 16 5 2 5" xfId="28543" xr:uid="{CFB06D8E-568C-49C0-A62B-9508B44D39F3}"/>
    <cellStyle name="SAPBEXstdItem 16 5 3" xfId="28544" xr:uid="{E57D1008-C9D3-42C3-AF3C-BC75A6C81538}"/>
    <cellStyle name="SAPBEXstdItem 16 5 3 2" xfId="28545" xr:uid="{D380A159-BE70-487B-8FE7-09E884BB599B}"/>
    <cellStyle name="SAPBEXstdItem 16 5 3 3" xfId="28546" xr:uid="{1CA0E749-730F-4E33-9A06-2634397B23ED}"/>
    <cellStyle name="SAPBEXstdItem 16 5 4" xfId="28547" xr:uid="{54F2F5E0-8984-4992-948A-7E85E1E5A421}"/>
    <cellStyle name="SAPBEXstdItem 16 5 5" xfId="28548" xr:uid="{32719FBB-189A-4E97-B771-140202375BDF}"/>
    <cellStyle name="SAPBEXstdItem 16 5 6" xfId="28549" xr:uid="{AA639381-836A-4F69-81B1-1491397FE126}"/>
    <cellStyle name="SAPBEXstdItem 16 6" xfId="28550" xr:uid="{F8210EE5-2F71-4D40-80F6-258FAD0AD2C8}"/>
    <cellStyle name="SAPBEXstdItem 16 6 2" xfId="28551" xr:uid="{19A242C3-76B7-4D4F-A36C-3FF24CE56FA2}"/>
    <cellStyle name="SAPBEXstdItem 16 6 2 2" xfId="28552" xr:uid="{1AD831F6-E009-479D-B212-648E96067CB5}"/>
    <cellStyle name="SAPBEXstdItem 16 6 2 3" xfId="28553" xr:uid="{44F5BD58-E6E6-4A02-94CD-E0CC3FEB0378}"/>
    <cellStyle name="SAPBEXstdItem 16 6 3" xfId="28554" xr:uid="{36C3EDAB-119F-4E7C-B084-C0A28A79796D}"/>
    <cellStyle name="SAPBEXstdItem 16 6 4" xfId="28555" xr:uid="{38B64DEE-CAAE-412E-A3D6-550E774524F1}"/>
    <cellStyle name="SAPBEXstdItem 16 6 5" xfId="28556" xr:uid="{5B58CAF1-3152-4C69-A52F-08FBD3C497D8}"/>
    <cellStyle name="SAPBEXstdItem 16 7" xfId="28557" xr:uid="{65B62E15-7602-40EC-842A-53AECA31203D}"/>
    <cellStyle name="SAPBEXstdItem 16 7 2" xfId="28558" xr:uid="{FED2A857-498A-4A33-881F-20D9B2D2E50B}"/>
    <cellStyle name="SAPBEXstdItem 16 7 3" xfId="28559" xr:uid="{EA0DAA2E-A509-4A7D-9A62-95092177A68F}"/>
    <cellStyle name="SAPBEXstdItem 16 8" xfId="28560" xr:uid="{EEA66DC6-B87D-41D1-8B9A-7C42DA30153A}"/>
    <cellStyle name="SAPBEXstdItem 16 9" xfId="28561" xr:uid="{C86960C5-C36B-4561-B658-B1184E8B5775}"/>
    <cellStyle name="SAPBEXstdItem 17" xfId="28562" xr:uid="{6B69F7A6-2EFA-452E-A322-CE45076428BF}"/>
    <cellStyle name="SAPBEXstdItem 17 10" xfId="28563" xr:uid="{5E35DC7B-C648-4FB2-818E-850E5472BC25}"/>
    <cellStyle name="SAPBEXstdItem 17 2" xfId="28564" xr:uid="{091D94C6-E71E-4BE1-A6A7-A457D7B6CE85}"/>
    <cellStyle name="SAPBEXstdItem 17 2 2" xfId="28565" xr:uid="{DBD59AB0-ECD7-4393-AC20-D9067E4018EA}"/>
    <cellStyle name="SAPBEXstdItem 17 2 2 2" xfId="28566" xr:uid="{A6901ECF-5A09-4B83-8E62-E44D8C05D167}"/>
    <cellStyle name="SAPBEXstdItem 17 2 2 2 2" xfId="28567" xr:uid="{050FD6E9-CD8E-42CA-BBE9-A6CE93FE53E5}"/>
    <cellStyle name="SAPBEXstdItem 17 2 2 2 3" xfId="28568" xr:uid="{0B0A6653-9A5B-4560-9CB3-8F046236046F}"/>
    <cellStyle name="SAPBEXstdItem 17 2 2 3" xfId="28569" xr:uid="{150CCA99-58DB-42C0-986F-BEA14DCD7FC2}"/>
    <cellStyle name="SAPBEXstdItem 17 2 2 4" xfId="28570" xr:uid="{E40CD8CD-B601-412D-9F4B-FD6E5A7EA36E}"/>
    <cellStyle name="SAPBEXstdItem 17 2 2 5" xfId="28571" xr:uid="{524FD449-B781-438D-B054-1D73888660FB}"/>
    <cellStyle name="SAPBEXstdItem 17 2 3" xfId="28572" xr:uid="{AB5A3D09-AE63-4201-8C69-C5136D9EEAC8}"/>
    <cellStyle name="SAPBEXstdItem 17 2 3 2" xfId="28573" xr:uid="{EB1AF825-7D06-4CCA-A801-06C76E9643E9}"/>
    <cellStyle name="SAPBEXstdItem 17 2 3 3" xfId="28574" xr:uid="{1E9D963D-9400-4107-A445-BE8EA5ED1713}"/>
    <cellStyle name="SAPBEXstdItem 17 2 4" xfId="28575" xr:uid="{8E61CB1D-813F-4231-8BCB-19A58CB54BC9}"/>
    <cellStyle name="SAPBEXstdItem 17 2 5" xfId="28576" xr:uid="{AB274660-8E0A-478A-A2AA-9D6BF70E19DC}"/>
    <cellStyle name="SAPBEXstdItem 17 2 6" xfId="28577" xr:uid="{E8866ED8-94E8-4ABD-A5E2-0F66E99FAF71}"/>
    <cellStyle name="SAPBEXstdItem 17 3" xfId="28578" xr:uid="{43F07E3E-0A75-4D92-85AD-B9E5CC77161E}"/>
    <cellStyle name="SAPBEXstdItem 17 3 2" xfId="28579" xr:uid="{DCCB9C14-5116-4C49-A167-C0EE0BCF1B15}"/>
    <cellStyle name="SAPBEXstdItem 17 3 2 2" xfId="28580" xr:uid="{5AB1D027-CDF9-4071-B363-86967B477E6F}"/>
    <cellStyle name="SAPBEXstdItem 17 3 2 2 2" xfId="28581" xr:uid="{BEA306DA-50B8-4AC0-95FA-DF95A0E2530E}"/>
    <cellStyle name="SAPBEXstdItem 17 3 2 2 3" xfId="28582" xr:uid="{C7BAA1B1-629E-418B-BD13-E89C605E0AFE}"/>
    <cellStyle name="SAPBEXstdItem 17 3 2 3" xfId="28583" xr:uid="{66FD2438-188B-4E74-B847-07E203EA4B7D}"/>
    <cellStyle name="SAPBEXstdItem 17 3 2 4" xfId="28584" xr:uid="{F24D4549-E5C9-49D1-BA18-5184F8E720A8}"/>
    <cellStyle name="SAPBEXstdItem 17 3 2 5" xfId="28585" xr:uid="{04782986-1791-4FF4-8995-469430001F31}"/>
    <cellStyle name="SAPBEXstdItem 17 3 3" xfId="28586" xr:uid="{BA86CDF1-E58F-4B8B-8729-6FAF02C2BA10}"/>
    <cellStyle name="SAPBEXstdItem 17 3 3 2" xfId="28587" xr:uid="{3C3C7D9F-524D-4826-A4C4-7A2823AF9738}"/>
    <cellStyle name="SAPBEXstdItem 17 3 3 3" xfId="28588" xr:uid="{CE12B14C-792C-40A9-98BE-E972D3EB2206}"/>
    <cellStyle name="SAPBEXstdItem 17 3 4" xfId="28589" xr:uid="{B6C79D7D-67F5-4945-BBB2-96DD547470B0}"/>
    <cellStyle name="SAPBEXstdItem 17 3 5" xfId="28590" xr:uid="{D165B6F4-2F98-4F5B-BA9C-CD7F1184EFDD}"/>
    <cellStyle name="SAPBEXstdItem 17 3 6" xfId="28591" xr:uid="{9703C920-638C-4AB3-9EA5-96B2C1260D29}"/>
    <cellStyle name="SAPBEXstdItem 17 4" xfId="28592" xr:uid="{CBB6DC7E-0F5B-48F5-84FF-32663BC6C365}"/>
    <cellStyle name="SAPBEXstdItem 17 4 2" xfId="28593" xr:uid="{45921599-4C64-4E02-A683-69FCA97E53C9}"/>
    <cellStyle name="SAPBEXstdItem 17 4 2 2" xfId="28594" xr:uid="{B08EF93C-1F71-40D2-AFBF-8F8F781D3FDA}"/>
    <cellStyle name="SAPBEXstdItem 17 4 2 2 2" xfId="28595" xr:uid="{E4C0FE79-EC77-4150-9993-01E1CE76793D}"/>
    <cellStyle name="SAPBEXstdItem 17 4 2 2 3" xfId="28596" xr:uid="{18D42FE6-C5AC-4564-910E-1A3572534381}"/>
    <cellStyle name="SAPBEXstdItem 17 4 2 3" xfId="28597" xr:uid="{63C13493-034F-40EB-BA66-EE2DE89008A8}"/>
    <cellStyle name="SAPBEXstdItem 17 4 2 4" xfId="28598" xr:uid="{A373FD85-3FE4-431D-8B77-6827E8F338BF}"/>
    <cellStyle name="SAPBEXstdItem 17 4 2 5" xfId="28599" xr:uid="{1B9AC22A-8CC4-42DB-B8EF-17433765B155}"/>
    <cellStyle name="SAPBEXstdItem 17 4 3" xfId="28600" xr:uid="{EC34DDFB-F745-42C0-B126-29B687F6742F}"/>
    <cellStyle name="SAPBEXstdItem 17 4 3 2" xfId="28601" xr:uid="{6B651D81-DDA7-434D-B526-79489E2A180B}"/>
    <cellStyle name="SAPBEXstdItem 17 4 3 3" xfId="28602" xr:uid="{0C4B4A44-6F47-4EFA-B9FC-B31ADF04020C}"/>
    <cellStyle name="SAPBEXstdItem 17 4 4" xfId="28603" xr:uid="{77E728ED-C72C-46E5-BB8C-FB987DD5516D}"/>
    <cellStyle name="SAPBEXstdItem 17 4 5" xfId="28604" xr:uid="{92B63FC6-0179-4734-9DCC-FBA3EB285AF8}"/>
    <cellStyle name="SAPBEXstdItem 17 4 6" xfId="28605" xr:uid="{12D56871-C997-4072-9396-0156C44B51C7}"/>
    <cellStyle name="SAPBEXstdItem 17 5" xfId="28606" xr:uid="{9E32879F-D365-4BD7-B8A0-F6D6FE33C3AB}"/>
    <cellStyle name="SAPBEXstdItem 17 5 2" xfId="28607" xr:uid="{0D2CCDB7-768B-40C9-B857-4DB76141D0D4}"/>
    <cellStyle name="SAPBEXstdItem 17 5 2 2" xfId="28608" xr:uid="{E658E48E-6AD1-4E9A-AA50-252389EF5E52}"/>
    <cellStyle name="SAPBEXstdItem 17 5 2 2 2" xfId="28609" xr:uid="{F9443F39-185D-49C6-A4DF-98F649A584AF}"/>
    <cellStyle name="SAPBEXstdItem 17 5 2 2 3" xfId="28610" xr:uid="{B841C5EF-EF2A-463D-85D8-DB6C2AD94FBC}"/>
    <cellStyle name="SAPBEXstdItem 17 5 2 3" xfId="28611" xr:uid="{5BB5F76F-3786-40CF-BFAE-894C32BD05B9}"/>
    <cellStyle name="SAPBEXstdItem 17 5 2 4" xfId="28612" xr:uid="{9E0BABD5-713A-4BA8-96C0-AEBAD3771841}"/>
    <cellStyle name="SAPBEXstdItem 17 5 2 5" xfId="28613" xr:uid="{6AC021E4-9830-4E43-974A-77F9F3F4E8AB}"/>
    <cellStyle name="SAPBEXstdItem 17 5 3" xfId="28614" xr:uid="{C71D93CC-DF09-4B4D-83CD-B56B6C0739C3}"/>
    <cellStyle name="SAPBEXstdItem 17 5 3 2" xfId="28615" xr:uid="{BD8D202F-9EF4-4D00-8D9B-3065FB974451}"/>
    <cellStyle name="SAPBEXstdItem 17 5 3 3" xfId="28616" xr:uid="{FEB12AA5-83D7-4D32-9DB4-39F7DFBAF0C2}"/>
    <cellStyle name="SAPBEXstdItem 17 5 4" xfId="28617" xr:uid="{9A035082-4530-4500-8477-817C4F7C9F4E}"/>
    <cellStyle name="SAPBEXstdItem 17 5 5" xfId="28618" xr:uid="{F627F706-680A-4ED3-A7E1-E7CE08368902}"/>
    <cellStyle name="SAPBEXstdItem 17 5 6" xfId="28619" xr:uid="{4411BDE5-3B9E-4153-8D34-3BF8B688D51E}"/>
    <cellStyle name="SAPBEXstdItem 17 6" xfId="28620" xr:uid="{81EAD79B-D477-4262-ACEE-535870FD7166}"/>
    <cellStyle name="SAPBEXstdItem 17 6 2" xfId="28621" xr:uid="{90293797-3923-40D4-8537-3C46E18B5D2E}"/>
    <cellStyle name="SAPBEXstdItem 17 6 2 2" xfId="28622" xr:uid="{DAE48B76-2975-4C94-87E7-93B9D78774F9}"/>
    <cellStyle name="SAPBEXstdItem 17 6 2 3" xfId="28623" xr:uid="{24ED5022-037B-4BDD-B11B-B0367F90F14D}"/>
    <cellStyle name="SAPBEXstdItem 17 6 3" xfId="28624" xr:uid="{8533DFDD-1BC2-4079-9FD4-FDA20693FF1E}"/>
    <cellStyle name="SAPBEXstdItem 17 6 4" xfId="28625" xr:uid="{E4302AA4-A777-4E85-8DA9-4AC56A616803}"/>
    <cellStyle name="SAPBEXstdItem 17 6 5" xfId="28626" xr:uid="{8D8282E3-0D0F-4CFF-AA6A-F04F17C1B9AE}"/>
    <cellStyle name="SAPBEXstdItem 17 7" xfId="28627" xr:uid="{ADC17EBE-65C8-4FF8-AE61-710EB60337B6}"/>
    <cellStyle name="SAPBEXstdItem 17 7 2" xfId="28628" xr:uid="{657E5A49-1ACA-4D18-BB50-48CEA3E1E9B4}"/>
    <cellStyle name="SAPBEXstdItem 17 7 3" xfId="28629" xr:uid="{5B4F756F-F9E8-4096-A739-50DA38002914}"/>
    <cellStyle name="SAPBEXstdItem 17 8" xfId="28630" xr:uid="{AE2E07BA-BDEA-4CC6-9976-4C8B5DABD6E4}"/>
    <cellStyle name="SAPBEXstdItem 17 9" xfId="28631" xr:uid="{772702E3-736B-4F6F-B379-5104E86863FE}"/>
    <cellStyle name="SAPBEXstdItem 18" xfId="28632" xr:uid="{9D52E0F1-653F-4AC0-A137-04D2C222DA62}"/>
    <cellStyle name="SAPBEXstdItem 18 10" xfId="28633" xr:uid="{031EAF4E-C76E-4FA6-999E-5B16F3234E8B}"/>
    <cellStyle name="SAPBEXstdItem 18 2" xfId="28634" xr:uid="{4303DD3B-83A0-4008-8CD5-505CE4B0B5B6}"/>
    <cellStyle name="SAPBEXstdItem 18 2 2" xfId="28635" xr:uid="{03CA19CA-77AB-4C3D-A694-E26D32EFF118}"/>
    <cellStyle name="SAPBEXstdItem 18 2 2 2" xfId="28636" xr:uid="{47DC2C15-7524-443F-A246-0F0BAB90E2EA}"/>
    <cellStyle name="SAPBEXstdItem 18 2 2 2 2" xfId="28637" xr:uid="{DDDB83DD-46EF-432C-853B-F64F755689F6}"/>
    <cellStyle name="SAPBEXstdItem 18 2 2 2 3" xfId="28638" xr:uid="{52DD83FD-C946-47D9-A889-A73A9B5D4811}"/>
    <cellStyle name="SAPBEXstdItem 18 2 2 3" xfId="28639" xr:uid="{89E49943-1979-4B92-B6B5-243876DF3DD8}"/>
    <cellStyle name="SAPBEXstdItem 18 2 2 4" xfId="28640" xr:uid="{C9489E63-5E86-4C06-B285-A5BA31D5763F}"/>
    <cellStyle name="SAPBEXstdItem 18 2 2 5" xfId="28641" xr:uid="{03F5BB9A-9770-4C94-A3A4-5F01F5551280}"/>
    <cellStyle name="SAPBEXstdItem 18 2 3" xfId="28642" xr:uid="{19587C94-01E7-4449-871D-186A0CAA73D4}"/>
    <cellStyle name="SAPBEXstdItem 18 2 3 2" xfId="28643" xr:uid="{14F9C06A-95B0-4EAB-AF19-A860830F4D3B}"/>
    <cellStyle name="SAPBEXstdItem 18 2 3 3" xfId="28644" xr:uid="{FEDEDF4A-4111-4BF9-BC00-1045E07C6995}"/>
    <cellStyle name="SAPBEXstdItem 18 2 4" xfId="28645" xr:uid="{D2077B70-B196-4CAF-B4F9-BA24881FEA47}"/>
    <cellStyle name="SAPBEXstdItem 18 2 5" xfId="28646" xr:uid="{A252C6EB-AC9E-4E7B-86E0-A206E7424100}"/>
    <cellStyle name="SAPBEXstdItem 18 2 6" xfId="28647" xr:uid="{4405E01A-8ECA-4A56-8A51-9131D4FB4045}"/>
    <cellStyle name="SAPBEXstdItem 18 3" xfId="28648" xr:uid="{6AB5DDE8-BF8C-4F54-AC44-88181CDC3BBF}"/>
    <cellStyle name="SAPBEXstdItem 18 3 2" xfId="28649" xr:uid="{F0F20D43-9CB8-4277-B5CA-AFDE87297FD1}"/>
    <cellStyle name="SAPBEXstdItem 18 3 2 2" xfId="28650" xr:uid="{701AD3CC-7768-4391-B3B8-8964B6EF718A}"/>
    <cellStyle name="SAPBEXstdItem 18 3 2 2 2" xfId="28651" xr:uid="{6A030A65-E49D-4B5C-8693-3392BB2256EF}"/>
    <cellStyle name="SAPBEXstdItem 18 3 2 2 3" xfId="28652" xr:uid="{6C93DACF-8060-4B00-BC6B-8A7B1B58F5F3}"/>
    <cellStyle name="SAPBEXstdItem 18 3 2 3" xfId="28653" xr:uid="{034C0331-1266-4CA3-8806-4FA5B7679FE3}"/>
    <cellStyle name="SAPBEXstdItem 18 3 2 4" xfId="28654" xr:uid="{7AE947B9-C905-462C-BAA7-A2FB7262A9AD}"/>
    <cellStyle name="SAPBEXstdItem 18 3 2 5" xfId="28655" xr:uid="{51363A29-AB84-4882-BEC7-2FD4E0BAB5EE}"/>
    <cellStyle name="SAPBEXstdItem 18 3 3" xfId="28656" xr:uid="{4FFC9D5F-B054-4CB3-9698-FBC75AEFAD0F}"/>
    <cellStyle name="SAPBEXstdItem 18 3 3 2" xfId="28657" xr:uid="{D20FEC49-C753-486E-87D1-67A37069EAA2}"/>
    <cellStyle name="SAPBEXstdItem 18 3 3 3" xfId="28658" xr:uid="{94A94002-4356-4D53-A1AA-9EC7D9076159}"/>
    <cellStyle name="SAPBEXstdItem 18 3 4" xfId="28659" xr:uid="{9EA86851-DA34-4DFF-BCCA-8AEE03C6A0E0}"/>
    <cellStyle name="SAPBEXstdItem 18 3 5" xfId="28660" xr:uid="{45A9289F-0295-41B6-A0A0-F88F23EAC3C9}"/>
    <cellStyle name="SAPBEXstdItem 18 3 6" xfId="28661" xr:uid="{6D24C265-6955-4C83-91D6-234B4161C60C}"/>
    <cellStyle name="SAPBEXstdItem 18 4" xfId="28662" xr:uid="{E4AA16F2-FBEA-4AB4-8886-C3723572B028}"/>
    <cellStyle name="SAPBEXstdItem 18 4 2" xfId="28663" xr:uid="{4E795C02-58A1-46A4-9067-8F60466F9B20}"/>
    <cellStyle name="SAPBEXstdItem 18 4 2 2" xfId="28664" xr:uid="{A25A0D89-71ED-455A-A269-2F060BEB40E2}"/>
    <cellStyle name="SAPBEXstdItem 18 4 2 2 2" xfId="28665" xr:uid="{EF8CCF73-0C8C-47B9-AE1C-470E8B00E717}"/>
    <cellStyle name="SAPBEXstdItem 18 4 2 2 3" xfId="28666" xr:uid="{08A52CEA-B36E-4D60-962A-D678ECC5FFB3}"/>
    <cellStyle name="SAPBEXstdItem 18 4 2 3" xfId="28667" xr:uid="{C284CD48-C8F4-4078-91B1-C782D3C36D19}"/>
    <cellStyle name="SAPBEXstdItem 18 4 2 4" xfId="28668" xr:uid="{9D458B0C-B1DD-4BB4-A890-0349FC624101}"/>
    <cellStyle name="SAPBEXstdItem 18 4 2 5" xfId="28669" xr:uid="{3B4DE998-D709-4818-8312-C9ECE7C85A60}"/>
    <cellStyle name="SAPBEXstdItem 18 4 3" xfId="28670" xr:uid="{36F063A7-D8D6-48F1-8FD8-6D1F67126E08}"/>
    <cellStyle name="SAPBEXstdItem 18 4 3 2" xfId="28671" xr:uid="{F096A592-3ABE-498D-B91B-9E0611972152}"/>
    <cellStyle name="SAPBEXstdItem 18 4 3 3" xfId="28672" xr:uid="{D4902FDD-8F46-480F-BDA5-864825793F91}"/>
    <cellStyle name="SAPBEXstdItem 18 4 4" xfId="28673" xr:uid="{D7A58682-088C-4E5B-A091-F979F36D460B}"/>
    <cellStyle name="SAPBEXstdItem 18 4 5" xfId="28674" xr:uid="{14BEFB61-BE1C-4B64-909E-0CCD8F4DBFEA}"/>
    <cellStyle name="SAPBEXstdItem 18 4 6" xfId="28675" xr:uid="{40C0A170-D8C9-4604-A906-CECD1A01DAFF}"/>
    <cellStyle name="SAPBEXstdItem 18 5" xfId="28676" xr:uid="{90190AF2-9992-40C3-A6B2-1D817E940514}"/>
    <cellStyle name="SAPBEXstdItem 18 5 2" xfId="28677" xr:uid="{9AF8DA58-869E-4309-8552-35FF5BEA3E17}"/>
    <cellStyle name="SAPBEXstdItem 18 5 2 2" xfId="28678" xr:uid="{9F3D12AA-D67C-4A38-8CFF-F8B386603F6B}"/>
    <cellStyle name="SAPBEXstdItem 18 5 2 2 2" xfId="28679" xr:uid="{723F7237-AAF9-4D77-A15D-BFB64A429FAD}"/>
    <cellStyle name="SAPBEXstdItem 18 5 2 2 3" xfId="28680" xr:uid="{B0A37FC0-D578-45BF-86AB-25E025F6BC91}"/>
    <cellStyle name="SAPBEXstdItem 18 5 2 3" xfId="28681" xr:uid="{E2FD3E9F-27E4-43A8-BB81-B3F426AFB0DE}"/>
    <cellStyle name="SAPBEXstdItem 18 5 2 4" xfId="28682" xr:uid="{F2F30033-E6DF-44D1-AF6A-1B95CDBADB76}"/>
    <cellStyle name="SAPBEXstdItem 18 5 2 5" xfId="28683" xr:uid="{5AB8E030-DB5E-4BD9-89B1-1C96CF8CB0B9}"/>
    <cellStyle name="SAPBEXstdItem 18 5 3" xfId="28684" xr:uid="{DF775450-6507-4FC9-80B3-F903327DB97D}"/>
    <cellStyle name="SAPBEXstdItem 18 5 3 2" xfId="28685" xr:uid="{27D84EF0-C8B1-4ACD-884D-97066C2D3267}"/>
    <cellStyle name="SAPBEXstdItem 18 5 3 3" xfId="28686" xr:uid="{D56A0FC2-A88B-4B87-8FD2-D9315DD4EE68}"/>
    <cellStyle name="SAPBEXstdItem 18 5 4" xfId="28687" xr:uid="{254827FD-4B5E-4B96-9AA4-3A8094672EA6}"/>
    <cellStyle name="SAPBEXstdItem 18 5 5" xfId="28688" xr:uid="{18291346-6E41-4D31-8A25-4B495EB004B6}"/>
    <cellStyle name="SAPBEXstdItem 18 5 6" xfId="28689" xr:uid="{AB7B4F05-6FFD-4351-BC23-3888819728D3}"/>
    <cellStyle name="SAPBEXstdItem 18 6" xfId="28690" xr:uid="{FFDCD423-3C3D-4334-8692-1A4315113FD9}"/>
    <cellStyle name="SAPBEXstdItem 18 6 2" xfId="28691" xr:uid="{E3DD28AC-5F6C-4B74-B930-100A859D990F}"/>
    <cellStyle name="SAPBEXstdItem 18 6 2 2" xfId="28692" xr:uid="{4C411D0A-23FC-45B5-AC4A-34047F76E68A}"/>
    <cellStyle name="SAPBEXstdItem 18 6 2 3" xfId="28693" xr:uid="{E01F2D45-1D54-4025-802B-DB9DB91A9591}"/>
    <cellStyle name="SAPBEXstdItem 18 6 3" xfId="28694" xr:uid="{E2C2F798-AB03-46FC-89ED-D8170A9A0D3D}"/>
    <cellStyle name="SAPBEXstdItem 18 6 4" xfId="28695" xr:uid="{043AA701-ED83-4A34-B9C7-1ED1A06997A2}"/>
    <cellStyle name="SAPBEXstdItem 18 6 5" xfId="28696" xr:uid="{278F878C-FF7A-4234-8D08-365610CA88A0}"/>
    <cellStyle name="SAPBEXstdItem 18 7" xfId="28697" xr:uid="{3560A99C-0B52-42D8-84CF-1D997C2ABB99}"/>
    <cellStyle name="SAPBEXstdItem 18 7 2" xfId="28698" xr:uid="{3D91FEE5-9AFE-4F3B-8568-895DEAA85C9A}"/>
    <cellStyle name="SAPBEXstdItem 18 7 3" xfId="28699" xr:uid="{84FD3053-3F21-446B-8A3A-A897A60F8BE0}"/>
    <cellStyle name="SAPBEXstdItem 18 8" xfId="28700" xr:uid="{A766A750-F22D-4629-96D3-B468DF7D8C22}"/>
    <cellStyle name="SAPBEXstdItem 18 9" xfId="28701" xr:uid="{9DD4F996-BC01-4A8C-884D-CCA294D1B9FF}"/>
    <cellStyle name="SAPBEXstdItem 19" xfId="28702" xr:uid="{831DE3A1-EE3E-4219-B96D-A997137B9701}"/>
    <cellStyle name="SAPBEXstdItem 19 10" xfId="28703" xr:uid="{C771D3E3-8721-4F0E-85F7-316014937EF9}"/>
    <cellStyle name="SAPBEXstdItem 19 2" xfId="28704" xr:uid="{AFF3EE6C-53F7-459F-84C2-44D1A941A695}"/>
    <cellStyle name="SAPBEXstdItem 19 2 2" xfId="28705" xr:uid="{45D5D3EE-2405-4676-8EB4-65AB17D29443}"/>
    <cellStyle name="SAPBEXstdItem 19 2 2 2" xfId="28706" xr:uid="{27BBF1D0-2DDB-4DBA-80BE-8761297289B6}"/>
    <cellStyle name="SAPBEXstdItem 19 2 2 2 2" xfId="28707" xr:uid="{4CF40683-E470-4C5B-9B83-338CFA9B8EDA}"/>
    <cellStyle name="SAPBEXstdItem 19 2 2 2 3" xfId="28708" xr:uid="{B70D936B-C1F2-4B4A-85B8-1F2EAF52F034}"/>
    <cellStyle name="SAPBEXstdItem 19 2 2 3" xfId="28709" xr:uid="{7AA236BA-971F-45DB-A90F-7BB0D509E9F6}"/>
    <cellStyle name="SAPBEXstdItem 19 2 2 4" xfId="28710" xr:uid="{1C5E8B09-770D-4FAC-A09B-E72EE9EA2CE8}"/>
    <cellStyle name="SAPBEXstdItem 19 2 2 5" xfId="28711" xr:uid="{2CCEDC92-CE30-4988-AD25-92CF62A02006}"/>
    <cellStyle name="SAPBEXstdItem 19 2 3" xfId="28712" xr:uid="{12A0377A-EDD0-4A37-8A0E-F6294D898021}"/>
    <cellStyle name="SAPBEXstdItem 19 2 3 2" xfId="28713" xr:uid="{85425A90-1128-4897-B8A1-CF587078A407}"/>
    <cellStyle name="SAPBEXstdItem 19 2 3 3" xfId="28714" xr:uid="{29240D76-FE2A-4585-B099-7A5FB60A53C6}"/>
    <cellStyle name="SAPBEXstdItem 19 2 4" xfId="28715" xr:uid="{8BB80333-C5D9-4629-90FB-E67146FCDA14}"/>
    <cellStyle name="SAPBEXstdItem 19 2 5" xfId="28716" xr:uid="{31E8FFAF-16CA-49BF-9ED6-217937E04731}"/>
    <cellStyle name="SAPBEXstdItem 19 2 6" xfId="28717" xr:uid="{706A67B2-82A3-494A-A5E5-95C674F25D66}"/>
    <cellStyle name="SAPBEXstdItem 19 3" xfId="28718" xr:uid="{40FD7C30-F9EF-43E8-999F-2FAC5056151A}"/>
    <cellStyle name="SAPBEXstdItem 19 3 2" xfId="28719" xr:uid="{816FDE66-9452-4CF9-AC9A-2D9D03E7701F}"/>
    <cellStyle name="SAPBEXstdItem 19 3 2 2" xfId="28720" xr:uid="{261F3418-91BE-4B3B-BF61-A30C7CBEDC98}"/>
    <cellStyle name="SAPBEXstdItem 19 3 2 2 2" xfId="28721" xr:uid="{73356189-D466-46B1-B635-CB16105E2046}"/>
    <cellStyle name="SAPBEXstdItem 19 3 2 2 3" xfId="28722" xr:uid="{C9CB35AF-81B5-436D-9844-A48360345333}"/>
    <cellStyle name="SAPBEXstdItem 19 3 2 3" xfId="28723" xr:uid="{2A82EAA2-E0FA-45AE-853E-96A777330AB2}"/>
    <cellStyle name="SAPBEXstdItem 19 3 2 4" xfId="28724" xr:uid="{0E385E0C-6145-4766-8010-58E796A08204}"/>
    <cellStyle name="SAPBEXstdItem 19 3 2 5" xfId="28725" xr:uid="{ED94554C-1A35-4FB3-8032-C5F299A03ACB}"/>
    <cellStyle name="SAPBEXstdItem 19 3 3" xfId="28726" xr:uid="{3836DC91-0F88-4A1F-90C4-9C7233E9ECBB}"/>
    <cellStyle name="SAPBEXstdItem 19 3 3 2" xfId="28727" xr:uid="{70C38C80-00D9-4F00-A3F9-AD04AD859A13}"/>
    <cellStyle name="SAPBEXstdItem 19 3 3 3" xfId="28728" xr:uid="{0FE2D3F7-5FDB-4A09-999F-6F152E1B9657}"/>
    <cellStyle name="SAPBEXstdItem 19 3 4" xfId="28729" xr:uid="{66B57CD9-1DE0-4C50-89BE-0B99E3A65F1E}"/>
    <cellStyle name="SAPBEXstdItem 19 3 5" xfId="28730" xr:uid="{80B4DBD8-335C-4511-9C9C-CDDD53E1473A}"/>
    <cellStyle name="SAPBEXstdItem 19 3 6" xfId="28731" xr:uid="{4DB5CD22-4084-4FAC-B634-54C05DE39B11}"/>
    <cellStyle name="SAPBEXstdItem 19 4" xfId="28732" xr:uid="{2372EB13-D8CA-4821-BDE2-EDE468DEF2D4}"/>
    <cellStyle name="SAPBEXstdItem 19 4 2" xfId="28733" xr:uid="{B3E08F44-00EC-4475-902E-7AE57C8EC9E1}"/>
    <cellStyle name="SAPBEXstdItem 19 4 2 2" xfId="28734" xr:uid="{E24FA097-AD37-4A9F-81EA-458010B7BDE8}"/>
    <cellStyle name="SAPBEXstdItem 19 4 2 2 2" xfId="28735" xr:uid="{7FC2DDA1-4C1F-48F3-8BA8-8F120305759D}"/>
    <cellStyle name="SAPBEXstdItem 19 4 2 2 3" xfId="28736" xr:uid="{1363618B-426C-4CF5-BC60-BF90D71E801A}"/>
    <cellStyle name="SAPBEXstdItem 19 4 2 3" xfId="28737" xr:uid="{F49C82D8-9759-48AD-98E3-E4B135804C8A}"/>
    <cellStyle name="SAPBEXstdItem 19 4 2 4" xfId="28738" xr:uid="{8D952595-3F5E-4847-96BE-624A98C44C27}"/>
    <cellStyle name="SAPBEXstdItem 19 4 2 5" xfId="28739" xr:uid="{85CDE0E8-F1BA-4630-A7AD-83A22D466EC4}"/>
    <cellStyle name="SAPBEXstdItem 19 4 3" xfId="28740" xr:uid="{9A7D3583-CEFF-4FE8-9550-E8465D967570}"/>
    <cellStyle name="SAPBEXstdItem 19 4 3 2" xfId="28741" xr:uid="{1085393F-AA33-4E8A-9F2A-588A9D7CD615}"/>
    <cellStyle name="SAPBEXstdItem 19 4 3 3" xfId="28742" xr:uid="{5C032BE9-19DB-418D-8835-F409F5DFB9BD}"/>
    <cellStyle name="SAPBEXstdItem 19 4 4" xfId="28743" xr:uid="{FAB81609-7F2A-4C0D-A713-75663B463482}"/>
    <cellStyle name="SAPBEXstdItem 19 4 5" xfId="28744" xr:uid="{EBFA7A8C-F49B-4BC4-8136-7EA7057429C0}"/>
    <cellStyle name="SAPBEXstdItem 19 4 6" xfId="28745" xr:uid="{F311E99A-E6B8-4691-A461-91E3FA9BDFF3}"/>
    <cellStyle name="SAPBEXstdItem 19 5" xfId="28746" xr:uid="{B4EE0935-5B78-4FD6-A7E3-9800082A6323}"/>
    <cellStyle name="SAPBEXstdItem 19 5 2" xfId="28747" xr:uid="{BE291137-9267-4CA7-89D1-1744F0C5282F}"/>
    <cellStyle name="SAPBEXstdItem 19 5 2 2" xfId="28748" xr:uid="{521C58C3-B948-4DD9-8AE7-C029F0F20B4C}"/>
    <cellStyle name="SAPBEXstdItem 19 5 2 2 2" xfId="28749" xr:uid="{EA07A094-AED2-43DE-B3F6-4D9307B7A341}"/>
    <cellStyle name="SAPBEXstdItem 19 5 2 2 3" xfId="28750" xr:uid="{1E0FEF85-1F5D-453D-91AA-EE8117765D05}"/>
    <cellStyle name="SAPBEXstdItem 19 5 2 3" xfId="28751" xr:uid="{D845316F-3382-42F6-BCA7-9FCA22937E38}"/>
    <cellStyle name="SAPBEXstdItem 19 5 2 4" xfId="28752" xr:uid="{0B720AD7-3244-41AC-B3CC-D58E2664BBC3}"/>
    <cellStyle name="SAPBEXstdItem 19 5 2 5" xfId="28753" xr:uid="{486F41F5-05D3-475F-88CB-32621CC02B4F}"/>
    <cellStyle name="SAPBEXstdItem 19 5 3" xfId="28754" xr:uid="{726B2057-8548-4725-B5B7-E4B4822D74DD}"/>
    <cellStyle name="SAPBEXstdItem 19 5 3 2" xfId="28755" xr:uid="{497B1AE8-6BDA-4C66-BFCA-17C26B521186}"/>
    <cellStyle name="SAPBEXstdItem 19 5 3 3" xfId="28756" xr:uid="{BC10FB35-BC12-4618-B3B9-EB8B73D99519}"/>
    <cellStyle name="SAPBEXstdItem 19 5 4" xfId="28757" xr:uid="{0519CD8B-8ECD-44E5-9019-543A285E0022}"/>
    <cellStyle name="SAPBEXstdItem 19 5 5" xfId="28758" xr:uid="{82CAFD21-D142-4D3F-964E-6C1B55C30096}"/>
    <cellStyle name="SAPBEXstdItem 19 5 6" xfId="28759" xr:uid="{D75CDFBA-097E-4715-8686-3D23740124CB}"/>
    <cellStyle name="SAPBEXstdItem 19 6" xfId="28760" xr:uid="{B4300333-D26E-468C-8621-19E7CAFDB112}"/>
    <cellStyle name="SAPBEXstdItem 19 6 2" xfId="28761" xr:uid="{038D95DE-EA08-4C94-A469-9D4B0D466C40}"/>
    <cellStyle name="SAPBEXstdItem 19 6 2 2" xfId="28762" xr:uid="{9510D185-433C-41D1-A4DD-4710C02977BA}"/>
    <cellStyle name="SAPBEXstdItem 19 6 2 3" xfId="28763" xr:uid="{A5286BAA-0CFD-4642-8EF1-720C3E36486E}"/>
    <cellStyle name="SAPBEXstdItem 19 6 3" xfId="28764" xr:uid="{67A29102-4836-47DB-8435-0AAD2AC2269C}"/>
    <cellStyle name="SAPBEXstdItem 19 6 4" xfId="28765" xr:uid="{2C898F36-2818-42C8-8AA5-1E30885B8C8B}"/>
    <cellStyle name="SAPBEXstdItem 19 6 5" xfId="28766" xr:uid="{574DDBB1-4AB3-46EF-BF83-A9FAC30F1C6C}"/>
    <cellStyle name="SAPBEXstdItem 19 7" xfId="28767" xr:uid="{7548308E-2F48-4303-8D24-C4B8C76DAF9F}"/>
    <cellStyle name="SAPBEXstdItem 19 7 2" xfId="28768" xr:uid="{4145C915-AE0F-4CC6-9888-BE608A4CF62C}"/>
    <cellStyle name="SAPBEXstdItem 19 7 3" xfId="28769" xr:uid="{7541332D-CD65-420A-B9F1-E1009FA4CC9F}"/>
    <cellStyle name="SAPBEXstdItem 19 8" xfId="28770" xr:uid="{2AC54D33-997C-4694-ACFD-5B09B79D8EA4}"/>
    <cellStyle name="SAPBEXstdItem 19 9" xfId="28771" xr:uid="{1A42AF5B-46E1-4B65-98FD-1D605D454642}"/>
    <cellStyle name="SAPBEXstdItem 2" xfId="28772" xr:uid="{10C5F0B2-A144-47D0-9FCD-2B6201F7451F}"/>
    <cellStyle name="SAPBEXstdItem 2 10" xfId="28773" xr:uid="{EB162550-F457-4971-B2DC-62DFD17788EC}"/>
    <cellStyle name="SAPBEXstdItem 2 11" xfId="28774" xr:uid="{3A925E3B-6F7F-4E97-BED1-A447B792D596}"/>
    <cellStyle name="SAPBEXstdItem 2 12" xfId="28775" xr:uid="{DB031B31-0122-4535-B6DF-F7571609486D}"/>
    <cellStyle name="SAPBEXstdItem 2 13" xfId="28776" xr:uid="{9482A976-71F6-4BFA-A615-870C5B585A73}"/>
    <cellStyle name="SAPBEXstdItem 2 14" xfId="28777" xr:uid="{C6E1CD2B-26DF-4849-A232-E4AF9F2D8AC6}"/>
    <cellStyle name="SAPBEXstdItem 2 15" xfId="28778" xr:uid="{2B67234C-E06C-4624-89DC-8324E4F3EBF3}"/>
    <cellStyle name="SAPBEXstdItem 2 16" xfId="28779" xr:uid="{693688C3-E6F6-4931-8C1B-6179F659BA0E}"/>
    <cellStyle name="SAPBEXstdItem 2 17" xfId="28780" xr:uid="{DBE1351B-AF38-4CBD-9C22-EC5A01034F14}"/>
    <cellStyle name="SAPBEXstdItem 2 18" xfId="28781" xr:uid="{188B2DAB-5141-4928-83FE-AF9BFFC91AC1}"/>
    <cellStyle name="SAPBEXstdItem 2 19" xfId="28782" xr:uid="{311A50E9-26E2-418C-93DC-9098A4EB59FF}"/>
    <cellStyle name="SAPBEXstdItem 2 2" xfId="28783" xr:uid="{8D67EE78-5E0C-4587-ACEB-AFC3F36620C4}"/>
    <cellStyle name="SAPBEXstdItem 2 2 10" xfId="28784" xr:uid="{CF1D94CB-4B4D-4CBD-9231-C8B105D275EB}"/>
    <cellStyle name="SAPBEXstdItem 2 2 2" xfId="28785" xr:uid="{340DE111-4C2B-40CE-B9A5-03A97E51F7D3}"/>
    <cellStyle name="SAPBEXstdItem 2 2 2 2" xfId="28786" xr:uid="{959ECD05-E84F-42F5-9004-12E6965E1E20}"/>
    <cellStyle name="SAPBEXstdItem 2 2 2 2 2" xfId="28787" xr:uid="{C895201E-D208-49E6-B8E6-10CC55D40A77}"/>
    <cellStyle name="SAPBEXstdItem 2 2 2 2 3" xfId="28788" xr:uid="{67EAEF22-F3D6-407C-A833-3E1688A10C93}"/>
    <cellStyle name="SAPBEXstdItem 2 2 2 3" xfId="28789" xr:uid="{0FEF2CEA-1B33-4FDF-982C-066D4BABE25E}"/>
    <cellStyle name="SAPBEXstdItem 2 2 2 4" xfId="28790" xr:uid="{683F1A65-94EA-4E16-BEB7-A10EC90DE3A4}"/>
    <cellStyle name="SAPBEXstdItem 2 2 2 5" xfId="28791" xr:uid="{838D4FE4-BBC7-4E06-B5D9-C27384634103}"/>
    <cellStyle name="SAPBEXstdItem 2 2 3" xfId="28792" xr:uid="{BC1F5948-3992-43E5-B0A8-0A2B3804EDB5}"/>
    <cellStyle name="SAPBEXstdItem 2 2 3 2" xfId="28793" xr:uid="{5785A91C-26A5-42CA-944D-ACDE88B7810F}"/>
    <cellStyle name="SAPBEXstdItem 2 2 3 3" xfId="28794" xr:uid="{A10417AD-A8A9-48EC-B0A4-2D2DA8B4C109}"/>
    <cellStyle name="SAPBEXstdItem 2 2 4" xfId="28795" xr:uid="{540A7B22-E778-4F3D-BBA5-67F2E1B62B20}"/>
    <cellStyle name="SAPBEXstdItem 2 2 5" xfId="28796" xr:uid="{D22D5A71-BC8D-4193-94B6-BF2590AF3C7D}"/>
    <cellStyle name="SAPBEXstdItem 2 2 5 2" xfId="28797" xr:uid="{A4245A8B-F7C1-42F7-A62B-47B4147668AA}"/>
    <cellStyle name="SAPBEXstdItem 2 2 5 3" xfId="28798" xr:uid="{87B1CD56-27B2-432E-BEA0-FAC11B354479}"/>
    <cellStyle name="SAPBEXstdItem 2 2 6" xfId="28799" xr:uid="{6F0DA88D-C82D-45B1-835B-9F61FB0811D7}"/>
    <cellStyle name="SAPBEXstdItem 2 2 7" xfId="28800" xr:uid="{30590D09-FEC9-4A14-B238-E9541A3CB919}"/>
    <cellStyle name="SAPBEXstdItem 2 2 8" xfId="28801" xr:uid="{28777356-E24B-4453-A0B0-EADE32EB973B}"/>
    <cellStyle name="SAPBEXstdItem 2 2 9" xfId="28802" xr:uid="{5B0F5ABF-A499-4610-9BAA-8897FF362607}"/>
    <cellStyle name="SAPBEXstdItem 2 20" xfId="28803" xr:uid="{A44D8174-5125-457F-B2F9-BB0A11F7D541}"/>
    <cellStyle name="SAPBEXstdItem 2 21" xfId="28804" xr:uid="{8E435094-5C37-49DC-B03D-7A99A66FC098}"/>
    <cellStyle name="SAPBEXstdItem 2 22" xfId="28805" xr:uid="{F8AE7ABA-D7E8-490E-9B6C-A7DA4F2014D3}"/>
    <cellStyle name="SAPBEXstdItem 2 23" xfId="28806" xr:uid="{86FAAC06-0F02-40E9-BE33-B1E331E227A9}"/>
    <cellStyle name="SAPBEXstdItem 2 24" xfId="28807" xr:uid="{EAB8AEFE-BE5A-48F7-9A0B-32914259BDD6}"/>
    <cellStyle name="SAPBEXstdItem 2 25" xfId="28808" xr:uid="{6BBE80C2-F5D2-4397-96A4-2D540208BB40}"/>
    <cellStyle name="SAPBEXstdItem 2 26" xfId="28809" xr:uid="{5B64AB6C-2E3F-44B0-978C-61E35ECA0AF1}"/>
    <cellStyle name="SAPBEXstdItem 2 27" xfId="28810" xr:uid="{2448BE96-87D4-4252-9A6F-57F2B5EB8BB2}"/>
    <cellStyle name="SAPBEXstdItem 2 28" xfId="28811" xr:uid="{1F3B369F-960B-4F2F-AC80-6E0360AC9FDC}"/>
    <cellStyle name="SAPBEXstdItem 2 28 2" xfId="28812" xr:uid="{819D6563-47C9-4076-AC41-6BDD06C8E293}"/>
    <cellStyle name="SAPBEXstdItem 2 28 3" xfId="28813" xr:uid="{0DD8AC04-2379-4B2C-892F-DFD796AC3166}"/>
    <cellStyle name="SAPBEXstdItem 2 29" xfId="28814" xr:uid="{E08D1AF0-4B3C-4AB1-8007-E96A13FB8F9E}"/>
    <cellStyle name="SAPBEXstdItem 2 29 2" xfId="28815" xr:uid="{6562ED88-2292-4586-825C-C184E5498B7E}"/>
    <cellStyle name="SAPBEXstdItem 2 29 3" xfId="28816" xr:uid="{3F458C1B-B1F0-4934-915C-CE5AC2B2CA60}"/>
    <cellStyle name="SAPBEXstdItem 2 3" xfId="28817" xr:uid="{E558EBCC-36DD-431C-95AC-C7DA2589ACDE}"/>
    <cellStyle name="SAPBEXstdItem 2 3 2" xfId="28818" xr:uid="{B722C71B-75E1-4ECF-9291-45E66C552FC0}"/>
    <cellStyle name="SAPBEXstdItem 2 3 2 2" xfId="28819" xr:uid="{18905D0A-40FE-4DF9-B9EE-3A5CE5B4C47D}"/>
    <cellStyle name="SAPBEXstdItem 2 3 2 3" xfId="28820" xr:uid="{6643AD1C-3BB9-4E28-9EA8-BCD41EC5476F}"/>
    <cellStyle name="SAPBEXstdItem 2 3 3" xfId="28821" xr:uid="{11C97143-F4FD-4102-85DD-46868273CB5C}"/>
    <cellStyle name="SAPBEXstdItem 2 3 4" xfId="28822" xr:uid="{DE4BCB50-7824-4E3A-BDDB-06CC94A11CA0}"/>
    <cellStyle name="SAPBEXstdItem 2 3 5" xfId="28823" xr:uid="{E6B535B5-D695-45EB-887E-6967FAA287BB}"/>
    <cellStyle name="SAPBEXstdItem 2 3 6" xfId="28824" xr:uid="{B0A9B869-56E4-4E43-B137-A340E1B147E1}"/>
    <cellStyle name="SAPBEXstdItem 2 3 7" xfId="28825" xr:uid="{D8708A1F-6A40-4560-99AA-0BDB80FAEFD1}"/>
    <cellStyle name="SAPBEXstdItem 2 3 8" xfId="28826" xr:uid="{52053CCE-6733-468A-99AE-C2BEA5B7F4BF}"/>
    <cellStyle name="SAPBEXstdItem 2 3 9" xfId="28827" xr:uid="{AC17466B-71AC-477D-BFAB-005CB6B29B5A}"/>
    <cellStyle name="SAPBEXstdItem 2 30" xfId="28828" xr:uid="{82D183DD-2C26-48BF-8C6A-F459CEDEBE9A}"/>
    <cellStyle name="SAPBEXstdItem 2 31" xfId="28829" xr:uid="{E69F4CCF-422E-42E5-8B2D-E70158AADB0A}"/>
    <cellStyle name="SAPBEXstdItem 2 32" xfId="28830" xr:uid="{9BF76BE5-90B4-4DA3-866A-B7D7BEC4F99B}"/>
    <cellStyle name="SAPBEXstdItem 2 33" xfId="28831" xr:uid="{A16224CC-C4CA-4AEB-9CFF-7330EEFA1359}"/>
    <cellStyle name="SAPBEXstdItem 2 34" xfId="28832" xr:uid="{F8D94C1B-CB6C-4E35-B0DD-1DAFA984B8E8}"/>
    <cellStyle name="SAPBEXstdItem 2 4" xfId="28833" xr:uid="{E16F7B0D-0A97-4F74-947E-CCA011AA8D18}"/>
    <cellStyle name="SAPBEXstdItem 2 4 2" xfId="28834" xr:uid="{15B5C663-0886-4F9E-96E9-86835EF5194C}"/>
    <cellStyle name="SAPBEXstdItem 2 4 3" xfId="28835" xr:uid="{4342B918-6FE0-4D7A-B4B5-133B7CAD9A96}"/>
    <cellStyle name="SAPBEXstdItem 2 4 4" xfId="28836" xr:uid="{CEE63734-BD84-473D-8B74-6CFF45902F38}"/>
    <cellStyle name="SAPBEXstdItem 2 4 5" xfId="28837" xr:uid="{A755035D-4AF1-4BEC-B011-7805E07D8E34}"/>
    <cellStyle name="SAPBEXstdItem 2 4 6" xfId="28838" xr:uid="{83D009AD-3ADC-41F0-B865-B0569C4DA438}"/>
    <cellStyle name="SAPBEXstdItem 2 4 7" xfId="28839" xr:uid="{404C2FB1-BEA4-4A6A-BAED-ABC47A45F649}"/>
    <cellStyle name="SAPBEXstdItem 2 5" xfId="28840" xr:uid="{1C97BED2-86E1-42C3-A058-ADF82CA57573}"/>
    <cellStyle name="SAPBEXstdItem 2 5 2" xfId="28841" xr:uid="{84F28EB3-2D68-4476-9CB4-9E33FE46FCDD}"/>
    <cellStyle name="SAPBEXstdItem 2 5 3" xfId="28842" xr:uid="{DEE38D20-5776-40B5-989E-1EA8B5A7AC8D}"/>
    <cellStyle name="SAPBEXstdItem 2 5 4" xfId="28843" xr:uid="{67AE38A8-CE19-46F1-BDFB-4FCA3E2ED378}"/>
    <cellStyle name="SAPBEXstdItem 2 5 5" xfId="28844" xr:uid="{3AC2997C-C676-4207-B837-68F16D2B3636}"/>
    <cellStyle name="SAPBEXstdItem 2 6" xfId="28845" xr:uid="{35714691-14A7-4693-B511-6D2C9A613F91}"/>
    <cellStyle name="SAPBEXstdItem 2 6 2" xfId="28846" xr:uid="{C868140A-CBC5-4E38-B2A4-22B5541528BE}"/>
    <cellStyle name="SAPBEXstdItem 2 7" xfId="28847" xr:uid="{455B295E-CCED-4F71-AC0B-75B2572409F0}"/>
    <cellStyle name="SAPBEXstdItem 2 7 2" xfId="28848" xr:uid="{D5FE5EFE-2829-4A45-9E74-C5B16E751062}"/>
    <cellStyle name="SAPBEXstdItem 2 8" xfId="28849" xr:uid="{E609BB3F-3925-4BEE-949B-D00582F0895D}"/>
    <cellStyle name="SAPBEXstdItem 2 8 2" xfId="28850" xr:uid="{16F992BC-C8F4-41B9-AB13-09DDE5F56C62}"/>
    <cellStyle name="SAPBEXstdItem 2 9" xfId="28851" xr:uid="{9DC45F8C-03F6-4455-842D-74C2C76259F1}"/>
    <cellStyle name="SAPBEXstdItem 2_12-31-2009 PES TBBS done" xfId="28852" xr:uid="{60B04B53-54A9-47B7-A11F-28AC9DAF5354}"/>
    <cellStyle name="SAPBEXstdItem 20" xfId="28853" xr:uid="{6FB504EF-95C3-42F4-A354-3B824F010D1D}"/>
    <cellStyle name="SAPBEXstdItem 20 2" xfId="28854" xr:uid="{B5158923-9F9E-4BA6-BA7F-CE8D598DE479}"/>
    <cellStyle name="SAPBEXstdItem 20 2 2" xfId="28855" xr:uid="{7B7B0DE4-E430-4931-91D1-4A92EFBF7579}"/>
    <cellStyle name="SAPBEXstdItem 20 2 2 2" xfId="28856" xr:uid="{46D61719-56CB-4356-853B-C24E54CF9D27}"/>
    <cellStyle name="SAPBEXstdItem 20 2 2 3" xfId="28857" xr:uid="{70E6ABC2-7C81-492E-92CB-503AF901F31D}"/>
    <cellStyle name="SAPBEXstdItem 20 2 3" xfId="28858" xr:uid="{3E654DB7-0377-4941-A4C6-6A04861B9893}"/>
    <cellStyle name="SAPBEXstdItem 20 2 4" xfId="28859" xr:uid="{60242A97-8E9C-4400-BF2C-66133365C841}"/>
    <cellStyle name="SAPBEXstdItem 20 2 5" xfId="28860" xr:uid="{C1928DEF-3BF5-49EE-B677-364228713CAE}"/>
    <cellStyle name="SAPBEXstdItem 20 3" xfId="28861" xr:uid="{16074C65-0DD3-488A-9976-72ACCDE263DD}"/>
    <cellStyle name="SAPBEXstdItem 20 3 2" xfId="28862" xr:uid="{B6BECF3C-BF22-4B59-8926-73DE306F56FB}"/>
    <cellStyle name="SAPBEXstdItem 20 3 3" xfId="28863" xr:uid="{CBEC1930-6703-4DBD-AD02-CEF79E67F37E}"/>
    <cellStyle name="SAPBEXstdItem 20 4" xfId="28864" xr:uid="{AF3A89E1-9276-4BC6-BDCD-C4D49BC0C21C}"/>
    <cellStyle name="SAPBEXstdItem 20 5" xfId="28865" xr:uid="{1C03D9E3-B46E-4EF1-944F-312E03888A25}"/>
    <cellStyle name="SAPBEXstdItem 20 6" xfId="28866" xr:uid="{35B1C4D8-FF19-48B8-B592-DFA8CAC55929}"/>
    <cellStyle name="SAPBEXstdItem 21" xfId="28867" xr:uid="{7AEC8C79-0874-4234-9BF9-938C4A102EDE}"/>
    <cellStyle name="SAPBEXstdItem 21 2" xfId="28868" xr:uid="{C3ED1F01-3139-4F4A-9E26-352BB22C2534}"/>
    <cellStyle name="SAPBEXstdItem 21 2 2" xfId="28869" xr:uid="{57EC7C87-48E7-4EC3-8ABB-2ED9B0A14530}"/>
    <cellStyle name="SAPBEXstdItem 21 2 2 2" xfId="28870" xr:uid="{FA4C5D7D-C4F1-4BC7-B1DE-F3B6AD88D926}"/>
    <cellStyle name="SAPBEXstdItem 21 2 2 3" xfId="28871" xr:uid="{91902AF6-EF78-44CC-BF13-F7AF6C745871}"/>
    <cellStyle name="SAPBEXstdItem 21 2 3" xfId="28872" xr:uid="{C9C643C5-8876-4340-A3B4-F302C56CB709}"/>
    <cellStyle name="SAPBEXstdItem 21 2 4" xfId="28873" xr:uid="{6860FFBC-9FFE-4EAA-8858-734019B9A4EA}"/>
    <cellStyle name="SAPBEXstdItem 21 2 5" xfId="28874" xr:uid="{CC443476-769B-43AD-8B53-A8D4EFA136F4}"/>
    <cellStyle name="SAPBEXstdItem 21 3" xfId="28875" xr:uid="{75929AA1-746C-457E-A8F0-EE607196A3EB}"/>
    <cellStyle name="SAPBEXstdItem 21 3 2" xfId="28876" xr:uid="{1F4D5627-86A5-43C5-8535-3D962943C923}"/>
    <cellStyle name="SAPBEXstdItem 21 3 3" xfId="28877" xr:uid="{3467805D-966E-4ACB-A0DA-0D06564D2132}"/>
    <cellStyle name="SAPBEXstdItem 21 4" xfId="28878" xr:uid="{1AB476FA-7F58-49A1-932E-F7934866FDF3}"/>
    <cellStyle name="SAPBEXstdItem 21 5" xfId="28879" xr:uid="{EAB49ED4-E4E4-4CDB-A864-B5E178D8B371}"/>
    <cellStyle name="SAPBEXstdItem 21 6" xfId="28880" xr:uid="{681E7988-1F34-482D-B27B-EE04117F58B7}"/>
    <cellStyle name="SAPBEXstdItem 22" xfId="28881" xr:uid="{6DC3F888-A190-44CD-BFB8-D24FDDAB8F23}"/>
    <cellStyle name="SAPBEXstdItem 22 2" xfId="28882" xr:uid="{B1DFE97D-72D2-4EB9-BA40-F98FDEC79AF8}"/>
    <cellStyle name="SAPBEXstdItem 22 2 2" xfId="28883" xr:uid="{50623A28-B5FA-4EAB-9079-EE42E4508117}"/>
    <cellStyle name="SAPBEXstdItem 22 2 2 2" xfId="28884" xr:uid="{CBD7CD59-A0B4-4D53-989D-1E39B2C833EF}"/>
    <cellStyle name="SAPBEXstdItem 22 2 2 3" xfId="28885" xr:uid="{1675F164-AC11-4E3F-9F81-08CA9B088277}"/>
    <cellStyle name="SAPBEXstdItem 22 2 3" xfId="28886" xr:uid="{E702451A-6A2B-4E7C-BA35-62AE92FA7330}"/>
    <cellStyle name="SAPBEXstdItem 22 2 4" xfId="28887" xr:uid="{F53E7CA0-E2BF-4599-9F61-D2B85A01F702}"/>
    <cellStyle name="SAPBEXstdItem 22 2 5" xfId="28888" xr:uid="{5ECAFDEA-A34E-4DC6-8226-307F48281E20}"/>
    <cellStyle name="SAPBEXstdItem 22 3" xfId="28889" xr:uid="{774DEE27-C455-4470-80CF-CE8B63852E49}"/>
    <cellStyle name="SAPBEXstdItem 22 3 2" xfId="28890" xr:uid="{6BA80586-DF67-4CAA-B1E1-B0E83EBE21D6}"/>
    <cellStyle name="SAPBEXstdItem 22 3 3" xfId="28891" xr:uid="{AB15BB90-4D6D-415A-ACBC-D3355B156663}"/>
    <cellStyle name="SAPBEXstdItem 22 4" xfId="28892" xr:uid="{D904D1D9-3E1C-4A74-92BB-F552DA5814BC}"/>
    <cellStyle name="SAPBEXstdItem 22 5" xfId="28893" xr:uid="{BBAF4C4E-2F65-4448-A567-9E5DE99888B5}"/>
    <cellStyle name="SAPBEXstdItem 22 6" xfId="28894" xr:uid="{30FA45A7-26EB-4BF8-8DED-400F2548F214}"/>
    <cellStyle name="SAPBEXstdItem 23" xfId="28895" xr:uid="{FFAF9396-1C8A-4730-A6CC-F03BA2DB50FB}"/>
    <cellStyle name="SAPBEXstdItem 23 2" xfId="28896" xr:uid="{8370F025-0CD2-403D-B5FA-5F494455AB46}"/>
    <cellStyle name="SAPBEXstdItem 23 2 2" xfId="28897" xr:uid="{9518EC9B-1C58-4E18-ABC9-BD738F7D5784}"/>
    <cellStyle name="SAPBEXstdItem 23 2 2 2" xfId="28898" xr:uid="{C5B13533-F623-4A28-9B33-321154E04307}"/>
    <cellStyle name="SAPBEXstdItem 23 2 2 3" xfId="28899" xr:uid="{22FF3965-63A8-4DA8-91D4-C3450CC41C09}"/>
    <cellStyle name="SAPBEXstdItem 23 2 3" xfId="28900" xr:uid="{98C0CD09-045A-4208-A697-6F82DCF7C540}"/>
    <cellStyle name="SAPBEXstdItem 23 2 4" xfId="28901" xr:uid="{0F4EB383-6DD1-4552-B6C5-9406DC00427D}"/>
    <cellStyle name="SAPBEXstdItem 23 2 5" xfId="28902" xr:uid="{339460F6-36D0-42E2-817C-1F514CE8734C}"/>
    <cellStyle name="SAPBEXstdItem 23 3" xfId="28903" xr:uid="{9F8A17F6-5C09-427C-91EF-B866EB4092F3}"/>
    <cellStyle name="SAPBEXstdItem 23 3 2" xfId="28904" xr:uid="{F4D0139E-7FDF-42E3-BCD4-D09BBB2A0C4A}"/>
    <cellStyle name="SAPBEXstdItem 23 3 3" xfId="28905" xr:uid="{B7F24BAF-0C0A-402C-8AA1-D4965B8D6B16}"/>
    <cellStyle name="SAPBEXstdItem 23 4" xfId="28906" xr:uid="{9C947514-84F5-4D65-92A2-E917D8024E7E}"/>
    <cellStyle name="SAPBEXstdItem 23 5" xfId="28907" xr:uid="{B346A426-9B67-4E45-8A88-5AA973D61A54}"/>
    <cellStyle name="SAPBEXstdItem 23 6" xfId="28908" xr:uid="{2BD4A0CA-B8B4-4774-B098-6F43492C8648}"/>
    <cellStyle name="SAPBEXstdItem 24" xfId="28909" xr:uid="{F8383195-5097-4966-ACF8-7B63BB51FBB7}"/>
    <cellStyle name="SAPBEXstdItem 24 2" xfId="28910" xr:uid="{FEC84BF9-82D2-4540-801B-68BF30180E94}"/>
    <cellStyle name="SAPBEXstdItem 24 2 2" xfId="28911" xr:uid="{E4FA232B-77D9-4077-8B37-17A1F0D317C5}"/>
    <cellStyle name="SAPBEXstdItem 24 2 2 2" xfId="28912" xr:uid="{87CAD58C-07A9-4B3C-B01A-C7A314D72761}"/>
    <cellStyle name="SAPBEXstdItem 24 2 2 3" xfId="28913" xr:uid="{3B87E182-4075-4CFD-B838-235CCBC8374C}"/>
    <cellStyle name="SAPBEXstdItem 24 2 3" xfId="28914" xr:uid="{F45358F7-822D-46C0-8FB8-5428EE37DD3D}"/>
    <cellStyle name="SAPBEXstdItem 24 2 4" xfId="28915" xr:uid="{601919F4-03B2-4F5E-9027-B5ABB51BBBD8}"/>
    <cellStyle name="SAPBEXstdItem 24 2 5" xfId="28916" xr:uid="{153A8CC0-511F-4377-8A5E-BFBDC7439139}"/>
    <cellStyle name="SAPBEXstdItem 24 3" xfId="28917" xr:uid="{0F2753C2-C587-4BC7-910B-9157C47B08DC}"/>
    <cellStyle name="SAPBEXstdItem 24 3 2" xfId="28918" xr:uid="{D93E6AE6-1020-4C94-BF38-DB308E735CEE}"/>
    <cellStyle name="SAPBEXstdItem 24 3 3" xfId="28919" xr:uid="{030E067E-18E2-4633-8D60-28D0775E16C2}"/>
    <cellStyle name="SAPBEXstdItem 24 4" xfId="28920" xr:uid="{C76CE298-8D95-40A6-AC5B-5F85D3ACF610}"/>
    <cellStyle name="SAPBEXstdItem 24 5" xfId="28921" xr:uid="{7D003DFC-CE23-4861-B006-E492F2A936CA}"/>
    <cellStyle name="SAPBEXstdItem 24 6" xfId="28922" xr:uid="{8E859843-B8A5-43A5-B2BB-58F4585EEE28}"/>
    <cellStyle name="SAPBEXstdItem 25" xfId="28923" xr:uid="{358B482D-2FD0-46F8-8D35-59DC72441267}"/>
    <cellStyle name="SAPBEXstdItem 25 2" xfId="28924" xr:uid="{9D2A8CEC-9118-447B-947B-0C6F7B5065F2}"/>
    <cellStyle name="SAPBEXstdItem 25 2 2" xfId="28925" xr:uid="{FBAEE917-3DF0-4279-AAC0-9EE2A0047C97}"/>
    <cellStyle name="SAPBEXstdItem 25 2 2 2" xfId="28926" xr:uid="{4AA11344-9E34-486D-BD34-B6F048606CBC}"/>
    <cellStyle name="SAPBEXstdItem 25 2 2 3" xfId="28927" xr:uid="{AF19F42A-2964-4BA3-A118-6968B7D20CB8}"/>
    <cellStyle name="SAPBEXstdItem 25 2 3" xfId="28928" xr:uid="{0F2383DC-19F2-4D2D-914F-A7C3A472B098}"/>
    <cellStyle name="SAPBEXstdItem 25 2 4" xfId="28929" xr:uid="{54D24918-ED7B-472D-B9DB-FBA509BC8086}"/>
    <cellStyle name="SAPBEXstdItem 25 2 5" xfId="28930" xr:uid="{3B480DCC-89C6-4062-8ED8-A3B1847EDF94}"/>
    <cellStyle name="SAPBEXstdItem 25 3" xfId="28931" xr:uid="{41850DA2-9BAD-497C-9B62-64C694D535AF}"/>
    <cellStyle name="SAPBEXstdItem 25 3 2" xfId="28932" xr:uid="{C9BEEFC8-C2E9-458C-BA0F-7DA0F13247A9}"/>
    <cellStyle name="SAPBEXstdItem 25 3 3" xfId="28933" xr:uid="{04EDDC1E-B0F6-4773-AE2A-30AF19C1AB12}"/>
    <cellStyle name="SAPBEXstdItem 25 4" xfId="28934" xr:uid="{82E1411E-B8C5-424C-A83A-C58D490607C9}"/>
    <cellStyle name="SAPBEXstdItem 25 5" xfId="28935" xr:uid="{65302387-94D7-4EC9-BA3C-6D154F46610B}"/>
    <cellStyle name="SAPBEXstdItem 25 6" xfId="28936" xr:uid="{4917DD4A-D700-4B10-AABD-8011AF9ED747}"/>
    <cellStyle name="SAPBEXstdItem 26" xfId="28937" xr:uid="{12F9B503-9CA8-4CAF-B6B6-D8E0D2BE4750}"/>
    <cellStyle name="SAPBEXstdItem 26 2" xfId="28938" xr:uid="{7716CC3B-FEB5-4E0F-8930-B7DDECAEF865}"/>
    <cellStyle name="SAPBEXstdItem 26 2 2" xfId="28939" xr:uid="{85DFC932-2FC7-4604-BFF2-ED9A9897AC88}"/>
    <cellStyle name="SAPBEXstdItem 26 2 2 2" xfId="28940" xr:uid="{6E4E51AD-39F4-4A4E-AFE6-8A7D2AACA5A1}"/>
    <cellStyle name="SAPBEXstdItem 26 2 2 3" xfId="28941" xr:uid="{AA77BD29-CB6D-483E-9516-EFBDCBBBCD46}"/>
    <cellStyle name="SAPBEXstdItem 26 2 3" xfId="28942" xr:uid="{CF1CE45A-3D41-4240-8863-7EE43DB4BF9D}"/>
    <cellStyle name="SAPBEXstdItem 26 2 4" xfId="28943" xr:uid="{E5728942-A40B-447C-AA34-0DEDE416BB7A}"/>
    <cellStyle name="SAPBEXstdItem 26 2 5" xfId="28944" xr:uid="{21D7CB1D-2EB1-4553-A87F-A60ED4948A01}"/>
    <cellStyle name="SAPBEXstdItem 26 3" xfId="28945" xr:uid="{D830542E-560C-49A9-90EB-36706FBAA5E4}"/>
    <cellStyle name="SAPBEXstdItem 26 3 2" xfId="28946" xr:uid="{2E146E6B-3615-4342-9D55-9D4DB357E68D}"/>
    <cellStyle name="SAPBEXstdItem 26 3 3" xfId="28947" xr:uid="{23FB897B-5E5E-466B-8E56-2B3DA2B1122F}"/>
    <cellStyle name="SAPBEXstdItem 26 4" xfId="28948" xr:uid="{602AD205-5852-4420-A3DE-ECDCB17F16F9}"/>
    <cellStyle name="SAPBEXstdItem 26 5" xfId="28949" xr:uid="{24550565-79F3-47D0-AAF6-9A27DB40AAE8}"/>
    <cellStyle name="SAPBEXstdItem 26 6" xfId="28950" xr:uid="{811DF76F-CE7A-415F-B4F6-62A38E241B6A}"/>
    <cellStyle name="SAPBEXstdItem 27" xfId="28951" xr:uid="{A12C68FB-BB8D-4483-A92D-BD68E805ABD5}"/>
    <cellStyle name="SAPBEXstdItem 27 2" xfId="28952" xr:uid="{DE4465B6-2710-45D1-9BB8-B6AEA5A8AC41}"/>
    <cellStyle name="SAPBEXstdItem 27 2 2" xfId="28953" xr:uid="{555C50DA-CA1D-4524-8DC9-861702728A39}"/>
    <cellStyle name="SAPBEXstdItem 27 2 2 2" xfId="28954" xr:uid="{72BC565C-8EDF-47C7-B34F-CF56A4DFC441}"/>
    <cellStyle name="SAPBEXstdItem 27 2 2 3" xfId="28955" xr:uid="{6BDF8C7C-E886-45B5-A3A9-634B1D1ECB27}"/>
    <cellStyle name="SAPBEXstdItem 27 2 3" xfId="28956" xr:uid="{6D55F11C-D41C-4F3C-8477-440FED69D489}"/>
    <cellStyle name="SAPBEXstdItem 27 2 4" xfId="28957" xr:uid="{63887AB7-A567-4289-A03E-7DBA10730F19}"/>
    <cellStyle name="SAPBEXstdItem 27 2 5" xfId="28958" xr:uid="{A08FFD4D-D37A-4869-9813-10CB29B42E97}"/>
    <cellStyle name="SAPBEXstdItem 27 3" xfId="28959" xr:uid="{1D28709F-83F5-43AA-B2D8-E851DE4DED68}"/>
    <cellStyle name="SAPBEXstdItem 27 3 2" xfId="28960" xr:uid="{E5F537EC-D6C7-4A42-942E-A5E90B5E3BA5}"/>
    <cellStyle name="SAPBEXstdItem 27 3 3" xfId="28961" xr:uid="{2C203AA4-0313-4CB2-9B57-D61362A6F5F7}"/>
    <cellStyle name="SAPBEXstdItem 27 4" xfId="28962" xr:uid="{9D257D31-D751-42CE-9F80-9874314C539D}"/>
    <cellStyle name="SAPBEXstdItem 27 5" xfId="28963" xr:uid="{7E7889EF-2888-4396-AF4D-80CB9528B69C}"/>
    <cellStyle name="SAPBEXstdItem 27 6" xfId="28964" xr:uid="{D940E396-3043-4A56-9F30-063E636D48E0}"/>
    <cellStyle name="SAPBEXstdItem 28" xfId="28965" xr:uid="{0849E152-6BC6-42AD-A746-20222B65AE41}"/>
    <cellStyle name="SAPBEXstdItem 28 2" xfId="28966" xr:uid="{DA0D4815-ECFD-4EA8-92E0-FC22A8BBAF6A}"/>
    <cellStyle name="SAPBEXstdItem 28 2 2" xfId="28967" xr:uid="{6B5640BE-281C-44EC-A873-9C27E7DE1A8F}"/>
    <cellStyle name="SAPBEXstdItem 28 2 3" xfId="28968" xr:uid="{B32E81B2-4784-4850-9571-AF4D46F4F4F1}"/>
    <cellStyle name="SAPBEXstdItem 28 3" xfId="28969" xr:uid="{CCFBEEFC-CE1C-4EF1-9181-9F8BA6F37EF8}"/>
    <cellStyle name="SAPBEXstdItem 28 4" xfId="28970" xr:uid="{D38E28C0-9207-4582-9058-944404AA1D0D}"/>
    <cellStyle name="SAPBEXstdItem 28 5" xfId="28971" xr:uid="{D25BE884-E311-4B92-83E7-921B2E44F5E5}"/>
    <cellStyle name="SAPBEXstdItem 29" xfId="28972" xr:uid="{89BB4F6A-7BC2-4FC0-B069-7C597242A28C}"/>
    <cellStyle name="SAPBEXstdItem 29 2" xfId="28973" xr:uid="{D5DEDDB0-C8A4-463C-A72A-58F03745F1C3}"/>
    <cellStyle name="SAPBEXstdItem 29 2 2" xfId="28974" xr:uid="{3009802B-319F-4892-9356-13F08602532A}"/>
    <cellStyle name="SAPBEXstdItem 29 2 3" xfId="28975" xr:uid="{0B104596-6D71-47AE-ADCD-536926DF6A65}"/>
    <cellStyle name="SAPBEXstdItem 29 3" xfId="28976" xr:uid="{39D97C2E-D993-43A2-B4D4-AB1841A5C31D}"/>
    <cellStyle name="SAPBEXstdItem 29 4" xfId="28977" xr:uid="{8FE8C67F-519F-4946-816B-959290491196}"/>
    <cellStyle name="SAPBEXstdItem 29 5" xfId="28978" xr:uid="{F4F2FAC0-AB0B-4ED0-B24A-CF031076ED8C}"/>
    <cellStyle name="SAPBEXstdItem 3" xfId="28979" xr:uid="{3C089E7C-2E11-4470-AEF1-8F3BC68ED95E}"/>
    <cellStyle name="SAPBEXstdItem 3 10" xfId="28980" xr:uid="{BEBCBC9B-C035-4D93-B011-09698869565E}"/>
    <cellStyle name="SAPBEXstdItem 3 11" xfId="28981" xr:uid="{6B50CFD9-B568-48AE-9579-90EA31E92C7A}"/>
    <cellStyle name="SAPBEXstdItem 3 11 2" xfId="28982" xr:uid="{86BF49C8-7ECF-4F54-BEC6-FE14B0349C54}"/>
    <cellStyle name="SAPBEXstdItem 3 11 3" xfId="28983" xr:uid="{58729E0C-F568-4DAC-ABCE-5373A26ECC5A}"/>
    <cellStyle name="SAPBEXstdItem 3 12" xfId="28984" xr:uid="{95EF4E71-FDD4-4A63-8CCA-85B663E8B2B8}"/>
    <cellStyle name="SAPBEXstdItem 3 13" xfId="28985" xr:uid="{C973A717-3A07-42C7-AB11-4C7440D23FFE}"/>
    <cellStyle name="SAPBEXstdItem 3 14" xfId="28986" xr:uid="{6ED2A992-A48C-44F0-8EF0-586F72CC05F5}"/>
    <cellStyle name="SAPBEXstdItem 3 15" xfId="28987" xr:uid="{49E63AD8-023A-4285-9FE7-5A4A25FA1EF7}"/>
    <cellStyle name="SAPBEXstdItem 3 16" xfId="28988" xr:uid="{403EC70E-FADB-4949-914A-18A15737636E}"/>
    <cellStyle name="SAPBEXstdItem 3 2" xfId="28989" xr:uid="{099153F6-1805-46E8-9AD2-1CDB3CB69D05}"/>
    <cellStyle name="SAPBEXstdItem 3 2 2" xfId="28990" xr:uid="{B38BB36F-11AB-4F90-AE19-DB38271E35CD}"/>
    <cellStyle name="SAPBEXstdItem 3 2 2 2" xfId="28991" xr:uid="{8CC29B2A-6A23-4719-9236-15E8FBCE8F38}"/>
    <cellStyle name="SAPBEXstdItem 3 2 2 2 2" xfId="28992" xr:uid="{ECB26EA7-7274-4349-A5A2-989C5182685C}"/>
    <cellStyle name="SAPBEXstdItem 3 2 2 2 3" xfId="28993" xr:uid="{C5F61F15-E6DA-4752-B7F7-7F4D67194E27}"/>
    <cellStyle name="SAPBEXstdItem 3 2 2 3" xfId="28994" xr:uid="{7D10A562-88E4-40FD-82B6-B51CE6945C35}"/>
    <cellStyle name="SAPBEXstdItem 3 2 2 4" xfId="28995" xr:uid="{10E91B75-86A7-4C5F-9F2D-DBBE20E297BB}"/>
    <cellStyle name="SAPBEXstdItem 3 2 2 5" xfId="28996" xr:uid="{6B74BEAF-5C23-4E03-BF1F-77AA13401B83}"/>
    <cellStyle name="SAPBEXstdItem 3 2 3" xfId="28997" xr:uid="{1F33C39F-14B2-4101-B4DA-273D0FACB87E}"/>
    <cellStyle name="SAPBEXstdItem 3 2 3 2" xfId="28998" xr:uid="{5329BCDC-C015-4D07-A85E-7EB12D3C3F2A}"/>
    <cellStyle name="SAPBEXstdItem 3 2 3 3" xfId="28999" xr:uid="{E1B39A59-A3F7-48D2-AC68-B5C3AF082CB0}"/>
    <cellStyle name="SAPBEXstdItem 3 2 4" xfId="29000" xr:uid="{2EEB12E6-91B3-45D7-B53C-043C0A028072}"/>
    <cellStyle name="SAPBEXstdItem 3 2 5" xfId="29001" xr:uid="{4CC046BA-BBBA-40C1-B9D3-652481EA56EF}"/>
    <cellStyle name="SAPBEXstdItem 3 2 6" xfId="29002" xr:uid="{4A8AFD63-1836-4CB0-B14B-5FF185937724}"/>
    <cellStyle name="SAPBEXstdItem 3 3" xfId="29003" xr:uid="{9351BBAE-A59F-4426-8904-8357BBBEA73D}"/>
    <cellStyle name="SAPBEXstdItem 3 3 2" xfId="29004" xr:uid="{C8B528BC-1BE5-4055-97F2-29AB2AD3053D}"/>
    <cellStyle name="SAPBEXstdItem 3 3 2 2" xfId="29005" xr:uid="{8BFA5BF3-7635-46E0-AAD4-0533BA8C92C8}"/>
    <cellStyle name="SAPBEXstdItem 3 3 3" xfId="29006" xr:uid="{044D0DE2-CDAF-44E1-95ED-6F63F88F3B94}"/>
    <cellStyle name="SAPBEXstdItem 3 3 4" xfId="29007" xr:uid="{97D0F32A-DF06-4779-8A6B-04EA55335429}"/>
    <cellStyle name="SAPBEXstdItem 3 4" xfId="29008" xr:uid="{8C9CB4DC-8C9E-4E7D-872C-11E27DC95E7C}"/>
    <cellStyle name="SAPBEXstdItem 3 4 2" xfId="29009" xr:uid="{BD3B9BC7-2F11-467B-9F59-A751275D4914}"/>
    <cellStyle name="SAPBEXstdItem 3 4 3" xfId="29010" xr:uid="{106E8879-297B-4464-86CD-5CE3FBBD506F}"/>
    <cellStyle name="SAPBEXstdItem 3 5" xfId="29011" xr:uid="{DFD8ADC1-712F-4F3C-AF25-84A770B84F42}"/>
    <cellStyle name="SAPBEXstdItem 3 6" xfId="29012" xr:uid="{D6B321D7-3322-448F-9C14-B2A042B43088}"/>
    <cellStyle name="SAPBEXstdItem 3 7" xfId="29013" xr:uid="{238E379A-92C2-4CFA-86C7-AE460126F612}"/>
    <cellStyle name="SAPBEXstdItem 3 8" xfId="29014" xr:uid="{E4D06631-0317-481B-97D9-6CFF6B1E8252}"/>
    <cellStyle name="SAPBEXstdItem 3 9" xfId="29015" xr:uid="{23DB0074-89DF-4D63-B363-517C2DEE938B}"/>
    <cellStyle name="SAPBEXstdItem 30" xfId="29016" xr:uid="{E489A9E9-4AEF-41EB-BEB8-704D5B7145E9}"/>
    <cellStyle name="SAPBEXstdItem 30 2" xfId="29017" xr:uid="{8FC8C441-8666-4219-8B6E-BF41E402DF62}"/>
    <cellStyle name="SAPBEXstdItem 30 2 2" xfId="29018" xr:uid="{9C24DAE3-5B84-4B4B-8015-4E76E89F046A}"/>
    <cellStyle name="SAPBEXstdItem 30 2 3" xfId="29019" xr:uid="{9E808D56-4824-4997-8C62-A26FDF1ABFC0}"/>
    <cellStyle name="SAPBEXstdItem 30 3" xfId="29020" xr:uid="{2A81208A-A1C1-4988-A838-F8BC49EB3E06}"/>
    <cellStyle name="SAPBEXstdItem 30 4" xfId="29021" xr:uid="{6BC6449E-6F35-442F-9FF9-6F82C4705BE3}"/>
    <cellStyle name="SAPBEXstdItem 30 5" xfId="29022" xr:uid="{05EF1A04-8C0E-410A-BD91-ABB68D041E66}"/>
    <cellStyle name="SAPBEXstdItem 31" xfId="29023" xr:uid="{C202974C-4EA6-4619-85D5-58995DAD3FEB}"/>
    <cellStyle name="SAPBEXstdItem 31 2" xfId="29024" xr:uid="{8E51F7CB-F169-4965-938E-C4E09A0CC2CD}"/>
    <cellStyle name="SAPBEXstdItem 31 2 2" xfId="29025" xr:uid="{5CC7A851-B922-4CB2-AA71-9E347FA47E63}"/>
    <cellStyle name="SAPBEXstdItem 31 2 3" xfId="29026" xr:uid="{AB5C177E-5249-4A55-8C1C-1DECC42C10E6}"/>
    <cellStyle name="SAPBEXstdItem 31 3" xfId="29027" xr:uid="{C60E979A-54C4-466A-86BE-33A9C1D67FE4}"/>
    <cellStyle name="SAPBEXstdItem 31 4" xfId="29028" xr:uid="{CB61382B-B412-40BF-87C9-B5707B4098F6}"/>
    <cellStyle name="SAPBEXstdItem 31 5" xfId="29029" xr:uid="{BB1077CE-1F4E-4D1D-BDCD-50FF1B2BA9E8}"/>
    <cellStyle name="SAPBEXstdItem 32" xfId="29030" xr:uid="{17D96C8B-B994-4AB8-B665-67D6A26E01B2}"/>
    <cellStyle name="SAPBEXstdItem 32 2" xfId="29031" xr:uid="{0EAE09E4-5FFB-4C7A-B184-EE3BA75A1EF3}"/>
    <cellStyle name="SAPBEXstdItem 32 2 2" xfId="29032" xr:uid="{604BD892-99C8-4ACB-8E89-E61C8B2E1D72}"/>
    <cellStyle name="SAPBEXstdItem 32 2 3" xfId="29033" xr:uid="{2FA20509-832D-4D38-B817-B88BD4AE5C4D}"/>
    <cellStyle name="SAPBEXstdItem 32 3" xfId="29034" xr:uid="{50EBCA41-3ACA-4A1A-A6C2-84C68B6C5B39}"/>
    <cellStyle name="SAPBEXstdItem 32 4" xfId="29035" xr:uid="{3687A5E6-BC8E-4A54-B8F0-4D7EB7103A5D}"/>
    <cellStyle name="SAPBEXstdItem 32 5" xfId="29036" xr:uid="{2B73FEB6-EF13-4C70-BE52-C10CD6F98438}"/>
    <cellStyle name="SAPBEXstdItem 33" xfId="29037" xr:uid="{0CD4809F-55E1-44C3-96EE-AE887CFE2A16}"/>
    <cellStyle name="SAPBEXstdItem 33 2" xfId="29038" xr:uid="{3C5BE01F-17C6-4995-9D38-7E3EAA4AF171}"/>
    <cellStyle name="SAPBEXstdItem 33 2 2" xfId="29039" xr:uid="{F71FC450-A0EC-4236-A4FC-0A60F0074E25}"/>
    <cellStyle name="SAPBEXstdItem 33 3" xfId="29040" xr:uid="{261025D5-7707-4E95-A304-F7B786B719B3}"/>
    <cellStyle name="SAPBEXstdItem 33 4" xfId="29041" xr:uid="{277EA554-01D7-4E06-A844-6D8931DA6649}"/>
    <cellStyle name="SAPBEXstdItem 33 5" xfId="29042" xr:uid="{F0B26699-18E0-4EC1-801F-883FD6D1BA69}"/>
    <cellStyle name="SAPBEXstdItem 34" xfId="29043" xr:uid="{5179113D-50C8-419F-9431-37D576506F4B}"/>
    <cellStyle name="SAPBEXstdItem 34 2" xfId="29044" xr:uid="{D0BA34F9-FA51-46F5-892C-0724A53E92EB}"/>
    <cellStyle name="SAPBEXstdItem 34 3" xfId="29045" xr:uid="{4557A8FF-0CCB-44F1-9C9A-06129D6E2914}"/>
    <cellStyle name="SAPBEXstdItem 35" xfId="29046" xr:uid="{B80488A1-9AFB-42D6-BF78-9E4CC2333625}"/>
    <cellStyle name="SAPBEXstdItem 36" xfId="29047" xr:uid="{D6B23EE7-FB87-4D0D-A9D3-EB56D6C03C96}"/>
    <cellStyle name="SAPBEXstdItem 37" xfId="29048" xr:uid="{7DE14B34-AC97-4FDE-9CBB-98263F04CD94}"/>
    <cellStyle name="SAPBEXstdItem 38" xfId="29049" xr:uid="{7A359D71-C1A5-49A2-8632-8A15359A8AB7}"/>
    <cellStyle name="SAPBEXstdItem 39" xfId="29050" xr:uid="{F5CA67E9-1DBF-4CE8-98A2-03B5B6FF4514}"/>
    <cellStyle name="SAPBEXstdItem 4" xfId="29051" xr:uid="{8A9FE047-432C-4865-9ADB-A101CF468216}"/>
    <cellStyle name="SAPBEXstdItem 4 10" xfId="29052" xr:uid="{EEC4F3BE-2FC2-4D75-A458-FD02587D7FF6}"/>
    <cellStyle name="SAPBEXstdItem 4 11" xfId="29053" xr:uid="{1EB28479-3009-4A41-BCC7-F0B3520FDAD0}"/>
    <cellStyle name="SAPBEXstdItem 4 2" xfId="29054" xr:uid="{D2A701F9-A3B2-4831-BBD4-9DDCCA82CDB1}"/>
    <cellStyle name="SAPBEXstdItem 4 2 2" xfId="29055" xr:uid="{9A0E1710-1753-4603-B4D6-5AB9CEAB9FF7}"/>
    <cellStyle name="SAPBEXstdItem 4 2 2 2" xfId="29056" xr:uid="{C32DEB68-6476-4EE5-A0C7-F8750EAAAECF}"/>
    <cellStyle name="SAPBEXstdItem 4 2 2 2 2" xfId="29057" xr:uid="{731EB4C1-83C5-4B65-9A6E-DED5A5065ABE}"/>
    <cellStyle name="SAPBEXstdItem 4 2 2 2 3" xfId="29058" xr:uid="{8617137B-D03B-491A-B45B-D45F423D8484}"/>
    <cellStyle name="SAPBEXstdItem 4 2 2 3" xfId="29059" xr:uid="{A80C9E62-1449-4ACE-B4FB-20FBD18FF378}"/>
    <cellStyle name="SAPBEXstdItem 4 2 2 4" xfId="29060" xr:uid="{881C7223-7AB5-4C38-8A53-E1AD9944FE86}"/>
    <cellStyle name="SAPBEXstdItem 4 2 2 5" xfId="29061" xr:uid="{F9065318-3775-445D-8EE6-C99BAB0A7E79}"/>
    <cellStyle name="SAPBEXstdItem 4 2 3" xfId="29062" xr:uid="{05F9EAD9-5C5F-468C-950B-403D203A3A06}"/>
    <cellStyle name="SAPBEXstdItem 4 2 3 2" xfId="29063" xr:uid="{D05E0D72-1EE2-4DAC-84DA-7E959D19643E}"/>
    <cellStyle name="SAPBEXstdItem 4 2 3 3" xfId="29064" xr:uid="{8189D712-919A-49B1-9116-15621DBEE74E}"/>
    <cellStyle name="SAPBEXstdItem 4 2 4" xfId="29065" xr:uid="{E9826414-2487-4A5D-9F6E-A4E000F4BE30}"/>
    <cellStyle name="SAPBEXstdItem 4 2 5" xfId="29066" xr:uid="{F039EA78-5E13-4EF4-9877-5B9AED1D2F16}"/>
    <cellStyle name="SAPBEXstdItem 4 2 6" xfId="29067" xr:uid="{E2E6B294-6E97-43D0-865E-6DF1F0791403}"/>
    <cellStyle name="SAPBEXstdItem 4 3" xfId="29068" xr:uid="{025F4319-6E51-47F9-81E8-B218ED1BA67E}"/>
    <cellStyle name="SAPBEXstdItem 4 3 2" xfId="29069" xr:uid="{B20FEF06-5A67-4309-B0E7-B915283065F1}"/>
    <cellStyle name="SAPBEXstdItem 4 3 2 2" xfId="29070" xr:uid="{7AB21E0C-2187-4056-AA1D-1CAB450A6E5F}"/>
    <cellStyle name="SAPBEXstdItem 4 3 3" xfId="29071" xr:uid="{86D65175-5B84-499B-9D52-FD7591825079}"/>
    <cellStyle name="SAPBEXstdItem 4 3 4" xfId="29072" xr:uid="{3537CF1C-57B2-4496-B9D9-CE6A384EDEB7}"/>
    <cellStyle name="SAPBEXstdItem 4 4" xfId="29073" xr:uid="{67252564-5522-4F79-B504-06172409D563}"/>
    <cellStyle name="SAPBEXstdItem 4 4 2" xfId="29074" xr:uid="{63CC9D85-2DCA-4364-8406-A51A58C4F732}"/>
    <cellStyle name="SAPBEXstdItem 4 4 3" xfId="29075" xr:uid="{FBF3E69B-B1BD-4CB9-82E5-EC6348423CD3}"/>
    <cellStyle name="SAPBEXstdItem 4 5" xfId="29076" xr:uid="{D4C3441A-F1EB-47E3-8B3A-28612BF3ECBA}"/>
    <cellStyle name="SAPBEXstdItem 4 6" xfId="29077" xr:uid="{387E52EE-FC65-41F8-9C7C-2278277C41B9}"/>
    <cellStyle name="SAPBEXstdItem 4 6 2" xfId="29078" xr:uid="{BDF36902-2BA2-447A-96D5-5C56C5679490}"/>
    <cellStyle name="SAPBEXstdItem 4 6 3" xfId="29079" xr:uid="{9D6BDD25-B706-4956-B88D-66FE5E9571F8}"/>
    <cellStyle name="SAPBEXstdItem 4 7" xfId="29080" xr:uid="{B0B36F09-42D8-474B-921D-EB4B4D659EB9}"/>
    <cellStyle name="SAPBEXstdItem 4 8" xfId="29081" xr:uid="{07AD4F14-7222-4D80-8A58-3C442C8D7C8D}"/>
    <cellStyle name="SAPBEXstdItem 4 9" xfId="29082" xr:uid="{1D5D6DD0-6DC9-48FE-AC5B-385781D02697}"/>
    <cellStyle name="SAPBEXstdItem 5" xfId="29083" xr:uid="{D19472DD-B7DF-471C-8A09-3768229D9725}"/>
    <cellStyle name="SAPBEXstdItem 5 10" xfId="29084" xr:uid="{F4479D05-3BF2-4E06-88EB-A8EBCF72CAD1}"/>
    <cellStyle name="SAPBEXstdItem 5 2" xfId="29085" xr:uid="{DE550021-1715-419D-A585-FCEEA66C574D}"/>
    <cellStyle name="SAPBEXstdItem 5 2 2" xfId="29086" xr:uid="{56506AF2-4299-4315-8409-CFFA47324801}"/>
    <cellStyle name="SAPBEXstdItem 5 2 2 2" xfId="29087" xr:uid="{F1FD6689-76F4-4ADB-82FF-110E7FC8C297}"/>
    <cellStyle name="SAPBEXstdItem 5 2 2 2 2" xfId="29088" xr:uid="{51812958-369C-46B3-AE6D-3856AEE28E0F}"/>
    <cellStyle name="SAPBEXstdItem 5 2 2 2 3" xfId="29089" xr:uid="{A3D0D466-C19B-4BE8-A22A-9E1F23871227}"/>
    <cellStyle name="SAPBEXstdItem 5 2 2 3" xfId="29090" xr:uid="{E6B9C3F1-BF5D-4CF0-9B8D-A2B432D8B950}"/>
    <cellStyle name="SAPBEXstdItem 5 2 2 4" xfId="29091" xr:uid="{90DA154A-888C-4739-BB3A-674171D27A0A}"/>
    <cellStyle name="SAPBEXstdItem 5 2 2 5" xfId="29092" xr:uid="{595A3C7B-02C9-4F01-BB9E-440CA921D881}"/>
    <cellStyle name="SAPBEXstdItem 5 2 3" xfId="29093" xr:uid="{17516BD5-3B7A-4A0B-BDBD-9B4D1731323A}"/>
    <cellStyle name="SAPBEXstdItem 5 2 3 2" xfId="29094" xr:uid="{D91FA590-BAA4-45B4-AB57-9BFB1DCBE3FC}"/>
    <cellStyle name="SAPBEXstdItem 5 2 4" xfId="29095" xr:uid="{D4E751D3-10E2-474C-937A-3656871500D9}"/>
    <cellStyle name="SAPBEXstdItem 5 2 5" xfId="29096" xr:uid="{429D16EF-F027-42DE-A3A6-E791ABB988AC}"/>
    <cellStyle name="SAPBEXstdItem 5 3" xfId="29097" xr:uid="{813EA01F-8846-4C30-A84D-17625F6EDB08}"/>
    <cellStyle name="SAPBEXstdItem 5 3 2" xfId="29098" xr:uid="{3B16A36F-45D8-47EC-BD42-97E308149D75}"/>
    <cellStyle name="SAPBEXstdItem 5 3 2 2" xfId="29099" xr:uid="{2CA9B773-E50B-467D-9F88-41055978D1DB}"/>
    <cellStyle name="SAPBEXstdItem 5 3 3" xfId="29100" xr:uid="{2013EF61-1535-4F15-9142-8031FEDB81EE}"/>
    <cellStyle name="SAPBEXstdItem 5 3 4" xfId="29101" xr:uid="{CCE9B378-E135-442E-BB3F-E76D23ABF12E}"/>
    <cellStyle name="SAPBEXstdItem 5 4" xfId="29102" xr:uid="{C5FF8EAD-E611-4BF3-84C3-16EC96DE3F81}"/>
    <cellStyle name="SAPBEXstdItem 5 4 2" xfId="29103" xr:uid="{47DA378C-8732-41D1-BE2C-A9AD766E2BC9}"/>
    <cellStyle name="SAPBEXstdItem 5 4 3" xfId="29104" xr:uid="{67F805EC-6952-4D63-A543-0771023B0E56}"/>
    <cellStyle name="SAPBEXstdItem 5 5" xfId="29105" xr:uid="{34BEC830-846F-4CF9-AB5F-7547FDFD6153}"/>
    <cellStyle name="SAPBEXstdItem 5 5 2" xfId="29106" xr:uid="{55578021-9C32-4960-8B50-81AEB17CF9EB}"/>
    <cellStyle name="SAPBEXstdItem 5 5 3" xfId="29107" xr:uid="{6E712B4F-8C33-4020-AA7B-29A787F515ED}"/>
    <cellStyle name="SAPBEXstdItem 5 6" xfId="29108" xr:uid="{EFC33E13-2B4A-46F2-A859-505B2D45C819}"/>
    <cellStyle name="SAPBEXstdItem 5 7" xfId="29109" xr:uid="{40F871D0-E5BE-4D39-B8E5-701D450FBB25}"/>
    <cellStyle name="SAPBEXstdItem 5 8" xfId="29110" xr:uid="{D9601AA3-0345-43EB-8B01-20CC2031DAFD}"/>
    <cellStyle name="SAPBEXstdItem 5 9" xfId="29111" xr:uid="{7823060B-9A0A-4B8E-AFCA-D1AA50C93076}"/>
    <cellStyle name="SAPBEXstdItem 6" xfId="29112" xr:uid="{F8023045-1875-4868-B967-BE26D8B0FE34}"/>
    <cellStyle name="SAPBEXstdItem 6 2" xfId="29113" xr:uid="{1E809CD6-F5D7-43A4-8A16-D3D6F9B6E212}"/>
    <cellStyle name="SAPBEXstdItem 6 2 2" xfId="29114" xr:uid="{B9F1FFCF-0768-4E55-80D2-1D797AFD1903}"/>
    <cellStyle name="SAPBEXstdItem 6 2 2 2" xfId="29115" xr:uid="{21022486-85E6-4B46-9B3A-A1C47B867BC6}"/>
    <cellStyle name="SAPBEXstdItem 6 2 2 2 2" xfId="29116" xr:uid="{4F238FCF-13A6-4D72-BA42-AC92C172D26D}"/>
    <cellStyle name="SAPBEXstdItem 6 2 2 2 3" xfId="29117" xr:uid="{DABC0419-8FCF-4358-9924-CE555E2AA8EC}"/>
    <cellStyle name="SAPBEXstdItem 6 2 2 3" xfId="29118" xr:uid="{FC48BC14-7782-43D1-AE20-1C4648230AC1}"/>
    <cellStyle name="SAPBEXstdItem 6 2 2 4" xfId="29119" xr:uid="{BF5FD4EC-AA27-4DDF-9631-52D5349D020B}"/>
    <cellStyle name="SAPBEXstdItem 6 2 2 5" xfId="29120" xr:uid="{5A0A1E60-CEF2-4F78-AEA6-AF0550B22D40}"/>
    <cellStyle name="SAPBEXstdItem 6 2 3" xfId="29121" xr:uid="{F87C4EE7-CAE7-4A53-BAE9-E6B640A56CE5}"/>
    <cellStyle name="SAPBEXstdItem 6 2 3 2" xfId="29122" xr:uid="{3F1BEB60-919D-465E-9901-5ED752BB2D0F}"/>
    <cellStyle name="SAPBEXstdItem 6 2 3 3" xfId="29123" xr:uid="{CF8E2C45-6457-4C63-A36F-12A4AB2986DC}"/>
    <cellStyle name="SAPBEXstdItem 6 2 4" xfId="29124" xr:uid="{D85CF918-3475-40DA-B042-2A37B9BCC86B}"/>
    <cellStyle name="SAPBEXstdItem 6 2 5" xfId="29125" xr:uid="{F5924361-70BF-427F-B74A-71D89323EB20}"/>
    <cellStyle name="SAPBEXstdItem 6 2 6" xfId="29126" xr:uid="{5AFC1A70-A715-4B3A-A1A1-866CC438AA98}"/>
    <cellStyle name="SAPBEXstdItem 6 3" xfId="29127" xr:uid="{6E9FA94C-DDFE-4F01-9F88-2387642C4815}"/>
    <cellStyle name="SAPBEXstdItem 6 3 2" xfId="29128" xr:uid="{F6E9EF76-6AEC-4183-9A3E-6170B5F10BA5}"/>
    <cellStyle name="SAPBEXstdItem 6 3 2 2" xfId="29129" xr:uid="{C99840DE-1577-4655-81E5-77BCF4F956B2}"/>
    <cellStyle name="SAPBEXstdItem 6 3 2 3" xfId="29130" xr:uid="{C56192E8-1F20-4D43-B2FD-34D303498613}"/>
    <cellStyle name="SAPBEXstdItem 6 3 3" xfId="29131" xr:uid="{4F97B8C1-F08A-4AF0-AC31-77D64ADE63F8}"/>
    <cellStyle name="SAPBEXstdItem 6 3 4" xfId="29132" xr:uid="{B346BAE6-0359-43B9-B10C-4F5E736928AF}"/>
    <cellStyle name="SAPBEXstdItem 6 3 5" xfId="29133" xr:uid="{0D2CBDE6-FCAF-4A5C-A7C3-CAFE8184F8A9}"/>
    <cellStyle name="SAPBEXstdItem 6 4" xfId="29134" xr:uid="{163AB807-ED37-4FF3-8513-B1A9089C397D}"/>
    <cellStyle name="SAPBEXstdItem 6 4 2" xfId="29135" xr:uid="{07B1B720-5416-4B93-A826-D0DB8F8654BC}"/>
    <cellStyle name="SAPBEXstdItem 6 4 3" xfId="29136" xr:uid="{12E19508-F776-4D5A-940A-F4C31AC0E10B}"/>
    <cellStyle name="SAPBEXstdItem 6 4 4" xfId="29137" xr:uid="{5688E215-5981-48FF-B48C-C3E524BD9941}"/>
    <cellStyle name="SAPBEXstdItem 6 4 5" xfId="29138" xr:uid="{04B4DCAC-7DB8-4169-964D-253767712C0D}"/>
    <cellStyle name="SAPBEXstdItem 6 5" xfId="29139" xr:uid="{3A495D2B-FE0E-4096-BD3E-921C81129CC7}"/>
    <cellStyle name="SAPBEXstdItem 6 6" xfId="29140" xr:uid="{7E8E05DD-81C4-417C-A200-724D4E7D6A29}"/>
    <cellStyle name="SAPBEXstdItem 6 7" xfId="29141" xr:uid="{B5951363-8AE2-4BAD-B7D7-EAEDFCCA7602}"/>
    <cellStyle name="SAPBEXstdItem 6 8" xfId="29142" xr:uid="{2D0E9145-BF10-4365-B58F-6C683756CF33}"/>
    <cellStyle name="SAPBEXstdItem 6 9" xfId="29143" xr:uid="{0B55D699-EF38-46C5-BC3B-6A909C8AEAD7}"/>
    <cellStyle name="SAPBEXstdItem 7" xfId="29144" xr:uid="{EE02A2A9-6C8C-4428-BA3C-2176C39FF04E}"/>
    <cellStyle name="SAPBEXstdItem 7 2" xfId="29145" xr:uid="{DCB637B1-4BB3-428B-A6BE-FA9D0D128735}"/>
    <cellStyle name="SAPBEXstdItem 7 2 2" xfId="29146" xr:uid="{A68AD4BB-4633-4D17-A7F3-447B7FF7F6B6}"/>
    <cellStyle name="SAPBEXstdItem 7 2 2 2" xfId="29147" xr:uid="{00BCFB92-4C1C-4E3A-9948-E84F6955A6AC}"/>
    <cellStyle name="SAPBEXstdItem 7 2 2 2 2" xfId="29148" xr:uid="{9450F2E1-AA03-417D-A479-29A55C865C4F}"/>
    <cellStyle name="SAPBEXstdItem 7 2 2 2 3" xfId="29149" xr:uid="{46688351-B653-462C-B552-938BBFAE865F}"/>
    <cellStyle name="SAPBEXstdItem 7 2 2 3" xfId="29150" xr:uid="{7B015941-5B6F-4FAA-89F6-A00F267D5DB6}"/>
    <cellStyle name="SAPBEXstdItem 7 2 2 4" xfId="29151" xr:uid="{E5E425CE-79B6-43CF-98AE-188182F8FBB1}"/>
    <cellStyle name="SAPBEXstdItem 7 2 2 5" xfId="29152" xr:uid="{F68B529A-329B-4A95-B88E-534C98E1044B}"/>
    <cellStyle name="SAPBEXstdItem 7 2 3" xfId="29153" xr:uid="{4290F943-FCFC-44B9-A0FC-1B57A858E05D}"/>
    <cellStyle name="SAPBEXstdItem 7 2 3 2" xfId="29154" xr:uid="{F255E77D-D453-402C-BD49-77BE1E5F32CD}"/>
    <cellStyle name="SAPBEXstdItem 7 2 3 3" xfId="29155" xr:uid="{2A18E80B-8C36-46E0-9304-073B746497E3}"/>
    <cellStyle name="SAPBEXstdItem 7 2 4" xfId="29156" xr:uid="{10D53028-C8E9-4270-8417-91F4D662E44E}"/>
    <cellStyle name="SAPBEXstdItem 7 2 5" xfId="29157" xr:uid="{A9B3AA67-8515-4D15-A8B4-DE401C251EA7}"/>
    <cellStyle name="SAPBEXstdItem 7 2 6" xfId="29158" xr:uid="{53D4DDAD-5C33-4A5A-88B7-7EFF0F0E2BED}"/>
    <cellStyle name="SAPBEXstdItem 7 3" xfId="29159" xr:uid="{7725B55D-DF32-41A2-B0EA-3985926DD397}"/>
    <cellStyle name="SAPBEXstdItem 7 3 2" xfId="29160" xr:uid="{DD181E76-283C-4A2D-95E3-D33B86C421EF}"/>
    <cellStyle name="SAPBEXstdItem 7 3 2 2" xfId="29161" xr:uid="{4B68D17E-5547-405A-B8E7-BC051A33EEEE}"/>
    <cellStyle name="SAPBEXstdItem 7 3 2 3" xfId="29162" xr:uid="{1827C5C0-C90D-4744-8D75-CCF65BF01E30}"/>
    <cellStyle name="SAPBEXstdItem 7 3 3" xfId="29163" xr:uid="{08A72DBE-2141-447C-9A65-7316E5745393}"/>
    <cellStyle name="SAPBEXstdItem 7 3 4" xfId="29164" xr:uid="{FC6A4BBE-538A-4870-9577-AD321D6EA7A6}"/>
    <cellStyle name="SAPBEXstdItem 7 3 5" xfId="29165" xr:uid="{E007CE62-B310-4824-AA40-B9193B3171A2}"/>
    <cellStyle name="SAPBEXstdItem 7 4" xfId="29166" xr:uid="{5E636F6A-E09C-4042-A991-0A7793C8FA8C}"/>
    <cellStyle name="SAPBEXstdItem 7 4 2" xfId="29167" xr:uid="{CD84802A-E45F-45F2-A2D2-7D37F2621F23}"/>
    <cellStyle name="SAPBEXstdItem 7 4 3" xfId="29168" xr:uid="{AB6871B5-ED1E-4C31-BA5F-190DF51DE961}"/>
    <cellStyle name="SAPBEXstdItem 7 4 4" xfId="29169" xr:uid="{9B78156F-9AF1-4D13-A184-C3F75C7C2514}"/>
    <cellStyle name="SAPBEXstdItem 7 4 5" xfId="29170" xr:uid="{B4B91195-2F1C-4716-8FE9-632FBE068EB1}"/>
    <cellStyle name="SAPBEXstdItem 7 5" xfId="29171" xr:uid="{1C6C347D-F1F7-407D-8BE7-A3F7925727BE}"/>
    <cellStyle name="SAPBEXstdItem 7 6" xfId="29172" xr:uid="{B7914B42-FC4C-4488-AB44-C4460357C4B3}"/>
    <cellStyle name="SAPBEXstdItem 7 7" xfId="29173" xr:uid="{BE40B54E-9C44-4A5A-A311-27981FA8D8E7}"/>
    <cellStyle name="SAPBEXstdItem 7 8" xfId="29174" xr:uid="{722133E1-7B83-494C-BAA8-AC21FB4A8060}"/>
    <cellStyle name="SAPBEXstdItem 7 9" xfId="29175" xr:uid="{49481B78-39C1-4613-92C3-A70024EF4DCF}"/>
    <cellStyle name="SAPBEXstdItem 8" xfId="29176" xr:uid="{8748A66D-4474-4E73-A9F8-38961882F4C8}"/>
    <cellStyle name="SAPBEXstdItem 8 2" xfId="29177" xr:uid="{53123310-F4BB-4C0C-B477-E2F98027D17B}"/>
    <cellStyle name="SAPBEXstdItem 8 2 2" xfId="29178" xr:uid="{EF98017B-D817-46EB-B018-A268FACA9AA0}"/>
    <cellStyle name="SAPBEXstdItem 8 2 2 2" xfId="29179" xr:uid="{54EF1BBF-F6CD-4C22-8827-80C4D20C6D98}"/>
    <cellStyle name="SAPBEXstdItem 8 2 2 2 2" xfId="29180" xr:uid="{C67E1ED4-8BC8-4E75-9E99-CF693A0E7D5C}"/>
    <cellStyle name="SAPBEXstdItem 8 2 2 2 3" xfId="29181" xr:uid="{3C401EF0-1728-4A22-B9F8-6259AE1D5E42}"/>
    <cellStyle name="SAPBEXstdItem 8 2 2 3" xfId="29182" xr:uid="{CD2014AB-90C9-4E36-A412-CA8ECF1C114C}"/>
    <cellStyle name="SAPBEXstdItem 8 2 2 4" xfId="29183" xr:uid="{6AB67AB7-EBFD-4D75-9F02-A4B99E5CD1D0}"/>
    <cellStyle name="SAPBEXstdItem 8 2 2 5" xfId="29184" xr:uid="{8CE688A1-F0D4-40A4-8B4B-29829D921203}"/>
    <cellStyle name="SAPBEXstdItem 8 2 3" xfId="29185" xr:uid="{575360F8-94D1-4C4C-859E-00AF23EF9735}"/>
    <cellStyle name="SAPBEXstdItem 8 2 3 2" xfId="29186" xr:uid="{8FC6A267-92AA-42C6-A360-CE40FFFACCB8}"/>
    <cellStyle name="SAPBEXstdItem 8 2 3 3" xfId="29187" xr:uid="{7F12A97A-B527-4A2E-97ED-A79BD4909D1E}"/>
    <cellStyle name="SAPBEXstdItem 8 2 4" xfId="29188" xr:uid="{27AFD1B8-453F-427A-952B-8A7F60ECF5C1}"/>
    <cellStyle name="SAPBEXstdItem 8 2 5" xfId="29189" xr:uid="{35E6245C-2F23-47BC-82FE-16CEE09E16DD}"/>
    <cellStyle name="SAPBEXstdItem 8 2 6" xfId="29190" xr:uid="{FE134502-5500-40D1-97C4-7F6F97C47A43}"/>
    <cellStyle name="SAPBEXstdItem 8 3" xfId="29191" xr:uid="{4F592B95-3233-46EE-B053-A1D5668C4BF9}"/>
    <cellStyle name="SAPBEXstdItem 8 3 2" xfId="29192" xr:uid="{26FD1245-9BF4-48EB-8E65-266D000B89ED}"/>
    <cellStyle name="SAPBEXstdItem 8 3 2 2" xfId="29193" xr:uid="{F8C9AA76-4B6F-4F4D-BDF3-D7EE9D3A252D}"/>
    <cellStyle name="SAPBEXstdItem 8 3 2 3" xfId="29194" xr:uid="{5E83A0C5-6B3D-49D4-85AF-F751EF5DEEE3}"/>
    <cellStyle name="SAPBEXstdItem 8 3 3" xfId="29195" xr:uid="{7A1D0849-F3C5-459D-9E08-77AF93B4F370}"/>
    <cellStyle name="SAPBEXstdItem 8 3 4" xfId="29196" xr:uid="{34D1AB0C-0EB7-415E-BB63-89089418A0FE}"/>
    <cellStyle name="SAPBEXstdItem 8 3 5" xfId="29197" xr:uid="{231090FB-3CDE-4CDA-9B21-9FED5BC5EAAA}"/>
    <cellStyle name="SAPBEXstdItem 8 4" xfId="29198" xr:uid="{4AAA61BB-1BB5-4ACC-8620-D6D0D01F7A4E}"/>
    <cellStyle name="SAPBEXstdItem 8 4 2" xfId="29199" xr:uid="{184A6DEF-CEC6-4AF8-A92F-A535BC819169}"/>
    <cellStyle name="SAPBEXstdItem 8 4 3" xfId="29200" xr:uid="{3EA7C4C2-F4BC-4FC8-8766-B12B6DE59770}"/>
    <cellStyle name="SAPBEXstdItem 8 4 4" xfId="29201" xr:uid="{9AC411F6-4F41-4681-B080-E3F759C2D194}"/>
    <cellStyle name="SAPBEXstdItem 8 4 5" xfId="29202" xr:uid="{521F35E8-BF5C-4B05-89B8-8FC6E7C9018B}"/>
    <cellStyle name="SAPBEXstdItem 8 5" xfId="29203" xr:uid="{389E23DE-A8AC-46F6-A733-FD1F6049DA2D}"/>
    <cellStyle name="SAPBEXstdItem 8 6" xfId="29204" xr:uid="{8B1530E2-54AC-438C-BB39-E961529AED08}"/>
    <cellStyle name="SAPBEXstdItem 8 7" xfId="29205" xr:uid="{33B79EED-058C-4510-99C8-1B9677FB76C6}"/>
    <cellStyle name="SAPBEXstdItem 8 8" xfId="29206" xr:uid="{62B52B68-4799-4BF4-88DB-BD3331F01FA0}"/>
    <cellStyle name="SAPBEXstdItem 8 9" xfId="29207" xr:uid="{4570D986-2E8A-4085-84FE-6D26D08684D2}"/>
    <cellStyle name="SAPBEXstdItem 9" xfId="29208" xr:uid="{08E30A71-B5F2-4D50-8E20-4F8F0BA4E30F}"/>
    <cellStyle name="SAPBEXstdItem 9 2" xfId="29209" xr:uid="{C68B7DF0-4929-4FA3-A0A9-795C0410D609}"/>
    <cellStyle name="SAPBEXstdItem 9 2 2" xfId="29210" xr:uid="{3A8D93C2-A638-4163-8E98-C2597F1DF6BF}"/>
    <cellStyle name="SAPBEXstdItem 9 2 2 2" xfId="29211" xr:uid="{B05D4177-9876-47A0-B6BC-D1CBD76DDB6B}"/>
    <cellStyle name="SAPBEXstdItem 9 2 2 2 2" xfId="29212" xr:uid="{B286312C-42ED-4695-913F-BBF3D712A855}"/>
    <cellStyle name="SAPBEXstdItem 9 2 2 2 3" xfId="29213" xr:uid="{90203ADF-4E08-4A40-9D5C-91879FD6DFAB}"/>
    <cellStyle name="SAPBEXstdItem 9 2 2 3" xfId="29214" xr:uid="{BD2F4184-EE0F-4FB7-A68F-484F5BD63FBA}"/>
    <cellStyle name="SAPBEXstdItem 9 2 2 4" xfId="29215" xr:uid="{ED0588EA-71E6-4D8B-B810-902F6588DFF2}"/>
    <cellStyle name="SAPBEXstdItem 9 2 2 5" xfId="29216" xr:uid="{AB639DFC-E591-49E6-B831-304588A03197}"/>
    <cellStyle name="SAPBEXstdItem 9 2 3" xfId="29217" xr:uid="{AD8BBE7C-AAC0-43B7-B216-78B1010DE163}"/>
    <cellStyle name="SAPBEXstdItem 9 2 3 2" xfId="29218" xr:uid="{14238CBA-A498-4EB6-BE19-56808BDAE405}"/>
    <cellStyle name="SAPBEXstdItem 9 2 3 3" xfId="29219" xr:uid="{8D0BFFD8-FA7B-4F23-BA5B-79BDB8626B69}"/>
    <cellStyle name="SAPBEXstdItem 9 2 4" xfId="29220" xr:uid="{382AB220-6993-4815-925C-D8CF2790E6FF}"/>
    <cellStyle name="SAPBEXstdItem 9 2 5" xfId="29221" xr:uid="{4363114B-0A50-40DC-BF86-02CC8710C203}"/>
    <cellStyle name="SAPBEXstdItem 9 2 6" xfId="29222" xr:uid="{9A962A58-1880-4058-8F9C-26A7FC997FFD}"/>
    <cellStyle name="SAPBEXstdItem 9 3" xfId="29223" xr:uid="{E2CB2599-49F2-40D9-9EF4-7C698C91F0DE}"/>
    <cellStyle name="SAPBEXstdItem 9 3 2" xfId="29224" xr:uid="{76AF88A4-14B5-441B-B59D-769AD6C318E3}"/>
    <cellStyle name="SAPBEXstdItem 9 3 2 2" xfId="29225" xr:uid="{0CF75383-6490-4C08-B588-5599F715F034}"/>
    <cellStyle name="SAPBEXstdItem 9 3 2 3" xfId="29226" xr:uid="{E658D6E1-C76D-4789-95EC-19330005B2E1}"/>
    <cellStyle name="SAPBEXstdItem 9 3 3" xfId="29227" xr:uid="{A9E26AE8-A82A-42FD-8173-56F7C5CA71B4}"/>
    <cellStyle name="SAPBEXstdItem 9 3 4" xfId="29228" xr:uid="{3FFABE32-1FF3-4117-BD79-FF93C5CF331A}"/>
    <cellStyle name="SAPBEXstdItem 9 3 5" xfId="29229" xr:uid="{F3459EB8-1EE8-4318-9369-0D62F68D7501}"/>
    <cellStyle name="SAPBEXstdItem 9 4" xfId="29230" xr:uid="{3268EF7A-1D04-4FA0-91BC-227BDEEC1D90}"/>
    <cellStyle name="SAPBEXstdItem 9 4 2" xfId="29231" xr:uid="{B03E4F46-B16D-49EB-ADE0-A8A62CF71E6E}"/>
    <cellStyle name="SAPBEXstdItem 9 4 3" xfId="29232" xr:uid="{F3591502-12D8-4DCE-87D7-6B206BDA7040}"/>
    <cellStyle name="SAPBEXstdItem 9 4 4" xfId="29233" xr:uid="{153990AB-3298-4BB0-A204-2BE75901A86B}"/>
    <cellStyle name="SAPBEXstdItem 9 4 5" xfId="29234" xr:uid="{21C28A61-D702-4BF9-B562-F42385540D69}"/>
    <cellStyle name="SAPBEXstdItem 9 5" xfId="29235" xr:uid="{1041CF68-818A-4F9E-9F98-24F95BCC419A}"/>
    <cellStyle name="SAPBEXstdItem 9 6" xfId="29236" xr:uid="{5BD75745-CD54-4C75-B8A4-3515703C3EDE}"/>
    <cellStyle name="SAPBEXstdItem 9 7" xfId="29237" xr:uid="{B40A3CE8-75AA-41A4-8AF8-85CCBA5E6BF8}"/>
    <cellStyle name="SAPBEXstdItem 9 8" xfId="29238" xr:uid="{8208031B-211C-4E34-948C-D7F90608C17B}"/>
    <cellStyle name="SAPBEXstdItem 9 9" xfId="29239" xr:uid="{32B5EC2F-CE13-46E4-BEC3-A6776FF5C8D3}"/>
    <cellStyle name="SAPBEXstdItem_11-03.1 Pepco" xfId="29240" xr:uid="{338A844B-1C02-4ADB-BE91-A09302D46305}"/>
    <cellStyle name="SAPBEXstdItemX" xfId="300" xr:uid="{11A4E02E-846E-4D07-A235-AD3C6C195C20}"/>
    <cellStyle name="SAPBEXstdItemX 10" xfId="29241" xr:uid="{460244B4-1F2D-4D4B-9364-F6A0034A29B3}"/>
    <cellStyle name="SAPBEXstdItemX 10 2" xfId="29242" xr:uid="{00FDD98B-ADC5-4F88-9534-1F19A4E33353}"/>
    <cellStyle name="SAPBEXstdItemX 10 3" xfId="29243" xr:uid="{FFC0758D-B3CF-4626-82C3-7A988E1449B4}"/>
    <cellStyle name="SAPBEXstdItemX 11" xfId="29244" xr:uid="{CC8077A6-D4B4-465F-9B77-8ADAC5410A88}"/>
    <cellStyle name="SAPBEXstdItemX 12" xfId="29245" xr:uid="{11EE1FFA-00BA-45DA-8D47-AC608D8A45E4}"/>
    <cellStyle name="SAPBEXstdItemX 13" xfId="29246" xr:uid="{1B98E992-DE43-443A-820D-CD883B2A8002}"/>
    <cellStyle name="SAPBEXstdItemX 14" xfId="29247" xr:uid="{5B65D962-53DA-4762-A9D9-E1846D53D7ED}"/>
    <cellStyle name="SAPBEXstdItemX 15" xfId="29248" xr:uid="{FECA8ABF-E699-494D-996C-5C8F1DA6C7BB}"/>
    <cellStyle name="SAPBEXstdItemX 2" xfId="29249" xr:uid="{DBBA6DFA-608F-48EB-88B7-1509C9E1704B}"/>
    <cellStyle name="SAPBEXstdItemX 2 2" xfId="29250" xr:uid="{3D801415-8DCE-4E2B-BF25-B1CB038973B1}"/>
    <cellStyle name="SAPBEXstdItemX 2 2 2" xfId="29251" xr:uid="{D822DAAE-B25B-4250-B43F-4E48DEAD9356}"/>
    <cellStyle name="SAPBEXstdItemX 2 2 2 2" xfId="29252" xr:uid="{2E319D21-E334-456E-AAB8-D3E797E40D5E}"/>
    <cellStyle name="SAPBEXstdItemX 2 2 3" xfId="29253" xr:uid="{5A00EB96-42F6-42A1-BAFF-C14A1817AA44}"/>
    <cellStyle name="SAPBEXstdItemX 2 2 4" xfId="29254" xr:uid="{B565D39F-203C-463F-AE51-C265A889A969}"/>
    <cellStyle name="SAPBEXstdItemX 2 2 5" xfId="29255" xr:uid="{9A9D0B94-A8F9-4CA1-B49F-0078C71D792A}"/>
    <cellStyle name="SAPBEXstdItemX 2 3" xfId="29256" xr:uid="{95FFE179-AAED-48B8-BEF6-27F377E3390D}"/>
    <cellStyle name="SAPBEXstdItemX 2 3 2" xfId="29257" xr:uid="{C042AF7F-8571-4544-A5F7-64C575CCE8B2}"/>
    <cellStyle name="SAPBEXstdItemX 2 3 3" xfId="29258" xr:uid="{69DE8BC7-7353-4DBA-BA95-849BAA4655F4}"/>
    <cellStyle name="SAPBEXstdItemX 2 3 4" xfId="29259" xr:uid="{F6FD5B7A-BD3F-4951-8CA8-773AFE128EDB}"/>
    <cellStyle name="SAPBEXstdItemX 2 4" xfId="29260" xr:uid="{B5BFF3A6-4FAF-4E75-9856-86E8F59A3936}"/>
    <cellStyle name="SAPBEXstdItemX 2 5" xfId="29261" xr:uid="{4C897A09-A5C7-4D6A-935A-57D3FE6E98A1}"/>
    <cellStyle name="SAPBEXstdItemX 2 6" xfId="29262" xr:uid="{75D5BD21-EC8F-4A6C-8531-05FED6B16007}"/>
    <cellStyle name="SAPBEXstdItemX 2 7" xfId="29263" xr:uid="{0B2C7798-209A-4222-AD42-604C52990775}"/>
    <cellStyle name="SAPBEXstdItemX 2 8" xfId="29264" xr:uid="{E5D8BA0F-6E03-4BB7-8C4A-AE8E3C998A54}"/>
    <cellStyle name="SAPBEXstdItemX 3" xfId="29265" xr:uid="{88B60400-4E0F-46C0-B205-0F79F1E88CD3}"/>
    <cellStyle name="SAPBEXstdItemX 3 2" xfId="29266" xr:uid="{1B3C3E8A-5E63-4C46-8AA3-EB3272F4F7AE}"/>
    <cellStyle name="SAPBEXstdItemX 3 2 2" xfId="29267" xr:uid="{AC1907AC-2F8A-4781-8A80-63C6DBC77A6F}"/>
    <cellStyle name="SAPBEXstdItemX 3 2 3" xfId="29268" xr:uid="{C9B5C543-7249-4AD3-A5CD-DDA6D34431B7}"/>
    <cellStyle name="SAPBEXstdItemX 3 3" xfId="29269" xr:uid="{452ED423-0309-47B5-807C-6ADD59938102}"/>
    <cellStyle name="SAPBEXstdItemX 3 3 2" xfId="29270" xr:uid="{EC0647EF-398C-45A6-8D49-B6A916A64657}"/>
    <cellStyle name="SAPBEXstdItemX 3 3 3" xfId="29271" xr:uid="{06E5D782-2E4F-470A-BA5E-700A513E4F49}"/>
    <cellStyle name="SAPBEXstdItemX 3 4" xfId="29272" xr:uid="{4BC86BEC-0927-46D3-A0BF-C0C58C260624}"/>
    <cellStyle name="SAPBEXstdItemX 3 5" xfId="29273" xr:uid="{B08D0FDF-13F0-42FE-A4A2-C344CA46AD19}"/>
    <cellStyle name="SAPBEXstdItemX 3 6" xfId="29274" xr:uid="{645AFA25-6485-4987-B1C4-7EF25D770671}"/>
    <cellStyle name="SAPBEXstdItemX 3 7" xfId="29275" xr:uid="{5BBB19C9-CADF-4114-8A92-39DC269B856C}"/>
    <cellStyle name="SAPBEXstdItemX 3 8" xfId="29276" xr:uid="{5905C171-9142-4195-9329-C0124CA0CE7A}"/>
    <cellStyle name="SAPBEXstdItemX 4" xfId="29277" xr:uid="{4BF0CE7C-FC57-4891-A32E-53704AE93332}"/>
    <cellStyle name="SAPBEXstdItemX 4 2" xfId="29278" xr:uid="{DAF9FBE5-C385-4A02-9040-5214EA0EDCAF}"/>
    <cellStyle name="SAPBEXstdItemX 4 2 2" xfId="29279" xr:uid="{0A290795-B89B-4236-9B30-5D55595F96FD}"/>
    <cellStyle name="SAPBEXstdItemX 4 2 3" xfId="29280" xr:uid="{DB8CC4C6-E80D-47C9-830B-22445EFE1B83}"/>
    <cellStyle name="SAPBEXstdItemX 4 3" xfId="29281" xr:uid="{928506F0-2EED-43CF-BA9B-6A7E3B3C46CB}"/>
    <cellStyle name="SAPBEXstdItemX 4 4" xfId="29282" xr:uid="{2374B1CD-77FA-4E16-B0C1-8AA11E5ED174}"/>
    <cellStyle name="SAPBEXstdItemX 4 5" xfId="29283" xr:uid="{0246B4EC-D505-47EA-A42B-395F510EB69A}"/>
    <cellStyle name="SAPBEXstdItemX 5" xfId="29284" xr:uid="{ED79FFAB-2DC6-453C-8A4E-915DD5216F30}"/>
    <cellStyle name="SAPBEXstdItemX 5 2" xfId="29285" xr:uid="{CBA825A5-83B5-49C5-8CA4-3D43579B0432}"/>
    <cellStyle name="SAPBEXstdItemX 5 2 2" xfId="29286" xr:uid="{9FCF8636-BBD1-47EB-993F-5D4943EB12C9}"/>
    <cellStyle name="SAPBEXstdItemX 5 2 3" xfId="29287" xr:uid="{DFCA553C-E002-401C-B6A0-375665079F91}"/>
    <cellStyle name="SAPBEXstdItemX 5 3" xfId="29288" xr:uid="{D5F357C8-0DCC-4D7F-8869-BE3414E8A2E9}"/>
    <cellStyle name="SAPBEXstdItemX 5 4" xfId="29289" xr:uid="{930934C4-3A67-4909-956C-10AED9F3EDDF}"/>
    <cellStyle name="SAPBEXstdItemX 5 5" xfId="29290" xr:uid="{35C80491-F4FC-4DAC-9B3A-8D8687D3D343}"/>
    <cellStyle name="SAPBEXstdItemX 6" xfId="29291" xr:uid="{D61C64F5-0A70-4F11-9DEE-66C8ED460373}"/>
    <cellStyle name="SAPBEXstdItemX 6 2" xfId="29292" xr:uid="{D791FBED-C43A-4155-92F7-D1440BE27B77}"/>
    <cellStyle name="SAPBEXstdItemX 6 2 2" xfId="29293" xr:uid="{1809927D-0219-42FA-95CB-F99EA6D5D285}"/>
    <cellStyle name="SAPBEXstdItemX 6 2 3" xfId="29294" xr:uid="{46FC99DD-8FE9-43FC-878C-35F2BA978A5F}"/>
    <cellStyle name="SAPBEXstdItemX 6 3" xfId="29295" xr:uid="{F10B39D4-E76B-4252-B4B4-841C52052128}"/>
    <cellStyle name="SAPBEXstdItemX 6 4" xfId="29296" xr:uid="{462F4BFD-8E40-4006-9A82-07EFCAC4BAB8}"/>
    <cellStyle name="SAPBEXstdItemX 6 5" xfId="29297" xr:uid="{52ABE41B-D3EA-4177-9229-9E6AFFB1DB4C}"/>
    <cellStyle name="SAPBEXstdItemX 7" xfId="29298" xr:uid="{3BF9C423-C8B7-44AC-8E7A-C0C26C94CA77}"/>
    <cellStyle name="SAPBEXstdItemX 7 2" xfId="29299" xr:uid="{DE6A084A-5003-4B60-8356-B536EA7ADDC2}"/>
    <cellStyle name="SAPBEXstdItemX 7 3" xfId="29300" xr:uid="{3EF61242-AD57-4A62-BD77-C5FD731C8247}"/>
    <cellStyle name="SAPBEXstdItemX 7 4" xfId="29301" xr:uid="{ED1CB543-9FFD-4ED7-BE5B-9680AFBCF05F}"/>
    <cellStyle name="SAPBEXstdItemX 8" xfId="29302" xr:uid="{590FC858-2BB0-4F7D-A658-C491B968164F}"/>
    <cellStyle name="SAPBEXstdItemX 8 2" xfId="29303" xr:uid="{2042BF60-CBF6-4DB9-86C2-39C1C4D13B8D}"/>
    <cellStyle name="SAPBEXstdItemX 8 3" xfId="29304" xr:uid="{AEC7B41E-23A8-4BB7-9F79-6111A8AAFF57}"/>
    <cellStyle name="SAPBEXstdItemX 8 4" xfId="29305" xr:uid="{F74F05D5-9923-41B3-8C6A-CBBEDADFAB16}"/>
    <cellStyle name="SAPBEXstdItemX 9" xfId="29306" xr:uid="{AFD7C42B-5E50-408E-A18D-8507A9AE40B6}"/>
    <cellStyle name="SAPBEXstdItemX 9 2" xfId="29307" xr:uid="{12435E26-3628-4067-A27C-FED71DD1B954}"/>
    <cellStyle name="SAPBEXstdItemX 9 3" xfId="29308" xr:uid="{43DA85F9-8728-4EBF-8DB2-7DEF71CEE77E}"/>
    <cellStyle name="SAPBEXtitle" xfId="301" xr:uid="{A486C3D9-B7D9-4B16-8FFA-5A64A805E400}"/>
    <cellStyle name="SAPBEXtitle 10" xfId="43425" xr:uid="{BF0E2CAF-7365-4FE6-9B5A-0D48B6946C53}"/>
    <cellStyle name="SAPBEXtitle 2" xfId="29309" xr:uid="{72275B13-ABB8-46E6-AD15-5FF17E5E5FF9}"/>
    <cellStyle name="SAPBEXtitle 2 2" xfId="29310" xr:uid="{19FFC1B4-E954-4BE5-BB8A-B59B41D3B96D}"/>
    <cellStyle name="SAPBEXtitle 2 3" xfId="29311" xr:uid="{0EC89674-3C42-4E34-956A-ADEDE0BCD081}"/>
    <cellStyle name="SAPBEXtitle 3" xfId="29312" xr:uid="{B00CD314-493B-4116-9E60-F0F538C2CBBE}"/>
    <cellStyle name="SAPBEXtitle 3 2" xfId="29313" xr:uid="{E4279EBC-A53F-482A-B720-5BE554A8863F}"/>
    <cellStyle name="SAPBEXtitle 4" xfId="29314" xr:uid="{6E4A590F-7201-427A-A370-57D1E27392B4}"/>
    <cellStyle name="SAPBEXtitle 5" xfId="43426" xr:uid="{C5B21CBC-E4C4-4319-BF58-4A782D2D78BB}"/>
    <cellStyle name="SAPBEXtitle 6" xfId="43427" xr:uid="{4D7CB009-C803-4587-A9A9-CA790834D89D}"/>
    <cellStyle name="SAPBEXtitle 7" xfId="43428" xr:uid="{CC17AF1F-05BF-4051-AF75-4E44F6274991}"/>
    <cellStyle name="SAPBEXtitle 8" xfId="43429" xr:uid="{8A71927D-68F9-4EA1-9C4E-63BED2807C30}"/>
    <cellStyle name="SAPBEXtitle 9" xfId="43430" xr:uid="{40FBF988-DF47-4954-AF3E-E92C378F2F74}"/>
    <cellStyle name="SAPBEXunassignedItem" xfId="29315" xr:uid="{6AD783AE-A40F-4CCA-AE7B-7F16BC0F87B8}"/>
    <cellStyle name="SAPBEXunassignedItem 2" xfId="29316" xr:uid="{4B77EF77-AA1F-45E3-A7F9-01ACBC4E0444}"/>
    <cellStyle name="SAPBEXunassignedItem 2 2" xfId="29317" xr:uid="{2104D726-5CB1-43CD-B570-35CA3BB5D254}"/>
    <cellStyle name="SAPBEXunassignedItem 2 3" xfId="29318" xr:uid="{AF07A3B9-0B1D-4AF7-A33C-C68B47131C80}"/>
    <cellStyle name="SAPBEXunassignedItem 3" xfId="29319" xr:uid="{9C068560-C7D3-4557-A495-7D2C38268ED1}"/>
    <cellStyle name="SAPBEXunassignedItem 4" xfId="29320" xr:uid="{93450A30-43C1-40EB-81EB-4BA40B998C0D}"/>
    <cellStyle name="SAPBEXunassignedItem 5" xfId="29321" xr:uid="{EB92C26D-1C89-4D0D-96D2-73F6A39B4991}"/>
    <cellStyle name="SAPBEXunassignedItem 6" xfId="29322" xr:uid="{EF323F96-7CDF-498E-ACBE-3403A45231E3}"/>
    <cellStyle name="SAPBEXundefined" xfId="302" xr:uid="{740C1CCD-82AD-4CDF-B00C-01822589894D}"/>
    <cellStyle name="SAPBEXundefined 10" xfId="29323" xr:uid="{947011A3-BE8F-4A86-8D57-FD6A595910B1}"/>
    <cellStyle name="SAPBEXundefined 11" xfId="29324" xr:uid="{83D59818-3C54-410B-8C3D-9EF5335AEA61}"/>
    <cellStyle name="SAPBEXundefined 12" xfId="29325" xr:uid="{08F504EE-78EE-470B-8AA6-F4A1240185AF}"/>
    <cellStyle name="SAPBEXundefined 13" xfId="29326" xr:uid="{3EF7EBC3-02E8-4D1E-8467-4ACB27758743}"/>
    <cellStyle name="SAPBEXundefined 2" xfId="29327" xr:uid="{04BD3910-84DE-469A-AABA-EBDA50FE8AF5}"/>
    <cellStyle name="SAPBEXundefined 2 2" xfId="29328" xr:uid="{E32D484F-6F01-4CC8-BDE5-EB7C29223BCC}"/>
    <cellStyle name="SAPBEXundefined 2 2 2" xfId="29329" xr:uid="{F0E58F14-B6D4-4AE7-8761-F719F43332A3}"/>
    <cellStyle name="SAPBEXundefined 2 2 3" xfId="29330" xr:uid="{1C2F930B-9590-4235-961F-3532A410B247}"/>
    <cellStyle name="SAPBEXundefined 2 3" xfId="29331" xr:uid="{15A8B223-E68F-4BBA-824F-DDB74D5CCA39}"/>
    <cellStyle name="SAPBEXundefined 2 3 2" xfId="29332" xr:uid="{4B0D8DDF-530F-444F-9D99-7D689EC3135E}"/>
    <cellStyle name="SAPBEXundefined 2 3 3" xfId="29333" xr:uid="{ADD702C3-C0A6-4C6E-B3E2-FF000F422510}"/>
    <cellStyle name="SAPBEXundefined 2 4" xfId="29334" xr:uid="{51BDC4EE-B93A-4389-B155-122F5EAFDAA3}"/>
    <cellStyle name="SAPBEXundefined 2 5" xfId="29335" xr:uid="{239F6CDD-E158-491A-A58F-D70372723003}"/>
    <cellStyle name="SAPBEXundefined 2 6" xfId="29336" xr:uid="{4D7BEA8E-66E1-4416-8DD7-8C161E9D4940}"/>
    <cellStyle name="SAPBEXundefined 3" xfId="29337" xr:uid="{75F066FA-9302-4DC9-A715-B0793E540299}"/>
    <cellStyle name="SAPBEXundefined 3 2" xfId="29338" xr:uid="{D524103D-6FD5-463C-863B-8715C59C37E5}"/>
    <cellStyle name="SAPBEXundefined 3 3" xfId="29339" xr:uid="{33FE959B-CF40-4F83-8D89-7F11AB794ED2}"/>
    <cellStyle name="SAPBEXundefined 3 4" xfId="29340" xr:uid="{B63B702C-45E2-4A38-8494-94C3B32EAA96}"/>
    <cellStyle name="SAPBEXundefined 4" xfId="29341" xr:uid="{D924AAD3-9295-4398-A3BD-029B0316EBD1}"/>
    <cellStyle name="SAPBEXundefined 5" xfId="29342" xr:uid="{FDB5954D-7ACA-42F8-B0BC-03A96D44FBDF}"/>
    <cellStyle name="SAPBEXundefined 6" xfId="29343" xr:uid="{3BBFA1E2-4610-443B-9F7C-7144817B6B27}"/>
    <cellStyle name="SAPBEXundefined 7" xfId="29344" xr:uid="{F098EE79-BC7B-4395-8431-143951DEC9AA}"/>
    <cellStyle name="SAPBEXundefined 8" xfId="29345" xr:uid="{9D663C2A-5F9A-4A45-B96F-5D9CB0B1D0DE}"/>
    <cellStyle name="SAPBEXundefined 9" xfId="29346" xr:uid="{2B829B85-48B1-4F5F-A43A-51DCDF85E8F6}"/>
    <cellStyle name="Sheet Title" xfId="29347" xr:uid="{F7EAD13B-A751-4F6D-932D-9DFD8AED11BD}"/>
    <cellStyle name="Style 1" xfId="303" xr:uid="{D7936D18-8948-4F22-9E9C-565730B714CC}"/>
    <cellStyle name="Style 1 10" xfId="29348" xr:uid="{81DF8AEF-235B-4C99-8596-7B0642B89913}"/>
    <cellStyle name="Style 1 10 10" xfId="29349" xr:uid="{B8B0ACEC-8894-4571-8214-0E5CEA51497E}"/>
    <cellStyle name="Style 1 10 11" xfId="29350" xr:uid="{4670BD3A-AE96-48E8-AD7F-ECE4449710D8}"/>
    <cellStyle name="Style 1 10 12" xfId="29351" xr:uid="{5E76718B-1BDF-40E1-B85D-528B5C840418}"/>
    <cellStyle name="Style 1 10 13" xfId="29352" xr:uid="{8E235880-FE19-4947-B10F-AEEBE99F000A}"/>
    <cellStyle name="Style 1 10 14" xfId="29353" xr:uid="{8F01A173-5F08-4721-8662-ED2B6A19CB36}"/>
    <cellStyle name="Style 1 10 15" xfId="29354" xr:uid="{A9467474-AFAB-4629-A624-73EF2165FBA7}"/>
    <cellStyle name="Style 1 10 16" xfId="29355" xr:uid="{8B00314D-8497-4A7E-B1B8-44371474B9E1}"/>
    <cellStyle name="Style 1 10 17" xfId="29356" xr:uid="{E37B6D34-DE1E-4DFE-BC64-DB90B8895F19}"/>
    <cellStyle name="Style 1 10 18" xfId="29357" xr:uid="{A62B0A8A-9260-47CB-A54E-145C4115D88B}"/>
    <cellStyle name="Style 1 10 19" xfId="29358" xr:uid="{E3A7836D-7B61-405F-AF51-DBA62CB543C2}"/>
    <cellStyle name="Style 1 10 2" xfId="29359" xr:uid="{C0FE28CF-51FE-4FE4-86E0-609535C7964B}"/>
    <cellStyle name="Style 1 10 20" xfId="29360" xr:uid="{148A550D-3F98-4C3C-84AB-AE2D0DE3C829}"/>
    <cellStyle name="Style 1 10 21" xfId="29361" xr:uid="{8145AD5F-69FB-4DF7-953A-68A24034DFEF}"/>
    <cellStyle name="Style 1 10 22" xfId="29362" xr:uid="{A03DF297-57A6-4B23-BA54-77612928B6A3}"/>
    <cellStyle name="Style 1 10 23" xfId="29363" xr:uid="{64ECE052-ADAE-4163-938F-F457E4AD69C3}"/>
    <cellStyle name="Style 1 10 3" xfId="29364" xr:uid="{F9A0532F-240E-40BF-9DF9-B5253FE57387}"/>
    <cellStyle name="Style 1 10 4" xfId="29365" xr:uid="{3D16AB2C-4B26-4510-BFC3-14EEBA683B3A}"/>
    <cellStyle name="Style 1 10 5" xfId="29366" xr:uid="{85A5023C-9A45-4D0B-83AF-9096594E044B}"/>
    <cellStyle name="Style 1 10 6" xfId="29367" xr:uid="{4DA45265-74E2-454C-9A9A-90849FEFC121}"/>
    <cellStyle name="Style 1 10 7" xfId="29368" xr:uid="{C36113C6-85F3-46A0-BA7F-E2261969B9E4}"/>
    <cellStyle name="Style 1 10 8" xfId="29369" xr:uid="{365A5945-18E9-4CB8-8B07-9B35637893AC}"/>
    <cellStyle name="Style 1 10 9" xfId="29370" xr:uid="{CAD0046A-738D-433A-8C4C-665200A3178A}"/>
    <cellStyle name="Style 1 11" xfId="29371" xr:uid="{3503AE08-31FA-4829-9192-8BA6033F66C0}"/>
    <cellStyle name="Style 1 11 10" xfId="29372" xr:uid="{DC718522-BB23-492E-BDEE-65B80F7C464D}"/>
    <cellStyle name="Style 1 11 11" xfId="29373" xr:uid="{418F47E4-475D-4827-93E4-5CF02B38D546}"/>
    <cellStyle name="Style 1 11 12" xfId="29374" xr:uid="{AA556B06-511E-4D72-AA3F-BB6E489918A3}"/>
    <cellStyle name="Style 1 11 13" xfId="29375" xr:uid="{B88DDAEB-4B32-4845-AA11-7973221DDB85}"/>
    <cellStyle name="Style 1 11 14" xfId="29376" xr:uid="{FAD38CC5-B685-49A0-A144-6BA5A434B89F}"/>
    <cellStyle name="Style 1 11 15" xfId="29377" xr:uid="{1EB135FE-380B-4602-B1DF-FA031A76C4FC}"/>
    <cellStyle name="Style 1 11 16" xfId="29378" xr:uid="{EB73263C-9C87-4466-9E58-9A562FD04A47}"/>
    <cellStyle name="Style 1 11 17" xfId="29379" xr:uid="{5D43E3CB-5E25-4399-B3D5-C2782AB7F98B}"/>
    <cellStyle name="Style 1 11 18" xfId="29380" xr:uid="{7863CFC6-9B1C-476F-A1C7-BB1F5364EA5B}"/>
    <cellStyle name="Style 1 11 19" xfId="29381" xr:uid="{470E9B7F-6B44-4D84-9D05-A2C1027B4707}"/>
    <cellStyle name="Style 1 11 2" xfId="29382" xr:uid="{32DC4DE0-6254-4711-9C99-AF3724C865F8}"/>
    <cellStyle name="Style 1 11 20" xfId="29383" xr:uid="{6247C22F-F568-4266-BCCF-1A4A19FD1D1E}"/>
    <cellStyle name="Style 1 11 21" xfId="29384" xr:uid="{06D760E1-AFED-484C-A0A0-19D4F65862CF}"/>
    <cellStyle name="Style 1 11 22" xfId="29385" xr:uid="{987D2B55-9C52-40CE-925F-B82BE523959B}"/>
    <cellStyle name="Style 1 11 23" xfId="29386" xr:uid="{DBB66E24-2788-4A3F-9FD5-F48398634434}"/>
    <cellStyle name="Style 1 11 3" xfId="29387" xr:uid="{45307B6A-CDFB-4D17-A6A3-8D10496A3988}"/>
    <cellStyle name="Style 1 11 4" xfId="29388" xr:uid="{9E321610-D4EF-42F9-9E5F-E992EEFADA90}"/>
    <cellStyle name="Style 1 11 5" xfId="29389" xr:uid="{9680EA23-7A37-4554-A494-8189E260F37B}"/>
    <cellStyle name="Style 1 11 6" xfId="29390" xr:uid="{DFEF3CE5-D23D-4010-A86F-3123E7553C03}"/>
    <cellStyle name="Style 1 11 7" xfId="29391" xr:uid="{60C5B1C6-86CC-4996-B9B8-1E22657AF6BC}"/>
    <cellStyle name="Style 1 11 8" xfId="29392" xr:uid="{C4230A5C-BAAE-4F00-9EB6-4CC348CCCD3B}"/>
    <cellStyle name="Style 1 11 9" xfId="29393" xr:uid="{960A4E0D-A504-4F68-9EAE-AAD948B65F75}"/>
    <cellStyle name="Style 1 12" xfId="29394" xr:uid="{C9C51385-9CD7-4E2F-98D4-535630A53028}"/>
    <cellStyle name="Style 1 12 2" xfId="29395" xr:uid="{228CDEBD-FFA6-4EF8-A7C4-F655C63EA34F}"/>
    <cellStyle name="Style 1 12 3" xfId="29396" xr:uid="{6148F635-1B23-4902-84A9-DCD641FF0144}"/>
    <cellStyle name="Style 1 12 4" xfId="29397" xr:uid="{50A352F0-E3B0-49AD-8FFD-DBAD597F6257}"/>
    <cellStyle name="Style 1 2" xfId="29398" xr:uid="{303DFEF8-32AC-490B-B894-A36B1BDB130D}"/>
    <cellStyle name="Style 1 2 10" xfId="29399" xr:uid="{42C3352C-F65D-4D38-97D4-7E61F1B1F364}"/>
    <cellStyle name="Style 1 2 11" xfId="29400" xr:uid="{96B3C188-5C8B-4010-9E67-F45180F881D7}"/>
    <cellStyle name="Style 1 2 12" xfId="29401" xr:uid="{C4A9AB15-8C39-4E13-9B63-E11C728A141C}"/>
    <cellStyle name="Style 1 2 13" xfId="29402" xr:uid="{5AAEB7DB-32AB-417F-82C0-835AE1DAE7E2}"/>
    <cellStyle name="Style 1 2 14" xfId="29403" xr:uid="{9730E2B0-816A-4281-8500-95154A5E10D4}"/>
    <cellStyle name="Style 1 2 15" xfId="29404" xr:uid="{B8D9B39A-E970-4030-84E0-DEA99F89DB18}"/>
    <cellStyle name="Style 1 2 16" xfId="29405" xr:uid="{4577F38A-A41F-45C3-AE5F-BD22E9AEC587}"/>
    <cellStyle name="Style 1 2 17" xfId="29406" xr:uid="{FBE7A26B-4BFA-4990-81B6-6D9F6E13DEEC}"/>
    <cellStyle name="Style 1 2 18" xfId="29407" xr:uid="{068FC452-13E1-49CF-BE90-47D946180377}"/>
    <cellStyle name="Style 1 2 19" xfId="29408" xr:uid="{BC7E17D1-5398-4583-AA45-2EAD60895C30}"/>
    <cellStyle name="Style 1 2 2" xfId="29409" xr:uid="{498BE594-0031-49A5-8EEF-9887C4ACE98F}"/>
    <cellStyle name="Style 1 2 2 10" xfId="29410" xr:uid="{776CAA0A-ADBE-4C1B-8125-6180646AA19E}"/>
    <cellStyle name="Style 1 2 2 11" xfId="29411" xr:uid="{358F4A7C-9797-4657-B9C2-2CF1CB44E5B4}"/>
    <cellStyle name="Style 1 2 2 12" xfId="29412" xr:uid="{A46F1483-4F3C-4059-966F-410321240BA5}"/>
    <cellStyle name="Style 1 2 2 13" xfId="29413" xr:uid="{73DEB7F8-193E-4B2B-899C-7CB992C98AC7}"/>
    <cellStyle name="Style 1 2 2 14" xfId="29414" xr:uid="{25AA486F-B0F6-4179-85CA-26DD58632289}"/>
    <cellStyle name="Style 1 2 2 15" xfId="29415" xr:uid="{EE594E90-DD52-46AC-82FF-692347B4645C}"/>
    <cellStyle name="Style 1 2 2 16" xfId="29416" xr:uid="{206286C4-01F9-4AFC-AE06-D5D6C18FF33B}"/>
    <cellStyle name="Style 1 2 2 17" xfId="29417" xr:uid="{4366F212-BF4C-48F7-82E3-0F3B80C91DC6}"/>
    <cellStyle name="Style 1 2 2 18" xfId="29418" xr:uid="{42F80E56-CBD5-44DD-BCE7-C1D0725F6908}"/>
    <cellStyle name="Style 1 2 2 19" xfId="29419" xr:uid="{9D6D00B1-65E2-412B-A0D0-AA4B4AA98062}"/>
    <cellStyle name="Style 1 2 2 2" xfId="29420" xr:uid="{1302CA20-E9BD-4B11-A8F2-8DE5CC372E2A}"/>
    <cellStyle name="Style 1 2 2 2 2" xfId="43431" xr:uid="{F72906C4-8CD0-47A4-804E-022DC8D3D789}"/>
    <cellStyle name="Style 1 2 2 20" xfId="29421" xr:uid="{AAD0DF59-F934-4D73-A789-DA0ABF930368}"/>
    <cellStyle name="Style 1 2 2 21" xfId="29422" xr:uid="{EB6B8FBD-0208-4726-BB5C-715276892BAE}"/>
    <cellStyle name="Style 1 2 2 22" xfId="29423" xr:uid="{AED1746F-9300-4448-AF76-DCEE6FC5C9B1}"/>
    <cellStyle name="Style 1 2 2 23" xfId="29424" xr:uid="{942C3D7F-1F49-47BA-80F4-02152F5B48E3}"/>
    <cellStyle name="Style 1 2 2 24" xfId="29425" xr:uid="{5A555013-AD36-44C5-9E5B-E27A5A6BFEE0}"/>
    <cellStyle name="Style 1 2 2 25" xfId="43432" xr:uid="{BBFC7194-C236-4BDA-8B23-AEDD0C5183CF}"/>
    <cellStyle name="Style 1 2 2 3" xfId="29426" xr:uid="{9B95E7E4-33FA-453B-8AB9-D2E32890FE05}"/>
    <cellStyle name="Style 1 2 2 4" xfId="29427" xr:uid="{EE79E8B2-4196-43B3-9877-7DCBF3A5289B}"/>
    <cellStyle name="Style 1 2 2 5" xfId="29428" xr:uid="{954DAE32-AE3B-4FF1-8F5A-F60CF508DB86}"/>
    <cellStyle name="Style 1 2 2 6" xfId="29429" xr:uid="{ABED7FA9-7426-4995-BCFA-73236A531C3D}"/>
    <cellStyle name="Style 1 2 2 7" xfId="29430" xr:uid="{9B58FEB3-20A4-4C28-A567-0D316CD94B79}"/>
    <cellStyle name="Style 1 2 2 8" xfId="29431" xr:uid="{8C28EA07-ABBD-4B3C-8863-DF1806F25A79}"/>
    <cellStyle name="Style 1 2 2 9" xfId="29432" xr:uid="{5EF47962-7211-439B-A1FC-1DC8B2F3DE9A}"/>
    <cellStyle name="Style 1 2 20" xfId="29433" xr:uid="{A50C56B2-21B8-43D3-8EA2-E7B9D5D0D260}"/>
    <cellStyle name="Style 1 2 21" xfId="29434" xr:uid="{3231FCE4-AA04-4FC2-A3DF-61221429DF71}"/>
    <cellStyle name="Style 1 2 22" xfId="29435" xr:uid="{55F756F9-728E-457A-A2D5-AF242C3460A5}"/>
    <cellStyle name="Style 1 2 23" xfId="29436" xr:uid="{FA488419-3C78-4084-8F00-82A6FA0FA79A}"/>
    <cellStyle name="Style 1 2 24" xfId="29437" xr:uid="{1CE716F0-829F-4334-B2D8-9389B17A4E33}"/>
    <cellStyle name="Style 1 2 25" xfId="29438" xr:uid="{84F6A533-6ED1-4F05-B36D-BBDAD99E6B2F}"/>
    <cellStyle name="Style 1 2 26" xfId="29439" xr:uid="{E5E23F56-C7B3-4D19-83BF-AD5B7E4B5663}"/>
    <cellStyle name="Style 1 2 27" xfId="29440" xr:uid="{EB177CBC-C0B9-4348-9FA0-FDE8A5DFBF44}"/>
    <cellStyle name="Style 1 2 28" xfId="43433" xr:uid="{875230FA-DC49-4BC6-9380-AD49B0CA5996}"/>
    <cellStyle name="Style 1 2 3" xfId="29441" xr:uid="{5853DDB7-F624-47A2-BE90-3125BEF574BD}"/>
    <cellStyle name="Style 1 2 3 10" xfId="29442" xr:uid="{7D9AD796-051F-473C-87D1-FA5F6B929285}"/>
    <cellStyle name="Style 1 2 3 11" xfId="29443" xr:uid="{80BCA662-1CEA-4823-BC7B-AC4AF1F542D4}"/>
    <cellStyle name="Style 1 2 3 12" xfId="29444" xr:uid="{BD49F418-F1E4-4774-BE2A-00CDCB2185BF}"/>
    <cellStyle name="Style 1 2 3 13" xfId="29445" xr:uid="{6B003D90-89DB-4139-A8FC-90A327140D31}"/>
    <cellStyle name="Style 1 2 3 14" xfId="29446" xr:uid="{EC67C4AD-B348-4F10-991E-4A0E795564BC}"/>
    <cellStyle name="Style 1 2 3 15" xfId="29447" xr:uid="{2AE3C2F2-4A10-4E5E-A8B4-D60ED2D80D9F}"/>
    <cellStyle name="Style 1 2 3 16" xfId="29448" xr:uid="{621C8414-A368-432C-B2F9-2A4A15CC172A}"/>
    <cellStyle name="Style 1 2 3 17" xfId="29449" xr:uid="{2416DD72-D06C-42E4-98FF-8B7B6A618440}"/>
    <cellStyle name="Style 1 2 3 18" xfId="29450" xr:uid="{BD1A6E69-63A8-445E-80BC-952DBB4C7174}"/>
    <cellStyle name="Style 1 2 3 19" xfId="29451" xr:uid="{CC10CCE5-7553-4509-B62F-7F97EA7AF44C}"/>
    <cellStyle name="Style 1 2 3 2" xfId="29452" xr:uid="{D1B66F50-81DC-47BD-AEC5-C5185BAC8AF6}"/>
    <cellStyle name="Style 1 2 3 20" xfId="29453" xr:uid="{936CDA87-4377-4BF8-882A-F7DDBAD073EF}"/>
    <cellStyle name="Style 1 2 3 21" xfId="29454" xr:uid="{9DE03A7D-3717-428E-AD7D-B2066FDEEE5E}"/>
    <cellStyle name="Style 1 2 3 22" xfId="29455" xr:uid="{9D60BDA8-98A9-447F-B896-D396B3355B01}"/>
    <cellStyle name="Style 1 2 3 23" xfId="29456" xr:uid="{E2CA0741-0CB7-44BE-9E5C-9746B3164695}"/>
    <cellStyle name="Style 1 2 3 24" xfId="43434" xr:uid="{698AF0C5-A1FC-4329-8EB6-737EB732EF36}"/>
    <cellStyle name="Style 1 2 3 3" xfId="29457" xr:uid="{48066229-2792-4F0F-8859-889B0BBEB258}"/>
    <cellStyle name="Style 1 2 3 4" xfId="29458" xr:uid="{12ECE30E-D401-417B-A2A7-8781DE1ABCBE}"/>
    <cellStyle name="Style 1 2 3 5" xfId="29459" xr:uid="{20AE5B8B-3D89-40C4-883B-E970384420E7}"/>
    <cellStyle name="Style 1 2 3 6" xfId="29460" xr:uid="{9AE09E5C-3D54-4830-8889-8C064D87E005}"/>
    <cellStyle name="Style 1 2 3 7" xfId="29461" xr:uid="{5B36891E-2106-4AD0-BAA4-7D73005EF51E}"/>
    <cellStyle name="Style 1 2 3 8" xfId="29462" xr:uid="{77F8FDEF-4D79-4778-9152-BB2D73AB21CD}"/>
    <cellStyle name="Style 1 2 3 9" xfId="29463" xr:uid="{EF3D228E-3E2D-4446-9B6B-C0E50BB8F7F1}"/>
    <cellStyle name="Style 1 2 4" xfId="29464" xr:uid="{E18F3463-68B3-4D60-BED0-E0050F462BC4}"/>
    <cellStyle name="Style 1 2 4 10" xfId="29465" xr:uid="{C463EBDA-448D-47A6-BA2F-DE5CF85C792F}"/>
    <cellStyle name="Style 1 2 4 11" xfId="29466" xr:uid="{39CCF5A1-C8EC-4663-9F1A-EFB659E76941}"/>
    <cellStyle name="Style 1 2 4 12" xfId="29467" xr:uid="{69B91A72-0F10-4810-92B7-4EDB66B1DA48}"/>
    <cellStyle name="Style 1 2 4 13" xfId="29468" xr:uid="{2CBA405F-4E93-4875-85D7-9B95D5E37F03}"/>
    <cellStyle name="Style 1 2 4 14" xfId="29469" xr:uid="{6BC99F84-FC49-481F-BCE3-7B7AB8566BE6}"/>
    <cellStyle name="Style 1 2 4 15" xfId="29470" xr:uid="{1248EE77-54D1-4AA9-B5E0-9649098718D9}"/>
    <cellStyle name="Style 1 2 4 16" xfId="29471" xr:uid="{5FB41D81-A35C-4461-938A-C484AE42EC4B}"/>
    <cellStyle name="Style 1 2 4 17" xfId="29472" xr:uid="{86B9CFF8-9192-49B3-98DD-61D95267248B}"/>
    <cellStyle name="Style 1 2 4 18" xfId="29473" xr:uid="{1A81FC00-0C81-41BD-AF2F-AEDFAD463D41}"/>
    <cellStyle name="Style 1 2 4 19" xfId="29474" xr:uid="{2505194E-D332-4D71-8F1B-85336D781026}"/>
    <cellStyle name="Style 1 2 4 2" xfId="29475" xr:uid="{96451EB4-9816-4F9F-8810-501F38E70C44}"/>
    <cellStyle name="Style 1 2 4 20" xfId="29476" xr:uid="{BE280AD5-B8C5-437E-B6E0-A3800658331D}"/>
    <cellStyle name="Style 1 2 4 21" xfId="29477" xr:uid="{9FF522F5-4A18-410D-924B-7EC3E52111AA}"/>
    <cellStyle name="Style 1 2 4 22" xfId="29478" xr:uid="{13DF3361-30C4-4DED-8594-B4ECDB3066D6}"/>
    <cellStyle name="Style 1 2 4 23" xfId="29479" xr:uid="{15065706-385F-4F9E-AE0A-AA04B9FE41E0}"/>
    <cellStyle name="Style 1 2 4 3" xfId="29480" xr:uid="{839B5F36-E2B6-4726-8C32-C30FE86186EE}"/>
    <cellStyle name="Style 1 2 4 4" xfId="29481" xr:uid="{46918228-98A1-4D15-BE05-9E7A6DEA4EBD}"/>
    <cellStyle name="Style 1 2 4 5" xfId="29482" xr:uid="{7B6F848C-B56A-4685-9CAC-5E716772287A}"/>
    <cellStyle name="Style 1 2 4 6" xfId="29483" xr:uid="{5C3BF811-15E3-4EFC-8734-46DA14FB9094}"/>
    <cellStyle name="Style 1 2 4 7" xfId="29484" xr:uid="{C4D3BA33-1900-469D-8C55-9A00BF2E3EE6}"/>
    <cellStyle name="Style 1 2 4 8" xfId="29485" xr:uid="{7B648390-77BB-4725-91E1-59614B5C7933}"/>
    <cellStyle name="Style 1 2 4 9" xfId="29486" xr:uid="{60220C6E-F7AA-47B7-BC6F-0BBD9A288060}"/>
    <cellStyle name="Style 1 2 5" xfId="29487" xr:uid="{9CB1454B-28C4-4F78-9AFE-55AFB5F0A1EA}"/>
    <cellStyle name="Style 1 2 5 10" xfId="29488" xr:uid="{A7FFE9DE-A7FB-4896-9308-9BB70C0C82EF}"/>
    <cellStyle name="Style 1 2 5 11" xfId="29489" xr:uid="{E8E20AFA-B816-4F0C-917D-3FCF7F0B5D05}"/>
    <cellStyle name="Style 1 2 5 12" xfId="29490" xr:uid="{B15EF83E-2FC5-4FA7-98C4-86DCD8CF961C}"/>
    <cellStyle name="Style 1 2 5 13" xfId="29491" xr:uid="{E59754F5-F361-458D-BD01-6AC8F14D957F}"/>
    <cellStyle name="Style 1 2 5 14" xfId="29492" xr:uid="{F96F1C89-2587-433B-A2AD-A5CFEF0051DF}"/>
    <cellStyle name="Style 1 2 5 15" xfId="29493" xr:uid="{F866F7EF-1223-4137-AD4F-6FEA29DD4B48}"/>
    <cellStyle name="Style 1 2 5 16" xfId="29494" xr:uid="{580BF5C0-E2B7-494E-84AF-3EBCD3898C95}"/>
    <cellStyle name="Style 1 2 5 17" xfId="29495" xr:uid="{DD70EFC2-FD0E-4070-AF85-C9B1FEF95574}"/>
    <cellStyle name="Style 1 2 5 18" xfId="29496" xr:uid="{B6CFF34F-9C6F-4152-BF02-9EBA09EF9D8A}"/>
    <cellStyle name="Style 1 2 5 19" xfId="29497" xr:uid="{1C402FDE-49F8-4F5F-9DED-47F945C46D58}"/>
    <cellStyle name="Style 1 2 5 2" xfId="29498" xr:uid="{FA2E2BCD-0875-4282-83A7-88912DFA7848}"/>
    <cellStyle name="Style 1 2 5 20" xfId="29499" xr:uid="{33739C99-09E6-4C12-9EAC-BB7DDC585117}"/>
    <cellStyle name="Style 1 2 5 21" xfId="29500" xr:uid="{DC509430-30B5-4278-B83F-F89E1CAB3EFB}"/>
    <cellStyle name="Style 1 2 5 22" xfId="29501" xr:uid="{9A6F8423-5EF6-42E4-B496-DADE60F6A329}"/>
    <cellStyle name="Style 1 2 5 23" xfId="29502" xr:uid="{56B17DB9-F20D-43D3-9715-128EDA235D2D}"/>
    <cellStyle name="Style 1 2 5 3" xfId="29503" xr:uid="{CB4411AB-AB75-45AC-A03B-80E35F692789}"/>
    <cellStyle name="Style 1 2 5 4" xfId="29504" xr:uid="{15D4BC46-8ABD-4B5B-9562-CAABDCC6A728}"/>
    <cellStyle name="Style 1 2 5 5" xfId="29505" xr:uid="{57D266F8-4076-453B-9ECF-5174351DB37C}"/>
    <cellStyle name="Style 1 2 5 6" xfId="29506" xr:uid="{8DB7EC83-FE47-4CB1-A958-04D05BEE971F}"/>
    <cellStyle name="Style 1 2 5 7" xfId="29507" xr:uid="{727F08E8-E2DF-453A-AD70-778D90295711}"/>
    <cellStyle name="Style 1 2 5 8" xfId="29508" xr:uid="{1AD7E4BC-B22C-4697-B1B6-84AE60E77168}"/>
    <cellStyle name="Style 1 2 5 9" xfId="29509" xr:uid="{E680B988-FEBC-4DAB-9DC8-09F5DC30C35A}"/>
    <cellStyle name="Style 1 2 6" xfId="29510" xr:uid="{EC820416-E951-430D-8316-85F0D73432A3}"/>
    <cellStyle name="Style 1 2 7" xfId="29511" xr:uid="{E940AA84-9753-4AD2-979C-14D936CA0FBC}"/>
    <cellStyle name="Style 1 2 8" xfId="29512" xr:uid="{2E70F1D8-35BD-42E4-A933-84A692A5FDE9}"/>
    <cellStyle name="Style 1 2 9" xfId="29513" xr:uid="{11ABD27C-BB40-4287-8EBE-3EF03EEC4221}"/>
    <cellStyle name="Style 1 3" xfId="29514" xr:uid="{8BA0EB4F-0716-44D6-97E3-96D129ED7624}"/>
    <cellStyle name="Style 1 3 10" xfId="29515" xr:uid="{36EBEC78-20B1-49C8-8B23-62DBF1646FBA}"/>
    <cellStyle name="Style 1 3 11" xfId="29516" xr:uid="{92181B50-6EE6-4A96-BFF6-E1D17CB0B3A5}"/>
    <cellStyle name="Style 1 3 12" xfId="29517" xr:uid="{A1FD49AF-7138-4284-AB1F-97AF4A339FB2}"/>
    <cellStyle name="Style 1 3 13" xfId="29518" xr:uid="{2B31F97C-2BEE-4746-876C-F475D5B67691}"/>
    <cellStyle name="Style 1 3 14" xfId="29519" xr:uid="{79097674-B986-4FB8-BBF2-4D4C44D09CAD}"/>
    <cellStyle name="Style 1 3 15" xfId="29520" xr:uid="{85702764-FED1-4B9C-995E-F08CFA300826}"/>
    <cellStyle name="Style 1 3 16" xfId="29521" xr:uid="{C3CEC35D-35C5-43B1-A970-22B00286B850}"/>
    <cellStyle name="Style 1 3 17" xfId="29522" xr:uid="{F0DC9F1D-6DD3-4F11-B0B8-90D25884A79D}"/>
    <cellStyle name="Style 1 3 18" xfId="29523" xr:uid="{74417E88-E476-407B-A978-0DC016916929}"/>
    <cellStyle name="Style 1 3 19" xfId="29524" xr:uid="{BDB4BD89-A7B1-4337-B784-73009B9D7CBD}"/>
    <cellStyle name="Style 1 3 2" xfId="29525" xr:uid="{3E50654A-CC86-4D52-8B82-711EE24769CB}"/>
    <cellStyle name="Style 1 3 20" xfId="29526" xr:uid="{355CBD8F-163D-4787-97B4-94EA9A5D2BA0}"/>
    <cellStyle name="Style 1 3 21" xfId="29527" xr:uid="{BAB71083-18CC-4E0D-86EF-B517454B2823}"/>
    <cellStyle name="Style 1 3 22" xfId="29528" xr:uid="{D1369622-C25C-436C-9BC6-A5F7DBB267FA}"/>
    <cellStyle name="Style 1 3 23" xfId="29529" xr:uid="{C0526B93-AD8C-412B-A54B-EAA21DA4A981}"/>
    <cellStyle name="Style 1 3 24" xfId="29530" xr:uid="{97A2C112-FA93-4CDB-8DCE-C5B40E0E3777}"/>
    <cellStyle name="Style 1 3 25" xfId="43435" xr:uid="{7232B433-E3AA-41D3-8D0E-5AF3A3E710DB}"/>
    <cellStyle name="Style 1 3 3" xfId="29531" xr:uid="{E47492DE-3CB3-4C31-8510-AE8EB6F013EF}"/>
    <cellStyle name="Style 1 3 4" xfId="29532" xr:uid="{80A9A69C-3E39-4136-9255-C9495BDFAF0F}"/>
    <cellStyle name="Style 1 3 5" xfId="29533" xr:uid="{5A26200F-9203-4258-930E-B0C0FC1650CA}"/>
    <cellStyle name="Style 1 3 6" xfId="29534" xr:uid="{7367BD19-A6A5-4C38-A63F-F5BA7FEED736}"/>
    <cellStyle name="Style 1 3 7" xfId="29535" xr:uid="{78F8BF06-EDFA-4551-81EF-E91621BD63B8}"/>
    <cellStyle name="Style 1 3 8" xfId="29536" xr:uid="{22A915CD-45AD-47C6-8155-255FE6FA9626}"/>
    <cellStyle name="Style 1 3 9" xfId="29537" xr:uid="{78ED32F4-2E5E-4F74-8514-C7F4B3EBC3AB}"/>
    <cellStyle name="Style 1 4" xfId="29538" xr:uid="{8F0356FC-55A7-49B3-BD94-189AA62AD3FF}"/>
    <cellStyle name="Style 1 4 10" xfId="29539" xr:uid="{3FDDB204-3522-45B1-AEAC-42373195D374}"/>
    <cellStyle name="Style 1 4 11" xfId="29540" xr:uid="{2CFA1213-9760-4519-9ED9-FD84B603C2B8}"/>
    <cellStyle name="Style 1 4 12" xfId="29541" xr:uid="{DDFCAC8B-23C2-49DB-BAD2-676EB2B292A9}"/>
    <cellStyle name="Style 1 4 13" xfId="29542" xr:uid="{0AA85804-B0D4-424D-B7ED-A848A2B34F7B}"/>
    <cellStyle name="Style 1 4 14" xfId="29543" xr:uid="{9122C872-8951-4AE7-88C2-CE5E1440C1A6}"/>
    <cellStyle name="Style 1 4 15" xfId="29544" xr:uid="{B6444AA0-309B-4256-A04F-EB0D02743F9E}"/>
    <cellStyle name="Style 1 4 16" xfId="29545" xr:uid="{84A7077E-AE84-4B75-8567-5108D4CED394}"/>
    <cellStyle name="Style 1 4 17" xfId="29546" xr:uid="{270675C8-42EF-41BA-B86D-6ABC3A168CD5}"/>
    <cellStyle name="Style 1 4 18" xfId="29547" xr:uid="{EF2C4B7D-633E-4D2F-999F-E53AF6C9B1DE}"/>
    <cellStyle name="Style 1 4 19" xfId="29548" xr:uid="{D42459C9-7B55-4069-ADD7-A28049C2F54B}"/>
    <cellStyle name="Style 1 4 2" xfId="29549" xr:uid="{5C9BA68B-3069-47CB-829D-2D8E50613D64}"/>
    <cellStyle name="Style 1 4 20" xfId="29550" xr:uid="{5ED002BD-B155-45F4-B414-F110DD1D000B}"/>
    <cellStyle name="Style 1 4 21" xfId="29551" xr:uid="{442ADF30-099F-4108-82AF-535F1687894D}"/>
    <cellStyle name="Style 1 4 22" xfId="29552" xr:uid="{924522B7-0638-473E-BADD-D31F0D84D42C}"/>
    <cellStyle name="Style 1 4 23" xfId="29553" xr:uid="{530B4F92-8B5E-4E97-8695-03BEC4317868}"/>
    <cellStyle name="Style 1 4 3" xfId="29554" xr:uid="{439D4A57-BD4A-48B9-BAEA-E2A1F4AC899F}"/>
    <cellStyle name="Style 1 4 4" xfId="29555" xr:uid="{72EBE613-90B7-4F0B-AA62-251CE8542DF3}"/>
    <cellStyle name="Style 1 4 5" xfId="29556" xr:uid="{34D4C8B3-1E77-4A1E-9E5D-48A6B61C7B59}"/>
    <cellStyle name="Style 1 4 6" xfId="29557" xr:uid="{898CFF48-318E-4724-B832-A7301FF9F504}"/>
    <cellStyle name="Style 1 4 7" xfId="29558" xr:uid="{0ECB082B-F0B4-4A04-A5BE-94B94ECB9E77}"/>
    <cellStyle name="Style 1 4 8" xfId="29559" xr:uid="{86C3E260-265A-4BB9-9565-AB18F64BFD9F}"/>
    <cellStyle name="Style 1 4 9" xfId="29560" xr:uid="{C0F01CD4-EB89-447A-AFBC-7346A5713570}"/>
    <cellStyle name="Style 1 5" xfId="29561" xr:uid="{DADE63EB-A70A-47BD-8FF6-7B236481AEB3}"/>
    <cellStyle name="Style 1 5 10" xfId="29562" xr:uid="{8E934883-5BBD-425B-8BA3-0E3E3A9E4941}"/>
    <cellStyle name="Style 1 5 11" xfId="29563" xr:uid="{E604FE79-F3E6-4F65-8532-96C1F4956CAE}"/>
    <cellStyle name="Style 1 5 12" xfId="29564" xr:uid="{D0F5DD02-502B-4FAD-BA96-686255E0FDBA}"/>
    <cellStyle name="Style 1 5 13" xfId="29565" xr:uid="{F1577873-B8A1-4B3D-A970-95275B49D1D0}"/>
    <cellStyle name="Style 1 5 14" xfId="29566" xr:uid="{2FFF02D3-93B4-47E5-A314-8036C605BD24}"/>
    <cellStyle name="Style 1 5 15" xfId="29567" xr:uid="{792A24A4-F839-4C84-83B3-84229B99EB34}"/>
    <cellStyle name="Style 1 5 16" xfId="29568" xr:uid="{88A4281D-3BC2-4581-A416-97BC49BCAC67}"/>
    <cellStyle name="Style 1 5 17" xfId="29569" xr:uid="{F348FF4C-5045-4942-B6F3-5864A696C09E}"/>
    <cellStyle name="Style 1 5 18" xfId="29570" xr:uid="{3B9338A6-3765-40F3-884F-B4E7E3B99B9C}"/>
    <cellStyle name="Style 1 5 19" xfId="29571" xr:uid="{8E75C723-3CFB-44F9-8FF6-4FDDC4A0D692}"/>
    <cellStyle name="Style 1 5 2" xfId="29572" xr:uid="{CC3149B5-32D0-40BB-8011-5EAFCB697E8D}"/>
    <cellStyle name="Style 1 5 20" xfId="29573" xr:uid="{477D1E48-DA88-49E3-8DC4-B362C1158B03}"/>
    <cellStyle name="Style 1 5 21" xfId="29574" xr:uid="{3138D03B-D097-4CD5-A575-348D31F5F3A3}"/>
    <cellStyle name="Style 1 5 22" xfId="29575" xr:uid="{A6014DC7-31C8-4DD2-AA98-E423D0DC8D95}"/>
    <cellStyle name="Style 1 5 23" xfId="29576" xr:uid="{25825158-3116-4BE6-8BE1-9559B89B1A33}"/>
    <cellStyle name="Style 1 5 3" xfId="29577" xr:uid="{25F0592A-2835-4D33-B908-5EED534248F4}"/>
    <cellStyle name="Style 1 5 4" xfId="29578" xr:uid="{EF9E153F-3654-492D-8601-0F2B3C64FAE0}"/>
    <cellStyle name="Style 1 5 5" xfId="29579" xr:uid="{6C51B3E2-CCD8-45EF-B8EF-FAB0286953A0}"/>
    <cellStyle name="Style 1 5 6" xfId="29580" xr:uid="{B21DB54A-A1B7-477F-B9B9-8B015958752D}"/>
    <cellStyle name="Style 1 5 7" xfId="29581" xr:uid="{9BE3CA1A-04E9-404A-B212-EFA3FC79E385}"/>
    <cellStyle name="Style 1 5 8" xfId="29582" xr:uid="{EB4A24FB-897B-4139-B19D-3991EFD5DD7F}"/>
    <cellStyle name="Style 1 5 9" xfId="29583" xr:uid="{0F251566-A4FF-45CA-8F8F-8AB1572431F9}"/>
    <cellStyle name="Style 1 6" xfId="29584" xr:uid="{C363084F-2C96-4152-B6CF-C605FCE86AFA}"/>
    <cellStyle name="Style 1 6 10" xfId="29585" xr:uid="{A6F62ADE-CF42-4F3E-BF82-46C56387CD49}"/>
    <cellStyle name="Style 1 6 11" xfId="29586" xr:uid="{D5693AF1-BD0B-448F-A0AB-83B74376C681}"/>
    <cellStyle name="Style 1 6 12" xfId="29587" xr:uid="{847ED5DC-3CC4-4E29-BE8A-F2EC7FAFD2BE}"/>
    <cellStyle name="Style 1 6 13" xfId="29588" xr:uid="{22ADC816-5C41-4E39-965A-9741A4602722}"/>
    <cellStyle name="Style 1 6 14" xfId="29589" xr:uid="{A288BD44-4496-4F69-A83C-C62ACA1966A8}"/>
    <cellStyle name="Style 1 6 15" xfId="29590" xr:uid="{BC7556C2-D322-448F-8E99-EA76D4069F80}"/>
    <cellStyle name="Style 1 6 16" xfId="29591" xr:uid="{76FAAFA1-0D12-4EA5-B4B4-D7FF81CB1BBF}"/>
    <cellStyle name="Style 1 6 17" xfId="29592" xr:uid="{0F53C493-A22D-416C-B5DE-5106E3DFB363}"/>
    <cellStyle name="Style 1 6 18" xfId="29593" xr:uid="{82B8F64C-3999-4A55-80C7-A30F2B57187F}"/>
    <cellStyle name="Style 1 6 19" xfId="29594" xr:uid="{7B0A5F42-D783-4470-B3E5-D7C25C48058A}"/>
    <cellStyle name="Style 1 6 2" xfId="29595" xr:uid="{91C040BA-21E1-40DF-9620-C6CE4A5EB4AE}"/>
    <cellStyle name="Style 1 6 20" xfId="29596" xr:uid="{6E5E354C-36B6-41B7-AD0C-9235C41FF3BE}"/>
    <cellStyle name="Style 1 6 21" xfId="29597" xr:uid="{90FC4597-83BB-4516-B605-4AFB12C1376F}"/>
    <cellStyle name="Style 1 6 22" xfId="29598" xr:uid="{A24AB41C-0C98-426E-8D5E-43E679D01130}"/>
    <cellStyle name="Style 1 6 23" xfId="29599" xr:uid="{F8F80D41-CC3B-4674-92A3-48EBB6E72BF1}"/>
    <cellStyle name="Style 1 6 3" xfId="29600" xr:uid="{64E197BE-CEFC-4685-AA7D-483371427592}"/>
    <cellStyle name="Style 1 6 4" xfId="29601" xr:uid="{D1DFE8EB-B3E1-4DD5-9666-21CBC653494C}"/>
    <cellStyle name="Style 1 6 5" xfId="29602" xr:uid="{70F2760A-8284-4F19-8803-187848E2851C}"/>
    <cellStyle name="Style 1 6 6" xfId="29603" xr:uid="{94B9E8D6-0208-43DB-8C34-902569ED46C9}"/>
    <cellStyle name="Style 1 6 7" xfId="29604" xr:uid="{AD66D5B6-5E53-473E-8D8D-D1C1377F2A35}"/>
    <cellStyle name="Style 1 6 8" xfId="29605" xr:uid="{3C7A1343-494C-4444-8B30-7554ACF7D346}"/>
    <cellStyle name="Style 1 6 9" xfId="29606" xr:uid="{8A882FE6-E121-41E0-82A9-9319171427CB}"/>
    <cellStyle name="Style 1 7" xfId="29607" xr:uid="{9C49B528-9BFE-4E42-8F04-162F4B6725B2}"/>
    <cellStyle name="Style 1 7 10" xfId="29608" xr:uid="{2CE29BE3-A679-410A-843D-A9BB8D99B25B}"/>
    <cellStyle name="Style 1 7 11" xfId="29609" xr:uid="{9E5F7B9C-B213-4AF0-BAA4-0439A561DD01}"/>
    <cellStyle name="Style 1 7 12" xfId="29610" xr:uid="{DE108BE6-DE90-45F1-BFB1-21D3085A5CD1}"/>
    <cellStyle name="Style 1 7 13" xfId="29611" xr:uid="{FF596B20-D703-487F-A84F-2F9EF1E63646}"/>
    <cellStyle name="Style 1 7 14" xfId="29612" xr:uid="{6563C78D-FB8E-481A-9FBD-5D7D26D85CC5}"/>
    <cellStyle name="Style 1 7 15" xfId="29613" xr:uid="{E7EDE965-24C5-4088-BEFD-53FF53B981B5}"/>
    <cellStyle name="Style 1 7 16" xfId="29614" xr:uid="{57679F0D-DDFD-4D84-AB64-B92C78BC53AB}"/>
    <cellStyle name="Style 1 7 17" xfId="29615" xr:uid="{FB23B63E-0F67-42B7-939B-B8C31D17D235}"/>
    <cellStyle name="Style 1 7 18" xfId="29616" xr:uid="{4BFD2303-17DE-429B-A174-96389541F4E5}"/>
    <cellStyle name="Style 1 7 19" xfId="29617" xr:uid="{A45FE52B-0077-46EE-8E47-6415AE2C1898}"/>
    <cellStyle name="Style 1 7 2" xfId="29618" xr:uid="{FF6BFA7C-C057-44CE-B22D-2CA17ED84188}"/>
    <cellStyle name="Style 1 7 20" xfId="29619" xr:uid="{1C30467F-387E-4B39-9C54-07229AB84F9B}"/>
    <cellStyle name="Style 1 7 21" xfId="29620" xr:uid="{5DC23AD6-4335-4810-8F7B-632684ED29BA}"/>
    <cellStyle name="Style 1 7 22" xfId="29621" xr:uid="{943A3EC8-AEB9-4141-94BA-5A507880A527}"/>
    <cellStyle name="Style 1 7 23" xfId="29622" xr:uid="{924776B3-C5F9-418F-B86F-591092783E92}"/>
    <cellStyle name="Style 1 7 3" xfId="29623" xr:uid="{D6BD80FE-07F7-4DDF-B398-6DF22CD60628}"/>
    <cellStyle name="Style 1 7 4" xfId="29624" xr:uid="{D3A13244-A832-4AA9-9F24-BB4AC9377B6C}"/>
    <cellStyle name="Style 1 7 5" xfId="29625" xr:uid="{C4D0F459-DF8D-4D7A-B2D4-9B43F5569F54}"/>
    <cellStyle name="Style 1 7 6" xfId="29626" xr:uid="{3000D38D-53C2-45E0-9383-F42035941A89}"/>
    <cellStyle name="Style 1 7 7" xfId="29627" xr:uid="{8EDDF073-F3B0-4772-A9B9-5406A764EDCB}"/>
    <cellStyle name="Style 1 7 8" xfId="29628" xr:uid="{35C0E68D-5BE9-4873-B565-56BC5DF1747C}"/>
    <cellStyle name="Style 1 7 9" xfId="29629" xr:uid="{F3457E12-88E9-4A4D-819A-F31419CECB82}"/>
    <cellStyle name="Style 1 8" xfId="29630" xr:uid="{D0BD473F-498A-479E-8689-8D81908AE487}"/>
    <cellStyle name="Style 1 8 10" xfId="29631" xr:uid="{D91805D4-2C54-4DA1-A6C5-660899D8CC9F}"/>
    <cellStyle name="Style 1 8 11" xfId="29632" xr:uid="{B200929D-D477-4E1D-9E71-5FCFF9FFAF57}"/>
    <cellStyle name="Style 1 8 12" xfId="29633" xr:uid="{FCCB22DA-DE39-447F-8E0F-EA77F2E49E42}"/>
    <cellStyle name="Style 1 8 13" xfId="29634" xr:uid="{CD554082-71FD-4ED9-983F-6F4707FA6B4F}"/>
    <cellStyle name="Style 1 8 14" xfId="29635" xr:uid="{7AD94ECA-2778-4C3A-AD65-19269A6C67A7}"/>
    <cellStyle name="Style 1 8 15" xfId="29636" xr:uid="{90773857-B13A-4DAB-A1CC-B6FBADE55C24}"/>
    <cellStyle name="Style 1 8 16" xfId="29637" xr:uid="{42EDF830-E7C2-4F1D-8493-05815258C475}"/>
    <cellStyle name="Style 1 8 17" xfId="29638" xr:uid="{3FBB7318-9C71-4FC8-A087-D3A891DEB97F}"/>
    <cellStyle name="Style 1 8 18" xfId="29639" xr:uid="{F5DF23AE-F2E2-44B2-B3B9-7D8B0CCC8A82}"/>
    <cellStyle name="Style 1 8 19" xfId="29640" xr:uid="{29811C87-617B-441B-9E43-6B5AD6C16EAF}"/>
    <cellStyle name="Style 1 8 2" xfId="29641" xr:uid="{0498E0E8-29B5-405D-9016-6D3B94E6E397}"/>
    <cellStyle name="Style 1 8 20" xfId="29642" xr:uid="{F11EB35D-8F1F-4E63-9C24-5DB53E14D45E}"/>
    <cellStyle name="Style 1 8 21" xfId="29643" xr:uid="{14B0062E-6CED-4399-970F-BCEFEDD858B6}"/>
    <cellStyle name="Style 1 8 22" xfId="29644" xr:uid="{66220C59-3F8D-4365-A410-429698F086E7}"/>
    <cellStyle name="Style 1 8 23" xfId="29645" xr:uid="{3BFB0537-CFCB-499D-B3BB-BE52C8ED8646}"/>
    <cellStyle name="Style 1 8 3" xfId="29646" xr:uid="{24B6F27D-D111-4E13-A4BD-46CF9A12344A}"/>
    <cellStyle name="Style 1 8 4" xfId="29647" xr:uid="{0E8E9E82-1438-44DC-8AF8-B3E18BF49A57}"/>
    <cellStyle name="Style 1 8 5" xfId="29648" xr:uid="{7508F6BB-8BAA-4829-A56C-3842C40121CF}"/>
    <cellStyle name="Style 1 8 6" xfId="29649" xr:uid="{C0E4547D-F83D-4E21-A0ED-184AA1383C73}"/>
    <cellStyle name="Style 1 8 7" xfId="29650" xr:uid="{F320C825-6BDA-45D1-861A-D563E27F7486}"/>
    <cellStyle name="Style 1 8 8" xfId="29651" xr:uid="{EA603B88-5523-4EF6-945C-9A6EB770CD92}"/>
    <cellStyle name="Style 1 8 9" xfId="29652" xr:uid="{27DC3418-E17F-48A3-8BBB-9D43286058A8}"/>
    <cellStyle name="Style 1 9" xfId="29653" xr:uid="{27D01C09-DDD1-48AA-A2EC-9E543387B487}"/>
    <cellStyle name="Style 1 9 10" xfId="29654" xr:uid="{A14E1E80-ACA5-4853-A4D4-236984189BF8}"/>
    <cellStyle name="Style 1 9 11" xfId="29655" xr:uid="{52E3855A-C8C0-468F-BAB5-859BDB737A80}"/>
    <cellStyle name="Style 1 9 12" xfId="29656" xr:uid="{FC1CE758-58A0-46D4-8BE7-1FB6BB6D90C1}"/>
    <cellStyle name="Style 1 9 13" xfId="29657" xr:uid="{E0A3F632-62CD-4F03-B510-84B2851CE672}"/>
    <cellStyle name="Style 1 9 14" xfId="29658" xr:uid="{F952B126-C0C0-4A3E-8F2F-39C6E9068DF3}"/>
    <cellStyle name="Style 1 9 15" xfId="29659" xr:uid="{F1279C54-64E7-46BF-BD7D-C96432215668}"/>
    <cellStyle name="Style 1 9 16" xfId="29660" xr:uid="{E6D64132-03CD-4D82-8D5D-AAA97538A975}"/>
    <cellStyle name="Style 1 9 17" xfId="29661" xr:uid="{C1A046BC-1FA3-4FF3-B547-5C0D690EE6D3}"/>
    <cellStyle name="Style 1 9 18" xfId="29662" xr:uid="{787305E5-0256-48C1-A5CD-D94D86795917}"/>
    <cellStyle name="Style 1 9 19" xfId="29663" xr:uid="{7B739787-16F2-434F-AD35-A37469C6A06F}"/>
    <cellStyle name="Style 1 9 2" xfId="29664" xr:uid="{79306332-BFB7-45F3-99DE-ECD32BB619BF}"/>
    <cellStyle name="Style 1 9 20" xfId="29665" xr:uid="{7D158C3B-A588-4C43-A38A-C941C681DDF7}"/>
    <cellStyle name="Style 1 9 21" xfId="29666" xr:uid="{3A8567A6-6462-4AC4-AF91-670F5E62D9A7}"/>
    <cellStyle name="Style 1 9 22" xfId="29667" xr:uid="{17ED57AE-C154-45F2-88A0-759D303079D0}"/>
    <cellStyle name="Style 1 9 23" xfId="29668" xr:uid="{DAB926F0-BEDB-4290-B77F-879288501631}"/>
    <cellStyle name="Style 1 9 3" xfId="29669" xr:uid="{EEF18624-1D68-49C8-A011-633DF9F19B89}"/>
    <cellStyle name="Style 1 9 4" xfId="29670" xr:uid="{9BE6149B-8E12-4EC4-93AF-66A3B64D2599}"/>
    <cellStyle name="Style 1 9 5" xfId="29671" xr:uid="{34DDF54D-9ED9-4487-816E-C71D8B21CD3D}"/>
    <cellStyle name="Style 1 9 6" xfId="29672" xr:uid="{CB7EA78B-4CF0-4706-B910-D6EBF58F94DC}"/>
    <cellStyle name="Style 1 9 7" xfId="29673" xr:uid="{C5140572-731B-4E11-875D-F1FFFB349B5F}"/>
    <cellStyle name="Style 1 9 8" xfId="29674" xr:uid="{CA1BEA3A-0916-4312-B8AC-9C7CF271A8FA}"/>
    <cellStyle name="Style 1 9 9" xfId="29675" xr:uid="{67370E09-AB63-42B0-992E-D35F9F9DE265}"/>
    <cellStyle name="Style 1_12.31.09 TELP #27 TBBS" xfId="29676" xr:uid="{34ED9BAA-730A-4460-9EDD-5F87C31DF457}"/>
    <cellStyle name="STYLE1" xfId="304" xr:uid="{36142CEA-F652-4371-BE5E-4D6DD1A38346}"/>
    <cellStyle name="STYLE1 10" xfId="29677" xr:uid="{8F29D08E-00B4-421D-A2F5-AADB1B127772}"/>
    <cellStyle name="STYLE1 10 2" xfId="29678" xr:uid="{443CE553-857D-4947-A9E3-FE29625C5A80}"/>
    <cellStyle name="STYLE1 10 2 2" xfId="29679" xr:uid="{5C9375BF-A702-443C-A2B6-D20FB8319D8D}"/>
    <cellStyle name="STYLE1 10 2 2 2" xfId="29680" xr:uid="{F1692E63-5FF9-484D-A32C-3F09CC197DF5}"/>
    <cellStyle name="STYLE1 10 2 2 2 2" xfId="29681" xr:uid="{D5A5DA33-4F2D-4C8D-B554-66E289D4BE14}"/>
    <cellStyle name="STYLE1 10 2 2 3" xfId="29682" xr:uid="{3473AB27-234F-40FC-BB07-885B66AD22ED}"/>
    <cellStyle name="STYLE1 10 2 3" xfId="29683" xr:uid="{8DA6BC64-233E-4678-A9E4-8F667C998DBF}"/>
    <cellStyle name="STYLE1 10 2 3 2" xfId="29684" xr:uid="{5543D46F-8DE4-4A26-A503-F6F46B082DE8}"/>
    <cellStyle name="STYLE1 10 2 4" xfId="29685" xr:uid="{418F34B2-876D-4A09-BADA-45D467FFDE40}"/>
    <cellStyle name="STYLE1 10 2 4 2" xfId="29686" xr:uid="{2E333622-DE31-4005-B67D-03DE9A8D0FE0}"/>
    <cellStyle name="STYLE1 10 2 4 3" xfId="29687" xr:uid="{7ED27736-A2D5-4F0A-942E-B0E3A187073F}"/>
    <cellStyle name="STYLE1 10 2 5" xfId="29688" xr:uid="{479934F5-A9D1-4778-9A67-FFF161958A10}"/>
    <cellStyle name="STYLE1 10 3" xfId="29689" xr:uid="{FD561E69-9A9C-453E-84B8-6CC1145D0DB4}"/>
    <cellStyle name="STYLE1 10 3 2" xfId="29690" xr:uid="{8C2FEB4F-E815-4345-84F2-9D763ACE1263}"/>
    <cellStyle name="STYLE1 10 3 2 2" xfId="29691" xr:uid="{BED42EEA-D384-419D-A947-D68F3CBFD816}"/>
    <cellStyle name="STYLE1 10 3 2 2 2" xfId="29692" xr:uid="{AB40BA88-2D6E-4D4A-B7CE-76490F71F7D4}"/>
    <cellStyle name="STYLE1 10 3 2 3" xfId="29693" xr:uid="{F69DFD62-7DE6-4583-A8D1-D6632C0C0ED7}"/>
    <cellStyle name="STYLE1 10 3 3" xfId="29694" xr:uid="{2EE4EB8E-A93F-49B2-87BA-14757E78290A}"/>
    <cellStyle name="STYLE1 10 3 3 2" xfId="29695" xr:uid="{E84CED75-A99F-485C-86FA-6F740FE1FC9B}"/>
    <cellStyle name="STYLE1 10 3 4" xfId="29696" xr:uid="{7DDBFA84-CEC9-45AA-A9A5-B3D2FAEC6D6C}"/>
    <cellStyle name="STYLE1 10 3 4 2" xfId="29697" xr:uid="{9B19E3D1-BCF9-4A72-825A-56A36016D2E2}"/>
    <cellStyle name="STYLE1 10 3 4 3" xfId="29698" xr:uid="{34FEC4F4-F9F3-420A-A283-2E91E607D821}"/>
    <cellStyle name="STYLE1 10 3 5" xfId="29699" xr:uid="{8FEF38B1-0961-4D46-9CA1-861CBFC66A8B}"/>
    <cellStyle name="STYLE1 10 3 6" xfId="29700" xr:uid="{F65572DC-9B89-46B5-A813-A6D7C40B605C}"/>
    <cellStyle name="STYLE1 10 4" xfId="29701" xr:uid="{3B4A1091-B147-4551-9817-A6ECDFA29F57}"/>
    <cellStyle name="STYLE1 10 4 2" xfId="29702" xr:uid="{BB124460-2CE7-403E-9464-F39BB9908076}"/>
    <cellStyle name="STYLE1 10 4 2 2" xfId="29703" xr:uid="{86E0EB8D-8B29-405D-A872-FE86B6998C3C}"/>
    <cellStyle name="STYLE1 10 4 2 2 2" xfId="29704" xr:uid="{6F0CA1FC-3E69-494D-A993-2A0B1BB41ADB}"/>
    <cellStyle name="STYLE1 10 4 2 3" xfId="29705" xr:uid="{62FA239B-B89D-4C77-B4A5-5456DA154EA4}"/>
    <cellStyle name="STYLE1 10 4 3" xfId="29706" xr:uid="{5D670E57-1DCE-460E-862F-2DAAF8463443}"/>
    <cellStyle name="STYLE1 10 4 3 2" xfId="29707" xr:uid="{3322D7AD-230B-4F62-84D9-811069E357DB}"/>
    <cellStyle name="STYLE1 10 4 4" xfId="29708" xr:uid="{0590FDD9-A275-46CD-A3BE-BC37D299AC57}"/>
    <cellStyle name="STYLE1 10 4 4 2" xfId="29709" xr:uid="{A1B9CC72-8399-43BB-A041-7539F535BB2A}"/>
    <cellStyle name="STYLE1 10 4 4 3" xfId="29710" xr:uid="{8776E5FB-8A13-4F65-8E87-F890539DE117}"/>
    <cellStyle name="STYLE1 10 4 5" xfId="29711" xr:uid="{F9A6E424-1753-4197-B779-0ED485628571}"/>
    <cellStyle name="STYLE1 10 5" xfId="29712" xr:uid="{B1F1EE85-3C45-465F-9E19-D0B2D20BC93F}"/>
    <cellStyle name="STYLE1 10 5 2" xfId="29713" xr:uid="{942FF97F-07B7-40D4-885D-59FF042503D4}"/>
    <cellStyle name="STYLE1 10 5 2 2" xfId="29714" xr:uid="{C88B6AB1-76C5-43AA-AE33-28613407FE11}"/>
    <cellStyle name="STYLE1 10 5 2 2 2" xfId="29715" xr:uid="{A1CE54FF-9423-4A56-AD6A-BD7A69651396}"/>
    <cellStyle name="STYLE1 10 5 2 3" xfId="29716" xr:uid="{969B8C7C-E234-4965-8A7F-87DFE754B376}"/>
    <cellStyle name="STYLE1 10 5 3" xfId="29717" xr:uid="{92FD91BE-9887-4805-99FE-221C8E70FE06}"/>
    <cellStyle name="STYLE1 10 5 3 2" xfId="29718" xr:uid="{539973A4-5A6E-4D40-B6CE-B388F01A86AC}"/>
    <cellStyle name="STYLE1 10 5 4" xfId="29719" xr:uid="{F316E72C-CB4B-4F1A-895F-E4343A543136}"/>
    <cellStyle name="STYLE1 10 5 4 2" xfId="29720" xr:uid="{887B30A8-9302-4F54-A6EC-4AEC1B2FAC39}"/>
    <cellStyle name="STYLE1 10 5 4 3" xfId="29721" xr:uid="{0C73E071-4D9D-4311-9DBF-89FCD0A1838D}"/>
    <cellStyle name="STYLE1 10 5 5" xfId="29722" xr:uid="{5F053E3E-E3F7-458D-89A1-70446D001529}"/>
    <cellStyle name="STYLE1 10 6" xfId="29723" xr:uid="{929D4147-06E2-4890-AB03-B78917B8B681}"/>
    <cellStyle name="STYLE1 10 6 2" xfId="29724" xr:uid="{6B231150-5AFB-4923-AD3D-8EBB5385ABB7}"/>
    <cellStyle name="STYLE1 10 6 2 2" xfId="29725" xr:uid="{7CB6A1DA-5411-4E02-A252-C6D84985C1A1}"/>
    <cellStyle name="STYLE1 10 6 3" xfId="29726" xr:uid="{983601F9-8859-4B81-94B7-0D1E838A69B7}"/>
    <cellStyle name="STYLE1 10 7" xfId="29727" xr:uid="{D744887F-3473-46C1-82C7-08D5E0B2B751}"/>
    <cellStyle name="STYLE1 10 7 2" xfId="29728" xr:uid="{E58A9CFC-1300-4381-B2D8-15D1F36CE5E1}"/>
    <cellStyle name="STYLE1 10 8" xfId="29729" xr:uid="{75E2F5B6-21C5-47FB-ABA0-1DD3D11A0699}"/>
    <cellStyle name="STYLE1 10 8 2" xfId="29730" xr:uid="{77CD19CD-68CB-4306-9E1A-D86C2AC9CAAF}"/>
    <cellStyle name="STYLE1 10 8 3" xfId="29731" xr:uid="{BA75F244-EEC5-4CA6-822D-7DB813094F41}"/>
    <cellStyle name="STYLE1 10 9" xfId="29732" xr:uid="{48EF0281-E1AD-4561-8944-8FF2B7EFB3FA}"/>
    <cellStyle name="STYLE1 11" xfId="29733" xr:uid="{8C4F2EC2-036E-4558-B5D5-E6548A18C333}"/>
    <cellStyle name="STYLE1 11 10" xfId="29734" xr:uid="{61B9DB48-BDA4-4CCA-B57B-AA111C54793A}"/>
    <cellStyle name="STYLE1 11 2" xfId="29735" xr:uid="{E824D4DA-1ECE-498F-B96A-113A477C8AED}"/>
    <cellStyle name="STYLE1 11 2 2" xfId="29736" xr:uid="{DC7A7C8F-F516-4773-9EB9-AE943C02C6FC}"/>
    <cellStyle name="STYLE1 11 2 2 2" xfId="29737" xr:uid="{E9151878-55DB-4C75-B686-DCB5D3381F52}"/>
    <cellStyle name="STYLE1 11 2 2 2 2" xfId="29738" xr:uid="{8E33B218-EE76-49DD-865E-771D47D1FDC7}"/>
    <cellStyle name="STYLE1 11 2 2 3" xfId="29739" xr:uid="{9E52AFEE-CD53-4CD3-A8BB-A3B1161F1A69}"/>
    <cellStyle name="STYLE1 11 2 3" xfId="29740" xr:uid="{22C1089F-CD33-4858-9ADE-A6ACCD3406CD}"/>
    <cellStyle name="STYLE1 11 2 3 2" xfId="29741" xr:uid="{D82C0994-9D2E-4A40-AFA9-406958BF5FD0}"/>
    <cellStyle name="STYLE1 11 2 4" xfId="29742" xr:uid="{187F0CE6-C5A6-4ED7-97A1-028A726D33FD}"/>
    <cellStyle name="STYLE1 11 2 4 2" xfId="29743" xr:uid="{7F1453FB-C5EC-4329-AA36-276192AE6047}"/>
    <cellStyle name="STYLE1 11 2 4 3" xfId="29744" xr:uid="{BD488861-0463-4BCC-B2AE-D99048CD1107}"/>
    <cellStyle name="STYLE1 11 2 5" xfId="29745" xr:uid="{2259DA61-6A91-46BC-ADA3-DA53511CE0BA}"/>
    <cellStyle name="STYLE1 11 3" xfId="29746" xr:uid="{8CDBFF2D-3002-4D52-B59C-A7B0BF7566D8}"/>
    <cellStyle name="STYLE1 11 3 2" xfId="29747" xr:uid="{01BAA034-3FF2-4685-97BB-7B2A189646E3}"/>
    <cellStyle name="STYLE1 11 3 2 2" xfId="29748" xr:uid="{1E2D18B8-8981-439E-B860-583022758BD9}"/>
    <cellStyle name="STYLE1 11 3 2 2 2" xfId="29749" xr:uid="{1CBE7700-9E91-4551-BBA9-D72E3EB344C1}"/>
    <cellStyle name="STYLE1 11 3 2 3" xfId="29750" xr:uid="{836085D2-9D82-4565-8410-7AE78805890C}"/>
    <cellStyle name="STYLE1 11 3 3" xfId="29751" xr:uid="{2ED4A012-A82E-4814-BB09-4BDDA9EECE15}"/>
    <cellStyle name="STYLE1 11 3 3 2" xfId="29752" xr:uid="{A6A0C109-1350-43B3-877C-289DE9E8CFF0}"/>
    <cellStyle name="STYLE1 11 3 4" xfId="29753" xr:uid="{C277B52F-647B-474F-8799-678D660920BC}"/>
    <cellStyle name="STYLE1 11 3 4 2" xfId="29754" xr:uid="{E865EE91-5CFD-44B6-9E84-9708DB1845D6}"/>
    <cellStyle name="STYLE1 11 3 4 3" xfId="29755" xr:uid="{90268911-F876-44AC-84A6-7A0832258911}"/>
    <cellStyle name="STYLE1 11 3 5" xfId="29756" xr:uid="{59BAD125-8DDE-4708-969F-7EDC6B9874BA}"/>
    <cellStyle name="STYLE1 11 3 6" xfId="29757" xr:uid="{043FCF85-4832-4D6D-8083-1BB743E60364}"/>
    <cellStyle name="STYLE1 11 4" xfId="29758" xr:uid="{C96B8799-DD74-4FEC-9C0F-8921A5C09893}"/>
    <cellStyle name="STYLE1 11 4 2" xfId="29759" xr:uid="{D34FF7D7-B7A1-40DE-AFDC-4E719A74B313}"/>
    <cellStyle name="STYLE1 11 4 2 2" xfId="29760" xr:uid="{B65ABD3B-D9BE-4465-B45C-4F89A0C2F85D}"/>
    <cellStyle name="STYLE1 11 4 2 2 2" xfId="29761" xr:uid="{8A9FC685-D7EE-419C-B184-3255C36C6F19}"/>
    <cellStyle name="STYLE1 11 4 2 3" xfId="29762" xr:uid="{FFCD7725-7492-41AC-BA24-60A743DC9804}"/>
    <cellStyle name="STYLE1 11 4 3" xfId="29763" xr:uid="{5E17B864-5350-47BC-B285-CF58B1A7E54C}"/>
    <cellStyle name="STYLE1 11 4 3 2" xfId="29764" xr:uid="{A55F04D5-DC2A-4222-8537-C44A48D56625}"/>
    <cellStyle name="STYLE1 11 4 4" xfId="29765" xr:uid="{D043D84D-0B4C-4081-8B0E-F5D5CAFF0262}"/>
    <cellStyle name="STYLE1 11 4 4 2" xfId="29766" xr:uid="{A4B9FDCD-825C-4E81-9FE4-8B97A1AED17E}"/>
    <cellStyle name="STYLE1 11 4 4 3" xfId="29767" xr:uid="{E7C3F123-5461-45BB-8F15-A6D8310E9A7B}"/>
    <cellStyle name="STYLE1 11 4 5" xfId="29768" xr:uid="{29AF95E9-8EB0-439F-BAD5-D61F7FA45CA4}"/>
    <cellStyle name="STYLE1 11 5" xfId="29769" xr:uid="{6F1F1F2E-BCF8-48E2-A68D-5D704EC14777}"/>
    <cellStyle name="STYLE1 11 5 2" xfId="29770" xr:uid="{5A99C899-23A6-4733-8468-99A75ED033A9}"/>
    <cellStyle name="STYLE1 11 5 2 2" xfId="29771" xr:uid="{4A624030-64E1-4928-B1DC-F3E98A45794C}"/>
    <cellStyle name="STYLE1 11 5 2 2 2" xfId="29772" xr:uid="{1CF0BDB7-417C-4985-BFF3-58E26505107A}"/>
    <cellStyle name="STYLE1 11 5 2 3" xfId="29773" xr:uid="{596D75F4-D379-4444-A92D-5B3D19F7583F}"/>
    <cellStyle name="STYLE1 11 5 3" xfId="29774" xr:uid="{382BF958-A3A8-45D5-A359-FC782A36A102}"/>
    <cellStyle name="STYLE1 11 5 3 2" xfId="29775" xr:uid="{C56BBC52-0662-4F20-915C-E53FE60AEACF}"/>
    <cellStyle name="STYLE1 11 5 4" xfId="29776" xr:uid="{D5764028-83F4-4CF4-8361-0F2491CE0B18}"/>
    <cellStyle name="STYLE1 11 5 4 2" xfId="29777" xr:uid="{BC84A10C-98EC-4A0A-8E09-52CFA6F78C24}"/>
    <cellStyle name="STYLE1 11 5 4 3" xfId="29778" xr:uid="{D9451A1C-45E0-4A68-8773-D720EC2016DA}"/>
    <cellStyle name="STYLE1 11 5 5" xfId="29779" xr:uid="{B32793CB-BAF4-42B7-826D-696922DD3F26}"/>
    <cellStyle name="STYLE1 11 6" xfId="29780" xr:uid="{205E58DB-B28F-44A6-87CD-CE9987F4794A}"/>
    <cellStyle name="STYLE1 11 6 2" xfId="29781" xr:uid="{DBDF2F65-2885-4D5F-9016-889E3582C656}"/>
    <cellStyle name="STYLE1 11 6 2 2" xfId="29782" xr:uid="{CFB50C8B-028E-4ED2-AF85-4DAC96017D55}"/>
    <cellStyle name="STYLE1 11 6 3" xfId="29783" xr:uid="{155A9101-7A3A-4F7D-B8F5-88C63872AE49}"/>
    <cellStyle name="STYLE1 11 7" xfId="29784" xr:uid="{D8551FB7-FD69-415A-96FC-FC01471BC694}"/>
    <cellStyle name="STYLE1 11 7 2" xfId="29785" xr:uid="{C4D38CD8-670B-442A-8D7F-E1CBE23BBC71}"/>
    <cellStyle name="STYLE1 11 8" xfId="29786" xr:uid="{A3BA0880-B277-46D7-A56F-9245FC169A29}"/>
    <cellStyle name="STYLE1 11 8 2" xfId="29787" xr:uid="{E25FECE0-EE08-4297-BE2B-0CABD722A515}"/>
    <cellStyle name="STYLE1 11 8 3" xfId="29788" xr:uid="{47C5A2F5-0C1A-411E-A389-36283BA32D82}"/>
    <cellStyle name="STYLE1 11 9" xfId="29789" xr:uid="{CC2D6889-9EDA-426B-A52C-EF68F9F94DF1}"/>
    <cellStyle name="STYLE1 12" xfId="29790" xr:uid="{5A50A24F-9D58-463E-92FE-9EE722DD496F}"/>
    <cellStyle name="STYLE1 12 10" xfId="29791" xr:uid="{D509CBAF-EFDA-423B-AD65-28B55BB5576D}"/>
    <cellStyle name="STYLE1 12 2" xfId="29792" xr:uid="{0BD7F7D2-8D05-448E-86AD-201A34BF50FD}"/>
    <cellStyle name="STYLE1 12 2 2" xfId="29793" xr:uid="{C67E5D76-10E0-4BA8-A7AD-7138F6401922}"/>
    <cellStyle name="STYLE1 12 2 2 2" xfId="29794" xr:uid="{A91D7E3F-4AE5-4089-B28B-90F6A338BF29}"/>
    <cellStyle name="STYLE1 12 2 2 2 2" xfId="29795" xr:uid="{82076F0D-E995-4E07-987E-3DA25BD02573}"/>
    <cellStyle name="STYLE1 12 2 2 3" xfId="29796" xr:uid="{22CA32B0-15CD-4B4C-9155-4498C01202D1}"/>
    <cellStyle name="STYLE1 12 2 3" xfId="29797" xr:uid="{9F12E15E-5C7C-48E1-A33F-4E0DB5F50BB2}"/>
    <cellStyle name="STYLE1 12 2 3 2" xfId="29798" xr:uid="{459D6BEB-8772-4642-BCCA-4F76DED35092}"/>
    <cellStyle name="STYLE1 12 2 4" xfId="29799" xr:uid="{ABAA03E5-96BC-4EBD-8B21-767D157F4B59}"/>
    <cellStyle name="STYLE1 12 2 4 2" xfId="29800" xr:uid="{8F6F4C6E-895D-4C8F-9FB0-1E2D1B56D3A2}"/>
    <cellStyle name="STYLE1 12 2 4 3" xfId="29801" xr:uid="{888C8F2B-8E60-4B48-9E6C-B372B578BF2C}"/>
    <cellStyle name="STYLE1 12 2 5" xfId="29802" xr:uid="{7A8A9F02-3F6A-40FC-80A1-3DD44D8F8A7F}"/>
    <cellStyle name="STYLE1 12 3" xfId="29803" xr:uid="{E790E4C9-8C04-49EF-B9BA-866A764E7C99}"/>
    <cellStyle name="STYLE1 12 3 2" xfId="29804" xr:uid="{177D8627-ABE9-4740-B2B6-03F214FAE465}"/>
    <cellStyle name="STYLE1 12 3 2 2" xfId="29805" xr:uid="{A85A0D1E-B6A5-42B3-BFEB-FF976665894A}"/>
    <cellStyle name="STYLE1 12 3 2 2 2" xfId="29806" xr:uid="{FB9AFD3C-0BE9-45FE-A0CB-9964E62C43F8}"/>
    <cellStyle name="STYLE1 12 3 2 3" xfId="29807" xr:uid="{74F17642-DF77-4D7B-8CDC-00AB2358C6DD}"/>
    <cellStyle name="STYLE1 12 3 3" xfId="29808" xr:uid="{5A3D4190-C7FB-40DB-B5CC-9A4A6EC3DDA3}"/>
    <cellStyle name="STYLE1 12 3 3 2" xfId="29809" xr:uid="{B902FD21-5D0F-4DDF-9BA7-02A649920121}"/>
    <cellStyle name="STYLE1 12 3 4" xfId="29810" xr:uid="{CEF3DDF9-DF45-4685-A1FE-D98032394884}"/>
    <cellStyle name="STYLE1 12 3 4 2" xfId="29811" xr:uid="{A10F523B-68AD-4ABE-813D-B57BA93B9285}"/>
    <cellStyle name="STYLE1 12 3 4 3" xfId="29812" xr:uid="{4B5F4A11-3802-406B-9DDF-E074EAAD7105}"/>
    <cellStyle name="STYLE1 12 3 5" xfId="29813" xr:uid="{E20F0110-508F-4E1A-B1DB-AC9FDF2DC3E0}"/>
    <cellStyle name="STYLE1 12 3 6" xfId="29814" xr:uid="{46F71A9C-9D8A-4959-B1BE-F1E3C38717ED}"/>
    <cellStyle name="STYLE1 12 4" xfId="29815" xr:uid="{98511FD6-814A-45A5-A093-56B296C15B4A}"/>
    <cellStyle name="STYLE1 12 4 2" xfId="29816" xr:uid="{0D99AE14-0F10-47A5-9987-F29A7DCBE767}"/>
    <cellStyle name="STYLE1 12 4 2 2" xfId="29817" xr:uid="{49989BE9-7AD1-4371-9A7C-7A2CFCA311E1}"/>
    <cellStyle name="STYLE1 12 4 2 2 2" xfId="29818" xr:uid="{893ABC71-CE4D-4F43-841D-1F82BF919633}"/>
    <cellStyle name="STYLE1 12 4 2 3" xfId="29819" xr:uid="{87A19FE4-2519-46EF-B9FE-FEE7D71BE67B}"/>
    <cellStyle name="STYLE1 12 4 3" xfId="29820" xr:uid="{836FA4C2-F19A-4103-A240-6AB9883BE5DC}"/>
    <cellStyle name="STYLE1 12 4 3 2" xfId="29821" xr:uid="{BBD3A15A-451D-43AA-950C-0188DC0C1E08}"/>
    <cellStyle name="STYLE1 12 4 4" xfId="29822" xr:uid="{7564ECE6-A508-4D2D-AB1A-46AD755D6810}"/>
    <cellStyle name="STYLE1 12 4 4 2" xfId="29823" xr:uid="{570B55E6-3F5D-4C04-BCD1-E74B24B9D4CE}"/>
    <cellStyle name="STYLE1 12 4 4 3" xfId="29824" xr:uid="{E4AE4408-9AB0-4EC6-861F-1376A8EEA45B}"/>
    <cellStyle name="STYLE1 12 4 5" xfId="29825" xr:uid="{2F851B97-A34D-4AEC-89F3-1E4C5B34F043}"/>
    <cellStyle name="STYLE1 12 5" xfId="29826" xr:uid="{11AA32BB-6E98-48E0-9296-C27DACAD3F5B}"/>
    <cellStyle name="STYLE1 12 5 2" xfId="29827" xr:uid="{71AE0042-37BD-435F-A943-7877AF2EADD5}"/>
    <cellStyle name="STYLE1 12 5 2 2" xfId="29828" xr:uid="{80BA5448-826F-4EE8-8CB3-8EF1D3F3C0E6}"/>
    <cellStyle name="STYLE1 12 5 2 2 2" xfId="29829" xr:uid="{1E433FCD-6F72-40C0-8AE6-77B5815B3E1E}"/>
    <cellStyle name="STYLE1 12 5 2 3" xfId="29830" xr:uid="{BC698D44-1AB5-46F6-85BE-7FED9BA22FB6}"/>
    <cellStyle name="STYLE1 12 5 3" xfId="29831" xr:uid="{077DCD21-2E00-462B-97D6-5655F0D5733A}"/>
    <cellStyle name="STYLE1 12 5 3 2" xfId="29832" xr:uid="{4DCCC3BE-DE52-44A8-A988-086F3F14D512}"/>
    <cellStyle name="STYLE1 12 5 4" xfId="29833" xr:uid="{E87550C9-FDE9-4316-AEBD-B977DDC090C5}"/>
    <cellStyle name="STYLE1 12 5 4 2" xfId="29834" xr:uid="{DFACB1AA-8A26-48B7-8EEB-6C223E126449}"/>
    <cellStyle name="STYLE1 12 5 4 3" xfId="29835" xr:uid="{ACD27E2D-B45E-4A0B-9ADD-1C251E09B402}"/>
    <cellStyle name="STYLE1 12 5 5" xfId="29836" xr:uid="{D08F4C69-16D8-4566-AC73-42DF948E5313}"/>
    <cellStyle name="STYLE1 12 6" xfId="29837" xr:uid="{4AC6C88B-A0D9-4A49-AFB4-7F98E7940B7D}"/>
    <cellStyle name="STYLE1 12 6 2" xfId="29838" xr:uid="{71405D22-F335-4F51-87E4-92EA8788954D}"/>
    <cellStyle name="STYLE1 12 6 2 2" xfId="29839" xr:uid="{8B5C5DF0-63A0-4F72-8AD4-A831B3A86960}"/>
    <cellStyle name="STYLE1 12 6 3" xfId="29840" xr:uid="{E096DEFB-0601-4C5E-8E99-2F8D5D40A5FA}"/>
    <cellStyle name="STYLE1 12 7" xfId="29841" xr:uid="{22D56718-5189-45A8-B61D-AB1232A6B590}"/>
    <cellStyle name="STYLE1 12 7 2" xfId="29842" xr:uid="{49641BDA-C4D5-4120-85D0-ADB16094F944}"/>
    <cellStyle name="STYLE1 12 8" xfId="29843" xr:uid="{53601216-ADAF-4960-A4A4-1890E685BE35}"/>
    <cellStyle name="STYLE1 12 8 2" xfId="29844" xr:uid="{D1A7A518-8774-47DE-B93C-EA244784BB7B}"/>
    <cellStyle name="STYLE1 12 8 3" xfId="29845" xr:uid="{FBD09C6C-8EE3-42D0-9B17-E583ED1CBAC4}"/>
    <cellStyle name="STYLE1 12 9" xfId="29846" xr:uid="{33BA600F-30AF-47E2-827C-77906E95B580}"/>
    <cellStyle name="STYLE1 13" xfId="29847" xr:uid="{AFB77423-1726-4926-9621-F9F43A3E52D8}"/>
    <cellStyle name="STYLE1 13 2" xfId="29848" xr:uid="{EE616A4B-B48B-43B9-A82C-DE9135CDD659}"/>
    <cellStyle name="STYLE1 13 2 2" xfId="29849" xr:uid="{050C6F7B-9E5C-4D45-B08B-A92F1A4B8ADD}"/>
    <cellStyle name="STYLE1 13 2 2 2" xfId="29850" xr:uid="{94660D26-2140-4559-A2B5-66CBF37C92CB}"/>
    <cellStyle name="STYLE1 13 2 2 2 2" xfId="29851" xr:uid="{DED31BE4-C350-473B-B10A-ED4F9BB01F59}"/>
    <cellStyle name="STYLE1 13 2 2 3" xfId="29852" xr:uid="{BE4B73D9-18CF-4481-AF41-B394FC3FE4B1}"/>
    <cellStyle name="STYLE1 13 2 3" xfId="29853" xr:uid="{C562AACD-05BE-49A0-8048-010DCC9B5674}"/>
    <cellStyle name="STYLE1 13 2 3 2" xfId="29854" xr:uid="{CF70A06C-0CC8-4ED9-B3E8-850AA429C53B}"/>
    <cellStyle name="STYLE1 13 2 4" xfId="29855" xr:uid="{AAEB8163-12F7-4DD5-BC86-11FE4F288718}"/>
    <cellStyle name="STYLE1 13 2 4 2" xfId="29856" xr:uid="{B6037EC4-B468-416A-B89F-F3D8A845CB67}"/>
    <cellStyle name="STYLE1 13 2 4 3" xfId="29857" xr:uid="{8DB8A6FA-3331-47EC-B644-D1AD9CC48F44}"/>
    <cellStyle name="STYLE1 13 2 5" xfId="29858" xr:uid="{8A8788B6-505D-43F2-B3DF-F676BF8D1398}"/>
    <cellStyle name="STYLE1 13 3" xfId="29859" xr:uid="{648117CB-2270-4356-9CCC-0F4F8384322E}"/>
    <cellStyle name="STYLE1 13 3 2" xfId="29860" xr:uid="{1ABFDE86-9D2F-4955-A821-3A664281D141}"/>
    <cellStyle name="STYLE1 13 3 2 2" xfId="29861" xr:uid="{4116098B-1238-47BE-92E6-F52079588A5F}"/>
    <cellStyle name="STYLE1 13 3 2 2 2" xfId="29862" xr:uid="{4CA36842-CEAF-4C91-A5A7-D67B9E0BD685}"/>
    <cellStyle name="STYLE1 13 3 2 3" xfId="29863" xr:uid="{B9D360EB-D3D1-441A-AE28-3C1215CD622B}"/>
    <cellStyle name="STYLE1 13 3 3" xfId="29864" xr:uid="{9F913B9A-210B-4919-B567-80B28091C6D4}"/>
    <cellStyle name="STYLE1 13 3 3 2" xfId="29865" xr:uid="{9C89EBA8-580E-4AAF-B0D5-C7364CD721A0}"/>
    <cellStyle name="STYLE1 13 3 4" xfId="29866" xr:uid="{1DE74D16-CE3D-45B7-B04E-3023F739184F}"/>
    <cellStyle name="STYLE1 13 3 4 2" xfId="29867" xr:uid="{01D422B4-7462-474A-913E-75F7DA48254A}"/>
    <cellStyle name="STYLE1 13 3 4 3" xfId="29868" xr:uid="{995544C3-00FA-4310-90CC-6F7BCC7A159D}"/>
    <cellStyle name="STYLE1 13 3 5" xfId="29869" xr:uid="{0735D2C8-55D5-42F0-BE51-9C6C5A0C0014}"/>
    <cellStyle name="STYLE1 13 3 6" xfId="29870" xr:uid="{BD9E02AE-DEC3-4BFE-92F4-E1D77F81AF27}"/>
    <cellStyle name="STYLE1 13 4" xfId="29871" xr:uid="{1F4C66D1-3273-4CB6-AB47-10E5C619ADAA}"/>
    <cellStyle name="STYLE1 13 4 2" xfId="29872" xr:uid="{15BF044F-C1D0-4D23-A197-16A5902EB28A}"/>
    <cellStyle name="STYLE1 13 4 2 2" xfId="29873" xr:uid="{DDF56257-1E53-4D15-BF20-11E7E2805F10}"/>
    <cellStyle name="STYLE1 13 4 2 2 2" xfId="29874" xr:uid="{6F24BE23-2037-4697-8B4A-3D989DA23DE7}"/>
    <cellStyle name="STYLE1 13 4 2 3" xfId="29875" xr:uid="{47F160B4-3DA1-45BB-813A-5157FFEC1B19}"/>
    <cellStyle name="STYLE1 13 4 3" xfId="29876" xr:uid="{A55999CA-B1F5-4417-A2D8-807EAE006538}"/>
    <cellStyle name="STYLE1 13 4 3 2" xfId="29877" xr:uid="{C69C2FD5-C6CD-4A26-BFA2-03C8774425C1}"/>
    <cellStyle name="STYLE1 13 4 4" xfId="29878" xr:uid="{CE68E820-0267-4CF5-A3D3-0E58CDCF9F4F}"/>
    <cellStyle name="STYLE1 13 4 4 2" xfId="29879" xr:uid="{BB54CA39-E759-4F20-9EF7-3E6734002293}"/>
    <cellStyle name="STYLE1 13 4 4 3" xfId="29880" xr:uid="{8C8EFE6A-8826-4EAA-BD58-ABCD593B49AF}"/>
    <cellStyle name="STYLE1 13 4 5" xfId="29881" xr:uid="{DDD0D626-E08C-4BCF-82D0-117FB01222F6}"/>
    <cellStyle name="STYLE1 13 5" xfId="29882" xr:uid="{C61A0770-CDD7-49BA-AAE4-45B44EABACB4}"/>
    <cellStyle name="STYLE1 13 5 2" xfId="29883" xr:uid="{6CF4DEE7-4D0B-4A6E-8099-634C66470181}"/>
    <cellStyle name="STYLE1 13 5 2 2" xfId="29884" xr:uid="{34D09520-CC8E-410D-9383-F0FE312A2576}"/>
    <cellStyle name="STYLE1 13 5 2 2 2" xfId="29885" xr:uid="{5D6899E9-7275-456D-B42B-BA85E9CF7F8F}"/>
    <cellStyle name="STYLE1 13 5 2 3" xfId="29886" xr:uid="{257F6DA1-8638-41FC-BD93-2D2B8D1BB1B0}"/>
    <cellStyle name="STYLE1 13 5 3" xfId="29887" xr:uid="{E5044A91-FED4-48E9-8AC3-FFB82E9F5149}"/>
    <cellStyle name="STYLE1 13 5 3 2" xfId="29888" xr:uid="{B3996837-1048-4406-B12D-B2DB7A6A907A}"/>
    <cellStyle name="STYLE1 13 5 4" xfId="29889" xr:uid="{4752A2F2-9FAC-43C7-BBDC-632FCB184478}"/>
    <cellStyle name="STYLE1 13 5 4 2" xfId="29890" xr:uid="{B38E7708-B48E-48C5-972F-3E54E9BFA5A5}"/>
    <cellStyle name="STYLE1 13 5 4 3" xfId="29891" xr:uid="{91D5F9C2-4D2D-4A63-AF7E-32A632519ED4}"/>
    <cellStyle name="STYLE1 13 5 5" xfId="29892" xr:uid="{A7B18F7E-D028-474A-89C2-7AC1E0A4D97B}"/>
    <cellStyle name="STYLE1 13 6" xfId="29893" xr:uid="{ECF3A52A-8F20-4E2A-B94A-D5FC6B5A4124}"/>
    <cellStyle name="STYLE1 13 6 2" xfId="29894" xr:uid="{1E928476-43ED-4378-8D72-F843878EC751}"/>
    <cellStyle name="STYLE1 13 6 2 2" xfId="29895" xr:uid="{3C2BB715-6477-46C1-AB15-DB0372334987}"/>
    <cellStyle name="STYLE1 13 6 3" xfId="29896" xr:uid="{9B140A41-BF7C-4D6F-8371-4C4717CED323}"/>
    <cellStyle name="STYLE1 13 7" xfId="29897" xr:uid="{1043167E-DCD7-49B3-80AE-4B91C623545F}"/>
    <cellStyle name="STYLE1 13 7 2" xfId="29898" xr:uid="{60CE495C-0E14-46AE-AA8C-744E8A5C4D57}"/>
    <cellStyle name="STYLE1 13 8" xfId="29899" xr:uid="{D0236F44-9F49-4DEB-A820-6A49C09F6E84}"/>
    <cellStyle name="STYLE1 13 8 2" xfId="29900" xr:uid="{30C971DA-67EF-4F88-A7B5-34EC55E1B6A5}"/>
    <cellStyle name="STYLE1 13 8 3" xfId="29901" xr:uid="{705E2B9C-B08E-4A5A-B7E9-42A1BC92165F}"/>
    <cellStyle name="STYLE1 13 9" xfId="29902" xr:uid="{9D9AB457-22C3-483B-ABB0-0109D1743291}"/>
    <cellStyle name="STYLE1 14" xfId="29903" xr:uid="{8E5EDD78-BE3F-4012-8DC0-12D67D73C4A6}"/>
    <cellStyle name="STYLE1 14 2" xfId="29904" xr:uid="{7F9FF116-7C96-4FAA-AD87-94485C919D45}"/>
    <cellStyle name="STYLE1 14 2 2" xfId="29905" xr:uid="{B2385040-0057-480A-A3D9-CD8C97E2D08C}"/>
    <cellStyle name="STYLE1 14 2 2 2" xfId="29906" xr:uid="{292771D5-D547-4D63-9766-55515D63855B}"/>
    <cellStyle name="STYLE1 14 2 2 2 2" xfId="29907" xr:uid="{36462A82-358C-4AF6-99FE-4B8A19793C35}"/>
    <cellStyle name="STYLE1 14 2 2 3" xfId="29908" xr:uid="{BB701A6B-B080-4783-8B7A-205ABA988C56}"/>
    <cellStyle name="STYLE1 14 2 3" xfId="29909" xr:uid="{B5B10067-098F-4E6B-9858-398ACA61E458}"/>
    <cellStyle name="STYLE1 14 2 3 2" xfId="29910" xr:uid="{4CE62D22-81E3-4A15-B8E2-71E47F77B9A0}"/>
    <cellStyle name="STYLE1 14 2 4" xfId="29911" xr:uid="{8B995C4F-2455-4596-A1C0-BC4B4065AE11}"/>
    <cellStyle name="STYLE1 14 2 4 2" xfId="29912" xr:uid="{58BFFF56-602E-465F-B6A7-0014F776480C}"/>
    <cellStyle name="STYLE1 14 2 4 3" xfId="29913" xr:uid="{0D12BC8F-6A5B-436A-8A8A-B47C498340BA}"/>
    <cellStyle name="STYLE1 14 2 5" xfId="29914" xr:uid="{8E3B4BB5-0790-4361-9AD2-5AD98D93CCCC}"/>
    <cellStyle name="STYLE1 14 3" xfId="29915" xr:uid="{1C95262F-8584-4992-9157-65E8A39C3305}"/>
    <cellStyle name="STYLE1 14 3 2" xfId="29916" xr:uid="{111BE271-568D-4CD1-ACDC-E5D3D299F1F2}"/>
    <cellStyle name="STYLE1 14 3 2 2" xfId="29917" xr:uid="{A32C4DCD-21BA-47FC-AAB9-0590BA43078F}"/>
    <cellStyle name="STYLE1 14 3 2 2 2" xfId="29918" xr:uid="{DA775770-6F1E-4C44-9DB9-FE4BC374E254}"/>
    <cellStyle name="STYLE1 14 3 2 3" xfId="29919" xr:uid="{DEAF5442-10E8-4B13-BE93-E00E8532F162}"/>
    <cellStyle name="STYLE1 14 3 3" xfId="29920" xr:uid="{171C7EF1-0251-4A51-8313-00F1C947507C}"/>
    <cellStyle name="STYLE1 14 3 3 2" xfId="29921" xr:uid="{885AA546-A0A1-4024-B903-F2F2ACDCC40E}"/>
    <cellStyle name="STYLE1 14 3 4" xfId="29922" xr:uid="{A65847A1-EF3C-4D80-AE72-D11760070DF8}"/>
    <cellStyle name="STYLE1 14 3 4 2" xfId="29923" xr:uid="{B1CD9D5E-EB2F-45C0-BC19-888E1082A486}"/>
    <cellStyle name="STYLE1 14 3 4 3" xfId="29924" xr:uid="{78B0E5B1-32C1-48F1-A5EE-8E22BD3F434E}"/>
    <cellStyle name="STYLE1 14 3 5" xfId="29925" xr:uid="{EB876D51-5689-4F3D-A85E-7B0124B71C6E}"/>
    <cellStyle name="STYLE1 14 4" xfId="29926" xr:uid="{DE461DCE-292C-434C-AEE9-4176209DCA6E}"/>
    <cellStyle name="STYLE1 14 4 2" xfId="29927" xr:uid="{D48B78B9-25B6-40EC-906F-08632EB6C7F8}"/>
    <cellStyle name="STYLE1 14 4 2 2" xfId="29928" xr:uid="{EF37E488-477A-4068-A343-7C57A3202B6B}"/>
    <cellStyle name="STYLE1 14 4 2 2 2" xfId="29929" xr:uid="{562F42DA-844B-48CD-B7A0-FAB3D8B238FE}"/>
    <cellStyle name="STYLE1 14 4 2 3" xfId="29930" xr:uid="{74B918BC-E456-4218-AFBC-AFEA73DBC0DB}"/>
    <cellStyle name="STYLE1 14 4 3" xfId="29931" xr:uid="{FA1B2CB9-42D1-4521-B7E6-FF110BD27A6B}"/>
    <cellStyle name="STYLE1 14 4 3 2" xfId="29932" xr:uid="{9A18FBC8-B8EF-450A-8C93-A4951C43F3EF}"/>
    <cellStyle name="STYLE1 14 4 4" xfId="29933" xr:uid="{CB59C158-9D3A-4170-9A08-AA7CA8D0D78D}"/>
    <cellStyle name="STYLE1 14 4 4 2" xfId="29934" xr:uid="{AE545FE7-5A17-4821-B4FF-556991724B7F}"/>
    <cellStyle name="STYLE1 14 4 4 3" xfId="29935" xr:uid="{BC398817-151D-472B-B710-DB87DC6A31E3}"/>
    <cellStyle name="STYLE1 14 4 5" xfId="29936" xr:uid="{6EEB14F5-FA43-4B86-93BB-0348A583E62F}"/>
    <cellStyle name="STYLE1 14 5" xfId="29937" xr:uid="{AB4D4402-901A-47E1-BA56-B7259488EE71}"/>
    <cellStyle name="STYLE1 14 5 2" xfId="29938" xr:uid="{DD513E85-A94F-463F-9250-17161E7313B0}"/>
    <cellStyle name="STYLE1 14 5 2 2" xfId="29939" xr:uid="{EC75CF55-7C01-4FA2-9FDF-7D994E14A193}"/>
    <cellStyle name="STYLE1 14 5 2 2 2" xfId="29940" xr:uid="{FF58B147-EF37-41C3-BBE1-633DDC1E06F3}"/>
    <cellStyle name="STYLE1 14 5 2 3" xfId="29941" xr:uid="{33AC2E70-92FD-4B3A-A11A-F5ADFF772A37}"/>
    <cellStyle name="STYLE1 14 5 3" xfId="29942" xr:uid="{D32F393C-199A-4282-AC8F-55C9C65B81E3}"/>
    <cellStyle name="STYLE1 14 5 3 2" xfId="29943" xr:uid="{081EA81A-FD82-43DB-9B25-51478D75152C}"/>
    <cellStyle name="STYLE1 14 5 4" xfId="29944" xr:uid="{421F9901-8E7A-4E88-9524-D5748506DBB1}"/>
    <cellStyle name="STYLE1 14 5 4 2" xfId="29945" xr:uid="{9FB389B2-53FE-4563-83F9-75BE5B65F630}"/>
    <cellStyle name="STYLE1 14 5 4 3" xfId="29946" xr:uid="{710CC4E9-8A98-4F43-94B0-073F79CEC6BB}"/>
    <cellStyle name="STYLE1 14 5 5" xfId="29947" xr:uid="{8A4E5E99-1D2B-4DA8-9CDA-EE6F442E2783}"/>
    <cellStyle name="STYLE1 14 6" xfId="29948" xr:uid="{7990254C-5B33-477D-970C-074B15202C06}"/>
    <cellStyle name="STYLE1 14 6 2" xfId="29949" xr:uid="{2D1D8FEA-EBA5-4A42-B9ED-30E4BBA8E5AB}"/>
    <cellStyle name="STYLE1 14 6 2 2" xfId="29950" xr:uid="{56BD9740-454A-4D05-8BF6-344BD0B70E50}"/>
    <cellStyle name="STYLE1 14 6 3" xfId="29951" xr:uid="{2EB85C0F-E567-4E9F-8DD0-871EA89E9152}"/>
    <cellStyle name="STYLE1 14 7" xfId="29952" xr:uid="{6268B117-2A36-4A66-883D-4B0D10BBB899}"/>
    <cellStyle name="STYLE1 14 7 2" xfId="29953" xr:uid="{891ABD63-F294-49A0-8B7F-6A184BFD2F71}"/>
    <cellStyle name="STYLE1 14 8" xfId="29954" xr:uid="{FB2F1143-A7BE-4062-9F08-920FCE3E5EF9}"/>
    <cellStyle name="STYLE1 14 8 2" xfId="29955" xr:uid="{9B03C738-BCA2-4920-BAE2-A5F125C3D6CD}"/>
    <cellStyle name="STYLE1 14 8 3" xfId="29956" xr:uid="{CE55E335-72CC-4D7B-B171-735966B9E2B1}"/>
    <cellStyle name="STYLE1 14 9" xfId="29957" xr:uid="{2C2C5787-5290-42E1-99B9-91B20D547129}"/>
    <cellStyle name="STYLE1 15" xfId="29958" xr:uid="{954141E1-42FA-44CE-A684-8103765CAE22}"/>
    <cellStyle name="STYLE1 15 2" xfId="29959" xr:uid="{B2513793-AF14-4F87-A3D6-EC1E296F432B}"/>
    <cellStyle name="STYLE1 15 2 2" xfId="29960" xr:uid="{5FD60D36-2AC8-4274-9705-BF82CF83910F}"/>
    <cellStyle name="STYLE1 15 2 2 2" xfId="29961" xr:uid="{B32A9DE9-DEC8-4673-AC6D-54C75CC2FCF9}"/>
    <cellStyle name="STYLE1 15 2 2 2 2" xfId="29962" xr:uid="{8836D614-7057-417D-A851-55D98AE21CA0}"/>
    <cellStyle name="STYLE1 15 2 2 3" xfId="29963" xr:uid="{A50F4502-9415-43C9-A007-33A847BA4F3C}"/>
    <cellStyle name="STYLE1 15 2 3" xfId="29964" xr:uid="{BB46E3B0-7968-4723-8A1C-9E3EC2455EA1}"/>
    <cellStyle name="STYLE1 15 2 3 2" xfId="29965" xr:uid="{85B1DF68-57CA-4608-8330-0DB08D8B4EA4}"/>
    <cellStyle name="STYLE1 15 2 4" xfId="29966" xr:uid="{819B49D7-5273-41D9-91D9-B6BAA4B9AC04}"/>
    <cellStyle name="STYLE1 15 2 4 2" xfId="29967" xr:uid="{B97E763A-F8DF-4A87-B376-9C5C0B7785E2}"/>
    <cellStyle name="STYLE1 15 2 4 3" xfId="29968" xr:uid="{11F8C013-35C8-442B-B4CC-A1ABA5D3F053}"/>
    <cellStyle name="STYLE1 15 2 5" xfId="29969" xr:uid="{D3AF0573-32B7-4CCC-82C8-2F2535262A36}"/>
    <cellStyle name="STYLE1 15 3" xfId="29970" xr:uid="{9985F61D-3F25-44A0-AB25-9EFE96802532}"/>
    <cellStyle name="STYLE1 15 3 2" xfId="29971" xr:uid="{CB938FC5-2007-48D6-810D-F66A503A80A8}"/>
    <cellStyle name="STYLE1 15 3 2 2" xfId="29972" xr:uid="{83082AEB-7F4A-4A08-A660-6DECD74CF8B0}"/>
    <cellStyle name="STYLE1 15 3 2 2 2" xfId="29973" xr:uid="{AE977454-BC7C-4912-A3EF-F5491DACA3CC}"/>
    <cellStyle name="STYLE1 15 3 2 3" xfId="29974" xr:uid="{905726E7-C39B-4B16-B75E-58341DF0B2E8}"/>
    <cellStyle name="STYLE1 15 3 3" xfId="29975" xr:uid="{5D18560E-ABAF-4816-99F8-F514742A2CCF}"/>
    <cellStyle name="STYLE1 15 3 3 2" xfId="29976" xr:uid="{C37EDB36-ECAF-43D1-9D2B-80BCD11506B2}"/>
    <cellStyle name="STYLE1 15 3 4" xfId="29977" xr:uid="{CCC52BC1-1129-4862-AE51-A0C42D7DA43E}"/>
    <cellStyle name="STYLE1 15 3 4 2" xfId="29978" xr:uid="{90809EE7-90D4-4F81-A377-ED5162349261}"/>
    <cellStyle name="STYLE1 15 3 4 3" xfId="29979" xr:uid="{461D4D26-7F67-4254-9CCA-286B75FBC199}"/>
    <cellStyle name="STYLE1 15 3 5" xfId="29980" xr:uid="{4523BFEE-D8B7-400B-8C7B-5889C3990C81}"/>
    <cellStyle name="STYLE1 15 4" xfId="29981" xr:uid="{C9D87DF9-7CEC-407E-9054-D5F62DEADE19}"/>
    <cellStyle name="STYLE1 15 4 2" xfId="29982" xr:uid="{D8ABD734-8D21-4AB0-A4AB-A45F1C37A1BC}"/>
    <cellStyle name="STYLE1 15 4 2 2" xfId="29983" xr:uid="{44364D69-9281-4BFA-A899-0529CFBA1920}"/>
    <cellStyle name="STYLE1 15 4 2 2 2" xfId="29984" xr:uid="{31E2A1E0-C915-49E8-9E61-29B3984AF752}"/>
    <cellStyle name="STYLE1 15 4 2 3" xfId="29985" xr:uid="{5B26D222-E6BB-4A10-A9F4-BA64164D010F}"/>
    <cellStyle name="STYLE1 15 4 3" xfId="29986" xr:uid="{7023C177-762A-430A-B4A8-B5A7F1AC03D5}"/>
    <cellStyle name="STYLE1 15 4 3 2" xfId="29987" xr:uid="{B663E20D-51F2-4677-8B9B-5E0A1626E27D}"/>
    <cellStyle name="STYLE1 15 4 4" xfId="29988" xr:uid="{57D532BA-282F-47C4-977F-7510CADBB33E}"/>
    <cellStyle name="STYLE1 15 4 4 2" xfId="29989" xr:uid="{3837F682-209E-4BD6-9A74-5DD940929F15}"/>
    <cellStyle name="STYLE1 15 4 4 3" xfId="29990" xr:uid="{87C96E5A-FC85-4FDF-BA43-2CB26AD812AB}"/>
    <cellStyle name="STYLE1 15 4 5" xfId="29991" xr:uid="{B942004D-6F8A-4876-B005-A5EC0A2C5849}"/>
    <cellStyle name="STYLE1 15 5" xfId="29992" xr:uid="{320E00C1-1D4E-45EF-B8A7-5636A7D54853}"/>
    <cellStyle name="STYLE1 15 5 2" xfId="29993" xr:uid="{7E94744B-5979-4203-A9D9-88BC2908B4E1}"/>
    <cellStyle name="STYLE1 15 5 2 2" xfId="29994" xr:uid="{6F447865-3607-4E9D-A1F1-5D70C8A1A4E8}"/>
    <cellStyle name="STYLE1 15 5 2 2 2" xfId="29995" xr:uid="{F9274FD3-0A8F-4AA1-9E41-C5ADCAEF18A9}"/>
    <cellStyle name="STYLE1 15 5 2 3" xfId="29996" xr:uid="{D5E3A49F-F53B-4FDC-B64B-EB1ABEA6117F}"/>
    <cellStyle name="STYLE1 15 5 3" xfId="29997" xr:uid="{0644D337-1A5F-4D1A-A351-50DF57C35865}"/>
    <cellStyle name="STYLE1 15 5 3 2" xfId="29998" xr:uid="{5D9572EA-626D-4AE7-8FA4-1534CE7266FD}"/>
    <cellStyle name="STYLE1 15 5 4" xfId="29999" xr:uid="{4E9E62A5-59AF-480B-8D10-7720356D781B}"/>
    <cellStyle name="STYLE1 15 5 4 2" xfId="30000" xr:uid="{72B5DE78-87DB-4334-B16D-F29F1A124361}"/>
    <cellStyle name="STYLE1 15 5 4 3" xfId="30001" xr:uid="{C62387C7-807A-471D-B5FB-ECE862523352}"/>
    <cellStyle name="STYLE1 15 5 5" xfId="30002" xr:uid="{E0377128-1A53-4CE2-B816-7DD88564D993}"/>
    <cellStyle name="STYLE1 15 6" xfId="30003" xr:uid="{DCAEB021-10ED-4960-B5B1-F435AB3B6637}"/>
    <cellStyle name="STYLE1 15 6 2" xfId="30004" xr:uid="{576894F2-F275-49FD-9465-44BDDDCD0896}"/>
    <cellStyle name="STYLE1 15 6 2 2" xfId="30005" xr:uid="{6B86C6FF-47EE-4439-9297-DEDD8968742F}"/>
    <cellStyle name="STYLE1 15 6 3" xfId="30006" xr:uid="{21C709BB-5D0F-4A2D-ABF8-0290B1633C4E}"/>
    <cellStyle name="STYLE1 15 7" xfId="30007" xr:uid="{4274BDFD-FA3A-41AD-9CB3-54703E0A6F04}"/>
    <cellStyle name="STYLE1 15 7 2" xfId="30008" xr:uid="{74D3FB70-4ADC-4291-81EC-6A9443B5D9A4}"/>
    <cellStyle name="STYLE1 15 8" xfId="30009" xr:uid="{D5A64BFB-D70E-4537-A8AA-0659B8BBE630}"/>
    <cellStyle name="STYLE1 15 8 2" xfId="30010" xr:uid="{7C01C285-9693-4EB7-8331-28E51903C3E8}"/>
    <cellStyle name="STYLE1 15 8 3" xfId="30011" xr:uid="{A9E2023E-46B6-425E-8A4F-231A588B680C}"/>
    <cellStyle name="STYLE1 15 9" xfId="30012" xr:uid="{C62DD40D-229E-478F-BDAB-BAD1DA49787E}"/>
    <cellStyle name="STYLE1 16" xfId="30013" xr:uid="{17D67B7B-8D62-483B-A970-C1886BEA1B47}"/>
    <cellStyle name="STYLE1 16 2" xfId="30014" xr:uid="{3E154632-547F-461C-903B-0B98AABB00D5}"/>
    <cellStyle name="STYLE1 16 2 2" xfId="30015" xr:uid="{98CCFF33-E40D-4F57-B4AD-809AC6BA1EB0}"/>
    <cellStyle name="STYLE1 16 2 2 2" xfId="30016" xr:uid="{41349EFF-87B5-413B-A222-1D7EE6DD8943}"/>
    <cellStyle name="STYLE1 16 2 2 2 2" xfId="30017" xr:uid="{01D91F04-EDB6-4006-B838-B8AB9A4CF138}"/>
    <cellStyle name="STYLE1 16 2 2 3" xfId="30018" xr:uid="{228C8222-F358-4F67-ACE4-EB9E11E96085}"/>
    <cellStyle name="STYLE1 16 2 3" xfId="30019" xr:uid="{67DC595B-E592-45B9-832B-952599CCEFC3}"/>
    <cellStyle name="STYLE1 16 2 3 2" xfId="30020" xr:uid="{FDE8D19E-AF2B-44D3-9F77-242EF3D01D91}"/>
    <cellStyle name="STYLE1 16 2 4" xfId="30021" xr:uid="{0F8CA17A-25A4-450B-A817-36F882F1DF35}"/>
    <cellStyle name="STYLE1 16 2 4 2" xfId="30022" xr:uid="{81DF2344-8D95-4DC4-918F-053CC89D4055}"/>
    <cellStyle name="STYLE1 16 2 4 3" xfId="30023" xr:uid="{8E06F416-EEDB-4BE0-8788-FD4E348057C4}"/>
    <cellStyle name="STYLE1 16 2 5" xfId="30024" xr:uid="{6ED95DB9-6952-48D2-BCA5-56624845D6AD}"/>
    <cellStyle name="STYLE1 16 3" xfId="30025" xr:uid="{591DB20C-51C6-4AFC-8E5F-911549D7741F}"/>
    <cellStyle name="STYLE1 16 3 2" xfId="30026" xr:uid="{91F8075B-475E-4CA4-9421-ECBF8E01B0D8}"/>
    <cellStyle name="STYLE1 16 3 2 2" xfId="30027" xr:uid="{F3B29838-C244-41EC-A5D5-075049CD28A6}"/>
    <cellStyle name="STYLE1 16 3 2 2 2" xfId="30028" xr:uid="{BF1873C0-8288-4D9C-A3BE-3A7F51692232}"/>
    <cellStyle name="STYLE1 16 3 2 3" xfId="30029" xr:uid="{F81B7892-FA39-4B6B-9EC6-EF93FB5C576E}"/>
    <cellStyle name="STYLE1 16 3 3" xfId="30030" xr:uid="{8DD0EC73-1C1D-43DC-9E0C-BB209FE800CC}"/>
    <cellStyle name="STYLE1 16 3 3 2" xfId="30031" xr:uid="{2F840026-9AF3-465E-A10C-3E43EC51177E}"/>
    <cellStyle name="STYLE1 16 3 4" xfId="30032" xr:uid="{CE90F0C0-40AC-498E-AB5C-BAC52410667D}"/>
    <cellStyle name="STYLE1 16 3 4 2" xfId="30033" xr:uid="{51D98F4C-A7AB-4978-99DF-B29B40573CD0}"/>
    <cellStyle name="STYLE1 16 3 4 3" xfId="30034" xr:uid="{9E2BF144-B085-445A-8480-A5C726EA7391}"/>
    <cellStyle name="STYLE1 16 3 5" xfId="30035" xr:uid="{C3D47409-FF3D-45FE-8A10-678562B706E4}"/>
    <cellStyle name="STYLE1 16 4" xfId="30036" xr:uid="{4D90ACB8-DD16-4164-B35A-EC5D5BC242E3}"/>
    <cellStyle name="STYLE1 16 4 2" xfId="30037" xr:uid="{1F962FB2-6109-4D76-9C3D-DA1866E7C35F}"/>
    <cellStyle name="STYLE1 16 4 2 2" xfId="30038" xr:uid="{D69248EC-3A2E-4675-8917-12064BB91589}"/>
    <cellStyle name="STYLE1 16 4 2 2 2" xfId="30039" xr:uid="{CC75A127-A048-4AC3-813D-E6502465CB1B}"/>
    <cellStyle name="STYLE1 16 4 2 3" xfId="30040" xr:uid="{E056827C-9614-4843-BB8A-B7885F4882DD}"/>
    <cellStyle name="STYLE1 16 4 3" xfId="30041" xr:uid="{617ECFC7-FFAE-4744-8793-5C93E4BA994C}"/>
    <cellStyle name="STYLE1 16 4 3 2" xfId="30042" xr:uid="{D62532BA-8B8F-49F7-9A81-7A8AA1BC6257}"/>
    <cellStyle name="STYLE1 16 4 4" xfId="30043" xr:uid="{50EF7CE2-0EA4-45E6-9A16-F538DB9DA292}"/>
    <cellStyle name="STYLE1 16 4 4 2" xfId="30044" xr:uid="{BBF96EBA-DD46-43F3-99A0-D140D2461D41}"/>
    <cellStyle name="STYLE1 16 4 4 3" xfId="30045" xr:uid="{114D55B0-1B1C-4B90-AD5C-18D1B2C48896}"/>
    <cellStyle name="STYLE1 16 4 5" xfId="30046" xr:uid="{2D6221E1-4FAB-4753-B23B-D67DCB4193B4}"/>
    <cellStyle name="STYLE1 16 5" xfId="30047" xr:uid="{FEBA6D35-76D7-4F50-A662-88B5B4755797}"/>
    <cellStyle name="STYLE1 16 5 2" xfId="30048" xr:uid="{20D8CC69-939C-4825-BE15-0DCFA9C41149}"/>
    <cellStyle name="STYLE1 16 5 2 2" xfId="30049" xr:uid="{1C4D88C1-F1A6-4F29-A831-B6D0A9718328}"/>
    <cellStyle name="STYLE1 16 5 2 2 2" xfId="30050" xr:uid="{F959D5AF-BA1B-4280-AE57-FE1B4D142B6D}"/>
    <cellStyle name="STYLE1 16 5 2 3" xfId="30051" xr:uid="{DEBD8CF2-AD5E-41D2-A505-06F5E5BCC584}"/>
    <cellStyle name="STYLE1 16 5 3" xfId="30052" xr:uid="{984D20EF-80F3-4A12-96A0-21AFF961E458}"/>
    <cellStyle name="STYLE1 16 5 3 2" xfId="30053" xr:uid="{A3677B5E-11EF-4CA0-816F-2467287BBC59}"/>
    <cellStyle name="STYLE1 16 5 4" xfId="30054" xr:uid="{8F4C9D7E-7BDA-4F18-B4AB-431DF168726B}"/>
    <cellStyle name="STYLE1 16 5 4 2" xfId="30055" xr:uid="{E72E5591-4DF5-4332-8F0B-5763BC599979}"/>
    <cellStyle name="STYLE1 16 5 4 3" xfId="30056" xr:uid="{E26ECE48-C456-4502-B369-54FF363244FE}"/>
    <cellStyle name="STYLE1 16 5 5" xfId="30057" xr:uid="{A44C2477-2C3A-4524-BCCA-A20877556532}"/>
    <cellStyle name="STYLE1 16 6" xfId="30058" xr:uid="{EBD72205-1F94-4F8A-871E-A3E09DE4314B}"/>
    <cellStyle name="STYLE1 16 6 2" xfId="30059" xr:uid="{901E1DEE-3D09-4EF4-901E-0ED536002072}"/>
    <cellStyle name="STYLE1 16 6 2 2" xfId="30060" xr:uid="{DDC49ABB-5253-4E80-99FB-19D039E91C70}"/>
    <cellStyle name="STYLE1 16 6 3" xfId="30061" xr:uid="{5712EBEE-50CF-4680-907A-3999896D1251}"/>
    <cellStyle name="STYLE1 16 7" xfId="30062" xr:uid="{CC89A0BA-AA28-449B-AACD-60AB6BD51514}"/>
    <cellStyle name="STYLE1 16 7 2" xfId="30063" xr:uid="{9A8DEDC6-7FB7-41C1-B8CB-F2632E2CEC8C}"/>
    <cellStyle name="STYLE1 16 8" xfId="30064" xr:uid="{81E8B453-DF58-46D8-A5BC-27EEF476A702}"/>
    <cellStyle name="STYLE1 16 8 2" xfId="30065" xr:uid="{CF753615-CF51-4E27-B76F-C26A93F5FAAA}"/>
    <cellStyle name="STYLE1 16 8 3" xfId="30066" xr:uid="{E9C9493F-F882-4725-B89C-02C956988B4C}"/>
    <cellStyle name="STYLE1 16 9" xfId="30067" xr:uid="{111E54C7-4122-42AF-B43C-89308D731F78}"/>
    <cellStyle name="STYLE1 17" xfId="30068" xr:uid="{EB03A14E-FED8-429E-A35B-083409A344E2}"/>
    <cellStyle name="STYLE1 17 2" xfId="30069" xr:uid="{2B61FD7F-04BF-45D6-9CD4-DC8011B6CF79}"/>
    <cellStyle name="STYLE1 17 2 2" xfId="30070" xr:uid="{96961C16-FC05-4C21-8E50-F137F8D126C0}"/>
    <cellStyle name="STYLE1 17 2 2 2" xfId="30071" xr:uid="{93A733E0-1D76-4A4F-B70F-52B0C531E48C}"/>
    <cellStyle name="STYLE1 17 2 2 2 2" xfId="30072" xr:uid="{68559DCF-4F11-483B-ABDC-07E0F2B6EFD2}"/>
    <cellStyle name="STYLE1 17 2 2 3" xfId="30073" xr:uid="{10EB67BD-EAEE-4C97-948A-BD525034DB5D}"/>
    <cellStyle name="STYLE1 17 2 3" xfId="30074" xr:uid="{F5B944FF-E47A-4141-9BE1-D7739ED41AEC}"/>
    <cellStyle name="STYLE1 17 2 3 2" xfId="30075" xr:uid="{57E04356-4B3B-46FE-BCA7-19875B9EFD28}"/>
    <cellStyle name="STYLE1 17 2 4" xfId="30076" xr:uid="{94D4BA93-A13C-4FC1-9E5D-0DAEEE28BE08}"/>
    <cellStyle name="STYLE1 17 2 4 2" xfId="30077" xr:uid="{4EFC6226-1FBC-4F32-9C4B-F84F18C88C63}"/>
    <cellStyle name="STYLE1 17 2 4 3" xfId="30078" xr:uid="{C0CD15AE-F40C-4A39-A55B-31C4F66711A7}"/>
    <cellStyle name="STYLE1 17 2 5" xfId="30079" xr:uid="{69E52CA4-2A16-42D1-A989-904B4E2FD3CC}"/>
    <cellStyle name="STYLE1 17 3" xfId="30080" xr:uid="{02EB711B-3509-40ED-9BE4-085D22D1C3C8}"/>
    <cellStyle name="STYLE1 17 3 2" xfId="30081" xr:uid="{891A5A7E-55CA-4402-8724-87B3ECC74FDA}"/>
    <cellStyle name="STYLE1 17 3 2 2" xfId="30082" xr:uid="{084E28DE-0192-41C5-909D-7ACEBF4D0D9D}"/>
    <cellStyle name="STYLE1 17 3 2 2 2" xfId="30083" xr:uid="{942F3D9E-6294-4A17-A5EA-729B07FA4A53}"/>
    <cellStyle name="STYLE1 17 3 2 3" xfId="30084" xr:uid="{D4D8FF44-E7A3-4F48-B9E0-F08757A3729F}"/>
    <cellStyle name="STYLE1 17 3 3" xfId="30085" xr:uid="{E0B4B6E0-2D6E-4279-BBA6-BBA5E6A29A28}"/>
    <cellStyle name="STYLE1 17 3 3 2" xfId="30086" xr:uid="{2D36CE3B-3F09-461A-9605-F82AE3BBD5C6}"/>
    <cellStyle name="STYLE1 17 3 4" xfId="30087" xr:uid="{43EF80CE-830C-443E-9F52-8CDD3D4ABFD9}"/>
    <cellStyle name="STYLE1 17 3 4 2" xfId="30088" xr:uid="{B26EFED6-6773-49D9-8018-616EE488B884}"/>
    <cellStyle name="STYLE1 17 3 4 3" xfId="30089" xr:uid="{84932C7A-3798-4580-84B9-E8DD06C70F1E}"/>
    <cellStyle name="STYLE1 17 3 5" xfId="30090" xr:uid="{7CA5A5B8-181B-49A3-85CD-6996FECC7024}"/>
    <cellStyle name="STYLE1 17 4" xfId="30091" xr:uid="{175D3E44-A10D-40E3-B832-B03D860EC559}"/>
    <cellStyle name="STYLE1 17 4 2" xfId="30092" xr:uid="{1AD9E333-9EE7-46B4-8D57-3D11F16D2F61}"/>
    <cellStyle name="STYLE1 17 4 2 2" xfId="30093" xr:uid="{D586E4D0-5066-44F6-95F0-0D67104DBBE2}"/>
    <cellStyle name="STYLE1 17 4 2 2 2" xfId="30094" xr:uid="{DEB29C76-E75B-49C7-80B4-EC38B6B88DB2}"/>
    <cellStyle name="STYLE1 17 4 2 3" xfId="30095" xr:uid="{EB22017F-DBCF-4130-971D-B3CAF50283A3}"/>
    <cellStyle name="STYLE1 17 4 3" xfId="30096" xr:uid="{AE9FE55C-ACBA-4F97-A8DB-33435D4DAF54}"/>
    <cellStyle name="STYLE1 17 4 3 2" xfId="30097" xr:uid="{54A11A32-9ECE-4B8E-BB9A-FFD00B71BC4F}"/>
    <cellStyle name="STYLE1 17 4 4" xfId="30098" xr:uid="{FE7AA125-C65E-47A2-A90D-E38DCD4D5330}"/>
    <cellStyle name="STYLE1 17 4 4 2" xfId="30099" xr:uid="{3F625F6B-1F88-4908-87E1-06B7B47F5839}"/>
    <cellStyle name="STYLE1 17 4 4 3" xfId="30100" xr:uid="{4BC0379A-19EB-4F92-8982-2082E23A5468}"/>
    <cellStyle name="STYLE1 17 4 5" xfId="30101" xr:uid="{7C941DE1-9CD2-4C78-975C-A8A767C77356}"/>
    <cellStyle name="STYLE1 17 5" xfId="30102" xr:uid="{471EF40E-0829-46D2-AF82-BB5096CB42B0}"/>
    <cellStyle name="STYLE1 17 5 2" xfId="30103" xr:uid="{89BB4BB6-58A4-4627-A95E-6CA6CD75CD65}"/>
    <cellStyle name="STYLE1 17 5 2 2" xfId="30104" xr:uid="{877D99B6-CF40-4BB5-A815-11AADEBD701F}"/>
    <cellStyle name="STYLE1 17 5 2 2 2" xfId="30105" xr:uid="{0F0B536B-63E0-4DF4-B4CE-D9BE8E82751B}"/>
    <cellStyle name="STYLE1 17 5 2 3" xfId="30106" xr:uid="{EF869432-A7BC-4F42-94DB-62F866D8EC3A}"/>
    <cellStyle name="STYLE1 17 5 3" xfId="30107" xr:uid="{46704169-8035-49C8-8888-1D0762C00A5F}"/>
    <cellStyle name="STYLE1 17 5 3 2" xfId="30108" xr:uid="{D07BB4EF-3193-4E6A-AA41-29BCB5680B96}"/>
    <cellStyle name="STYLE1 17 5 4" xfId="30109" xr:uid="{5EECD7DF-3212-4E68-8E7A-C9219C089D58}"/>
    <cellStyle name="STYLE1 17 5 4 2" xfId="30110" xr:uid="{BD473964-8F47-4981-BECB-F562E942E9D6}"/>
    <cellStyle name="STYLE1 17 5 4 3" xfId="30111" xr:uid="{EE66FE99-AAEA-4206-96FC-F2EA3BE08D96}"/>
    <cellStyle name="STYLE1 17 5 5" xfId="30112" xr:uid="{086E546E-E09F-4553-A329-F745EFB5DE2B}"/>
    <cellStyle name="STYLE1 17 6" xfId="30113" xr:uid="{780E7072-7093-434A-8BC7-9A8F71ED8441}"/>
    <cellStyle name="STYLE1 17 6 2" xfId="30114" xr:uid="{420A4F8B-D760-4F08-8A4E-18E6F48B2E04}"/>
    <cellStyle name="STYLE1 17 6 2 2" xfId="30115" xr:uid="{26473DF0-4A7B-4FD2-8A57-55E86CCF0107}"/>
    <cellStyle name="STYLE1 17 6 3" xfId="30116" xr:uid="{C61CE687-A26C-44AD-8F26-313D67E13B16}"/>
    <cellStyle name="STYLE1 17 7" xfId="30117" xr:uid="{3C0CA253-29F6-425A-BC0D-A24DDA9DC94B}"/>
    <cellStyle name="STYLE1 17 7 2" xfId="30118" xr:uid="{4C8133B7-BFF8-4CA9-AFEB-CDFA3824FE90}"/>
    <cellStyle name="STYLE1 17 8" xfId="30119" xr:uid="{712F638B-E67D-470F-86B4-4F7C54527767}"/>
    <cellStyle name="STYLE1 17 8 2" xfId="30120" xr:uid="{46F540EF-2924-48C8-8BAA-0F0CE6CB691F}"/>
    <cellStyle name="STYLE1 17 8 3" xfId="30121" xr:uid="{DBD75EA9-8DCF-4A99-9FD1-9BCB83A32A6B}"/>
    <cellStyle name="STYLE1 17 9" xfId="30122" xr:uid="{7BF180A4-8338-4AD1-B077-57F405C86791}"/>
    <cellStyle name="STYLE1 18" xfId="30123" xr:uid="{9385E9A6-D8C2-40CC-BFDB-9BA521FF638E}"/>
    <cellStyle name="STYLE1 18 10" xfId="30124" xr:uid="{2B9E1E95-FB8C-4D82-AFCD-08EDF8CBF92C}"/>
    <cellStyle name="STYLE1 18 2" xfId="30125" xr:uid="{5CBA7E1D-3A42-4A61-B82A-ECB8A5C554AE}"/>
    <cellStyle name="STYLE1 18 2 2" xfId="30126" xr:uid="{48865638-8749-4CF6-BD47-91FD5484AEA1}"/>
    <cellStyle name="STYLE1 18 2 2 2" xfId="30127" xr:uid="{FF739772-365E-4917-AC12-30660F60CD73}"/>
    <cellStyle name="STYLE1 18 2 2 2 2" xfId="30128" xr:uid="{AA72F6E4-B07B-4790-8673-C8E60E0772D9}"/>
    <cellStyle name="STYLE1 18 2 2 3" xfId="30129" xr:uid="{0E394B4E-01EC-495A-AD28-D3AA070E1975}"/>
    <cellStyle name="STYLE1 18 2 3" xfId="30130" xr:uid="{B2975F79-AE8E-456B-B641-7616E26AA53D}"/>
    <cellStyle name="STYLE1 18 2 3 2" xfId="30131" xr:uid="{149C2A0D-BEBD-4C04-856E-9A9E1E6F4212}"/>
    <cellStyle name="STYLE1 18 2 4" xfId="30132" xr:uid="{55056662-C02E-44F6-8204-B4B1FA42AD40}"/>
    <cellStyle name="STYLE1 18 2 4 2" xfId="30133" xr:uid="{50708C83-A224-4514-A529-0B7E34BEA76B}"/>
    <cellStyle name="STYLE1 18 2 4 3" xfId="30134" xr:uid="{76C30594-D643-4FA9-8D36-F70AFA3DBBBD}"/>
    <cellStyle name="STYLE1 18 2 5" xfId="30135" xr:uid="{6F08B53A-F659-4891-BCC1-F84D61ED3DFB}"/>
    <cellStyle name="STYLE1 18 3" xfId="30136" xr:uid="{7ADFC968-A2C5-4E84-B569-E8EF35D4285D}"/>
    <cellStyle name="STYLE1 18 3 2" xfId="30137" xr:uid="{2284D77D-2F47-4192-87D4-74551C11CCEB}"/>
    <cellStyle name="STYLE1 18 3 2 2" xfId="30138" xr:uid="{125C1451-2C91-4660-9887-847F95F3B341}"/>
    <cellStyle name="STYLE1 18 3 2 2 2" xfId="30139" xr:uid="{9BC74EF7-1081-42C1-A67F-E919BF35EB15}"/>
    <cellStyle name="STYLE1 18 3 2 3" xfId="30140" xr:uid="{C4438564-E888-4896-8BE2-1B538FC749E2}"/>
    <cellStyle name="STYLE1 18 3 3" xfId="30141" xr:uid="{D48DC76F-5B37-48FB-A11B-E7373891F5DA}"/>
    <cellStyle name="STYLE1 18 3 3 2" xfId="30142" xr:uid="{35AF92E0-1A43-4CBA-B869-1F9962368129}"/>
    <cellStyle name="STYLE1 18 3 4" xfId="30143" xr:uid="{432D179D-F9A7-4E0F-89AF-C9A6493337FC}"/>
    <cellStyle name="STYLE1 18 3 4 2" xfId="30144" xr:uid="{59BADC95-118D-4E4C-8F1D-B59370CD29F6}"/>
    <cellStyle name="STYLE1 18 3 4 3" xfId="30145" xr:uid="{05FF72C0-FB02-46AA-A600-25A36DD3BBE5}"/>
    <cellStyle name="STYLE1 18 3 5" xfId="30146" xr:uid="{301F084E-6908-44FF-8300-2EB7D25DB0BC}"/>
    <cellStyle name="STYLE1 18 3 6" xfId="30147" xr:uid="{7B3C514E-A245-4096-8409-8F449CF75A70}"/>
    <cellStyle name="STYLE1 18 4" xfId="30148" xr:uid="{73056BC8-780F-49DC-ADB4-88B1505226D3}"/>
    <cellStyle name="STYLE1 18 4 2" xfId="30149" xr:uid="{2E8A8DF2-6584-4C55-A2E3-77B7B6D05A9C}"/>
    <cellStyle name="STYLE1 18 4 2 2" xfId="30150" xr:uid="{797D79F4-A9F3-4F01-9676-494DFFCA03EA}"/>
    <cellStyle name="STYLE1 18 4 2 2 2" xfId="30151" xr:uid="{4545D05D-7BCB-42D6-9768-316CE2567D8C}"/>
    <cellStyle name="STYLE1 18 4 2 3" xfId="30152" xr:uid="{6CEAE34D-9521-4C94-8F0B-FF35B786FFD5}"/>
    <cellStyle name="STYLE1 18 4 3" xfId="30153" xr:uid="{732C2742-E60B-4304-994C-EF2F7F20358F}"/>
    <cellStyle name="STYLE1 18 4 3 2" xfId="30154" xr:uid="{D94F988E-3C26-4221-A18F-A6784D060A95}"/>
    <cellStyle name="STYLE1 18 4 4" xfId="30155" xr:uid="{430D3712-B124-4D80-8DF7-93B6A6B478A3}"/>
    <cellStyle name="STYLE1 18 4 4 2" xfId="30156" xr:uid="{2593E24A-661B-4002-AC58-11648233CA51}"/>
    <cellStyle name="STYLE1 18 4 4 3" xfId="30157" xr:uid="{9EB658B5-9B35-4FAC-939B-F05D4B217F56}"/>
    <cellStyle name="STYLE1 18 4 5" xfId="30158" xr:uid="{CC515DAA-BB1F-41EA-A048-EBF05D9D36F5}"/>
    <cellStyle name="STYLE1 18 5" xfId="30159" xr:uid="{2BE1EB06-1EA9-483D-806C-4D2756819BD6}"/>
    <cellStyle name="STYLE1 18 5 2" xfId="30160" xr:uid="{DF457045-F03B-47BD-A3C1-7A1817ED1A7E}"/>
    <cellStyle name="STYLE1 18 5 2 2" xfId="30161" xr:uid="{F5B7671B-04CA-4B53-82CA-EE8B771F2EB2}"/>
    <cellStyle name="STYLE1 18 5 2 2 2" xfId="30162" xr:uid="{90AA05FC-62BE-4884-9312-A74D98E34167}"/>
    <cellStyle name="STYLE1 18 5 2 3" xfId="30163" xr:uid="{8F3EF1A3-29B5-4F33-8F21-9F9043D077A5}"/>
    <cellStyle name="STYLE1 18 5 3" xfId="30164" xr:uid="{2E4688E1-D43E-4048-9F8C-CFED0E671358}"/>
    <cellStyle name="STYLE1 18 5 3 2" xfId="30165" xr:uid="{E8A67764-012E-4A9E-9C74-16EB748E14A7}"/>
    <cellStyle name="STYLE1 18 5 4" xfId="30166" xr:uid="{F770AA18-698F-4909-A854-B30C95128E85}"/>
    <cellStyle name="STYLE1 18 5 4 2" xfId="30167" xr:uid="{E301690F-CB7B-4E37-86C1-865F0E033281}"/>
    <cellStyle name="STYLE1 18 5 4 3" xfId="30168" xr:uid="{FE749E8D-B14D-48A2-B206-3D45DFC18C43}"/>
    <cellStyle name="STYLE1 18 5 5" xfId="30169" xr:uid="{28F77D8C-9A61-4377-8F16-097F2CFC5D4D}"/>
    <cellStyle name="STYLE1 18 6" xfId="30170" xr:uid="{12F5FFF4-9A10-447C-8A73-2E286EC179F1}"/>
    <cellStyle name="STYLE1 18 6 2" xfId="30171" xr:uid="{07C1ACF7-3CB6-4F11-91D6-AF41C2B51DFC}"/>
    <cellStyle name="STYLE1 18 6 2 2" xfId="30172" xr:uid="{1F19F2A0-D405-46B0-B89C-55861E7EDF57}"/>
    <cellStyle name="STYLE1 18 6 3" xfId="30173" xr:uid="{C59096AF-B55F-4AC6-AA95-3195CF5EE0A6}"/>
    <cellStyle name="STYLE1 18 7" xfId="30174" xr:uid="{A87679D2-25B7-4AE8-86EF-4F97A14218B4}"/>
    <cellStyle name="STYLE1 18 7 2" xfId="30175" xr:uid="{553DE2E5-5320-451A-A48B-3D2F75355B71}"/>
    <cellStyle name="STYLE1 18 8" xfId="30176" xr:uid="{706F1218-BD97-4D6D-94A6-DBBAAD68823D}"/>
    <cellStyle name="STYLE1 18 8 2" xfId="30177" xr:uid="{E1055DDB-6B0E-4EFF-8250-58661DB7686D}"/>
    <cellStyle name="STYLE1 18 8 3" xfId="30178" xr:uid="{1BE40881-2F74-4D2D-BD26-CE5524A3B559}"/>
    <cellStyle name="STYLE1 18 9" xfId="30179" xr:uid="{3BB9B1FC-F5F3-4247-A049-854F2AF34F68}"/>
    <cellStyle name="STYLE1 19" xfId="30180" xr:uid="{D64FF2F7-3409-4EE0-9B53-640BAA7854C3}"/>
    <cellStyle name="STYLE1 19 10" xfId="30181" xr:uid="{C4C794E5-52B6-41C2-A64C-A0CD43DEF910}"/>
    <cellStyle name="STYLE1 19 2" xfId="30182" xr:uid="{9D396510-3668-45B9-A3E2-BCB9D1CCBAFA}"/>
    <cellStyle name="STYLE1 19 2 2" xfId="30183" xr:uid="{8638332F-5DF1-4134-A80D-B6FEE11BB9A8}"/>
    <cellStyle name="STYLE1 19 2 2 2" xfId="30184" xr:uid="{A76ACB61-378A-4707-925E-5FDA6865FE94}"/>
    <cellStyle name="STYLE1 19 2 2 2 2" xfId="30185" xr:uid="{A6DBB890-4D11-43E2-94D8-8128D7D4D87D}"/>
    <cellStyle name="STYLE1 19 2 2 3" xfId="30186" xr:uid="{73A197C0-A87B-4CC2-BDAD-93409AF18E1B}"/>
    <cellStyle name="STYLE1 19 2 3" xfId="30187" xr:uid="{688A2416-0F63-49BD-A1CC-5FD8228022B7}"/>
    <cellStyle name="STYLE1 19 2 3 2" xfId="30188" xr:uid="{2D21ECD7-C457-4DEE-B505-7C59CDA2CD41}"/>
    <cellStyle name="STYLE1 19 2 4" xfId="30189" xr:uid="{AE68917D-5663-4228-876C-97876DE65B31}"/>
    <cellStyle name="STYLE1 19 2 4 2" xfId="30190" xr:uid="{689F2D56-94EA-4BBC-876A-BD5CE10953B5}"/>
    <cellStyle name="STYLE1 19 2 4 3" xfId="30191" xr:uid="{AE6EFA85-2228-4B1B-AB79-62C8D2C77367}"/>
    <cellStyle name="STYLE1 19 2 5" xfId="30192" xr:uid="{F064CEB6-19D3-4898-AA1E-64C78D767482}"/>
    <cellStyle name="STYLE1 19 3" xfId="30193" xr:uid="{8BBB2F92-4ADA-4539-A9CB-59816F3A5FB3}"/>
    <cellStyle name="STYLE1 19 3 2" xfId="30194" xr:uid="{6DC7E888-2995-41C9-AF33-1522FE989F38}"/>
    <cellStyle name="STYLE1 19 3 2 2" xfId="30195" xr:uid="{920B4A52-8433-4A02-8D50-8546BA9D862B}"/>
    <cellStyle name="STYLE1 19 3 2 2 2" xfId="30196" xr:uid="{E3E55387-6EEC-414D-9024-C6FD01C2B7F3}"/>
    <cellStyle name="STYLE1 19 3 2 3" xfId="30197" xr:uid="{1CB7BE98-5327-4EC3-9509-B93383B0A79E}"/>
    <cellStyle name="STYLE1 19 3 3" xfId="30198" xr:uid="{303FECB3-1BD2-4A3B-9D95-0E3E44DEFC82}"/>
    <cellStyle name="STYLE1 19 3 3 2" xfId="30199" xr:uid="{CB5CCFF9-D0E4-440E-979B-AA5C9C5EF6BF}"/>
    <cellStyle name="STYLE1 19 3 4" xfId="30200" xr:uid="{63AE4D77-5FBD-4E10-BF7C-C8E9D7CF5BC6}"/>
    <cellStyle name="STYLE1 19 3 4 2" xfId="30201" xr:uid="{C2BAA456-519A-4169-95C9-2FC9DA944957}"/>
    <cellStyle name="STYLE1 19 3 4 3" xfId="30202" xr:uid="{FCE4A897-0B29-4707-8548-723F1F30C49D}"/>
    <cellStyle name="STYLE1 19 3 5" xfId="30203" xr:uid="{498583A5-CC71-4744-AADE-F2759A51AC81}"/>
    <cellStyle name="STYLE1 19 3 6" xfId="30204" xr:uid="{7B52CBAA-5AEB-4EB3-A9F0-8C8558C98E92}"/>
    <cellStyle name="STYLE1 19 4" xfId="30205" xr:uid="{59CCE919-14E8-4088-8419-B2D4884504B6}"/>
    <cellStyle name="STYLE1 19 4 2" xfId="30206" xr:uid="{E7E14467-DA64-41A1-8470-23ED9BB7478B}"/>
    <cellStyle name="STYLE1 19 4 2 2" xfId="30207" xr:uid="{D2360F4B-0DF9-49D8-BE48-189A5B4C845E}"/>
    <cellStyle name="STYLE1 19 4 2 2 2" xfId="30208" xr:uid="{12A4C737-82BB-4842-8095-3E6B7B12862B}"/>
    <cellStyle name="STYLE1 19 4 2 3" xfId="30209" xr:uid="{6CD4085E-DD19-4FCD-99AD-E938B95FD59B}"/>
    <cellStyle name="STYLE1 19 4 3" xfId="30210" xr:uid="{C3CC2E39-54B0-4867-8CB9-B480D8973006}"/>
    <cellStyle name="STYLE1 19 4 3 2" xfId="30211" xr:uid="{ABC61B93-4D31-4438-89D0-87561ACBF5DF}"/>
    <cellStyle name="STYLE1 19 4 4" xfId="30212" xr:uid="{C36B78D4-A9D1-4013-B7B2-15687187B951}"/>
    <cellStyle name="STYLE1 19 4 4 2" xfId="30213" xr:uid="{91DF40C2-465D-4E48-8077-D5B167EADAEF}"/>
    <cellStyle name="STYLE1 19 4 4 3" xfId="30214" xr:uid="{26ADE368-2A19-4031-A1C3-C1424F37A07F}"/>
    <cellStyle name="STYLE1 19 4 5" xfId="30215" xr:uid="{8829D5C8-2D01-4C7E-981A-826D30DB4B76}"/>
    <cellStyle name="STYLE1 19 5" xfId="30216" xr:uid="{74711796-A315-4299-8FBC-1EB22D9395EF}"/>
    <cellStyle name="STYLE1 19 5 2" xfId="30217" xr:uid="{18EFEF2A-2ED4-497D-AAB1-5962B9A3B93A}"/>
    <cellStyle name="STYLE1 19 5 2 2" xfId="30218" xr:uid="{242EAA8D-E010-485B-902A-7F1DB894E3AC}"/>
    <cellStyle name="STYLE1 19 5 2 2 2" xfId="30219" xr:uid="{50CB607D-1046-4C40-906B-8AB9E730A0AC}"/>
    <cellStyle name="STYLE1 19 5 2 3" xfId="30220" xr:uid="{6D887F91-A8FA-49C6-B21F-5287A542B7BF}"/>
    <cellStyle name="STYLE1 19 5 3" xfId="30221" xr:uid="{F4555723-1851-4FF8-B04A-5E1265A42186}"/>
    <cellStyle name="STYLE1 19 5 3 2" xfId="30222" xr:uid="{585BC402-5947-44B5-83AA-C7D7B99D6F35}"/>
    <cellStyle name="STYLE1 19 5 4" xfId="30223" xr:uid="{6A54EF4A-6412-4A9F-80EA-3E63B76F46B4}"/>
    <cellStyle name="STYLE1 19 5 4 2" xfId="30224" xr:uid="{1B193630-B18B-48C7-BCB5-46BC9C92F254}"/>
    <cellStyle name="STYLE1 19 5 4 3" xfId="30225" xr:uid="{8DE042D1-A28F-458D-B1C4-668C5B9EE413}"/>
    <cellStyle name="STYLE1 19 5 5" xfId="30226" xr:uid="{53227CE1-68C5-4061-A89E-7F7AEFDBA3A3}"/>
    <cellStyle name="STYLE1 19 6" xfId="30227" xr:uid="{65C4F8AF-6E39-487E-B967-BEE58C31D74B}"/>
    <cellStyle name="STYLE1 19 6 2" xfId="30228" xr:uid="{3026580F-4751-4E49-873E-9FBE52EEDEAF}"/>
    <cellStyle name="STYLE1 19 6 2 2" xfId="30229" xr:uid="{CA53F3D7-1227-421C-A9F3-4E921BA3FC26}"/>
    <cellStyle name="STYLE1 19 6 3" xfId="30230" xr:uid="{48423F52-2ECC-4622-80E0-A873AD57CB8E}"/>
    <cellStyle name="STYLE1 19 7" xfId="30231" xr:uid="{3BAB68D5-9689-4B80-B566-5A244672F3C7}"/>
    <cellStyle name="STYLE1 19 7 2" xfId="30232" xr:uid="{99AF7A8A-8224-41C9-B675-1AE7551A9D43}"/>
    <cellStyle name="STYLE1 19 8" xfId="30233" xr:uid="{9D1527E4-4DA4-4AFE-96DD-A9428E208505}"/>
    <cellStyle name="STYLE1 19 8 2" xfId="30234" xr:uid="{28C6E527-1626-402B-AA1C-57AE796B895A}"/>
    <cellStyle name="STYLE1 19 8 3" xfId="30235" xr:uid="{5CB263BC-B6FF-407C-AB54-69129E0D6718}"/>
    <cellStyle name="STYLE1 19 9" xfId="30236" xr:uid="{3CA2B431-E947-4136-93E1-754652A248D3}"/>
    <cellStyle name="STYLE1 2" xfId="30237" xr:uid="{09791FB6-EE3A-4CBB-B934-F9E169F087E7}"/>
    <cellStyle name="STYLE1 2 10" xfId="30238" xr:uid="{E9916D34-DB8E-47FB-9296-4C748FC9F212}"/>
    <cellStyle name="STYLE1 2 11" xfId="30239" xr:uid="{5033458C-DEF2-4CCB-8D1F-9542CFF9D3B6}"/>
    <cellStyle name="STYLE1 2 12" xfId="30240" xr:uid="{30FF1B8D-DEC5-4A40-AD63-01328C6B3207}"/>
    <cellStyle name="STYLE1 2 13" xfId="30241" xr:uid="{9F01560F-4B39-4353-B39C-DC63FCF9822A}"/>
    <cellStyle name="STYLE1 2 14" xfId="30242" xr:uid="{67B422A6-74FE-43EA-87A6-C373128A1C43}"/>
    <cellStyle name="STYLE1 2 15" xfId="30243" xr:uid="{576DA8FE-97C0-483C-8E3C-259AFD37D415}"/>
    <cellStyle name="STYLE1 2 16" xfId="30244" xr:uid="{56251C15-732A-4C1D-988F-F7B25CB11ADB}"/>
    <cellStyle name="STYLE1 2 17" xfId="30245" xr:uid="{6469C160-2BC1-46CE-989D-6B651FF1F962}"/>
    <cellStyle name="STYLE1 2 18" xfId="30246" xr:uid="{B631C659-DE57-40D6-A2EC-B6095152E193}"/>
    <cellStyle name="STYLE1 2 19" xfId="30247" xr:uid="{E7F6C403-C5C0-48E6-9F3F-02C494DE066F}"/>
    <cellStyle name="STYLE1 2 2" xfId="30248" xr:uid="{B2D5CC21-44AF-432F-B9EE-B776040597E6}"/>
    <cellStyle name="STYLE1 2 2 2" xfId="30249" xr:uid="{A0178054-B44D-4531-8F50-9CE2E0E777BD}"/>
    <cellStyle name="STYLE1 2 2 2 2" xfId="30250" xr:uid="{C0ECF891-A85D-4813-8237-8D4973C05F5F}"/>
    <cellStyle name="STYLE1 2 2 2 2 2" xfId="30251" xr:uid="{29646240-74C3-4078-8489-A43EAECBEEC9}"/>
    <cellStyle name="STYLE1 2 2 2 3" xfId="30252" xr:uid="{03BCA477-4C30-4DF2-86FF-B34D9A704E3A}"/>
    <cellStyle name="STYLE1 2 2 2 4" xfId="30253" xr:uid="{25FDDA3B-7CAC-49CD-B487-107876831F93}"/>
    <cellStyle name="STYLE1 2 2 3" xfId="30254" xr:uid="{7EA09434-420F-41C5-8A62-25FFB1E3B11B}"/>
    <cellStyle name="STYLE1 2 2 3 2" xfId="30255" xr:uid="{F86EB95E-286C-43E1-865F-A4E2FBE3D51B}"/>
    <cellStyle name="STYLE1 2 2 3 3" xfId="30256" xr:uid="{73D5B0D8-36A1-4493-86A3-E22DEC16EC28}"/>
    <cellStyle name="STYLE1 2 2 4" xfId="30257" xr:uid="{E5B2F2EC-06B1-4795-89F7-1633A66515CC}"/>
    <cellStyle name="STYLE1 2 2 4 2" xfId="30258" xr:uid="{EB5A4A43-91AC-4814-B49F-9F650C37A24E}"/>
    <cellStyle name="STYLE1 2 20" xfId="30259" xr:uid="{A51A85E7-CD36-408B-ACC0-54B442563756}"/>
    <cellStyle name="STYLE1 2 21" xfId="30260" xr:uid="{37BDAF73-B6E7-4732-8C2F-1B5F7E0182FA}"/>
    <cellStyle name="STYLE1 2 22" xfId="30261" xr:uid="{F0FBD2DD-5889-45F0-B769-A202224FA308}"/>
    <cellStyle name="STYLE1 2 23" xfId="30262" xr:uid="{0903C0E8-4117-4792-B0EE-DBA9E3D1403C}"/>
    <cellStyle name="STYLE1 2 24" xfId="30263" xr:uid="{70372998-40F6-428A-8510-664A476DB98E}"/>
    <cellStyle name="STYLE1 2 25" xfId="30264" xr:uid="{FEADCACD-7DA0-48AA-A8AA-145178EF8851}"/>
    <cellStyle name="STYLE1 2 26" xfId="30265" xr:uid="{46326A3B-7081-4F64-834A-711F9B3694CC}"/>
    <cellStyle name="STYLE1 2 27" xfId="30266" xr:uid="{BEB1102E-C3D1-4069-941D-42416D1FFB0E}"/>
    <cellStyle name="STYLE1 2 28" xfId="30267" xr:uid="{407ACA16-DCEE-4DE2-863F-83DAC40A6CE8}"/>
    <cellStyle name="STYLE1 2 3" xfId="30268" xr:uid="{BE8A1E8D-5800-4201-B1A7-25A176E99F5A}"/>
    <cellStyle name="STYLE1 2 3 2" xfId="30269" xr:uid="{052FDC43-356E-4DEC-8F94-F8CB2379AFD8}"/>
    <cellStyle name="STYLE1 2 3 2 2" xfId="30270" xr:uid="{8F13E455-99EA-4C5B-ACA3-97C322B46768}"/>
    <cellStyle name="STYLE1 2 3 2 3" xfId="30271" xr:uid="{246FE23F-4684-4F59-A543-DC1FAFA3A3E0}"/>
    <cellStyle name="STYLE1 2 3 3" xfId="30272" xr:uid="{7A9A6FAD-0584-4B81-90F5-A8D5047F441B}"/>
    <cellStyle name="STYLE1 2 3 3 2" xfId="30273" xr:uid="{5D040361-F726-434A-B8C4-CB734EF9FA32}"/>
    <cellStyle name="STYLE1 2 3 4" xfId="30274" xr:uid="{77B4392C-4D8E-406D-95F5-7B539A0E2777}"/>
    <cellStyle name="STYLE1 2 4" xfId="30275" xr:uid="{366C583A-56FC-481E-9818-3E9823A8D4EC}"/>
    <cellStyle name="STYLE1 2 4 2" xfId="30276" xr:uid="{FF18ACB9-3E4C-46CB-B380-7C961F681BF6}"/>
    <cellStyle name="STYLE1 2 4 2 2" xfId="30277" xr:uid="{E5DA6983-21A5-40ED-B50A-EAE79672F8FB}"/>
    <cellStyle name="STYLE1 2 4 3" xfId="30278" xr:uid="{A5141016-7BBE-4857-B504-B8F02F91DC4A}"/>
    <cellStyle name="STYLE1 2 4 4" xfId="30279" xr:uid="{F2D6F38E-944D-496D-9BD8-2E3E6B18D2B5}"/>
    <cellStyle name="STYLE1 2 4 5" xfId="30280" xr:uid="{9B9CD2FD-B953-4634-84D2-B06569C59E89}"/>
    <cellStyle name="STYLE1 2 5" xfId="30281" xr:uid="{1A2AE111-BEC6-435E-9D3E-6C1FD9A45175}"/>
    <cellStyle name="STYLE1 2 5 2" xfId="30282" xr:uid="{C1BE7BCD-7C91-4CD9-87A2-52A1AF7A3DA5}"/>
    <cellStyle name="STYLE1 2 5 2 2" xfId="30283" xr:uid="{FF613B4F-04F9-487A-B76E-260A24D204A8}"/>
    <cellStyle name="STYLE1 2 5 3" xfId="30284" xr:uid="{1FF93D5B-4E75-4612-894B-33B6E34F6A7C}"/>
    <cellStyle name="STYLE1 2 5 3 2" xfId="30285" xr:uid="{4B634D39-DF4A-4CAB-8363-BDE4842C7112}"/>
    <cellStyle name="STYLE1 2 5 4" xfId="30286" xr:uid="{6E55017B-099E-40B4-BD4C-46DAAD51AD75}"/>
    <cellStyle name="STYLE1 2 5 5" xfId="30287" xr:uid="{F7A8DBCB-8487-42C9-8361-39B1230951FC}"/>
    <cellStyle name="STYLE1 2 6" xfId="30288" xr:uid="{C72A4312-AE24-486B-BC0D-DB1D429DEA38}"/>
    <cellStyle name="STYLE1 2 6 2" xfId="30289" xr:uid="{4691EC12-F4E4-43D9-92D9-D86989FC62D3}"/>
    <cellStyle name="STYLE1 2 7" xfId="30290" xr:uid="{A7764D4A-3B80-415A-96B6-BED3E925775A}"/>
    <cellStyle name="STYLE1 2 8" xfId="30291" xr:uid="{839F76D6-3F3E-483F-92B1-D6947DE6D5E0}"/>
    <cellStyle name="STYLE1 2 9" xfId="30292" xr:uid="{01A8B69F-0490-47EB-A5F1-A7F4177ABBE4}"/>
    <cellStyle name="STYLE1 2_11-03 - PHI Consolidated - Summary of FIN 48 Related To DC Q4 2010" xfId="30293" xr:uid="{50C03FE3-07CE-43A1-8854-F31531450F76}"/>
    <cellStyle name="STYLE1 20" xfId="30294" xr:uid="{8BE7C713-2B2D-433D-B616-2305AED25CA7}"/>
    <cellStyle name="STYLE1 20 2" xfId="30295" xr:uid="{E2DA9A25-B605-4F51-BAF6-D910D900886B}"/>
    <cellStyle name="STYLE1 20 2 2" xfId="30296" xr:uid="{7842DCC3-1EB9-43E6-8588-951AA5A1BA34}"/>
    <cellStyle name="STYLE1 20 2 2 2" xfId="30297" xr:uid="{D4250735-FD32-4A90-8822-929321FE7557}"/>
    <cellStyle name="STYLE1 20 2 3" xfId="30298" xr:uid="{3ADFDBFC-85B2-4D6F-BC73-9DC824D8A7C2}"/>
    <cellStyle name="STYLE1 20 3" xfId="30299" xr:uid="{E405598C-3A59-41A6-94C6-7FCADD470D79}"/>
    <cellStyle name="STYLE1 20 3 2" xfId="30300" xr:uid="{59505E2A-0451-449F-B8A4-7C5C05E227BA}"/>
    <cellStyle name="STYLE1 20 3 3" xfId="30301" xr:uid="{D5E09544-B178-4117-9223-4FE19E28FDA3}"/>
    <cellStyle name="STYLE1 20 4" xfId="30302" xr:uid="{C0634F56-3FEB-4574-B0F1-A31FC8F8156C}"/>
    <cellStyle name="STYLE1 20 4 2" xfId="30303" xr:uid="{AD0CA1EA-CB02-4A51-AED4-A5181CB0E247}"/>
    <cellStyle name="STYLE1 20 4 3" xfId="30304" xr:uid="{980F0875-80E6-4D90-8DCA-D6093D05495B}"/>
    <cellStyle name="STYLE1 20 5" xfId="30305" xr:uid="{D3E669BD-59C9-49DF-BC5B-B45E116A9CA4}"/>
    <cellStyle name="STYLE1 20 6" xfId="30306" xr:uid="{949C3B26-865C-41F5-BEB1-6DCFF55803EE}"/>
    <cellStyle name="STYLE1 21" xfId="30307" xr:uid="{A356407F-485B-401E-9153-44AA47E43DB5}"/>
    <cellStyle name="STYLE1 21 2" xfId="30308" xr:uid="{52958A23-07DF-4991-BA97-E5C5C1382CF5}"/>
    <cellStyle name="STYLE1 21 2 2" xfId="30309" xr:uid="{F96DA341-B0B9-4E3F-952D-CE72832A55CD}"/>
    <cellStyle name="STYLE1 21 2 2 2" xfId="30310" xr:uid="{DFFD7505-B232-4319-BFA5-D26F869C821E}"/>
    <cellStyle name="STYLE1 21 2 3" xfId="30311" xr:uid="{58F4866D-EC69-4FFC-B24B-E494F3E9E3A5}"/>
    <cellStyle name="STYLE1 21 3" xfId="30312" xr:uid="{604042AE-9742-4D92-A37C-46BBEB91635E}"/>
    <cellStyle name="STYLE1 21 3 2" xfId="30313" xr:uid="{540FD303-CEB2-4934-B636-2CA898C7D75D}"/>
    <cellStyle name="STYLE1 21 3 3" xfId="30314" xr:uid="{91480F9D-FF58-4DA4-A5C4-92C8541606FF}"/>
    <cellStyle name="STYLE1 21 4" xfId="30315" xr:uid="{464E7DB8-F14F-41A8-8A91-C7906E465621}"/>
    <cellStyle name="STYLE1 21 4 2" xfId="30316" xr:uid="{F7AFB15A-DD72-4039-B9AC-1607A737896B}"/>
    <cellStyle name="STYLE1 21 4 3" xfId="30317" xr:uid="{B0143A03-8861-4C21-8F24-7D1D50A768D7}"/>
    <cellStyle name="STYLE1 21 5" xfId="30318" xr:uid="{95E9875B-4F7E-4639-8EC6-A961A2483D4C}"/>
    <cellStyle name="STYLE1 21 6" xfId="30319" xr:uid="{E29E3A72-2311-4F0D-B6E0-E977A020A75B}"/>
    <cellStyle name="STYLE1 22" xfId="30320" xr:uid="{ED7E02D8-62FC-42B3-8E72-DA9B31DAC0E0}"/>
    <cellStyle name="STYLE1 22 2" xfId="30321" xr:uid="{C50EBE27-208C-4253-AE7D-EA45EA248821}"/>
    <cellStyle name="STYLE1 22 2 2" xfId="30322" xr:uid="{665C012A-786A-415B-B0DD-B9BA2DFB4D53}"/>
    <cellStyle name="STYLE1 22 2 2 2" xfId="30323" xr:uid="{ACC2BB16-8A61-489A-B3BE-A8F81040A143}"/>
    <cellStyle name="STYLE1 22 2 3" xfId="30324" xr:uid="{A8712FEA-096C-42B1-94CF-FBE2CABA8D1C}"/>
    <cellStyle name="STYLE1 22 3" xfId="30325" xr:uid="{9EB7649D-F21A-4E7F-AAD8-D70CB53E9346}"/>
    <cellStyle name="STYLE1 22 3 2" xfId="30326" xr:uid="{0E52980F-337C-4CEE-9E81-538CD61B8B0B}"/>
    <cellStyle name="STYLE1 22 3 3" xfId="30327" xr:uid="{33B0473A-F094-4277-B9B7-2AB3BF1DA7C5}"/>
    <cellStyle name="STYLE1 22 4" xfId="30328" xr:uid="{833498F8-A0F3-4502-BBA7-0225CBB2E8D9}"/>
    <cellStyle name="STYLE1 22 4 2" xfId="30329" xr:uid="{68D62334-0F8E-4680-BFDD-60B5178761DF}"/>
    <cellStyle name="STYLE1 22 4 3" xfId="30330" xr:uid="{A00E6734-7270-4029-B6DB-AC777FB83EDE}"/>
    <cellStyle name="STYLE1 22 5" xfId="30331" xr:uid="{799C41BE-D2C5-4752-90FF-DA94A38C5BD8}"/>
    <cellStyle name="STYLE1 22 6" xfId="30332" xr:uid="{3E3420F7-E0FC-4049-B9CF-28E69838B9CD}"/>
    <cellStyle name="STYLE1 23" xfId="30333" xr:uid="{2BC69EEC-0FC2-4B00-8380-10356D41D57B}"/>
    <cellStyle name="STYLE1 23 2" xfId="30334" xr:uid="{6EB1A1FC-3406-4166-80E5-CD277A3FF8ED}"/>
    <cellStyle name="STYLE1 23 2 2" xfId="30335" xr:uid="{9307AC1D-3256-410B-9974-8FF4719876C5}"/>
    <cellStyle name="STYLE1 23 2 2 2" xfId="30336" xr:uid="{D67810A2-F055-4960-9706-4563B37BAFFE}"/>
    <cellStyle name="STYLE1 23 2 3" xfId="30337" xr:uid="{D4B80B48-3C6D-4EAF-926B-62752997B934}"/>
    <cellStyle name="STYLE1 23 3" xfId="30338" xr:uid="{B66321F1-F580-410B-9364-24F5D8265C5E}"/>
    <cellStyle name="STYLE1 23 3 2" xfId="30339" xr:uid="{F9F66DEE-A357-45ED-A8DB-9D5BADCB99FA}"/>
    <cellStyle name="STYLE1 23 3 3" xfId="30340" xr:uid="{21234DA7-5DB5-44D0-BD66-8FD17AAB182F}"/>
    <cellStyle name="STYLE1 23 4" xfId="30341" xr:uid="{86B62463-9662-4574-A297-B2278A95FF59}"/>
    <cellStyle name="STYLE1 23 4 2" xfId="30342" xr:uid="{E751286D-8C80-47B8-99A7-B6F0AB0261CC}"/>
    <cellStyle name="STYLE1 23 4 3" xfId="30343" xr:uid="{EF599497-4FAD-4DE9-933C-BC8FA5876C3B}"/>
    <cellStyle name="STYLE1 23 5" xfId="30344" xr:uid="{977C1946-96DA-4556-A52F-84EF3A65B6CD}"/>
    <cellStyle name="STYLE1 23 6" xfId="30345" xr:uid="{8DC6D139-1278-44FD-ADBA-D1F7A54F557C}"/>
    <cellStyle name="STYLE1 24" xfId="30346" xr:uid="{392D1F65-B39B-4E32-ABFA-8989213EC44C}"/>
    <cellStyle name="STYLE1 24 2" xfId="30347" xr:uid="{BFE3440A-F45D-4ECC-B679-7195136E040B}"/>
    <cellStyle name="STYLE1 24 2 2" xfId="30348" xr:uid="{F44BE4BC-809E-4EF8-BC9E-A1352060B59C}"/>
    <cellStyle name="STYLE1 24 2 2 2" xfId="30349" xr:uid="{F800AF8D-2A1F-4433-90F0-D90E38469426}"/>
    <cellStyle name="STYLE1 24 2 3" xfId="30350" xr:uid="{0EFB3146-13EF-4BF5-97A1-67808E5A61D2}"/>
    <cellStyle name="STYLE1 24 3" xfId="30351" xr:uid="{751436B3-1CB8-4219-8BB2-8AF423FD1A0F}"/>
    <cellStyle name="STYLE1 24 3 2" xfId="30352" xr:uid="{B60875D7-F9B8-4F03-9C81-9689D1EFDE9E}"/>
    <cellStyle name="STYLE1 24 3 3" xfId="30353" xr:uid="{F70594BC-4FC5-4A4A-8B36-C56BB2D23B29}"/>
    <cellStyle name="STYLE1 24 4" xfId="30354" xr:uid="{448853DA-53B6-4FFA-9573-80B11620000B}"/>
    <cellStyle name="STYLE1 24 4 2" xfId="30355" xr:uid="{AA57F5DF-D1EA-4EF7-8EED-1DAC339E089E}"/>
    <cellStyle name="STYLE1 24 4 3" xfId="30356" xr:uid="{D9F62B7F-9394-4B7B-BF4F-2425EFAC949C}"/>
    <cellStyle name="STYLE1 24 5" xfId="30357" xr:uid="{5C7C4267-A1DB-4A69-9299-9716A80E7B05}"/>
    <cellStyle name="STYLE1 24 6" xfId="30358" xr:uid="{412B0D6F-186F-4EB9-BBB6-DC6717FCD1FF}"/>
    <cellStyle name="STYLE1 25" xfId="30359" xr:uid="{B66E48E2-9593-46C6-B86F-94D1C1B7C6C4}"/>
    <cellStyle name="STYLE1 25 2" xfId="30360" xr:uid="{ED54E550-9ED8-40F4-8183-CFB4696DC382}"/>
    <cellStyle name="STYLE1 25 2 2" xfId="30361" xr:uid="{530281B3-1AF7-45B4-A5B2-1117F046FB5A}"/>
    <cellStyle name="STYLE1 25 2 2 2" xfId="30362" xr:uid="{30875E48-3B07-458D-B926-B9D81112547D}"/>
    <cellStyle name="STYLE1 25 2 3" xfId="30363" xr:uid="{B1BE65B2-664D-4CDD-ACDB-204A25B9DEF1}"/>
    <cellStyle name="STYLE1 25 3" xfId="30364" xr:uid="{3D8A8675-66E3-4DCE-B338-24E5E56B636E}"/>
    <cellStyle name="STYLE1 25 3 2" xfId="30365" xr:uid="{E3CC0E32-DC3D-4A53-9600-1B99901ECF1A}"/>
    <cellStyle name="STYLE1 25 3 3" xfId="30366" xr:uid="{16C92136-A1EE-4D60-BFF4-FD4F4C3F434C}"/>
    <cellStyle name="STYLE1 25 4" xfId="30367" xr:uid="{5D5CC550-324F-456E-96FB-EFDBA097C304}"/>
    <cellStyle name="STYLE1 25 4 2" xfId="30368" xr:uid="{8B635007-C59B-4CA2-BBC7-BD9063246204}"/>
    <cellStyle name="STYLE1 25 4 3" xfId="30369" xr:uid="{107817C9-8325-4E21-B3A2-6B6CF0657B18}"/>
    <cellStyle name="STYLE1 25 5" xfId="30370" xr:uid="{8DD67E24-6974-4E96-9E8E-20F974532E0B}"/>
    <cellStyle name="STYLE1 25 6" xfId="30371" xr:uid="{0BFB7B8A-9FFE-4B22-A2A4-07F00D18AE4B}"/>
    <cellStyle name="STYLE1 26" xfId="30372" xr:uid="{2D157072-58EB-4A1A-A7BE-36B43E3CF654}"/>
    <cellStyle name="STYLE1 26 2" xfId="30373" xr:uid="{315AC914-A25A-4BF5-9387-E692171E1CAB}"/>
    <cellStyle name="STYLE1 26 2 2" xfId="30374" xr:uid="{87A11286-1CA7-4C94-B6DB-96C74FD7E397}"/>
    <cellStyle name="STYLE1 26 2 2 2" xfId="30375" xr:uid="{14D8CDFA-F28F-49EE-9D69-4D3B478C11A8}"/>
    <cellStyle name="STYLE1 26 2 3" xfId="30376" xr:uid="{09EDBE20-2168-417C-8EC9-B162FC3C0E84}"/>
    <cellStyle name="STYLE1 26 3" xfId="30377" xr:uid="{7FAE9842-0B2D-4AAE-9964-BC115DE5F733}"/>
    <cellStyle name="STYLE1 26 3 2" xfId="30378" xr:uid="{40404C6F-B369-4A02-BFD4-03B51DAD379C}"/>
    <cellStyle name="STYLE1 26 3 3" xfId="30379" xr:uid="{26CCEF6D-8142-4A3C-9530-9272E713EA98}"/>
    <cellStyle name="STYLE1 26 4" xfId="30380" xr:uid="{EDCCE429-B2FD-42C5-A1AE-625D6360CE48}"/>
    <cellStyle name="STYLE1 26 4 2" xfId="30381" xr:uid="{6176CAA9-7037-438F-94A0-AD56673B17BB}"/>
    <cellStyle name="STYLE1 26 4 3" xfId="30382" xr:uid="{53B47227-E284-4A58-BF97-09B9ABF4BD45}"/>
    <cellStyle name="STYLE1 26 5" xfId="30383" xr:uid="{7646D38F-8616-4B10-977B-29A8F9EF6522}"/>
    <cellStyle name="STYLE1 26 6" xfId="30384" xr:uid="{02B6CCDE-A06B-4D65-961D-7643912F315F}"/>
    <cellStyle name="STYLE1 27" xfId="30385" xr:uid="{BD412080-56D9-4C86-A92C-0D3C01CA669B}"/>
    <cellStyle name="STYLE1 27 2" xfId="30386" xr:uid="{1238483F-7EF6-4D2A-872B-54C16845C1E0}"/>
    <cellStyle name="STYLE1 27 2 2" xfId="30387" xr:uid="{095CF5F3-A860-42F0-8773-E489422007C6}"/>
    <cellStyle name="STYLE1 27 2 2 2" xfId="30388" xr:uid="{3C2E05FB-88DD-4E00-8F1E-CFDD355B7589}"/>
    <cellStyle name="STYLE1 27 2 3" xfId="30389" xr:uid="{75634CC7-941D-480F-9B19-89155A92AA67}"/>
    <cellStyle name="STYLE1 27 3" xfId="30390" xr:uid="{8A20E6D4-CA7C-44EA-8BA0-413B8F9DF71A}"/>
    <cellStyle name="STYLE1 27 3 2" xfId="30391" xr:uid="{57389C10-7512-4D57-A7E9-290DEE986D0E}"/>
    <cellStyle name="STYLE1 27 3 3" xfId="30392" xr:uid="{92F6A8C7-851B-458C-AAC1-C0929766EC89}"/>
    <cellStyle name="STYLE1 27 4" xfId="30393" xr:uid="{2DE5A5D9-1972-4B21-AD3A-995299D87BE0}"/>
    <cellStyle name="STYLE1 27 4 2" xfId="30394" xr:uid="{EEDB4BB8-7CB8-42DA-8983-CF11094B70A3}"/>
    <cellStyle name="STYLE1 27 4 3" xfId="30395" xr:uid="{5FA5DE82-DF58-43BD-8F43-18F4577716A0}"/>
    <cellStyle name="STYLE1 27 5" xfId="30396" xr:uid="{686EE5E9-26F5-4A70-8B9D-96B76B9AB03B}"/>
    <cellStyle name="STYLE1 27 6" xfId="30397" xr:uid="{FE2698CE-EE8C-483D-BC7E-B90BFCF30905}"/>
    <cellStyle name="STYLE1 28" xfId="30398" xr:uid="{60CD46CC-7442-447A-9E85-263C41526B5E}"/>
    <cellStyle name="STYLE1 28 2" xfId="30399" xr:uid="{DF12EFA8-5A54-40CE-8BAA-87D095334B1E}"/>
    <cellStyle name="STYLE1 28 2 2" xfId="30400" xr:uid="{13FE47F0-6A23-4C97-A7CB-D24C3748CB58}"/>
    <cellStyle name="STYLE1 28 3" xfId="30401" xr:uid="{A1A83A50-48F1-485D-B3F6-0FC0C00DE151}"/>
    <cellStyle name="STYLE1 28 3 2" xfId="30402" xr:uid="{253B8A1C-712B-4A86-84F2-02952FB62CE5}"/>
    <cellStyle name="STYLE1 28 3 3" xfId="30403" xr:uid="{B699FA45-7727-4ABC-B179-FC63FBAECFE6}"/>
    <cellStyle name="STYLE1 28 4" xfId="30404" xr:uid="{1314CDD3-5E9C-4647-B5CD-2723ECC90366}"/>
    <cellStyle name="STYLE1 29" xfId="30405" xr:uid="{B5BA55D8-3179-4BDF-BB4E-5961963820B3}"/>
    <cellStyle name="STYLE1 29 2" xfId="30406" xr:uid="{35645981-A03A-44AA-ACB4-ED0C1F840FC8}"/>
    <cellStyle name="STYLE1 29 2 2" xfId="30407" xr:uid="{F42B5EF9-ECCA-4AF1-AEDA-056378CBF00C}"/>
    <cellStyle name="STYLE1 29 3" xfId="30408" xr:uid="{F16D0C2E-9268-4FA0-BEE7-40B01CC1941B}"/>
    <cellStyle name="STYLE1 29 3 2" xfId="30409" xr:uid="{834DF08C-96C9-4B17-BC53-4558234B01F4}"/>
    <cellStyle name="STYLE1 29 3 3" xfId="30410" xr:uid="{92AA9138-7B6E-4684-87CA-14B266D4AE65}"/>
    <cellStyle name="STYLE1 29 4" xfId="30411" xr:uid="{7C134F97-F6F5-41C8-94FC-603F4949AD3E}"/>
    <cellStyle name="STYLE1 3" xfId="30412" xr:uid="{FCD85DF3-B524-4D44-BA6F-E59DE7376E3E}"/>
    <cellStyle name="STYLE1 3 2" xfId="30413" xr:uid="{289057D9-CA70-43A1-A12F-DF022F434B00}"/>
    <cellStyle name="STYLE1 3 2 2" xfId="30414" xr:uid="{E47629F6-8F4B-4E6F-AFDC-D852F1082450}"/>
    <cellStyle name="STYLE1 3 2 2 2" xfId="30415" xr:uid="{463CFDB3-88C6-4DF1-A3CC-F62531515369}"/>
    <cellStyle name="STYLE1 3 2 2 2 2" xfId="30416" xr:uid="{B342BCDA-ECC7-4742-835D-AE0CE5F6BD81}"/>
    <cellStyle name="STYLE1 3 2 2 3" xfId="30417" xr:uid="{A0368C73-7AFD-4965-87DF-8FBC192444F1}"/>
    <cellStyle name="STYLE1 3 2 3" xfId="30418" xr:uid="{91D5334E-011A-4F1E-9602-BD2295E08019}"/>
    <cellStyle name="STYLE1 3 2 3 2" xfId="30419" xr:uid="{DFB27AD1-4D1E-4F6B-9128-40315CE3B04D}"/>
    <cellStyle name="STYLE1 3 2 4" xfId="30420" xr:uid="{E21C3C5F-82BA-4F69-B4D4-EEBD515A1531}"/>
    <cellStyle name="STYLE1 3 3" xfId="30421" xr:uid="{D98018BE-F2D5-45E7-B9BB-252A89123130}"/>
    <cellStyle name="STYLE1 3 3 2" xfId="30422" xr:uid="{654318B6-8BE7-412B-910E-8BC8DDEA5465}"/>
    <cellStyle name="STYLE1 3 3 2 2" xfId="30423" xr:uid="{52CE3020-798D-4D8F-9E45-167B6A30CB09}"/>
    <cellStyle name="STYLE1 3 3 3" xfId="30424" xr:uid="{3698AD6D-2D2E-432E-BFFE-608F6F2476CB}"/>
    <cellStyle name="STYLE1 3 3 4" xfId="30425" xr:uid="{D0AF7E83-09C5-4BBA-AC15-CEC3B7B503EA}"/>
    <cellStyle name="STYLE1 3 4" xfId="30426" xr:uid="{3609B96A-C9F5-422C-9038-64C157E04677}"/>
    <cellStyle name="STYLE1 3 4 2" xfId="30427" xr:uid="{C5A6A6A7-4003-4C7D-8308-BF12100E4278}"/>
    <cellStyle name="STYLE1 3 4 3" xfId="30428" xr:uid="{513EF783-D7A9-4E7D-AEB1-4A79177694C4}"/>
    <cellStyle name="STYLE1 3 5" xfId="30429" xr:uid="{743B3334-33BB-4FB7-AA8B-C3A1E720896B}"/>
    <cellStyle name="STYLE1 3 5 2" xfId="30430" xr:uid="{1E60035C-FB17-4D62-8E65-D373F18785BF}"/>
    <cellStyle name="STYLE1 3 5 3" xfId="30431" xr:uid="{2E1F230A-DF2A-49E5-95E5-8EC104AC5255}"/>
    <cellStyle name="STYLE1 3 6" xfId="30432" xr:uid="{BF7A3BA8-AEEA-4E3E-B81D-4C996E50C0F0}"/>
    <cellStyle name="STYLE1 30" xfId="30433" xr:uid="{F276349C-7C60-427C-97A4-C469F6186197}"/>
    <cellStyle name="STYLE1 30 2" xfId="30434" xr:uid="{11782B6C-89DA-4933-A28F-37BD9B88A9F3}"/>
    <cellStyle name="STYLE1 30 2 2" xfId="30435" xr:uid="{B858AB35-4A88-4A57-A7BF-8CB64418948B}"/>
    <cellStyle name="STYLE1 30 3" xfId="30436" xr:uid="{E4D87331-5ADE-4F1C-940C-FC129BEB76AE}"/>
    <cellStyle name="STYLE1 30 3 2" xfId="30437" xr:uid="{4A6BAE5C-6DCE-4ED8-86CD-0DE2510A8715}"/>
    <cellStyle name="STYLE1 30 3 3" xfId="30438" xr:uid="{83D27228-E1D3-490F-9D60-E1FD83492E0A}"/>
    <cellStyle name="STYLE1 30 4" xfId="30439" xr:uid="{6F511805-A6F3-4D01-AD4D-A335512406B0}"/>
    <cellStyle name="STYLE1 31" xfId="30440" xr:uid="{9DCDE4DC-376F-4A7C-83B2-B595CC227FE0}"/>
    <cellStyle name="STYLE1 31 2" xfId="30441" xr:uid="{3410576D-BEE6-44F2-BE4A-DD9959AE81B2}"/>
    <cellStyle name="STYLE1 31 2 2" xfId="30442" xr:uid="{70553A62-FD40-40CB-993A-17AFA04B2890}"/>
    <cellStyle name="STYLE1 31 2 3" xfId="30443" xr:uid="{AD8BEE99-2EE0-46C2-97A9-D421FE21A4C4}"/>
    <cellStyle name="STYLE1 31 3" xfId="30444" xr:uid="{0BAF59C0-91D1-4955-9800-57AB6FC3C82F}"/>
    <cellStyle name="STYLE1 31 3 2" xfId="30445" xr:uid="{E907C8E7-E661-45D2-B697-FFF8CC4D3726}"/>
    <cellStyle name="STYLE1 31 3 3" xfId="30446" xr:uid="{CAF3726F-09C4-4C8D-B514-EB1B758C757A}"/>
    <cellStyle name="STYLE1 31 4" xfId="30447" xr:uid="{75F4F50C-CCC6-42AB-A1F4-798BD3488A28}"/>
    <cellStyle name="STYLE1 32" xfId="30448" xr:uid="{2E957052-7932-4FC8-B184-552692765200}"/>
    <cellStyle name="STYLE1 32 2" xfId="30449" xr:uid="{8F20797E-058B-4787-A2B7-8F5AE7EDB0AE}"/>
    <cellStyle name="STYLE1 32 2 2" xfId="30450" xr:uid="{9D62A463-712D-4C48-9D05-42FDABACF147}"/>
    <cellStyle name="STYLE1 32 2 3" xfId="30451" xr:uid="{481886C9-BB0E-445E-AB6B-D98E655ED386}"/>
    <cellStyle name="STYLE1 32 3" xfId="30452" xr:uid="{80D38AB1-8B20-4FBD-B44F-DDBF7591670D}"/>
    <cellStyle name="STYLE1 32 3 2" xfId="30453" xr:uid="{4D1EFCED-7B55-41B9-B0B3-C37F0BC60577}"/>
    <cellStyle name="STYLE1 32 3 3" xfId="30454" xr:uid="{FA5AD172-CE11-4C49-88A6-7BB89C165D4E}"/>
    <cellStyle name="STYLE1 32 4" xfId="30455" xr:uid="{1F354B99-F1D1-41D8-A197-C4D37579D9D6}"/>
    <cellStyle name="STYLE1 33" xfId="30456" xr:uid="{0AC14AFE-59B7-421E-9421-E0E1114B387F}"/>
    <cellStyle name="STYLE1 33 2" xfId="30457" xr:uid="{B3939736-F446-40B0-B997-C1BFE671BF72}"/>
    <cellStyle name="STYLE1 33 2 2" xfId="30458" xr:uid="{042436B7-D95D-4EDC-897B-A3B3CF28AB37}"/>
    <cellStyle name="STYLE1 33 2 3" xfId="30459" xr:uid="{DF33B271-3E5A-4B3A-8FFB-DB4CF3165CC2}"/>
    <cellStyle name="STYLE1 33 3" xfId="30460" xr:uid="{09ECA7AB-93EC-4FA0-ACE7-43FD66328AE1}"/>
    <cellStyle name="STYLE1 33 3 2" xfId="30461" xr:uid="{BFE645EE-2633-46D3-8DBC-AF8DEFE76F82}"/>
    <cellStyle name="STYLE1 33 3 3" xfId="30462" xr:uid="{9DB29316-9512-47E0-93D6-D86B377BC3A7}"/>
    <cellStyle name="STYLE1 33 4" xfId="30463" xr:uid="{D67B367C-6554-43C0-B930-350A3B5D9BE5}"/>
    <cellStyle name="STYLE1 34" xfId="30464" xr:uid="{517DB23D-6802-4ADA-A32E-D123CF497A25}"/>
    <cellStyle name="STYLE1 34 2" xfId="30465" xr:uid="{CF73B772-9954-4746-9F24-9DBD0C26A626}"/>
    <cellStyle name="STYLE1 34 3" xfId="30466" xr:uid="{15B977A6-7D78-474B-AA4E-46CD1C873A06}"/>
    <cellStyle name="STYLE1 35" xfId="30467" xr:uid="{BBBC63A0-CEF4-48CD-A617-384003C8911F}"/>
    <cellStyle name="STYLE1 35 2" xfId="30468" xr:uid="{DE437A26-C74C-41C6-B319-39119F52957C}"/>
    <cellStyle name="STYLE1 35 3" xfId="30469" xr:uid="{2232AEBD-D52D-4D0F-A072-C669C7B103D7}"/>
    <cellStyle name="STYLE1 36" xfId="30470" xr:uid="{5DBB9D92-563D-44B2-B2F5-5402A66BD68F}"/>
    <cellStyle name="STYLE1 36 2" xfId="30471" xr:uid="{CD98C212-F870-4229-89F6-DC27A70167FD}"/>
    <cellStyle name="STYLE1 36 3" xfId="30472" xr:uid="{4FBF2B95-23DF-420B-91D9-ACEB5A74AC3B}"/>
    <cellStyle name="STYLE1 37" xfId="30473" xr:uid="{74595B74-AEA8-4C2F-BE2C-D7DB4967F68A}"/>
    <cellStyle name="STYLE1 38" xfId="43436" xr:uid="{EB6EE3A0-1560-4944-91CB-C2D2A02D5AFE}"/>
    <cellStyle name="STYLE1 39" xfId="43437" xr:uid="{D8ED01D8-5313-4DA8-BB21-4FE7B658FC7D}"/>
    <cellStyle name="STYLE1 4" xfId="30474" xr:uid="{82B5CA1C-4189-4EC1-8E06-247BA6CBAB0B}"/>
    <cellStyle name="STYLE1 4 2" xfId="30475" xr:uid="{7F5C4CDF-36AD-4B74-AD32-6651D3DB38E6}"/>
    <cellStyle name="STYLE1 4 2 2" xfId="30476" xr:uid="{0C8D59A8-7D06-4CEE-A97E-8B1DB4B5DA32}"/>
    <cellStyle name="STYLE1 4 2 2 2" xfId="30477" xr:uid="{752266FE-6D01-43E6-8FDD-3DAA79139313}"/>
    <cellStyle name="STYLE1 4 2 2 2 2" xfId="30478" xr:uid="{05964B51-AA88-496A-8191-84FA156B1232}"/>
    <cellStyle name="STYLE1 4 2 2 3" xfId="30479" xr:uid="{744AFE8F-9F8A-4678-89F2-BF5FABBBE25C}"/>
    <cellStyle name="STYLE1 4 2 3" xfId="30480" xr:uid="{F40AE3EF-7EE4-475E-A0F7-D1B723E089AB}"/>
    <cellStyle name="STYLE1 4 2 3 2" xfId="30481" xr:uid="{49E5EDF7-BDF2-4377-A588-BCAA4297B6FC}"/>
    <cellStyle name="STYLE1 4 2 4" xfId="30482" xr:uid="{C78B6BF2-0DDB-4081-AC55-42C983D5D9C1}"/>
    <cellStyle name="STYLE1 4 3" xfId="30483" xr:uid="{9B36334A-ABC1-4D43-AEE9-09591473D174}"/>
    <cellStyle name="STYLE1 4 3 2" xfId="30484" xr:uid="{31B1DBA9-C0B7-409C-BFD7-EA4D01A81F10}"/>
    <cellStyle name="STYLE1 4 3 2 2" xfId="30485" xr:uid="{AB5499AF-C0F2-4483-8ED5-FE3D2FEA2FC9}"/>
    <cellStyle name="STYLE1 4 3 3" xfId="30486" xr:uid="{357A54A1-25C8-4D6A-BF81-FF49266CB581}"/>
    <cellStyle name="STYLE1 4 3 4" xfId="30487" xr:uid="{82C2E832-1AB4-4A2D-85EC-4EBE6F732C02}"/>
    <cellStyle name="STYLE1 4 4" xfId="30488" xr:uid="{CBFCC335-90C3-4E7D-8AF5-29F47DCAA91F}"/>
    <cellStyle name="STYLE1 4 4 2" xfId="30489" xr:uid="{808A8CBE-9A23-47AB-AC81-8C46ED144761}"/>
    <cellStyle name="STYLE1 4 4 3" xfId="30490" xr:uid="{40A670E3-B399-4D6E-8586-50889FB74E94}"/>
    <cellStyle name="STYLE1 4 5" xfId="30491" xr:uid="{985FADB7-6F3C-4BC5-8725-C2FFA5A313D6}"/>
    <cellStyle name="STYLE1 4 5 2" xfId="30492" xr:uid="{C3E05045-4752-4CC9-8A2E-4A430B8A01FC}"/>
    <cellStyle name="STYLE1 4 5 3" xfId="30493" xr:uid="{056D4721-0AD7-4DC4-8A5D-F17E31AF0B41}"/>
    <cellStyle name="STYLE1 4 6" xfId="30494" xr:uid="{D5A10464-89CD-4539-926A-38FF5A5D9571}"/>
    <cellStyle name="STYLE1 40" xfId="43438" xr:uid="{A6FFE70F-C037-4076-BF17-6E6E7FA65933}"/>
    <cellStyle name="STYLE1 41" xfId="43439" xr:uid="{C64E80B5-9191-40F3-98E3-27502F64E2A5}"/>
    <cellStyle name="STYLE1 42" xfId="43440" xr:uid="{8EAFF414-C747-4D49-822F-5E4B70878B43}"/>
    <cellStyle name="STYLE1 43" xfId="43441" xr:uid="{F1122A35-F5B2-4A96-97BE-0D8AD9253AAC}"/>
    <cellStyle name="STYLE1 5" xfId="30495" xr:uid="{CA8D9C63-958A-49AF-8E43-EC80379FBF19}"/>
    <cellStyle name="STYLE1 5 2" xfId="30496" xr:uid="{140C776D-EC19-4654-8EA9-3F1AECB9F5C8}"/>
    <cellStyle name="STYLE1 5 2 2" xfId="30497" xr:uid="{702C355E-F24D-4B0E-BC93-12D2A88F991C}"/>
    <cellStyle name="STYLE1 5 2 2 2" xfId="30498" xr:uid="{6DAC74FD-6FD4-48CE-AA49-F38476A7E488}"/>
    <cellStyle name="STYLE1 5 2 2 2 2" xfId="30499" xr:uid="{E06E9719-5753-43DC-80F8-A81CA959CC90}"/>
    <cellStyle name="STYLE1 5 2 2 3" xfId="30500" xr:uid="{46B366DF-9578-4CC5-905F-E477B7D7F3BD}"/>
    <cellStyle name="STYLE1 5 2 3" xfId="30501" xr:uid="{A80B0828-C612-4E8F-BA33-1A871F949501}"/>
    <cellStyle name="STYLE1 5 2 3 2" xfId="30502" xr:uid="{C3D0988F-8CF2-4BE2-BAB0-6F2CA69ED97D}"/>
    <cellStyle name="STYLE1 5 2 4" xfId="30503" xr:uid="{7CEF9B7B-1834-461E-BF08-359EE1115F99}"/>
    <cellStyle name="STYLE1 5 3" xfId="30504" xr:uid="{1E3B6C64-A39E-4BEB-9F5A-FD57C27E8382}"/>
    <cellStyle name="STYLE1 5 3 2" xfId="30505" xr:uid="{BE5BD6B3-3F7D-46FF-AE2A-FB6DEFD26954}"/>
    <cellStyle name="STYLE1 5 3 2 2" xfId="30506" xr:uid="{9AEA7D1C-54D4-4AC8-99C1-74F7C1AC9707}"/>
    <cellStyle name="STYLE1 5 3 3" xfId="30507" xr:uid="{B10DF4F7-4102-4DCD-977F-1B1A8611BB3D}"/>
    <cellStyle name="STYLE1 5 3 4" xfId="30508" xr:uid="{52CCA7F7-B722-4F9E-B64F-B94AFDD6C05A}"/>
    <cellStyle name="STYLE1 5 4" xfId="30509" xr:uid="{4A5BA630-1DA8-4A0C-816C-9E1827A3FF4E}"/>
    <cellStyle name="STYLE1 5 4 2" xfId="30510" xr:uid="{B2450D09-D41B-4093-B65C-ABC548D36760}"/>
    <cellStyle name="STYLE1 5 4 3" xfId="30511" xr:uid="{A3B4BDB8-F1B5-428C-9822-AC4690163789}"/>
    <cellStyle name="STYLE1 5 5" xfId="30512" xr:uid="{166867D9-6CE7-40E1-941D-B82D4EFD69FF}"/>
    <cellStyle name="STYLE1 5 5 2" xfId="30513" xr:uid="{7F2BB097-273F-47AF-B91C-C7692EBA73B4}"/>
    <cellStyle name="STYLE1 5 5 3" xfId="30514" xr:uid="{C3B525B5-6D10-4B13-830A-01A566D929B7}"/>
    <cellStyle name="STYLE1 5 5 4" xfId="30515" xr:uid="{C6A633DA-5806-4DDB-A5D8-2962C0750FDF}"/>
    <cellStyle name="STYLE1 5 6" xfId="30516" xr:uid="{034099D0-B115-4DCB-A4DA-D5FCC7848304}"/>
    <cellStyle name="STYLE1 6" xfId="30517" xr:uid="{B5006AE4-EC5A-4FEC-BD86-58485FEF804C}"/>
    <cellStyle name="STYLE1 6 2" xfId="30518" xr:uid="{908D7110-825E-4765-B4B0-D7BA4164FE58}"/>
    <cellStyle name="STYLE1 6 2 2" xfId="30519" xr:uid="{ABF9D194-893A-4F53-A84B-97C32E8E3C31}"/>
    <cellStyle name="STYLE1 6 2 2 2" xfId="30520" xr:uid="{EBC1CBB7-3055-44DD-BFE6-EFE2D2EB66EB}"/>
    <cellStyle name="STYLE1 6 2 2 2 2" xfId="30521" xr:uid="{6D9C9613-3FF1-4E0B-835F-E83EE6DDE638}"/>
    <cellStyle name="STYLE1 6 2 2 3" xfId="30522" xr:uid="{ECBFF7B2-94D3-451B-8D7C-61A88E40C188}"/>
    <cellStyle name="STYLE1 6 2 3" xfId="30523" xr:uid="{0082BFC5-490F-4F3C-B020-24EE69D18C48}"/>
    <cellStyle name="STYLE1 6 2 3 2" xfId="30524" xr:uid="{F5B4965C-4D66-491A-93C6-531AC9E2CF37}"/>
    <cellStyle name="STYLE1 6 2 4" xfId="30525" xr:uid="{D1D4D50F-23E5-412A-AAF5-D57EE84CD396}"/>
    <cellStyle name="STYLE1 6 3" xfId="30526" xr:uid="{28231A5E-94C9-44F9-9FE3-A8B2640FDB9E}"/>
    <cellStyle name="STYLE1 6 3 2" xfId="30527" xr:uid="{E5CD11F4-183A-4F98-904C-73F81D89CC4C}"/>
    <cellStyle name="STYLE1 6 3 2 2" xfId="30528" xr:uid="{DEBDD9D8-AAFC-48EA-B014-8D5772943C30}"/>
    <cellStyle name="STYLE1 6 3 3" xfId="30529" xr:uid="{26EEED0E-CB3D-4FB3-9E33-48AC831F8A80}"/>
    <cellStyle name="STYLE1 6 3 4" xfId="30530" xr:uid="{4F4951B9-F04D-4CC6-9A99-E8AC733FDACE}"/>
    <cellStyle name="STYLE1 6 4" xfId="30531" xr:uid="{BE7320A7-D416-4B30-AB68-E72223078EE6}"/>
    <cellStyle name="STYLE1 6 4 2" xfId="30532" xr:uid="{3F2BABCB-D863-473E-A35A-7221AF06C002}"/>
    <cellStyle name="STYLE1 6 4 3" xfId="30533" xr:uid="{C15304FF-D300-483E-BEB9-EE5952EF02FC}"/>
    <cellStyle name="STYLE1 6 5" xfId="30534" xr:uid="{AB22EFC7-C872-4F5C-95BF-454AA7028BE9}"/>
    <cellStyle name="STYLE1 6 5 2" xfId="30535" xr:uid="{1A696A1C-FA00-4A21-965C-18CFCFBFD352}"/>
    <cellStyle name="STYLE1 6 5 3" xfId="30536" xr:uid="{1E4D7077-3617-483B-BA65-E3935E3B14D4}"/>
    <cellStyle name="STYLE1 6 6" xfId="30537" xr:uid="{CE761910-45D7-43D4-94F5-7B0F1243EFA0}"/>
    <cellStyle name="STYLE1 7" xfId="30538" xr:uid="{6F34FCBF-84F2-4208-B87C-EFFCC65771E1}"/>
    <cellStyle name="STYLE1 7 2" xfId="30539" xr:uid="{C7E7A2AD-C7F3-44A1-A048-038CA1FFC25C}"/>
    <cellStyle name="STYLE1 7 2 2" xfId="30540" xr:uid="{9D293C7C-0C6A-49C3-A054-53C8E5684D6C}"/>
    <cellStyle name="STYLE1 7 2 2 2" xfId="30541" xr:uid="{23106B9B-CED4-4327-A172-C34A5C58B20E}"/>
    <cellStyle name="STYLE1 7 2 2 2 2" xfId="30542" xr:uid="{117C63D6-18C4-422C-87C1-02EF52D35DC2}"/>
    <cellStyle name="STYLE1 7 2 2 3" xfId="30543" xr:uid="{8BEF1620-A1B1-4F89-9F3D-F201F908DE33}"/>
    <cellStyle name="STYLE1 7 2 3" xfId="30544" xr:uid="{CDD75B63-FF6E-4167-A25B-4F7DE4963A29}"/>
    <cellStyle name="STYLE1 7 2 3 2" xfId="30545" xr:uid="{5595CCF1-1929-493C-BE75-31FF592C520A}"/>
    <cellStyle name="STYLE1 7 2 4" xfId="30546" xr:uid="{3439C3C6-1005-4770-BA4B-2D09050E511E}"/>
    <cellStyle name="STYLE1 7 3" xfId="30547" xr:uid="{FE1CA5CF-F26D-4D4C-90EB-C26BEC9748CB}"/>
    <cellStyle name="STYLE1 7 3 2" xfId="30548" xr:uid="{0A3CA160-21CC-4958-8513-43C52DA13615}"/>
    <cellStyle name="STYLE1 7 3 2 2" xfId="30549" xr:uid="{18EEAE91-C284-410D-91AE-490ED46A5FD8}"/>
    <cellStyle name="STYLE1 7 3 3" xfId="30550" xr:uid="{50EA0352-2145-4F4F-8968-8D4CD1B2E554}"/>
    <cellStyle name="STYLE1 7 3 4" xfId="30551" xr:uid="{BC46F3A3-4288-4ED2-AC01-B4D845D513BC}"/>
    <cellStyle name="STYLE1 7 4" xfId="30552" xr:uid="{72DF2490-FF0E-4DFB-B885-7B038A8F11F6}"/>
    <cellStyle name="STYLE1 7 4 2" xfId="30553" xr:uid="{AE3E2A4A-B8CD-49A3-BCFB-316519B16681}"/>
    <cellStyle name="STYLE1 7 5" xfId="30554" xr:uid="{7BBA76DF-4FED-4C93-B822-6A2A0F4829DC}"/>
    <cellStyle name="STYLE1 7 5 2" xfId="30555" xr:uid="{2C8E67D5-83FC-4C5A-9BB3-9911B6915288}"/>
    <cellStyle name="STYLE1 7 5 3" xfId="30556" xr:uid="{F69B31B0-F0DE-48A5-B504-346D16758026}"/>
    <cellStyle name="STYLE1 7 6" xfId="30557" xr:uid="{562C8C54-6504-49CC-A3FB-133D0C296DAA}"/>
    <cellStyle name="STYLE1 8" xfId="30558" xr:uid="{41D977B3-2D5C-4381-80CB-724AD7030F18}"/>
    <cellStyle name="STYLE1 8 2" xfId="30559" xr:uid="{746169C6-C763-42BE-97CF-6C42F49A9F19}"/>
    <cellStyle name="STYLE1 8 2 2" xfId="30560" xr:uid="{1B135ECF-B737-4CFC-805E-BE78508B17CD}"/>
    <cellStyle name="STYLE1 8 2 2 2" xfId="30561" xr:uid="{D2369D89-AFCF-45ED-9EF0-450B52CF6EAA}"/>
    <cellStyle name="STYLE1 8 2 2 2 2" xfId="30562" xr:uid="{AA9C468C-9FC7-4FA0-BA0E-124D26448BD0}"/>
    <cellStyle name="STYLE1 8 2 2 3" xfId="30563" xr:uid="{2FAF1063-E51D-4D4F-8298-C4CB04BF1124}"/>
    <cellStyle name="STYLE1 8 2 3" xfId="30564" xr:uid="{238B4E2A-A51A-44D4-A988-4AFD816BDFB4}"/>
    <cellStyle name="STYLE1 8 2 3 2" xfId="30565" xr:uid="{59B96643-9AAE-4CB3-9C41-07F15D1D871C}"/>
    <cellStyle name="STYLE1 8 2 4" xfId="30566" xr:uid="{CA6D6C6E-5448-4BA3-80DC-DB5FB142870E}"/>
    <cellStyle name="STYLE1 8 3" xfId="30567" xr:uid="{B0700B5C-8BE0-487F-8DA8-752CB66F2A39}"/>
    <cellStyle name="STYLE1 8 3 2" xfId="30568" xr:uid="{9676F214-EE39-4F13-BFD6-4C314471F862}"/>
    <cellStyle name="STYLE1 8 3 2 2" xfId="30569" xr:uid="{3CABC77F-E12A-445C-A6E0-1B0561A639B5}"/>
    <cellStyle name="STYLE1 8 3 3" xfId="30570" xr:uid="{9DDB581C-7B75-4B10-8029-A18FDE53107F}"/>
    <cellStyle name="STYLE1 8 3 4" xfId="30571" xr:uid="{EEAD9654-02D8-4BCF-AFDA-3D558DB6CF75}"/>
    <cellStyle name="STYLE1 8 4" xfId="30572" xr:uid="{52119430-0DD5-46A1-A34A-BF0F59DF5B69}"/>
    <cellStyle name="STYLE1 8 4 2" xfId="30573" xr:uid="{CEE9536E-AEA9-40F3-A1F9-6EF2BA189EAE}"/>
    <cellStyle name="STYLE1 8 5" xfId="30574" xr:uid="{54581025-65F3-448E-B25D-5953F2D1335F}"/>
    <cellStyle name="STYLE1 8 5 2" xfId="30575" xr:uid="{A77F886B-414F-493E-9ACF-3F265E33D1C5}"/>
    <cellStyle name="STYLE1 8 5 3" xfId="30576" xr:uid="{794A66CD-AB02-492D-8EE2-79B8962006EB}"/>
    <cellStyle name="STYLE1 8 6" xfId="30577" xr:uid="{EBA29BE5-EA3E-4AA6-9FE0-CFF17304A526}"/>
    <cellStyle name="STYLE1 9" xfId="30578" xr:uid="{5BB1083E-ACF7-4363-8148-0B6D091C64E8}"/>
    <cellStyle name="STYLE1 9 2" xfId="30579" xr:uid="{F41F9D45-BB29-45F7-AD42-0D52E1B29E4A}"/>
    <cellStyle name="STYLE1 9 2 2" xfId="30580" xr:uid="{7EA0B092-1D2F-4426-AC24-954A200FEAF1}"/>
    <cellStyle name="STYLE1 9 2 2 2" xfId="30581" xr:uid="{3B7815E7-A684-4764-BA6E-5E4F70DA522C}"/>
    <cellStyle name="STYLE1 9 2 2 2 2" xfId="30582" xr:uid="{9E00F7AF-B4D5-422D-A4E8-8537AEC72A13}"/>
    <cellStyle name="STYLE1 9 2 2 3" xfId="30583" xr:uid="{7E41460E-E1AC-46AF-9963-1599F3A1D0D1}"/>
    <cellStyle name="STYLE1 9 2 3" xfId="30584" xr:uid="{D0905BD5-8C59-4C5C-9FB0-EA063C57CDD0}"/>
    <cellStyle name="STYLE1 9 2 3 2" xfId="30585" xr:uid="{3FDFEB09-C7B4-4570-AC02-B3B7A63E2F75}"/>
    <cellStyle name="STYLE1 9 2 4" xfId="30586" xr:uid="{6B1504BF-0244-4390-80BD-977305669522}"/>
    <cellStyle name="STYLE1 9 3" xfId="30587" xr:uid="{3A99AE7A-B70B-4B31-B3A7-57894FF36AAA}"/>
    <cellStyle name="STYLE1 9 3 2" xfId="30588" xr:uid="{6F1BD7C7-3C19-40B4-A5A4-CED77AD80570}"/>
    <cellStyle name="STYLE1 9 3 2 2" xfId="30589" xr:uid="{FF13655C-A9C4-4077-8F89-2C3D1C5479DF}"/>
    <cellStyle name="STYLE1 9 3 3" xfId="30590" xr:uid="{6CC5DDA4-325F-47F6-AE79-689F66776700}"/>
    <cellStyle name="STYLE1 9 3 4" xfId="30591" xr:uid="{5199B134-B7B5-4542-8A80-7BE816962F51}"/>
    <cellStyle name="STYLE1 9 4" xfId="30592" xr:uid="{DE5C3EAC-8B6C-41EF-B3E3-9FF3C25F1963}"/>
    <cellStyle name="STYLE1 9 4 2" xfId="30593" xr:uid="{250DE86E-70D8-4991-A196-82AF4CA79ED5}"/>
    <cellStyle name="STYLE1 9 5" xfId="30594" xr:uid="{4434F04E-F227-45EF-A20B-4A796B3B02B0}"/>
    <cellStyle name="STYLE1 9 5 2" xfId="30595" xr:uid="{0E10EA20-8C01-4A14-91D5-5F014F0540F3}"/>
    <cellStyle name="STYLE1 9 5 3" xfId="30596" xr:uid="{2BA7B0DE-0F72-4889-9C73-0015A2DD6A5E}"/>
    <cellStyle name="STYLE1 9 6" xfId="30597" xr:uid="{921746E9-B1E7-4553-B55B-D1F265B30799}"/>
    <cellStyle name="STYLE1_11-03 - PHI Consolidated - Summary of FIN 48 Related To DC Q4 2010" xfId="30598" xr:uid="{AA488CC5-8E99-4284-84AF-95040053E471}"/>
    <cellStyle name="STYLE2" xfId="305" xr:uid="{6FE35D51-46C9-49DE-84E8-955B796C7D18}"/>
    <cellStyle name="STYLE2 10" xfId="30599" xr:uid="{6C4AACB0-2235-4F6A-A795-4A839FA48270}"/>
    <cellStyle name="STYLE2 11" xfId="30600" xr:uid="{5F7F486A-A471-46F4-999F-0FE86D3AC916}"/>
    <cellStyle name="STYLE2 12" xfId="30601" xr:uid="{F4B5DF7D-15EA-4555-AD26-F3779A4EC373}"/>
    <cellStyle name="STYLE2 13" xfId="30602" xr:uid="{219645B1-0EB8-4FB6-8E95-8589442BEF7F}"/>
    <cellStyle name="STYLE2 14" xfId="30603" xr:uid="{8CE76AF9-1843-4F21-A81A-C52B52922605}"/>
    <cellStyle name="STYLE2 2" xfId="30604" xr:uid="{C63D1B65-0CEE-4223-8E76-B4FC709A4FB3}"/>
    <cellStyle name="STYLE2 2 10" xfId="30605" xr:uid="{E9A5FB8D-A0F7-43CE-9096-4CC2A3C67104}"/>
    <cellStyle name="STYLE2 2 11" xfId="30606" xr:uid="{6BA9A64B-438E-4511-B290-84EB182B618F}"/>
    <cellStyle name="STYLE2 2 12" xfId="30607" xr:uid="{9D50231A-E246-4694-A027-974D34184349}"/>
    <cellStyle name="STYLE2 2 13" xfId="30608" xr:uid="{7DA20EE0-FBB1-4C04-9BCF-24272827C2DD}"/>
    <cellStyle name="STYLE2 2 14" xfId="30609" xr:uid="{D8942192-C75A-4388-B630-CA096517DD4C}"/>
    <cellStyle name="STYLE2 2 2" xfId="30610" xr:uid="{9569DAE9-76BF-4B7D-AFF9-C26F652D0FB8}"/>
    <cellStyle name="STYLE2 2 3" xfId="30611" xr:uid="{61A76F9B-1BC2-4C62-83E1-AABC2816A33D}"/>
    <cellStyle name="STYLE2 2 4" xfId="30612" xr:uid="{571C6978-E22A-4D9C-AFE8-175207554450}"/>
    <cellStyle name="STYLE2 2 5" xfId="30613" xr:uid="{6B8A6830-822C-4F31-832B-6B010018F487}"/>
    <cellStyle name="STYLE2 2 6" xfId="30614" xr:uid="{E1D692F3-5412-452C-8015-2B379A94733A}"/>
    <cellStyle name="STYLE2 2 7" xfId="30615" xr:uid="{E8CA668F-7AC6-42D5-A840-56C66A71236E}"/>
    <cellStyle name="STYLE2 2 8" xfId="30616" xr:uid="{2A8DCA52-FB0F-4A3F-AD57-7A25E169D5C1}"/>
    <cellStyle name="STYLE2 2 9" xfId="30617" xr:uid="{341F77BD-71CB-474D-9D21-F0AA792F894D}"/>
    <cellStyle name="STYLE2 3" xfId="30618" xr:uid="{2C4E9EF1-3FCF-4144-B0DA-D7672B13BB16}"/>
    <cellStyle name="STYLE2 4" xfId="30619" xr:uid="{971BBED7-6ED8-455D-9D47-8ABE5D39C0F0}"/>
    <cellStyle name="STYLE2 5" xfId="30620" xr:uid="{E8BD235D-CB68-42BB-833A-429E78AA1261}"/>
    <cellStyle name="STYLE2 6" xfId="30621" xr:uid="{89689EEA-5E04-401F-8F42-1D17F851442E}"/>
    <cellStyle name="STYLE2 7" xfId="30622" xr:uid="{0D3D70E0-72AE-4679-9D5B-1A1AA18DD4E9}"/>
    <cellStyle name="STYLE2 8" xfId="30623" xr:uid="{6DEF3F66-ABA7-4EBC-B78F-4680AF8990C4}"/>
    <cellStyle name="STYLE2 9" xfId="30624" xr:uid="{3F22FCEE-AAB5-4B08-82E7-C43B1B803A80}"/>
    <cellStyle name="STYLE2_ TBBS WAC" xfId="30625" xr:uid="{E29C6679-CECF-4AC4-8124-63FACD320FC4}"/>
    <cellStyle name="STYLE3" xfId="306" xr:uid="{102AA339-C512-48BD-BDA0-871AF7945ECE}"/>
    <cellStyle name="STYLE3 10" xfId="30626" xr:uid="{338B623B-3E40-4511-89BA-3DA15A7EDBDF}"/>
    <cellStyle name="STYLE3 11" xfId="30627" xr:uid="{CE04495D-2EE0-4601-B2EE-D22AD3077034}"/>
    <cellStyle name="STYLE3 12" xfId="30628" xr:uid="{AFBF24F3-5BB7-4994-B877-38BD41B5873F}"/>
    <cellStyle name="STYLE3 13" xfId="30629" xr:uid="{31B8840D-3488-4E91-96A5-4582DE6C851C}"/>
    <cellStyle name="STYLE3 14" xfId="30630" xr:uid="{0AAF4A28-F47E-48AE-9A2A-8D22AB208490}"/>
    <cellStyle name="STYLE3 2" xfId="30631" xr:uid="{B4480FD0-ECFC-48A9-B90A-C7F290807F03}"/>
    <cellStyle name="STYLE3 2 10" xfId="30632" xr:uid="{E6611CE1-4063-4DEE-8652-46FB7B8651BB}"/>
    <cellStyle name="STYLE3 2 11" xfId="30633" xr:uid="{75B334E3-CE35-4B4F-AB05-5133BA0CFA59}"/>
    <cellStyle name="STYLE3 2 12" xfId="30634" xr:uid="{DE2E360D-1F1E-4CCF-B2F2-9FBB7C412D24}"/>
    <cellStyle name="STYLE3 2 13" xfId="30635" xr:uid="{91A82FEF-6B5E-420E-9C25-31A096DB51FE}"/>
    <cellStyle name="STYLE3 2 14" xfId="30636" xr:uid="{199F247C-2ABA-4CEE-8908-DEFABD9D33E5}"/>
    <cellStyle name="STYLE3 2 2" xfId="30637" xr:uid="{E880668F-A41A-450F-89D7-6AE00A41BA43}"/>
    <cellStyle name="STYLE3 2 3" xfId="30638" xr:uid="{D8DCBA2C-0FDB-4A3E-8686-3EB6E2D8B5A1}"/>
    <cellStyle name="STYLE3 2 4" xfId="30639" xr:uid="{DB0A518A-E91E-4B3D-94AF-A486845DB595}"/>
    <cellStyle name="STYLE3 2 5" xfId="30640" xr:uid="{B5A2D032-3B29-4A1D-A45B-80C978FD571F}"/>
    <cellStyle name="STYLE3 2 6" xfId="30641" xr:uid="{44373439-3DB3-4065-918D-870EC8840D24}"/>
    <cellStyle name="STYLE3 2 7" xfId="30642" xr:uid="{8BDEE3E7-DF9C-4AB6-BA5F-C005170A3EB9}"/>
    <cellStyle name="STYLE3 2 8" xfId="30643" xr:uid="{DFCC0B6C-058B-47DE-AAA0-5007FA328532}"/>
    <cellStyle name="STYLE3 2 9" xfId="30644" xr:uid="{6BE4D29B-8BA6-46F6-A34A-6AF188AB81C3}"/>
    <cellStyle name="STYLE3 3" xfId="30645" xr:uid="{C0BF4526-C350-450F-99DF-EF88ED2667F6}"/>
    <cellStyle name="STYLE3 4" xfId="30646" xr:uid="{15EF6EAA-45B9-4AB5-B0E4-99FE8D0B2084}"/>
    <cellStyle name="STYLE3 5" xfId="30647" xr:uid="{17C65DC5-EF1C-4058-BF01-C5375011395C}"/>
    <cellStyle name="STYLE3 6" xfId="30648" xr:uid="{9742C4F8-BD21-4736-8C3B-AF7224D9CA46}"/>
    <cellStyle name="STYLE3 7" xfId="30649" xr:uid="{F6E563AB-B6A5-4E46-958F-C93692BC5545}"/>
    <cellStyle name="STYLE3 8" xfId="30650" xr:uid="{9EEE1247-70A6-4BB6-AB67-28FBBFF09C6C}"/>
    <cellStyle name="STYLE3 9" xfId="30651" xr:uid="{DC74F98E-7103-48FB-8692-0ADE23F53F92}"/>
    <cellStyle name="STYLE3_2009 Workpapers - #27-TELP" xfId="30652" xr:uid="{5AD1DDCF-C1FE-4DDB-9A5F-161EF03250AA}"/>
    <cellStyle name="STYLE4" xfId="307" xr:uid="{2CA76246-50EA-4DA3-B00D-079920DC63E9}"/>
    <cellStyle name="STYLE4 10" xfId="30653" xr:uid="{FA4AE624-8985-42C9-85F8-2BC6B4AE0B62}"/>
    <cellStyle name="STYLE4 11" xfId="30654" xr:uid="{00CC7069-622E-40A6-B731-C67AA5FF2390}"/>
    <cellStyle name="STYLE4 2" xfId="30655" xr:uid="{DD299ACB-DD7F-461F-B9E0-AEC51F3435DA}"/>
    <cellStyle name="STYLE4 3" xfId="30656" xr:uid="{19CB38FA-D672-4C2F-8F3E-B60B49D955B3}"/>
    <cellStyle name="STYLE4 4" xfId="30657" xr:uid="{ED8C122C-FE55-4DE0-81FE-5F08DC0B1C2C}"/>
    <cellStyle name="STYLE4 5" xfId="30658" xr:uid="{96941C9C-5A0A-4ECC-B6BA-93B54868B686}"/>
    <cellStyle name="STYLE4 6" xfId="30659" xr:uid="{D8685555-8C4E-4935-B12D-F6489D1EC7A5}"/>
    <cellStyle name="STYLE4 7" xfId="30660" xr:uid="{25D33D23-AC71-49F0-8DB3-3F200FFF2162}"/>
    <cellStyle name="STYLE4 8" xfId="30661" xr:uid="{9DB01FAF-6235-426E-B626-01622FA8E871}"/>
    <cellStyle name="STYLE4 9" xfId="30662" xr:uid="{E8F7FDA8-C541-49B7-AB43-455B5DA3C41E}"/>
    <cellStyle name="STYLE4_2009 Workpapers - #27-TELP" xfId="30663" xr:uid="{22D360D9-7FB4-4AA0-A3C3-5AE4CC682DC6}"/>
    <cellStyle name="STYLE5" xfId="308" xr:uid="{2E5B2FA8-B2AA-4504-9499-55B16542627F}"/>
    <cellStyle name="SubRoutine" xfId="309" xr:uid="{DA52F508-DE6F-4FB9-89E0-21864DB4754C}"/>
    <cellStyle name="SubRoutine 10" xfId="30664" xr:uid="{81B66862-4667-4DAA-970A-781BC7B6113E}"/>
    <cellStyle name="SubRoutine 10 2" xfId="30665" xr:uid="{CE9DD184-BA3C-4D81-937D-C9A44F6F26A1}"/>
    <cellStyle name="SubRoutine 10 2 2" xfId="30666" xr:uid="{CBCC916C-C81D-4542-B596-2417DACB1D2B}"/>
    <cellStyle name="SubRoutine 10 2 2 2" xfId="30667" xr:uid="{FC42D23F-01C6-470B-82C2-07384AFC8F68}"/>
    <cellStyle name="SubRoutine 10 2 3" xfId="30668" xr:uid="{BF703E7E-08EA-439B-A07F-71FE2A57B7B2}"/>
    <cellStyle name="SubRoutine 10 3" xfId="30669" xr:uid="{A51307FE-DBD1-4A7D-9E25-C705AD4DB40C}"/>
    <cellStyle name="SubRoutine 10 3 2" xfId="30670" xr:uid="{F3183E01-4695-4A91-A213-0ED5B0EDFEDC}"/>
    <cellStyle name="SubRoutine 10 3 2 2" xfId="30671" xr:uid="{9A57E4BF-0B7F-48F6-BA39-2B99BB30FFE2}"/>
    <cellStyle name="SubRoutine 10 3 3" xfId="30672" xr:uid="{F6DF1378-8754-48D4-9A42-C17DC2A5CF93}"/>
    <cellStyle name="SubRoutine 10 4" xfId="30673" xr:uid="{0B63A76D-1BA9-4134-A52E-9922C6D204CE}"/>
    <cellStyle name="SubRoutine 10 4 2" xfId="30674" xr:uid="{55D39ECB-D565-45A3-A9A1-1673313BA234}"/>
    <cellStyle name="SubRoutine 10 4 2 2" xfId="30675" xr:uid="{936DBCD9-EA65-4D5F-A822-4FCA2B753A17}"/>
    <cellStyle name="SubRoutine 10 4 3" xfId="30676" xr:uid="{E0AEC3C1-2A23-4423-92FF-D343BD558650}"/>
    <cellStyle name="SubRoutine 10 5" xfId="30677" xr:uid="{DB872247-91F1-4810-BC8E-F7DAF7CFC12C}"/>
    <cellStyle name="SubRoutine 10 5 2" xfId="30678" xr:uid="{E1D54953-3B96-4AEA-89E2-C7A2039DCAF8}"/>
    <cellStyle name="SubRoutine 10 5 2 2" xfId="30679" xr:uid="{A0D9E6A5-7C90-4D24-ADE3-B1B9E54FB3BD}"/>
    <cellStyle name="SubRoutine 10 5 3" xfId="30680" xr:uid="{241F6DD5-745A-472D-A2A2-ECEFCC7E0B60}"/>
    <cellStyle name="SubRoutine 10 6" xfId="30681" xr:uid="{1DA812C3-650A-43E9-9D16-7C740E3E9BFB}"/>
    <cellStyle name="SubRoutine 10 6 2" xfId="30682" xr:uid="{F4A2C4CD-B998-4C5B-A871-E5B02E7F76A7}"/>
    <cellStyle name="SubRoutine 10 7" xfId="30683" xr:uid="{CBB662B7-A28C-4A76-8221-04D3078B3B30}"/>
    <cellStyle name="SubRoutine 11" xfId="30684" xr:uid="{1577DF51-721E-4509-B113-65633C40BC48}"/>
    <cellStyle name="SubRoutine 11 2" xfId="30685" xr:uid="{2BC65732-E090-48C1-A7EB-6D7349DE9CAB}"/>
    <cellStyle name="SubRoutine 11 2 2" xfId="30686" xr:uid="{B1B04E60-ABB0-4D96-A2D2-3673D9772680}"/>
    <cellStyle name="SubRoutine 11 2 2 2" xfId="30687" xr:uid="{E5888E16-93E4-4471-AED1-23259F290A04}"/>
    <cellStyle name="SubRoutine 11 2 2 2 2" xfId="30688" xr:uid="{80AA6D4D-807E-4FDE-9624-21ADA709C360}"/>
    <cellStyle name="SubRoutine 11 2 2 2 3" xfId="30689" xr:uid="{0F976D44-E97C-430A-A84D-F940B091868E}"/>
    <cellStyle name="SubRoutine 11 2 2 3" xfId="30690" xr:uid="{3A3B0FD7-D0D5-4C53-ADD8-8426BADEDE34}"/>
    <cellStyle name="SubRoutine 11 2 2 4" xfId="30691" xr:uid="{CF93B800-7334-4B5F-98AD-FC0102F7D96F}"/>
    <cellStyle name="SubRoutine 11 2 3" xfId="30692" xr:uid="{ACFF042A-FD98-423B-ADFC-806EB590612D}"/>
    <cellStyle name="SubRoutine 11 2 3 2" xfId="30693" xr:uid="{80B21A02-E93A-4276-9510-B93409CE78DB}"/>
    <cellStyle name="SubRoutine 11 2 3 3" xfId="30694" xr:uid="{BF2F78DE-058D-4877-B1EA-6A82F0EA5A84}"/>
    <cellStyle name="SubRoutine 11 2 4" xfId="30695" xr:uid="{366A40D7-9984-410E-A445-0188384D8C86}"/>
    <cellStyle name="SubRoutine 11 2 5" xfId="30696" xr:uid="{F1FAF502-913B-4ADF-8E92-6C3DECB4CB0B}"/>
    <cellStyle name="SubRoutine 11 3" xfId="30697" xr:uid="{861385BA-3F6F-45CA-A944-60EDAA9D5317}"/>
    <cellStyle name="SubRoutine 11 3 2" xfId="30698" xr:uid="{CB0E21AF-67CA-45F5-9C4A-7EE32E26DCBC}"/>
    <cellStyle name="SubRoutine 11 3 2 2" xfId="30699" xr:uid="{C00F3F8A-3718-4CA7-A624-B6880F2286D8}"/>
    <cellStyle name="SubRoutine 11 3 2 2 2" xfId="30700" xr:uid="{CE5A1A31-F4C1-4AAB-9BBE-5D9FE9D74553}"/>
    <cellStyle name="SubRoutine 11 3 2 2 3" xfId="30701" xr:uid="{379C0261-D158-4CC5-AF55-E0011D256ECB}"/>
    <cellStyle name="SubRoutine 11 3 2 3" xfId="30702" xr:uid="{47F06CBD-1FDB-4C51-8EB4-545C0D625956}"/>
    <cellStyle name="SubRoutine 11 3 2 4" xfId="30703" xr:uid="{E669029A-E7D1-4FCC-BA95-3DECD1373C04}"/>
    <cellStyle name="SubRoutine 11 3 3" xfId="30704" xr:uid="{F01DFE2E-FC7A-454D-95E0-2BDD9CA56AD6}"/>
    <cellStyle name="SubRoutine 11 3 3 2" xfId="30705" xr:uid="{111B68EF-E725-4957-B52A-B0D192FDFB46}"/>
    <cellStyle name="SubRoutine 11 3 3 3" xfId="30706" xr:uid="{0FC8731D-40EA-4F8E-AD8D-4E5AD0764F16}"/>
    <cellStyle name="SubRoutine 11 3 4" xfId="30707" xr:uid="{339547E8-607D-4BCE-975F-BB1C7A451E43}"/>
    <cellStyle name="SubRoutine 11 3 5" xfId="30708" xr:uid="{CD1184EA-15AA-47D3-9841-9A5C284C526B}"/>
    <cellStyle name="SubRoutine 11 4" xfId="30709" xr:uid="{DE96B2B2-CC6B-46D4-88B5-C57E28077465}"/>
    <cellStyle name="SubRoutine 11 4 2" xfId="30710" xr:uid="{3546B81A-0F37-4CC6-A6D6-95D2758215C6}"/>
    <cellStyle name="SubRoutine 11 4 2 2" xfId="30711" xr:uid="{37322250-0888-4228-AA43-5777B6F9FB54}"/>
    <cellStyle name="SubRoutine 11 4 2 2 2" xfId="30712" xr:uid="{9D2EDCB1-4C1D-4DE8-BA98-32F7CE43390E}"/>
    <cellStyle name="SubRoutine 11 4 2 2 3" xfId="30713" xr:uid="{9EA35965-F56B-404E-A378-20FB54BF267D}"/>
    <cellStyle name="SubRoutine 11 4 2 3" xfId="30714" xr:uid="{4034515F-8D27-4D30-8556-B4D979F64F8F}"/>
    <cellStyle name="SubRoutine 11 4 2 4" xfId="30715" xr:uid="{6E9B4173-DC80-40F8-9BB4-9406C22EA67E}"/>
    <cellStyle name="SubRoutine 11 4 3" xfId="30716" xr:uid="{ED85AEEB-E439-470D-8D31-AA2524A772A1}"/>
    <cellStyle name="SubRoutine 11 4 3 2" xfId="30717" xr:uid="{9B49B3C5-4A84-4D95-8AD4-5D325E36BE06}"/>
    <cellStyle name="SubRoutine 11 4 3 3" xfId="30718" xr:uid="{6B8CE421-F0D1-4D43-9B59-C5DB7BA65897}"/>
    <cellStyle name="SubRoutine 11 4 4" xfId="30719" xr:uid="{435E2856-336F-4787-8C39-35FA30FE1905}"/>
    <cellStyle name="SubRoutine 11 4 5" xfId="30720" xr:uid="{2881131C-561A-435F-93ED-E4167A4D6A17}"/>
    <cellStyle name="SubRoutine 11 5" xfId="30721" xr:uid="{3E2CC9DA-09E9-460B-8599-62911AD590D5}"/>
    <cellStyle name="SubRoutine 11 5 2" xfId="30722" xr:uid="{F948F1EC-C11C-444C-8660-A9E4740BEF8B}"/>
    <cellStyle name="SubRoutine 11 5 2 2" xfId="30723" xr:uid="{42C4BA9D-2E46-4822-B04C-5CB61F14F51E}"/>
    <cellStyle name="SubRoutine 11 5 2 2 2" xfId="30724" xr:uid="{6044FDD4-78BC-4FC5-A192-C6B3E22372B0}"/>
    <cellStyle name="SubRoutine 11 5 2 2 3" xfId="30725" xr:uid="{9913D9B1-3628-43EB-8D7C-AD1AAFC64507}"/>
    <cellStyle name="SubRoutine 11 5 2 3" xfId="30726" xr:uid="{5134DB3D-40B7-4B8D-9C2E-4AEA1EBE45A6}"/>
    <cellStyle name="SubRoutine 11 5 2 4" xfId="30727" xr:uid="{7761C826-DA7C-4A5C-B0EB-4FA3F4DC420D}"/>
    <cellStyle name="SubRoutine 11 5 3" xfId="30728" xr:uid="{E32485EC-8AC5-4570-8BDB-7E04C25DD51B}"/>
    <cellStyle name="SubRoutine 11 5 3 2" xfId="30729" xr:uid="{9F5F8C2A-AA2B-4761-9628-F3D923C4D2A6}"/>
    <cellStyle name="SubRoutine 11 5 3 3" xfId="30730" xr:uid="{805E2969-83FD-4077-9B0C-8FB4AA5AC8ED}"/>
    <cellStyle name="SubRoutine 11 5 4" xfId="30731" xr:uid="{9DE2F956-7AEE-4BE0-A5D1-26CFD47AA61E}"/>
    <cellStyle name="SubRoutine 11 5 5" xfId="30732" xr:uid="{6BBD5516-BC00-4D1E-B449-D56CFB027303}"/>
    <cellStyle name="SubRoutine 11 6" xfId="30733" xr:uid="{741915CA-B796-4E63-95FD-FDA1CF49C7D6}"/>
    <cellStyle name="SubRoutine 11 6 2" xfId="30734" xr:uid="{B33CBD74-5CEB-42CD-B82B-C030D991D813}"/>
    <cellStyle name="SubRoutine 11 6 2 2" xfId="30735" xr:uid="{711D366A-25D6-45C5-BBFD-C9CA52848020}"/>
    <cellStyle name="SubRoutine 11 6 2 3" xfId="30736" xr:uid="{D293125C-147B-4345-BE25-767846C92F31}"/>
    <cellStyle name="SubRoutine 11 6 3" xfId="30737" xr:uid="{7948D514-E115-40F0-BAAA-B68FEEA879D7}"/>
    <cellStyle name="SubRoutine 11 6 3 2" xfId="30738" xr:uid="{7024AFDC-0FDA-472E-A069-9F0C6C1FAE43}"/>
    <cellStyle name="SubRoutine 11 6 4" xfId="30739" xr:uid="{D797EF18-A33F-4722-8601-080C0B35ADED}"/>
    <cellStyle name="SubRoutine 11 6 5" xfId="30740" xr:uid="{4EB3B87A-8C40-418B-934C-9095504EC566}"/>
    <cellStyle name="SubRoutine 11 7" xfId="30741" xr:uid="{D705FA53-20DD-4C2E-AB88-8040A32CD6EF}"/>
    <cellStyle name="SubRoutine 11 7 2" xfId="30742" xr:uid="{B8D3F483-9740-4654-B671-20FEE179D336}"/>
    <cellStyle name="SubRoutine 11 7 3" xfId="30743" xr:uid="{888FB17B-FF0F-4331-9934-67570358027E}"/>
    <cellStyle name="SubRoutine 11 8" xfId="30744" xr:uid="{C50F5E71-E47E-4FDB-B7E9-7DEAA6AAA739}"/>
    <cellStyle name="SubRoutine 12" xfId="30745" xr:uid="{B026DBCF-2AD6-4735-84DE-7215292EB2F7}"/>
    <cellStyle name="SubRoutine 12 10" xfId="30746" xr:uid="{2F25283B-BADB-4C5A-9352-38AE67BBD3B2}"/>
    <cellStyle name="SubRoutine 12 2" xfId="30747" xr:uid="{753272EF-DBBD-456A-8D96-C94A87D286EF}"/>
    <cellStyle name="SubRoutine 12 2 2" xfId="30748" xr:uid="{F2E5DE42-1426-4FE1-B869-1E50F33BAC18}"/>
    <cellStyle name="SubRoutine 12 2 2 2" xfId="30749" xr:uid="{DD536970-70A6-4F5D-9A7D-21A2BA42D91B}"/>
    <cellStyle name="SubRoutine 12 2 2 2 2" xfId="30750" xr:uid="{60D237C5-E5A2-42CE-8AD4-117AE6438BF4}"/>
    <cellStyle name="SubRoutine 12 2 2 2 3" xfId="30751" xr:uid="{25E16D9A-968A-4145-BF36-971BD711D3F8}"/>
    <cellStyle name="SubRoutine 12 2 2 3" xfId="30752" xr:uid="{AC330FC2-617D-4A8E-8E51-D62467023F45}"/>
    <cellStyle name="SubRoutine 12 2 2 3 2" xfId="30753" xr:uid="{1581772B-3D2E-4FB8-A27E-F5111F345723}"/>
    <cellStyle name="SubRoutine 12 2 2 4" xfId="30754" xr:uid="{B174D814-4EE6-4887-9466-3AF1DD0BDF64}"/>
    <cellStyle name="SubRoutine 12 2 2 5" xfId="30755" xr:uid="{A895573D-0EA1-4E45-AB69-6FB7A8F219FF}"/>
    <cellStyle name="SubRoutine 12 2 3" xfId="30756" xr:uid="{4E9A38BB-97A4-47ED-80EF-E0BA5F1D786A}"/>
    <cellStyle name="SubRoutine 12 2 3 2" xfId="30757" xr:uid="{E1DAE0D5-D1C9-44C8-864E-7B7E7E8AF6EC}"/>
    <cellStyle name="SubRoutine 12 2 3 3" xfId="30758" xr:uid="{C54D8558-18F2-4F6A-A27E-06BD242D346B}"/>
    <cellStyle name="SubRoutine 12 2 4" xfId="30759" xr:uid="{250E7B32-1DAF-48C9-9D2A-A63CF151A821}"/>
    <cellStyle name="SubRoutine 12 2 4 2" xfId="30760" xr:uid="{3A38A53E-38C3-401C-9FA5-4A7281D16BCE}"/>
    <cellStyle name="SubRoutine 12 2 5" xfId="30761" xr:uid="{A98CE4A9-9334-410B-AE4D-ECA991090D13}"/>
    <cellStyle name="SubRoutine 12 2 6" xfId="30762" xr:uid="{96881724-2BB8-4EB5-A1BB-EA8BBBEDC421}"/>
    <cellStyle name="SubRoutine 12 3" xfId="30763" xr:uid="{977A9A8D-2835-49C5-A8D2-87FAF5C06D98}"/>
    <cellStyle name="SubRoutine 12 3 2" xfId="30764" xr:uid="{26145C31-05B7-4EA9-88AA-23C96259DE62}"/>
    <cellStyle name="SubRoutine 12 3 2 2" xfId="30765" xr:uid="{7EE9D6AB-B93A-4EA8-8B67-277062241D97}"/>
    <cellStyle name="SubRoutine 12 3 2 2 2" xfId="30766" xr:uid="{34B65ED3-C97E-4284-910C-5C9F63D7A6E3}"/>
    <cellStyle name="SubRoutine 12 3 2 2 3" xfId="30767" xr:uid="{A1A5664F-1E34-4F4B-8206-D77E1D2039EF}"/>
    <cellStyle name="SubRoutine 12 3 2 3" xfId="30768" xr:uid="{F6C3BB53-50D3-4DCB-90CE-456FCDCD39FF}"/>
    <cellStyle name="SubRoutine 12 3 2 3 2" xfId="30769" xr:uid="{C272C1D1-569B-498E-A613-81E5BF3261CF}"/>
    <cellStyle name="SubRoutine 12 3 2 4" xfId="30770" xr:uid="{88FF4D05-263F-4D77-A99A-E1486E8FEC21}"/>
    <cellStyle name="SubRoutine 12 3 2 5" xfId="30771" xr:uid="{8D221280-269E-406D-8B85-53FB31521ECC}"/>
    <cellStyle name="SubRoutine 12 3 3" xfId="30772" xr:uid="{DF5745B5-C6B3-4481-9C67-E34F8731D796}"/>
    <cellStyle name="SubRoutine 12 3 3 2" xfId="30773" xr:uid="{45E86D9F-69F9-4D66-AA2B-D02F4697CBA0}"/>
    <cellStyle name="SubRoutine 12 3 3 3" xfId="30774" xr:uid="{07C3CBDC-53D5-4704-9C41-7F0DCAE9FBC4}"/>
    <cellStyle name="SubRoutine 12 3 4" xfId="30775" xr:uid="{C1962657-25ED-4A67-A442-8947654D7E97}"/>
    <cellStyle name="SubRoutine 12 3 4 2" xfId="30776" xr:uid="{C8128E62-BA7E-4E34-93A4-7060FC1E1E63}"/>
    <cellStyle name="SubRoutine 12 3 5" xfId="30777" xr:uid="{40781D16-5C0D-4484-8E79-CF3D2A51B37A}"/>
    <cellStyle name="SubRoutine 12 3 6" xfId="30778" xr:uid="{8559059D-6C3E-47FA-87A1-51F0B68D4A47}"/>
    <cellStyle name="SubRoutine 12 4" xfId="30779" xr:uid="{EB8449F4-FB48-4FBE-9AFB-EFDF698F5E05}"/>
    <cellStyle name="SubRoutine 12 4 2" xfId="30780" xr:uid="{A07FA8E5-4320-48DD-A76F-610CFB43BA99}"/>
    <cellStyle name="SubRoutine 12 4 2 2" xfId="30781" xr:uid="{6C7906CF-94D1-4FF2-B465-815E3CE2FA0C}"/>
    <cellStyle name="SubRoutine 12 4 2 2 2" xfId="30782" xr:uid="{ACFF92EA-6C0B-4771-8B9B-6F980D18983A}"/>
    <cellStyle name="SubRoutine 12 4 2 2 3" xfId="30783" xr:uid="{BABC49DE-49D9-4B19-B910-0F611115B711}"/>
    <cellStyle name="SubRoutine 12 4 2 3" xfId="30784" xr:uid="{51D5982A-385D-4836-BD68-9E2F70B7B603}"/>
    <cellStyle name="SubRoutine 12 4 2 3 2" xfId="30785" xr:uid="{BA2B72E1-B90F-4434-AAB5-E7A865D43079}"/>
    <cellStyle name="SubRoutine 12 4 2 4" xfId="30786" xr:uid="{92885365-C24B-4074-BDAE-E2A5E9F6ECD9}"/>
    <cellStyle name="SubRoutine 12 4 2 5" xfId="30787" xr:uid="{34D19C62-034C-4279-8B21-51005BBB8896}"/>
    <cellStyle name="SubRoutine 12 4 3" xfId="30788" xr:uid="{841BDDBA-F28B-4315-8F8A-626A34B61A49}"/>
    <cellStyle name="SubRoutine 12 4 3 2" xfId="30789" xr:uid="{16ECC03B-6B90-48EA-BBB1-DF13541BCC10}"/>
    <cellStyle name="SubRoutine 12 4 3 3" xfId="30790" xr:uid="{2CADE761-5D67-4CD2-A510-878D1CA0B339}"/>
    <cellStyle name="SubRoutine 12 4 4" xfId="30791" xr:uid="{37E7BFD6-2B85-4177-95B6-B05DAD5F6E0C}"/>
    <cellStyle name="SubRoutine 12 4 4 2" xfId="30792" xr:uid="{EDD2812F-A23B-47FA-93D8-8FA6284851F0}"/>
    <cellStyle name="SubRoutine 12 4 5" xfId="30793" xr:uid="{859849D0-6EDA-485A-88CF-CCCF1775C302}"/>
    <cellStyle name="SubRoutine 12 4 6" xfId="30794" xr:uid="{B0138110-BCAF-426E-AF57-22A3ABF95263}"/>
    <cellStyle name="SubRoutine 12 5" xfId="30795" xr:uid="{67E821A8-3525-44FE-91F4-81ACDAFF2905}"/>
    <cellStyle name="SubRoutine 12 5 2" xfId="30796" xr:uid="{3B60F769-1D8E-4E51-A50E-D9ACF730A23F}"/>
    <cellStyle name="SubRoutine 12 5 2 2" xfId="30797" xr:uid="{88F2AA26-A2B9-454C-BBA3-75D12290F5A0}"/>
    <cellStyle name="SubRoutine 12 5 2 2 2" xfId="30798" xr:uid="{344AF805-1836-4CB9-8F04-D1162F009805}"/>
    <cellStyle name="SubRoutine 12 5 2 2 3" xfId="30799" xr:uid="{A12F3E42-5337-43F2-8931-5B1CE9263E4B}"/>
    <cellStyle name="SubRoutine 12 5 2 3" xfId="30800" xr:uid="{524190CC-84CF-4E04-99C8-32A040F28799}"/>
    <cellStyle name="SubRoutine 12 5 2 3 2" xfId="30801" xr:uid="{BDD085E4-7173-4236-A4E8-A1CD19D275F3}"/>
    <cellStyle name="SubRoutine 12 5 2 4" xfId="30802" xr:uid="{E6002980-3CED-4E56-BB9B-5C8E0D84734F}"/>
    <cellStyle name="SubRoutine 12 5 2 5" xfId="30803" xr:uid="{FB4DB5D9-75D3-4BDC-A49E-A95C4AC2A0A7}"/>
    <cellStyle name="SubRoutine 12 5 3" xfId="30804" xr:uid="{0B3958E7-95CB-417E-9DC4-CA5B93D26D50}"/>
    <cellStyle name="SubRoutine 12 5 3 2" xfId="30805" xr:uid="{AD906B62-FE82-4807-ACB7-3AC892B62C69}"/>
    <cellStyle name="SubRoutine 12 5 3 3" xfId="30806" xr:uid="{38BC7942-BC89-4341-A689-B738CA8D6C61}"/>
    <cellStyle name="SubRoutine 12 5 4" xfId="30807" xr:uid="{3D651D57-8F6B-4FAA-A045-6630169CEEB6}"/>
    <cellStyle name="SubRoutine 12 5 4 2" xfId="30808" xr:uid="{9C9C8BA5-F692-4416-A1A7-F89C471A5CFB}"/>
    <cellStyle name="SubRoutine 12 5 5" xfId="30809" xr:uid="{32922C22-F0D4-432D-A557-286CE448EE86}"/>
    <cellStyle name="SubRoutine 12 5 6" xfId="30810" xr:uid="{B5FDE97B-32EF-48C7-9E85-BD11B2BE4018}"/>
    <cellStyle name="SubRoutine 12 6" xfId="30811" xr:uid="{5645088E-DA1F-4551-B781-3A806DE35BAE}"/>
    <cellStyle name="SubRoutine 12 6 2" xfId="30812" xr:uid="{254A1044-1985-45FA-A7E4-F81C41965674}"/>
    <cellStyle name="SubRoutine 12 6 2 2" xfId="30813" xr:uid="{208C3417-57B1-4A15-BF09-9E394F20C02B}"/>
    <cellStyle name="SubRoutine 12 6 2 3" xfId="30814" xr:uid="{3018F019-645A-4238-AA7E-8B4ABDEF7CBC}"/>
    <cellStyle name="SubRoutine 12 6 3" xfId="30815" xr:uid="{E1F834F5-84B3-4761-B76B-349C70E6BBB1}"/>
    <cellStyle name="SubRoutine 12 6 3 2" xfId="30816" xr:uid="{D4CFA6CF-A0D0-4219-9D1C-0B02D1BC7D2E}"/>
    <cellStyle name="SubRoutine 12 6 4" xfId="30817" xr:uid="{E3CC7ACA-DBFA-4742-A6D4-ADCA3199A9BD}"/>
    <cellStyle name="SubRoutine 12 6 5" xfId="30818" xr:uid="{2ED18292-73E0-44D7-B449-6765E60F5C4D}"/>
    <cellStyle name="SubRoutine 12 7" xfId="30819" xr:uid="{652B857C-3312-4622-BA00-BA632BBD6924}"/>
    <cellStyle name="SubRoutine 12 7 2" xfId="30820" xr:uid="{0F4B599A-841C-4E50-987C-CFF7D408C182}"/>
    <cellStyle name="SubRoutine 12 7 3" xfId="30821" xr:uid="{52AAD332-82CC-4405-8287-B722B95D28F6}"/>
    <cellStyle name="SubRoutine 12 8" xfId="30822" xr:uid="{E186A885-75CC-4542-99E2-D9A93F8A5B6E}"/>
    <cellStyle name="SubRoutine 12 8 2" xfId="30823" xr:uid="{6F4705E5-BAAC-47EF-9BA8-4D5C145BA482}"/>
    <cellStyle name="SubRoutine 12 9" xfId="30824" xr:uid="{808BF820-AB62-4E7C-AF67-D003767B238B}"/>
    <cellStyle name="SubRoutine 13" xfId="30825" xr:uid="{EB8113C5-D18F-4968-B47F-782D0BFC477F}"/>
    <cellStyle name="SubRoutine 13 10" xfId="30826" xr:uid="{58AD90A3-172F-4544-8E3E-525AC1008BBE}"/>
    <cellStyle name="SubRoutine 13 2" xfId="30827" xr:uid="{1832C09B-67FD-4D3A-90BD-FE99B40E8AF8}"/>
    <cellStyle name="SubRoutine 13 2 2" xfId="30828" xr:uid="{63D893B4-50F8-47FD-8C34-72797ECC1B15}"/>
    <cellStyle name="SubRoutine 13 2 2 2" xfId="30829" xr:uid="{ED048C5B-81CE-407D-B78A-57019CAC9817}"/>
    <cellStyle name="SubRoutine 13 2 2 2 2" xfId="30830" xr:uid="{49354938-5214-4B30-8A96-B4B256B1399F}"/>
    <cellStyle name="SubRoutine 13 2 2 2 3" xfId="30831" xr:uid="{FF726804-B853-40D2-A6DC-FE4F311E0B3B}"/>
    <cellStyle name="SubRoutine 13 2 2 3" xfId="30832" xr:uid="{01720FD9-E78D-4EE7-9AC2-FFE6D67C2654}"/>
    <cellStyle name="SubRoutine 13 2 2 3 2" xfId="30833" xr:uid="{C591C61B-B999-48A6-80D1-6AE25DE8B036}"/>
    <cellStyle name="SubRoutine 13 2 2 4" xfId="30834" xr:uid="{12404D44-D392-40BD-A836-71B65CE916B1}"/>
    <cellStyle name="SubRoutine 13 2 2 5" xfId="30835" xr:uid="{41CCF574-FDC9-4016-9083-118F93D6A3F3}"/>
    <cellStyle name="SubRoutine 13 2 3" xfId="30836" xr:uid="{CDBD9495-A96D-4B6F-A5B3-37B5A5C4E171}"/>
    <cellStyle name="SubRoutine 13 2 3 2" xfId="30837" xr:uid="{71BBE3B6-85A7-4D41-BEBF-919B7272BABE}"/>
    <cellStyle name="SubRoutine 13 2 3 3" xfId="30838" xr:uid="{EE65718C-A100-4B15-9F80-CBD354FD0033}"/>
    <cellStyle name="SubRoutine 13 2 4" xfId="30839" xr:uid="{4DE544C7-F187-44C6-AA87-CCFDA6A9856D}"/>
    <cellStyle name="SubRoutine 13 2 4 2" xfId="30840" xr:uid="{D1B37480-A1B6-425A-ABA0-B335241EDFD5}"/>
    <cellStyle name="SubRoutine 13 2 5" xfId="30841" xr:uid="{675F8FF7-1419-4E3A-BB77-10A1E20172D4}"/>
    <cellStyle name="SubRoutine 13 2 6" xfId="30842" xr:uid="{757E2124-D5C2-48A9-B140-017AC4212191}"/>
    <cellStyle name="SubRoutine 13 3" xfId="30843" xr:uid="{FA170CCB-0DBC-41B1-AE04-905B88AE4C96}"/>
    <cellStyle name="SubRoutine 13 3 2" xfId="30844" xr:uid="{F99787D5-2417-4719-9966-D0394CA187AB}"/>
    <cellStyle name="SubRoutine 13 3 2 2" xfId="30845" xr:uid="{77286FA8-5EDD-4416-819F-D1E9B2B0ECC2}"/>
    <cellStyle name="SubRoutine 13 3 2 2 2" xfId="30846" xr:uid="{1AF990B8-7F24-42EF-A140-DB564B71247C}"/>
    <cellStyle name="SubRoutine 13 3 2 2 3" xfId="30847" xr:uid="{3A0502EA-83E0-40EA-A536-4FD2126701D3}"/>
    <cellStyle name="SubRoutine 13 3 2 3" xfId="30848" xr:uid="{F89FC063-7ABF-4426-A0D9-CF17FE161F2C}"/>
    <cellStyle name="SubRoutine 13 3 2 3 2" xfId="30849" xr:uid="{3FFABF3D-BD8A-41B4-B465-5558FC1E2DE6}"/>
    <cellStyle name="SubRoutine 13 3 2 4" xfId="30850" xr:uid="{F7985EB5-2830-4AD5-8640-14DA74E55285}"/>
    <cellStyle name="SubRoutine 13 3 2 5" xfId="30851" xr:uid="{913B542C-7909-4E69-9058-188ECF614D61}"/>
    <cellStyle name="SubRoutine 13 3 3" xfId="30852" xr:uid="{F3D7C92C-482A-400F-B137-7DC58CE0A8B4}"/>
    <cellStyle name="SubRoutine 13 3 3 2" xfId="30853" xr:uid="{3A91C845-5257-4F17-9F72-34E7484C6A1C}"/>
    <cellStyle name="SubRoutine 13 3 3 3" xfId="30854" xr:uid="{AE8FB161-8A0E-42E0-ACC0-73653905FE04}"/>
    <cellStyle name="SubRoutine 13 3 4" xfId="30855" xr:uid="{6FB33D3D-D88B-487D-8EF2-B03763965BF9}"/>
    <cellStyle name="SubRoutine 13 3 4 2" xfId="30856" xr:uid="{A98C55C4-A541-4F39-9EBF-BCD7F22917DD}"/>
    <cellStyle name="SubRoutine 13 3 5" xfId="30857" xr:uid="{7858AC73-D16F-47EA-B726-542918FB8023}"/>
    <cellStyle name="SubRoutine 13 3 6" xfId="30858" xr:uid="{1E5A2AC8-0E15-4DB7-88AC-F6298C99CB47}"/>
    <cellStyle name="SubRoutine 13 4" xfId="30859" xr:uid="{F6A089D1-DA10-409A-819A-A6E3AA4D31DC}"/>
    <cellStyle name="SubRoutine 13 4 2" xfId="30860" xr:uid="{5DA0D72A-F909-4486-8DA5-267CC680603B}"/>
    <cellStyle name="SubRoutine 13 4 2 2" xfId="30861" xr:uid="{C39E1482-8275-4F8F-B88D-FF27980D05C6}"/>
    <cellStyle name="SubRoutine 13 4 2 2 2" xfId="30862" xr:uid="{9420D74B-97A6-4157-B681-68D826B41FFA}"/>
    <cellStyle name="SubRoutine 13 4 2 2 3" xfId="30863" xr:uid="{33575CB2-0AF0-43F8-8147-A9BD18C755B2}"/>
    <cellStyle name="SubRoutine 13 4 2 3" xfId="30864" xr:uid="{8481623C-3757-4E4C-A7FB-CFC7ACD58228}"/>
    <cellStyle name="SubRoutine 13 4 2 3 2" xfId="30865" xr:uid="{13E90FAE-49DA-4B2E-9974-FFB77E03B6C4}"/>
    <cellStyle name="SubRoutine 13 4 2 4" xfId="30866" xr:uid="{35B891FF-B949-407E-8997-2A98D8CD7825}"/>
    <cellStyle name="SubRoutine 13 4 2 5" xfId="30867" xr:uid="{084DC59D-087D-4C44-948B-20B826EAC9A9}"/>
    <cellStyle name="SubRoutine 13 4 3" xfId="30868" xr:uid="{0691490A-E3C4-46E7-8386-65BB0EB580DC}"/>
    <cellStyle name="SubRoutine 13 4 3 2" xfId="30869" xr:uid="{DBCC55ED-4C4D-4B95-B1B4-17D65005F8A4}"/>
    <cellStyle name="SubRoutine 13 4 3 3" xfId="30870" xr:uid="{F8F252BA-4CFF-409D-B583-BE4C1D14E4E2}"/>
    <cellStyle name="SubRoutine 13 4 4" xfId="30871" xr:uid="{2C84DE42-4531-45E5-9B5D-E7639E02F6DA}"/>
    <cellStyle name="SubRoutine 13 4 4 2" xfId="30872" xr:uid="{8F9D315C-AE48-406E-9A65-52C4B0C1DB7E}"/>
    <cellStyle name="SubRoutine 13 4 5" xfId="30873" xr:uid="{4D617D09-D3A3-4307-84F0-1B86B1A5334E}"/>
    <cellStyle name="SubRoutine 13 4 6" xfId="30874" xr:uid="{68A7A275-3D0D-4F5E-901B-EC7FEE3E5073}"/>
    <cellStyle name="SubRoutine 13 5" xfId="30875" xr:uid="{79560824-3A07-454C-BBE2-865FF19DB053}"/>
    <cellStyle name="SubRoutine 13 5 2" xfId="30876" xr:uid="{D2F3D4B3-4CA6-4D23-9175-74194B668937}"/>
    <cellStyle name="SubRoutine 13 5 2 2" xfId="30877" xr:uid="{D550DA2D-0A3E-4EF1-90BD-265A49B2ED0F}"/>
    <cellStyle name="SubRoutine 13 5 2 2 2" xfId="30878" xr:uid="{07956B38-15A3-42E3-A204-3A9C030D7841}"/>
    <cellStyle name="SubRoutine 13 5 2 2 3" xfId="30879" xr:uid="{4A9314CB-B3D8-4ABB-8EF0-B45635404584}"/>
    <cellStyle name="SubRoutine 13 5 2 3" xfId="30880" xr:uid="{71CB64A4-95AB-49DC-B837-DDF56EFD2561}"/>
    <cellStyle name="SubRoutine 13 5 2 3 2" xfId="30881" xr:uid="{4C1702F0-C7D0-4904-9135-597A67B667ED}"/>
    <cellStyle name="SubRoutine 13 5 2 4" xfId="30882" xr:uid="{704A9685-4A52-48C6-85F5-34A04E6A80DD}"/>
    <cellStyle name="SubRoutine 13 5 2 5" xfId="30883" xr:uid="{F16021B3-4C41-4833-9AB7-99EE4BC086EA}"/>
    <cellStyle name="SubRoutine 13 5 3" xfId="30884" xr:uid="{FE3134CA-715C-491E-88AE-EB2A7F576D32}"/>
    <cellStyle name="SubRoutine 13 5 3 2" xfId="30885" xr:uid="{194409A3-F8CA-4326-9710-107B88353CB5}"/>
    <cellStyle name="SubRoutine 13 5 3 3" xfId="30886" xr:uid="{AF89F9EE-5BD7-401D-AE00-43BC4DBB0451}"/>
    <cellStyle name="SubRoutine 13 5 4" xfId="30887" xr:uid="{8444117E-32B4-44A1-8BDB-303BC4947761}"/>
    <cellStyle name="SubRoutine 13 5 4 2" xfId="30888" xr:uid="{2F7366CA-8179-43D4-A6F9-984A4A363214}"/>
    <cellStyle name="SubRoutine 13 5 5" xfId="30889" xr:uid="{78AF081F-F1A0-41B7-94CC-56F0EA677B02}"/>
    <cellStyle name="SubRoutine 13 5 6" xfId="30890" xr:uid="{D09B6C2C-2643-4FDD-8333-700A58C6F4F8}"/>
    <cellStyle name="SubRoutine 13 6" xfId="30891" xr:uid="{3674965D-5B17-479C-ABF4-CB084EC530F1}"/>
    <cellStyle name="SubRoutine 13 6 2" xfId="30892" xr:uid="{19DAD12F-D7E9-4338-85C1-7E4E8F3999F5}"/>
    <cellStyle name="SubRoutine 13 6 2 2" xfId="30893" xr:uid="{F13FF278-973B-4A1F-BD3C-A79158ED7BF3}"/>
    <cellStyle name="SubRoutine 13 6 2 3" xfId="30894" xr:uid="{A0A080CB-329A-4939-8AA0-8E444B452402}"/>
    <cellStyle name="SubRoutine 13 6 3" xfId="30895" xr:uid="{EB7212FD-F9B0-4247-A1D9-716F122D7728}"/>
    <cellStyle name="SubRoutine 13 6 3 2" xfId="30896" xr:uid="{08BB97E0-2D1C-470F-A65E-71CE2A9605B7}"/>
    <cellStyle name="SubRoutine 13 6 4" xfId="30897" xr:uid="{7A8205C8-C52B-46FB-B2D8-1C667DD121D6}"/>
    <cellStyle name="SubRoutine 13 6 5" xfId="30898" xr:uid="{7157D9CC-5F25-44EE-8633-8063596BB335}"/>
    <cellStyle name="SubRoutine 13 7" xfId="30899" xr:uid="{3F02CAD9-D32B-43B8-92B2-124EE33FC31C}"/>
    <cellStyle name="SubRoutine 13 7 2" xfId="30900" xr:uid="{1A56FA60-EC47-4A47-B1DC-97B50D8408F2}"/>
    <cellStyle name="SubRoutine 13 7 3" xfId="30901" xr:uid="{AB4F462C-C9D7-4510-BDD1-E525C83834F8}"/>
    <cellStyle name="SubRoutine 13 8" xfId="30902" xr:uid="{DAFC2695-E16B-43EC-B218-5E0884D4A753}"/>
    <cellStyle name="SubRoutine 13 8 2" xfId="30903" xr:uid="{A46E1214-615E-4862-A03C-ABB554BEA422}"/>
    <cellStyle name="SubRoutine 13 9" xfId="30904" xr:uid="{34A82148-E889-4009-B60C-D5EAB7E8AC3E}"/>
    <cellStyle name="SubRoutine 14" xfId="30905" xr:uid="{9FA34C28-837E-4A10-9757-1429952DBBAA}"/>
    <cellStyle name="SubRoutine 14 10" xfId="30906" xr:uid="{935CA3E3-D67E-453E-977D-98FA5C745D84}"/>
    <cellStyle name="SubRoutine 14 2" xfId="30907" xr:uid="{8A0B470A-9491-4659-A46A-936DA55E02FC}"/>
    <cellStyle name="SubRoutine 14 2 2" xfId="30908" xr:uid="{54F97DFA-4F73-4F65-B933-6932ACB5B725}"/>
    <cellStyle name="SubRoutine 14 2 2 2" xfId="30909" xr:uid="{71CA2BEC-A6F6-4F24-B313-E18D09E57485}"/>
    <cellStyle name="SubRoutine 14 2 2 2 2" xfId="30910" xr:uid="{81EE7F67-9E77-4ED8-931F-747C24A0E208}"/>
    <cellStyle name="SubRoutine 14 2 2 2 3" xfId="30911" xr:uid="{2109618E-CAC6-4942-A76C-E5561E984F86}"/>
    <cellStyle name="SubRoutine 14 2 2 3" xfId="30912" xr:uid="{0D31C25B-97CE-480F-8160-006C97800B32}"/>
    <cellStyle name="SubRoutine 14 2 2 3 2" xfId="30913" xr:uid="{AE8819BC-760F-429A-B799-5E1DAD8F57B7}"/>
    <cellStyle name="SubRoutine 14 2 2 4" xfId="30914" xr:uid="{0198C3F9-F6E6-4DF0-8E54-3EA86D87DC0E}"/>
    <cellStyle name="SubRoutine 14 2 2 5" xfId="30915" xr:uid="{99F00206-767E-4B24-80EE-A71D3BB817D1}"/>
    <cellStyle name="SubRoutine 14 2 3" xfId="30916" xr:uid="{EE898F22-F72B-40B6-8F25-6C35FA0937DD}"/>
    <cellStyle name="SubRoutine 14 2 3 2" xfId="30917" xr:uid="{78571CDD-6646-401E-9FC5-5FB3BBC64F4F}"/>
    <cellStyle name="SubRoutine 14 2 3 3" xfId="30918" xr:uid="{939C3125-05EF-4A4F-A1D3-0D64C9B658C3}"/>
    <cellStyle name="SubRoutine 14 2 4" xfId="30919" xr:uid="{96CB3FAB-5206-4137-B036-2CD8494C49DF}"/>
    <cellStyle name="SubRoutine 14 2 4 2" xfId="30920" xr:uid="{AF236522-C652-49BC-9071-6AB21EDFB324}"/>
    <cellStyle name="SubRoutine 14 2 5" xfId="30921" xr:uid="{F7C9F037-0A91-4A98-82A7-815405A23C49}"/>
    <cellStyle name="SubRoutine 14 2 6" xfId="30922" xr:uid="{80F04B77-FA0F-48FC-A030-D517F000A7C1}"/>
    <cellStyle name="SubRoutine 14 3" xfId="30923" xr:uid="{7C57A603-CD82-4C31-A38C-DEF0839EDE9D}"/>
    <cellStyle name="SubRoutine 14 3 2" xfId="30924" xr:uid="{96B75CA9-B6F7-4BA1-BF1E-21F2F3A9DC61}"/>
    <cellStyle name="SubRoutine 14 3 2 2" xfId="30925" xr:uid="{A250F471-1C3D-4CB9-94F9-607C16F1F605}"/>
    <cellStyle name="SubRoutine 14 3 2 2 2" xfId="30926" xr:uid="{98499D26-A666-41ED-A139-D08CA031CB9B}"/>
    <cellStyle name="SubRoutine 14 3 2 2 3" xfId="30927" xr:uid="{77219994-7D19-4528-9990-7E8F7F67C0AB}"/>
    <cellStyle name="SubRoutine 14 3 2 3" xfId="30928" xr:uid="{F895EBC2-A5F0-4671-BEFB-437BBB5051CD}"/>
    <cellStyle name="SubRoutine 14 3 2 3 2" xfId="30929" xr:uid="{1A995780-AEDE-4F1E-9215-B64FDA7DC9B3}"/>
    <cellStyle name="SubRoutine 14 3 2 4" xfId="30930" xr:uid="{C9FBEF00-ACB3-4D5F-BC42-8838AB2A51E0}"/>
    <cellStyle name="SubRoutine 14 3 2 5" xfId="30931" xr:uid="{FAB51068-53F7-4A5A-8D25-423BF815E1C1}"/>
    <cellStyle name="SubRoutine 14 3 3" xfId="30932" xr:uid="{E63348ED-5505-4D59-B952-698CA445248C}"/>
    <cellStyle name="SubRoutine 14 3 3 2" xfId="30933" xr:uid="{C9D3CA16-115F-4CF0-9639-C718B12982FC}"/>
    <cellStyle name="SubRoutine 14 3 3 3" xfId="30934" xr:uid="{EF01078C-D0FE-47A3-8860-7183FB119433}"/>
    <cellStyle name="SubRoutine 14 3 4" xfId="30935" xr:uid="{110EFB85-C02D-46FB-A118-6300E6023427}"/>
    <cellStyle name="SubRoutine 14 3 4 2" xfId="30936" xr:uid="{CE2B0D36-05FB-4EA8-8859-C19AF0C1900E}"/>
    <cellStyle name="SubRoutine 14 3 5" xfId="30937" xr:uid="{D356B9CF-5D4B-4FFA-A7C3-B12AF939E01E}"/>
    <cellStyle name="SubRoutine 14 3 6" xfId="30938" xr:uid="{7545C1A6-90C5-4272-9DC4-46C4A79615A8}"/>
    <cellStyle name="SubRoutine 14 4" xfId="30939" xr:uid="{2F5867C3-6DEA-4216-A3B9-EC634065F066}"/>
    <cellStyle name="SubRoutine 14 4 2" xfId="30940" xr:uid="{5AA11674-1207-47B5-97C2-BDB68F954490}"/>
    <cellStyle name="SubRoutine 14 4 2 2" xfId="30941" xr:uid="{B85FBD93-12C6-4931-97A1-DEB4FF016E5C}"/>
    <cellStyle name="SubRoutine 14 4 2 2 2" xfId="30942" xr:uid="{FAF405EE-57EE-4837-A6F3-F0333426D828}"/>
    <cellStyle name="SubRoutine 14 4 2 2 3" xfId="30943" xr:uid="{CE64ABA9-E922-414E-B517-B9A813CE6F4A}"/>
    <cellStyle name="SubRoutine 14 4 2 3" xfId="30944" xr:uid="{F4B2579B-C776-4509-A0E4-0272DC28C89C}"/>
    <cellStyle name="SubRoutine 14 4 2 3 2" xfId="30945" xr:uid="{A374AA09-407A-480C-9DA8-146DAE992193}"/>
    <cellStyle name="SubRoutine 14 4 2 4" xfId="30946" xr:uid="{5D370B8E-380A-465D-9DCB-651CC464C111}"/>
    <cellStyle name="SubRoutine 14 4 2 5" xfId="30947" xr:uid="{70B78E7C-94BA-4658-8542-C1ECD94FF5DD}"/>
    <cellStyle name="SubRoutine 14 4 3" xfId="30948" xr:uid="{28588A2E-6BD8-468D-A9E9-0B3342F6D79D}"/>
    <cellStyle name="SubRoutine 14 4 3 2" xfId="30949" xr:uid="{36173B09-E7AA-4417-9D3A-762BF303ED89}"/>
    <cellStyle name="SubRoutine 14 4 3 3" xfId="30950" xr:uid="{766E4CC8-C62B-40C6-8135-6E571C6D849B}"/>
    <cellStyle name="SubRoutine 14 4 4" xfId="30951" xr:uid="{B44D3C8C-058A-4DFB-8671-101916E25CC0}"/>
    <cellStyle name="SubRoutine 14 4 4 2" xfId="30952" xr:uid="{80587F45-DA70-406A-94A3-42DEED49CFD1}"/>
    <cellStyle name="SubRoutine 14 4 5" xfId="30953" xr:uid="{C8FC235D-4DF2-4146-B101-0870C1314716}"/>
    <cellStyle name="SubRoutine 14 4 6" xfId="30954" xr:uid="{ABFAACF7-8DE1-4DDE-A6AF-5BEDE01FA5D6}"/>
    <cellStyle name="SubRoutine 14 5" xfId="30955" xr:uid="{F9616184-A55C-4A49-AF05-0E680D508DDB}"/>
    <cellStyle name="SubRoutine 14 5 2" xfId="30956" xr:uid="{A11A068A-91AC-418C-B247-5A7418C1688C}"/>
    <cellStyle name="SubRoutine 14 5 2 2" xfId="30957" xr:uid="{02EC3756-1466-4CA1-A0AF-F4318CE1AF51}"/>
    <cellStyle name="SubRoutine 14 5 2 2 2" xfId="30958" xr:uid="{67E321E1-9405-4CA4-99BB-34BA24920F08}"/>
    <cellStyle name="SubRoutine 14 5 2 2 3" xfId="30959" xr:uid="{FD6D9BBC-1F1B-4D69-BC2C-482976BF4F05}"/>
    <cellStyle name="SubRoutine 14 5 2 3" xfId="30960" xr:uid="{495996D1-EC21-4D9E-8A0D-823711D776E9}"/>
    <cellStyle name="SubRoutine 14 5 2 3 2" xfId="30961" xr:uid="{D6AF7898-50A3-41CA-977A-E7EEC9ECDCE1}"/>
    <cellStyle name="SubRoutine 14 5 2 4" xfId="30962" xr:uid="{BEF777B0-45A3-42E9-8657-AD69610F37FA}"/>
    <cellStyle name="SubRoutine 14 5 2 5" xfId="30963" xr:uid="{1C6EA70C-A296-458A-AC85-DB8F481067CD}"/>
    <cellStyle name="SubRoutine 14 5 3" xfId="30964" xr:uid="{A0D18304-372E-4979-9653-979054C3AC37}"/>
    <cellStyle name="SubRoutine 14 5 3 2" xfId="30965" xr:uid="{A8014C2A-B216-40B6-B627-4D7700CF81B9}"/>
    <cellStyle name="SubRoutine 14 5 3 3" xfId="30966" xr:uid="{AE2A8D95-171F-41CB-B6E6-1E854D34633C}"/>
    <cellStyle name="SubRoutine 14 5 4" xfId="30967" xr:uid="{D96CEC0C-86C9-4361-BB67-07619910C398}"/>
    <cellStyle name="SubRoutine 14 5 4 2" xfId="30968" xr:uid="{B77B517B-E257-4DF8-95E1-A30287468611}"/>
    <cellStyle name="SubRoutine 14 5 5" xfId="30969" xr:uid="{2324C909-5582-463D-A545-8F8D8F53BD5A}"/>
    <cellStyle name="SubRoutine 14 5 6" xfId="30970" xr:uid="{0EE60232-D798-4E9C-857D-F6E5AAAC1589}"/>
    <cellStyle name="SubRoutine 14 6" xfId="30971" xr:uid="{14230ACD-BF84-4DF0-985C-E98DAA421F3F}"/>
    <cellStyle name="SubRoutine 14 6 2" xfId="30972" xr:uid="{BBAA8518-0F5B-470C-AB32-57FAE1622746}"/>
    <cellStyle name="SubRoutine 14 6 2 2" xfId="30973" xr:uid="{980FB534-9077-4EEA-B94C-A15F56A05D29}"/>
    <cellStyle name="SubRoutine 14 6 2 3" xfId="30974" xr:uid="{71E2218C-FFDC-43EF-863D-E5FD57C563DE}"/>
    <cellStyle name="SubRoutine 14 6 3" xfId="30975" xr:uid="{89ECE8E0-9827-4D0A-97AB-4D2142C05064}"/>
    <cellStyle name="SubRoutine 14 6 3 2" xfId="30976" xr:uid="{A902CC44-178B-4201-ADC6-3ECB85B4A24D}"/>
    <cellStyle name="SubRoutine 14 6 4" xfId="30977" xr:uid="{CC399CA7-313E-427A-9840-9C2491DC217B}"/>
    <cellStyle name="SubRoutine 14 6 5" xfId="30978" xr:uid="{CAA084E9-6AB3-449B-A9CB-738BBDE830FC}"/>
    <cellStyle name="SubRoutine 14 7" xfId="30979" xr:uid="{95802799-D200-4FD5-9B5A-464120BB052B}"/>
    <cellStyle name="SubRoutine 14 7 2" xfId="30980" xr:uid="{5C82B9F9-68FC-47B7-A448-077D275E396E}"/>
    <cellStyle name="SubRoutine 14 7 3" xfId="30981" xr:uid="{750C553F-1588-4946-A014-5C7A58CF0CF2}"/>
    <cellStyle name="SubRoutine 14 8" xfId="30982" xr:uid="{96DB7A0A-8C94-4358-AB4E-004441C9E64A}"/>
    <cellStyle name="SubRoutine 14 8 2" xfId="30983" xr:uid="{4EF47A17-2CDB-482D-9765-C2AD7B4DE4CA}"/>
    <cellStyle name="SubRoutine 14 9" xfId="30984" xr:uid="{71702AFE-B667-400C-97DD-FDA1EB6E15BE}"/>
    <cellStyle name="SubRoutine 15" xfId="30985" xr:uid="{34F59137-6B0E-44EA-BB10-038E3E9E3ACB}"/>
    <cellStyle name="SubRoutine 15 10" xfId="30986" xr:uid="{97868800-8141-49DE-9C17-2EC40EB27704}"/>
    <cellStyle name="SubRoutine 15 2" xfId="30987" xr:uid="{6CE42700-775D-4469-9AFB-7CBCB164893C}"/>
    <cellStyle name="SubRoutine 15 2 2" xfId="30988" xr:uid="{3DAC0FF5-46B6-4282-8FF7-B7C6A158B909}"/>
    <cellStyle name="SubRoutine 15 2 2 2" xfId="30989" xr:uid="{713DA1DD-0FA3-4E6C-9BAD-A1DF11B32BF3}"/>
    <cellStyle name="SubRoutine 15 2 2 2 2" xfId="30990" xr:uid="{0313561C-242A-4AE2-83D1-CC6F8014DB7C}"/>
    <cellStyle name="SubRoutine 15 2 2 2 3" xfId="30991" xr:uid="{7E8D0FD9-EB1B-4159-BAD3-15030F7E57E3}"/>
    <cellStyle name="SubRoutine 15 2 2 3" xfId="30992" xr:uid="{A77C783C-711B-496D-9740-36BF2D7D9079}"/>
    <cellStyle name="SubRoutine 15 2 2 3 2" xfId="30993" xr:uid="{4F2DA3A6-C41A-48AC-ACB6-9389B250165D}"/>
    <cellStyle name="SubRoutine 15 2 2 4" xfId="30994" xr:uid="{F2095889-B0BC-4938-9589-8EBE27E60C0A}"/>
    <cellStyle name="SubRoutine 15 2 2 5" xfId="30995" xr:uid="{D17709E3-E96F-445C-9B5F-48069B10E49E}"/>
    <cellStyle name="SubRoutine 15 2 3" xfId="30996" xr:uid="{A0EBB2B3-C70C-49CD-A4F6-2CD41525A4EB}"/>
    <cellStyle name="SubRoutine 15 2 3 2" xfId="30997" xr:uid="{B507F91D-3620-466B-BBEA-F60B1E0869E4}"/>
    <cellStyle name="SubRoutine 15 2 3 3" xfId="30998" xr:uid="{CE6463A1-FCD6-47EF-9301-ECF5BDB582FF}"/>
    <cellStyle name="SubRoutine 15 2 4" xfId="30999" xr:uid="{824D863F-2EB0-430F-BF26-E6846868206E}"/>
    <cellStyle name="SubRoutine 15 2 4 2" xfId="31000" xr:uid="{F4F38B43-8D28-4228-A3AE-B81C45073050}"/>
    <cellStyle name="SubRoutine 15 2 5" xfId="31001" xr:uid="{EB892040-F343-4C77-8829-891B27999611}"/>
    <cellStyle name="SubRoutine 15 2 6" xfId="31002" xr:uid="{EE5EAD3E-0C38-4BFA-8503-3C9E3F63C72B}"/>
    <cellStyle name="SubRoutine 15 3" xfId="31003" xr:uid="{4D0A5D21-9492-424E-B097-CC6AB1210444}"/>
    <cellStyle name="SubRoutine 15 3 2" xfId="31004" xr:uid="{E6790596-88BE-489F-85A7-883F3032A4DA}"/>
    <cellStyle name="SubRoutine 15 3 2 2" xfId="31005" xr:uid="{B4F60980-49B9-464F-8A85-49A95291C44F}"/>
    <cellStyle name="SubRoutine 15 3 2 2 2" xfId="31006" xr:uid="{85FF229A-FEC0-4600-8A7B-594626BB8255}"/>
    <cellStyle name="SubRoutine 15 3 2 2 3" xfId="31007" xr:uid="{F0FBB3E8-141B-4FBB-891D-53ED66521246}"/>
    <cellStyle name="SubRoutine 15 3 2 3" xfId="31008" xr:uid="{DCA6D9C3-E0FE-4851-9674-B5D0F6C9E893}"/>
    <cellStyle name="SubRoutine 15 3 2 3 2" xfId="31009" xr:uid="{88196D86-AF50-47F0-873D-972BEDDA2FF2}"/>
    <cellStyle name="SubRoutine 15 3 2 4" xfId="31010" xr:uid="{FE9FAA75-5F55-408F-BD99-41C3CCCD4FE3}"/>
    <cellStyle name="SubRoutine 15 3 2 5" xfId="31011" xr:uid="{2E3F7397-7FF2-457F-983B-E38E8D5D25F3}"/>
    <cellStyle name="SubRoutine 15 3 3" xfId="31012" xr:uid="{CEDFE645-4111-448A-80AA-1270E511DD4A}"/>
    <cellStyle name="SubRoutine 15 3 3 2" xfId="31013" xr:uid="{B0770E20-C237-40EC-A6C3-77613238B057}"/>
    <cellStyle name="SubRoutine 15 3 3 3" xfId="31014" xr:uid="{EDF05EAA-03CC-489C-BBA7-EE25A5AADC76}"/>
    <cellStyle name="SubRoutine 15 3 4" xfId="31015" xr:uid="{01523B26-58D0-4626-84DC-6CEF1A4BFF24}"/>
    <cellStyle name="SubRoutine 15 3 4 2" xfId="31016" xr:uid="{92A79A3A-7A27-4894-84F7-3DB68DB085C6}"/>
    <cellStyle name="SubRoutine 15 3 5" xfId="31017" xr:uid="{2D38FB63-E368-471B-A51F-7AB38AEB7234}"/>
    <cellStyle name="SubRoutine 15 3 6" xfId="31018" xr:uid="{465EF824-86F2-4998-A129-300EBB754CFF}"/>
    <cellStyle name="SubRoutine 15 4" xfId="31019" xr:uid="{3EDCC6C1-96B0-4461-9BC3-2FCE66FBD980}"/>
    <cellStyle name="SubRoutine 15 4 2" xfId="31020" xr:uid="{DAFC18B1-2EE3-47B4-8294-0A2E13E58AD3}"/>
    <cellStyle name="SubRoutine 15 4 2 2" xfId="31021" xr:uid="{8221735F-F18E-4DBC-A42E-FFBC0395036B}"/>
    <cellStyle name="SubRoutine 15 4 2 2 2" xfId="31022" xr:uid="{F07CAF8A-434D-4AD0-BE2E-0A1D9883B7A5}"/>
    <cellStyle name="SubRoutine 15 4 2 2 3" xfId="31023" xr:uid="{CFEC0810-50DD-4390-A27E-61CA5C49DD73}"/>
    <cellStyle name="SubRoutine 15 4 2 3" xfId="31024" xr:uid="{E6DE4997-41B4-408A-99B9-D8031BE9ED39}"/>
    <cellStyle name="SubRoutine 15 4 2 3 2" xfId="31025" xr:uid="{52975F91-34E6-43A5-ABFB-BE615E2B9262}"/>
    <cellStyle name="SubRoutine 15 4 2 4" xfId="31026" xr:uid="{A26141AE-8598-4690-B834-4F278105ED92}"/>
    <cellStyle name="SubRoutine 15 4 2 5" xfId="31027" xr:uid="{5DE3B5C7-C70D-4B9A-884D-B08BFD82F9E8}"/>
    <cellStyle name="SubRoutine 15 4 3" xfId="31028" xr:uid="{141974E2-18CD-406F-87D5-75E0B8741CF5}"/>
    <cellStyle name="SubRoutine 15 4 3 2" xfId="31029" xr:uid="{D8847F42-0D37-4D33-BB80-B80C9DDD8B7C}"/>
    <cellStyle name="SubRoutine 15 4 3 3" xfId="31030" xr:uid="{E02D74B5-2857-4B33-AE16-B88E2F31FFC5}"/>
    <cellStyle name="SubRoutine 15 4 4" xfId="31031" xr:uid="{BCC89941-8AB9-4784-B10A-5737CF743C99}"/>
    <cellStyle name="SubRoutine 15 4 4 2" xfId="31032" xr:uid="{3C981683-F34D-4517-8E43-B260B785A127}"/>
    <cellStyle name="SubRoutine 15 4 5" xfId="31033" xr:uid="{16232FD8-7E7A-4724-A81E-D0A391347AA0}"/>
    <cellStyle name="SubRoutine 15 4 6" xfId="31034" xr:uid="{8E925825-973E-4961-96B9-9A875E8A1EBC}"/>
    <cellStyle name="SubRoutine 15 5" xfId="31035" xr:uid="{B9DE1DA4-CA9E-4223-AB3C-F8ED723B56AB}"/>
    <cellStyle name="SubRoutine 15 5 2" xfId="31036" xr:uid="{F6C4C746-A69E-4B2B-A98F-A547EA318D2D}"/>
    <cellStyle name="SubRoutine 15 5 2 2" xfId="31037" xr:uid="{797C6DED-3504-4ADF-8E83-851539ADE707}"/>
    <cellStyle name="SubRoutine 15 5 2 2 2" xfId="31038" xr:uid="{C67997EA-FED8-4845-A353-E0AC5C985ADB}"/>
    <cellStyle name="SubRoutine 15 5 2 2 3" xfId="31039" xr:uid="{7DB781EF-5F77-449A-8784-C20C1C705615}"/>
    <cellStyle name="SubRoutine 15 5 2 3" xfId="31040" xr:uid="{322AE617-E52E-49E4-AAD8-980350BE4B3C}"/>
    <cellStyle name="SubRoutine 15 5 2 3 2" xfId="31041" xr:uid="{2241230D-02C8-4A52-BD29-B36A37FC1420}"/>
    <cellStyle name="SubRoutine 15 5 2 4" xfId="31042" xr:uid="{A56186F9-C2F9-47C8-BDAA-F18BC04766D5}"/>
    <cellStyle name="SubRoutine 15 5 2 5" xfId="31043" xr:uid="{9B90F562-CD45-41C2-B962-8CE9AB2BD636}"/>
    <cellStyle name="SubRoutine 15 5 3" xfId="31044" xr:uid="{1B8ECBB6-2DB5-46BC-AB41-AD9A54677395}"/>
    <cellStyle name="SubRoutine 15 5 3 2" xfId="31045" xr:uid="{73B1D616-5E70-46BC-B6C0-2DB1F50F2DC7}"/>
    <cellStyle name="SubRoutine 15 5 3 3" xfId="31046" xr:uid="{B6C61311-31DE-4CD6-897A-D03DC21B0A00}"/>
    <cellStyle name="SubRoutine 15 5 4" xfId="31047" xr:uid="{BAA7D084-0979-4148-8538-EF4E84707E72}"/>
    <cellStyle name="SubRoutine 15 5 4 2" xfId="31048" xr:uid="{F816BCB5-6A47-45A4-A0A2-28FB676CBFE4}"/>
    <cellStyle name="SubRoutine 15 5 5" xfId="31049" xr:uid="{A3CFA073-0019-4828-8774-9CAFF38E5CBD}"/>
    <cellStyle name="SubRoutine 15 5 6" xfId="31050" xr:uid="{BD5D1CE9-E2A9-4309-A8AB-67A81AA5446E}"/>
    <cellStyle name="SubRoutine 15 6" xfId="31051" xr:uid="{5152E13F-F288-4276-BCFA-0779E8E93FDE}"/>
    <cellStyle name="SubRoutine 15 6 2" xfId="31052" xr:uid="{CBA6C790-9782-439C-B53F-56462AE160A6}"/>
    <cellStyle name="SubRoutine 15 6 2 2" xfId="31053" xr:uid="{5ED4F355-946E-4280-8766-18F20CF9793B}"/>
    <cellStyle name="SubRoutine 15 6 2 3" xfId="31054" xr:uid="{E2FB0C05-B439-469F-A068-CA21BA63F8DF}"/>
    <cellStyle name="SubRoutine 15 6 3" xfId="31055" xr:uid="{1FF11082-FF18-42CD-B680-DA8C47BDB558}"/>
    <cellStyle name="SubRoutine 15 6 3 2" xfId="31056" xr:uid="{5226B2A6-553B-41F2-B055-ED82F57EF410}"/>
    <cellStyle name="SubRoutine 15 6 4" xfId="31057" xr:uid="{6957FE9D-7E49-4A4D-BBFA-E61D92982FBC}"/>
    <cellStyle name="SubRoutine 15 6 5" xfId="31058" xr:uid="{D99688EA-7B9E-4DDD-A03B-8795C4939444}"/>
    <cellStyle name="SubRoutine 15 7" xfId="31059" xr:uid="{916E9717-83C6-476A-AD87-6B86F5FDD0A3}"/>
    <cellStyle name="SubRoutine 15 7 2" xfId="31060" xr:uid="{D8EB3FAE-343C-41DD-976A-67E6FADC04B9}"/>
    <cellStyle name="SubRoutine 15 7 3" xfId="31061" xr:uid="{503F51B6-78ED-428C-8C87-9356345AC87E}"/>
    <cellStyle name="SubRoutine 15 8" xfId="31062" xr:uid="{498DA620-2A70-4EDC-AF67-F4D72804B727}"/>
    <cellStyle name="SubRoutine 15 8 2" xfId="31063" xr:uid="{8020AF99-C410-4EEE-9D80-AA1BC02FA7FA}"/>
    <cellStyle name="SubRoutine 15 9" xfId="31064" xr:uid="{EA22A574-F009-43F1-BF37-BFEED0D6DE9A}"/>
    <cellStyle name="SubRoutine 16" xfId="31065" xr:uid="{5C199217-CEEE-4832-9705-46390D399913}"/>
    <cellStyle name="SubRoutine 16 2" xfId="31066" xr:uid="{9EB5EF3B-B09D-43D9-A234-44D1DD24BAF3}"/>
    <cellStyle name="SubRoutine 17" xfId="31067" xr:uid="{7645BC85-CA71-4E49-83CF-945F781B205F}"/>
    <cellStyle name="SubRoutine 2" xfId="31068" xr:uid="{3BD965F0-5F73-4A58-A015-C680B321A723}"/>
    <cellStyle name="SubRoutine 2 10" xfId="31069" xr:uid="{7AF09EF8-3626-419B-8015-51B22261F970}"/>
    <cellStyle name="SubRoutine 2 10 2" xfId="31070" xr:uid="{BCE1A1BA-DB86-4651-B4F7-1887D0CAFBAB}"/>
    <cellStyle name="SubRoutine 2 10 2 2" xfId="31071" xr:uid="{3A0DC80E-140A-484E-8DB2-CFBA74265FF7}"/>
    <cellStyle name="SubRoutine 2 10 2 3" xfId="31072" xr:uid="{F74955F8-AC67-45F0-A5F2-A2568A1B1F97}"/>
    <cellStyle name="SubRoutine 2 10 3" xfId="31073" xr:uid="{5A8138FD-CE42-4E44-8369-BB9436C886F4}"/>
    <cellStyle name="SubRoutine 2 10 3 2" xfId="31074" xr:uid="{42FCBA78-7AF8-444E-8C44-652C1C2DFEEC}"/>
    <cellStyle name="SubRoutine 2 10 4" xfId="31075" xr:uid="{A8B62B6C-0339-4E39-B041-4E94B63FB01A}"/>
    <cellStyle name="SubRoutine 2 10 5" xfId="31076" xr:uid="{29734A2B-5DAD-4087-923F-80073E6A96BA}"/>
    <cellStyle name="SubRoutine 2 10 6" xfId="31077" xr:uid="{2E18899A-7A9F-42F0-B6CF-32F45BFDEE4B}"/>
    <cellStyle name="SubRoutine 2 11" xfId="31078" xr:uid="{1A8FD7CF-68A2-4606-A841-E05704562AA8}"/>
    <cellStyle name="SubRoutine 2 11 2" xfId="31079" xr:uid="{55A52ACD-7935-4607-975D-24A9E18EEACA}"/>
    <cellStyle name="SubRoutine 2 11 3" xfId="31080" xr:uid="{C4D94F5D-C1B6-4F7C-91DF-D871EC304097}"/>
    <cellStyle name="SubRoutine 2 11 4" xfId="31081" xr:uid="{24CF1316-5A6A-4DBB-AE12-AA71902EADE0}"/>
    <cellStyle name="SubRoutine 2 12" xfId="31082" xr:uid="{2ED9524D-E70D-4583-85A4-0850FE768825}"/>
    <cellStyle name="SubRoutine 2 12 2" xfId="31083" xr:uid="{BE7B5F2B-4CE6-44D1-A0B5-250437261632}"/>
    <cellStyle name="SubRoutine 2 12 3" xfId="31084" xr:uid="{D3096CEE-7E93-44C9-8077-A3DA75B9E114}"/>
    <cellStyle name="SubRoutine 2 13" xfId="31085" xr:uid="{10C8DA04-5E87-49F8-9226-8090877BEBA9}"/>
    <cellStyle name="SubRoutine 2 13 2" xfId="31086" xr:uid="{84E537D7-3302-4D8E-9583-A4D46BBA7E46}"/>
    <cellStyle name="SubRoutine 2 14" xfId="31087" xr:uid="{713D1131-3804-42D7-88C1-EDDC67A27439}"/>
    <cellStyle name="SubRoutine 2 14 2" xfId="31088" xr:uid="{C57E80B0-63E0-4C79-BBF1-1B543C5F0A5C}"/>
    <cellStyle name="SubRoutine 2 15" xfId="31089" xr:uid="{D5F06B8E-E39A-4849-8807-DB5BB97E88A7}"/>
    <cellStyle name="SubRoutine 2 16" xfId="31090" xr:uid="{FAE31DDA-88AF-46AC-811A-469672AF0B5E}"/>
    <cellStyle name="SubRoutine 2 17" xfId="31091" xr:uid="{BD8E754D-5176-44ED-8E9D-396E3F02DD31}"/>
    <cellStyle name="SubRoutine 2 18" xfId="31092" xr:uid="{3BA86C43-823F-4828-BFC5-47A74EB81312}"/>
    <cellStyle name="SubRoutine 2 19" xfId="31093" xr:uid="{A665B997-4661-4182-899E-778A154271F6}"/>
    <cellStyle name="SubRoutine 2 2" xfId="31094" xr:uid="{A019F8C8-D77F-4933-BBBC-61AA1B670750}"/>
    <cellStyle name="SubRoutine 2 2 2" xfId="31095" xr:uid="{9A24435C-155F-465D-A2FC-BB5C7C8960C4}"/>
    <cellStyle name="SubRoutine 2 2 2 2" xfId="31096" xr:uid="{54E45126-D8C6-43EF-B111-8F1C1FF5ECB3}"/>
    <cellStyle name="SubRoutine 2 2 2 2 2" xfId="31097" xr:uid="{0F4B45A7-F9B3-4168-9FA1-2F0B8E8F8F53}"/>
    <cellStyle name="SubRoutine 2 2 2 2 3" xfId="31098" xr:uid="{96658C26-9454-4FBD-835E-A8CD94CCCFAC}"/>
    <cellStyle name="SubRoutine 2 2 2 3" xfId="31099" xr:uid="{0879222A-8193-40F1-89A8-2E45B860E826}"/>
    <cellStyle name="SubRoutine 2 2 2 3 2" xfId="31100" xr:uid="{43437939-3A14-4837-8B0A-519EAA9F364C}"/>
    <cellStyle name="SubRoutine 2 2 2 4" xfId="31101" xr:uid="{CD92AFE7-8A7C-42D5-9A87-290497F6E5B8}"/>
    <cellStyle name="SubRoutine 2 2 2 5" xfId="31102" xr:uid="{EDAFDF50-A25C-4AF2-842B-E09E1671D765}"/>
    <cellStyle name="SubRoutine 2 2 2 6" xfId="31103" xr:uid="{2C11B84E-70C9-457A-84BF-C13F5FDAACB6}"/>
    <cellStyle name="SubRoutine 2 2 3" xfId="31104" xr:uid="{0AEA3E20-4995-4FBB-AFAA-A7751675F5AA}"/>
    <cellStyle name="SubRoutine 2 2 3 2" xfId="31105" xr:uid="{281841F1-6978-489B-AB72-9E9511259D36}"/>
    <cellStyle name="SubRoutine 2 2 3 3" xfId="31106" xr:uid="{9681FFBC-9D08-4598-A974-C3309C2389F3}"/>
    <cellStyle name="SubRoutine 2 2 3 4" xfId="31107" xr:uid="{0B57BCBF-1FCC-459B-B774-1D247F0F6678}"/>
    <cellStyle name="SubRoutine 2 2 4" xfId="31108" xr:uid="{6C8C7BAA-0EF1-47C1-A921-D4D04835A1D8}"/>
    <cellStyle name="SubRoutine 2 2 4 2" xfId="31109" xr:uid="{76FB3A1E-EA53-47C6-B1B4-F68BBFF7C074}"/>
    <cellStyle name="SubRoutine 2 2 4 3" xfId="31110" xr:uid="{57D7C627-0657-4F8F-8C3D-AF8D45AC08BA}"/>
    <cellStyle name="SubRoutine 2 2 5" xfId="31111" xr:uid="{0C1D40AF-5466-4DF4-A487-23C7AEE79CE6}"/>
    <cellStyle name="SubRoutine 2 2 6" xfId="31112" xr:uid="{540A2BCC-1D4B-4CEA-8B4D-56167470F140}"/>
    <cellStyle name="SubRoutine 2 20" xfId="31113" xr:uid="{DC064B20-EE35-4292-8D15-67EF654D8FEF}"/>
    <cellStyle name="SubRoutine 2 21" xfId="31114" xr:uid="{C2AFEF6A-48A3-4FD5-A8FE-594F88F5514C}"/>
    <cellStyle name="SubRoutine 2 22" xfId="31115" xr:uid="{45812858-15A1-4674-A867-2759DE135020}"/>
    <cellStyle name="SubRoutine 2 23" xfId="31116" xr:uid="{401FE8CF-57EB-45D6-937A-C7BC732435CC}"/>
    <cellStyle name="SubRoutine 2 24" xfId="31117" xr:uid="{55E641A2-E219-4A59-910D-8D6B69F6FD31}"/>
    <cellStyle name="SubRoutine 2 25" xfId="31118" xr:uid="{3EFA01B0-56F4-4D2B-92D7-71D55C64F212}"/>
    <cellStyle name="SubRoutine 2 26" xfId="31119" xr:uid="{7F0E70EE-2E28-4ECF-B769-6C560978E357}"/>
    <cellStyle name="SubRoutine 2 27" xfId="31120" xr:uid="{CFA16566-54B4-4AF7-B148-84762F6274AC}"/>
    <cellStyle name="SubRoutine 2 28" xfId="31121" xr:uid="{7689D53E-8C2C-410F-A49E-20760CF4D751}"/>
    <cellStyle name="SubRoutine 2 3" xfId="31122" xr:uid="{2DF9125B-0F4E-42FD-B949-DE661ADF6518}"/>
    <cellStyle name="SubRoutine 2 3 2" xfId="31123" xr:uid="{DD8836A0-D45A-427A-8966-82924FDB26E5}"/>
    <cellStyle name="SubRoutine 2 3 2 2" xfId="31124" xr:uid="{19E805DE-737A-439C-B136-A9E300D4D0DE}"/>
    <cellStyle name="SubRoutine 2 3 2 2 2" xfId="31125" xr:uid="{8B430286-80B1-4505-817F-74AB9712F489}"/>
    <cellStyle name="SubRoutine 2 3 2 2 3" xfId="31126" xr:uid="{871EBA8E-156B-4524-BBC2-AAE2AFDCA71F}"/>
    <cellStyle name="SubRoutine 2 3 2 3" xfId="31127" xr:uid="{4F22F63D-B5E4-431D-B56D-83544A6D7956}"/>
    <cellStyle name="SubRoutine 2 3 2 3 2" xfId="31128" xr:uid="{6F782EE1-3537-4E2F-8002-49403C4A1B04}"/>
    <cellStyle name="SubRoutine 2 3 2 4" xfId="31129" xr:uid="{8EFEF762-F6C8-472B-AC12-705019D5B5C5}"/>
    <cellStyle name="SubRoutine 2 3 2 5" xfId="31130" xr:uid="{7E6C53A7-DF94-470E-B2E6-4A1A901A3150}"/>
    <cellStyle name="SubRoutine 2 3 2 6" xfId="31131" xr:uid="{ACB142FC-9792-4F63-965A-F046DC02A1CE}"/>
    <cellStyle name="SubRoutine 2 3 3" xfId="31132" xr:uid="{C3E974E3-D3B2-4B30-B6F5-199135A764F0}"/>
    <cellStyle name="SubRoutine 2 3 3 2" xfId="31133" xr:uid="{A5236513-266B-456A-B733-713DD2315FB9}"/>
    <cellStyle name="SubRoutine 2 3 3 3" xfId="31134" xr:uid="{72876479-D320-4CF0-B78F-081C8CC0A7CE}"/>
    <cellStyle name="SubRoutine 2 3 3 4" xfId="31135" xr:uid="{F182D712-8F37-4D5A-B5D5-14D02FBF1DC5}"/>
    <cellStyle name="SubRoutine 2 3 4" xfId="31136" xr:uid="{F9D99BB0-3FFC-46BF-ACE7-EEE19B42CFBE}"/>
    <cellStyle name="SubRoutine 2 3 4 2" xfId="31137" xr:uid="{D3C9A662-CB56-4CB9-A6B3-B0D4D746AA11}"/>
    <cellStyle name="SubRoutine 2 3 4 3" xfId="31138" xr:uid="{2F28F55E-E737-47FA-AACE-0B917F147A98}"/>
    <cellStyle name="SubRoutine 2 3 5" xfId="31139" xr:uid="{A6041C78-F858-4460-9939-27F873EFD426}"/>
    <cellStyle name="SubRoutine 2 3 6" xfId="31140" xr:uid="{1C0ABF36-1606-4249-9D5B-82FEC047FA74}"/>
    <cellStyle name="SubRoutine 2 3 7" xfId="31141" xr:uid="{2CA71783-0514-4B2A-844B-E39A6757D7C2}"/>
    <cellStyle name="SubRoutine 2 4" xfId="31142" xr:uid="{7EB60572-B79B-432C-A7B3-B6FF7BFCF061}"/>
    <cellStyle name="SubRoutine 2 4 2" xfId="31143" xr:uid="{211A4D84-E11A-48F1-B3AC-A757B7F2F26A}"/>
    <cellStyle name="SubRoutine 2 4 2 2" xfId="31144" xr:uid="{AEA201CB-934B-4F5C-B0B0-2093B6C7F094}"/>
    <cellStyle name="SubRoutine 2 4 2 2 2" xfId="31145" xr:uid="{8B827AD2-761D-4DCF-9BC8-0C521840B6EE}"/>
    <cellStyle name="SubRoutine 2 4 2 2 3" xfId="31146" xr:uid="{F7187F25-EA1C-4F97-9E61-E01489A02868}"/>
    <cellStyle name="SubRoutine 2 4 2 3" xfId="31147" xr:uid="{E89ECAB4-31BF-4F0B-9F05-69D2AD8D6DFC}"/>
    <cellStyle name="SubRoutine 2 4 2 3 2" xfId="31148" xr:uid="{2C9456EB-FAD5-43AA-A6CF-098A0D8F229B}"/>
    <cellStyle name="SubRoutine 2 4 2 4" xfId="31149" xr:uid="{8E0ACDBE-E412-4FBA-BAFE-161841B98BF0}"/>
    <cellStyle name="SubRoutine 2 4 2 5" xfId="31150" xr:uid="{8FA41445-784D-4A63-9A33-DC4F9BD63043}"/>
    <cellStyle name="SubRoutine 2 4 2 6" xfId="31151" xr:uid="{84B51645-123A-4156-BCA9-CB67EB561A97}"/>
    <cellStyle name="SubRoutine 2 4 3" xfId="31152" xr:uid="{4A8943C8-38B2-4623-B892-850ED83200DB}"/>
    <cellStyle name="SubRoutine 2 4 3 2" xfId="31153" xr:uid="{5734F0F3-9C76-4845-BB07-EBD465938FF5}"/>
    <cellStyle name="SubRoutine 2 4 3 3" xfId="31154" xr:uid="{BCB4F8EA-ED74-4816-9B4C-F8D32BEAD384}"/>
    <cellStyle name="SubRoutine 2 4 3 4" xfId="31155" xr:uid="{C6B21119-9641-4202-8CFE-786DF8B30EAF}"/>
    <cellStyle name="SubRoutine 2 4 4" xfId="31156" xr:uid="{3E37E877-B226-432D-B914-92372A095F81}"/>
    <cellStyle name="SubRoutine 2 4 4 2" xfId="31157" xr:uid="{B8C2F4E9-B4B1-451B-B2CF-4DC4F13FB411}"/>
    <cellStyle name="SubRoutine 2 4 4 3" xfId="31158" xr:uid="{0A6CC3D3-0013-4D95-ABF2-980262E19303}"/>
    <cellStyle name="SubRoutine 2 4 5" xfId="31159" xr:uid="{384D9A46-59C8-4163-93E4-D3981A35E878}"/>
    <cellStyle name="SubRoutine 2 4 6" xfId="31160" xr:uid="{19BAD0C0-ED64-4020-8806-C4EC1DE405C6}"/>
    <cellStyle name="SubRoutine 2 4 7" xfId="31161" xr:uid="{D82D8BB1-6F4E-402B-B1F2-37116A0D854E}"/>
    <cellStyle name="SubRoutine 2 5" xfId="31162" xr:uid="{F7235E0F-A6CC-40A2-9E97-1CCDD9CCB54E}"/>
    <cellStyle name="SubRoutine 2 5 2" xfId="31163" xr:uid="{7FDF1E23-AD6E-4FE7-856C-3052A41684BF}"/>
    <cellStyle name="SubRoutine 2 5 2 2" xfId="31164" xr:uid="{27C47862-3741-49C6-A327-2C882D248FA7}"/>
    <cellStyle name="SubRoutine 2 5 2 2 2" xfId="31165" xr:uid="{E10E8A10-3B89-4AC8-A236-32513CC525FD}"/>
    <cellStyle name="SubRoutine 2 5 2 2 3" xfId="31166" xr:uid="{2232FE2E-ADDA-403D-96D5-D1296A35D735}"/>
    <cellStyle name="SubRoutine 2 5 2 3" xfId="31167" xr:uid="{9EB483D1-20D6-47D7-89B7-5AB54488C3EC}"/>
    <cellStyle name="SubRoutine 2 5 2 3 2" xfId="31168" xr:uid="{C19F5032-3073-4CD6-9791-8E2FDDB50677}"/>
    <cellStyle name="SubRoutine 2 5 2 4" xfId="31169" xr:uid="{3DC3A39E-A1BB-46FA-813F-01F8D8D9C022}"/>
    <cellStyle name="SubRoutine 2 5 2 5" xfId="31170" xr:uid="{C596C1DB-9351-4FF5-837D-12CE431D93D8}"/>
    <cellStyle name="SubRoutine 2 5 2 6" xfId="31171" xr:uid="{5D371945-F7BE-4747-B876-31311FE59C00}"/>
    <cellStyle name="SubRoutine 2 5 3" xfId="31172" xr:uid="{F184C271-3EF9-49D8-A0DF-E043CA971830}"/>
    <cellStyle name="SubRoutine 2 5 3 2" xfId="31173" xr:uid="{1823B4F1-1F52-441E-8E3C-DC008A68DBD9}"/>
    <cellStyle name="SubRoutine 2 5 3 3" xfId="31174" xr:uid="{17D515C9-C2F7-4099-AE5B-7AB74FF671A9}"/>
    <cellStyle name="SubRoutine 2 5 3 4" xfId="31175" xr:uid="{5BAC37F0-655C-4729-B4F2-15E282233892}"/>
    <cellStyle name="SubRoutine 2 5 4" xfId="31176" xr:uid="{1D8D56A2-D900-40C3-9751-EA07B13EB024}"/>
    <cellStyle name="SubRoutine 2 5 4 2" xfId="31177" xr:uid="{16E911A8-DE40-41A4-AB92-A8AC45834AC2}"/>
    <cellStyle name="SubRoutine 2 5 4 3" xfId="31178" xr:uid="{AC440A42-B2E9-4712-BD3A-FF32759E5602}"/>
    <cellStyle name="SubRoutine 2 5 5" xfId="31179" xr:uid="{A4015F3A-1873-4935-8AB7-988C2D0C6661}"/>
    <cellStyle name="SubRoutine 2 5 6" xfId="31180" xr:uid="{C6950548-B8A4-4CAC-AE8C-27B6F74091D1}"/>
    <cellStyle name="SubRoutine 2 5 7" xfId="31181" xr:uid="{2BDC69B4-F2D3-4C46-A16D-BA26EBD8AA1D}"/>
    <cellStyle name="SubRoutine 2 6" xfId="31182" xr:uid="{4CC8DC28-3A9B-470C-9A68-DD88C42C4F8C}"/>
    <cellStyle name="SubRoutine 2 6 2" xfId="31183" xr:uid="{643BFEB6-AD1B-47CB-857C-45E312C70452}"/>
    <cellStyle name="SubRoutine 2 6 2 2" xfId="31184" xr:uid="{041F7105-4CFC-4C61-922C-73B0D92567A2}"/>
    <cellStyle name="SubRoutine 2 6 2 2 2" xfId="31185" xr:uid="{49A2B996-7E34-4665-B036-1BD0B6F3B7BE}"/>
    <cellStyle name="SubRoutine 2 6 2 2 3" xfId="31186" xr:uid="{2010FFEC-9DB9-4DD5-8FCE-F26D019B538A}"/>
    <cellStyle name="SubRoutine 2 6 2 3" xfId="31187" xr:uid="{A1F0C17E-114D-4A4A-9729-E5995FEF85AE}"/>
    <cellStyle name="SubRoutine 2 6 2 3 2" xfId="31188" xr:uid="{7A484F35-C986-4741-AE47-3828ABAFC535}"/>
    <cellStyle name="SubRoutine 2 6 2 4" xfId="31189" xr:uid="{ECCD876A-3950-4385-829B-DC76DB8B22C0}"/>
    <cellStyle name="SubRoutine 2 6 2 5" xfId="31190" xr:uid="{7833F1BF-EFA8-415E-9E85-64B099C3C39D}"/>
    <cellStyle name="SubRoutine 2 6 3" xfId="31191" xr:uid="{42E6114E-F5A6-432C-8C17-6B6654CD967E}"/>
    <cellStyle name="SubRoutine 2 6 3 2" xfId="31192" xr:uid="{A331E673-8ABF-4654-BE1C-CC651DD7CF5B}"/>
    <cellStyle name="SubRoutine 2 6 3 3" xfId="31193" xr:uid="{FB2B2B97-0B44-47A1-8502-1D0D191CD5E8}"/>
    <cellStyle name="SubRoutine 2 6 4" xfId="31194" xr:uid="{9EF3AA0B-EFC3-4450-823D-59A97DD95BBA}"/>
    <cellStyle name="SubRoutine 2 6 4 2" xfId="31195" xr:uid="{DEF20A14-A25B-420E-9788-1AC95FC71D6D}"/>
    <cellStyle name="SubRoutine 2 6 5" xfId="31196" xr:uid="{FC436700-E953-4480-B1E0-82E415F39EB3}"/>
    <cellStyle name="SubRoutine 2 6 6" xfId="31197" xr:uid="{F9EEED7E-1D70-467A-A257-1A926E8C876D}"/>
    <cellStyle name="SubRoutine 2 6 7" xfId="31198" xr:uid="{C963E71E-1D65-4961-9B6F-ED59C7EEBFB4}"/>
    <cellStyle name="SubRoutine 2 7" xfId="31199" xr:uid="{01C51FD1-F368-45C4-9ADE-CBAE35575B86}"/>
    <cellStyle name="SubRoutine 2 7 2" xfId="31200" xr:uid="{70740D45-CA84-4801-BCD3-3C243FAC36CE}"/>
    <cellStyle name="SubRoutine 2 7 2 2" xfId="31201" xr:uid="{6529CCB3-70F8-4311-8474-3502C16052AA}"/>
    <cellStyle name="SubRoutine 2 7 2 2 2" xfId="31202" xr:uid="{41ADF791-0856-4D1E-917B-23DFF6DCE593}"/>
    <cellStyle name="SubRoutine 2 7 2 2 3" xfId="31203" xr:uid="{EB0CAF90-5D09-439C-A4AC-40C576E25C90}"/>
    <cellStyle name="SubRoutine 2 7 2 3" xfId="31204" xr:uid="{DCE4856C-74D8-4A28-9484-0FD9A0A6C1B5}"/>
    <cellStyle name="SubRoutine 2 7 2 3 2" xfId="31205" xr:uid="{45CB3BBF-A17C-4F62-8EB5-C70628F5A785}"/>
    <cellStyle name="SubRoutine 2 7 2 4" xfId="31206" xr:uid="{C2EAC4FC-9613-4BC0-AB23-1803D070A9B3}"/>
    <cellStyle name="SubRoutine 2 7 2 5" xfId="31207" xr:uid="{1144F74D-0AF8-4D88-819F-27ACE2EDB42D}"/>
    <cellStyle name="SubRoutine 2 7 3" xfId="31208" xr:uid="{224D7A6E-2785-422E-9A64-7ADBC8FE2D5B}"/>
    <cellStyle name="SubRoutine 2 7 3 2" xfId="31209" xr:uid="{F4070C1A-DC9E-4A16-842A-7EF076E5588D}"/>
    <cellStyle name="SubRoutine 2 7 3 3" xfId="31210" xr:uid="{262C85E0-4A6B-424A-8CA7-BCA4FCF6201C}"/>
    <cellStyle name="SubRoutine 2 7 4" xfId="31211" xr:uid="{B4F82025-C13D-4199-808A-2A9887EACA13}"/>
    <cellStyle name="SubRoutine 2 7 4 2" xfId="31212" xr:uid="{E3D61CE9-8C60-45FC-9AF4-5CEB16CC12F9}"/>
    <cellStyle name="SubRoutine 2 7 5" xfId="31213" xr:uid="{2838EB08-9D92-41D9-8C0D-F550BF886F8D}"/>
    <cellStyle name="SubRoutine 2 7 6" xfId="31214" xr:uid="{86B198ED-C8BD-4597-A3FF-A6AE4EF2FD96}"/>
    <cellStyle name="SubRoutine 2 7 7" xfId="31215" xr:uid="{37531C46-7754-4A95-8D64-85CD08B4C16B}"/>
    <cellStyle name="SubRoutine 2 8" xfId="31216" xr:uid="{A74A6AB0-3111-4B6F-8879-C4A60F5C79EC}"/>
    <cellStyle name="SubRoutine 2 8 2" xfId="31217" xr:uid="{EC4B53A8-D81C-4E1F-9140-3A2059C69851}"/>
    <cellStyle name="SubRoutine 2 8 2 2" xfId="31218" xr:uid="{A15A86E8-E36C-4F4D-9E8C-77A2C509BD1F}"/>
    <cellStyle name="SubRoutine 2 8 2 2 2" xfId="31219" xr:uid="{E608CF4B-EA2B-45F9-9DFC-21DF7A88C99A}"/>
    <cellStyle name="SubRoutine 2 8 2 2 3" xfId="31220" xr:uid="{6173D843-BA05-4052-909D-66FF129FCFCB}"/>
    <cellStyle name="SubRoutine 2 8 2 3" xfId="31221" xr:uid="{A475D80B-2103-4C4E-B479-0121FCBDEEED}"/>
    <cellStyle name="SubRoutine 2 8 2 3 2" xfId="31222" xr:uid="{121040DA-07E9-43F8-B645-C2190D5A313C}"/>
    <cellStyle name="SubRoutine 2 8 2 4" xfId="31223" xr:uid="{B15F0B2D-D988-4D61-BF83-3705E9426F7E}"/>
    <cellStyle name="SubRoutine 2 8 2 5" xfId="31224" xr:uid="{3F38631D-1372-4C7A-82C4-5FE29F845FF6}"/>
    <cellStyle name="SubRoutine 2 8 3" xfId="31225" xr:uid="{C65EEBC3-43D3-4DA6-977D-6C354479DB1C}"/>
    <cellStyle name="SubRoutine 2 8 3 2" xfId="31226" xr:uid="{3940B3CB-4C7C-42F6-850C-D018CD60C1C1}"/>
    <cellStyle name="SubRoutine 2 8 3 3" xfId="31227" xr:uid="{6198DDAE-A003-4702-9216-CD03DD65AD95}"/>
    <cellStyle name="SubRoutine 2 8 4" xfId="31228" xr:uid="{586420C7-7105-469B-B39C-7749E1344DBB}"/>
    <cellStyle name="SubRoutine 2 8 4 2" xfId="31229" xr:uid="{CB8583D8-0ABB-4802-90E7-474B343F0912}"/>
    <cellStyle name="SubRoutine 2 8 5" xfId="31230" xr:uid="{CC9DFE72-DA6E-4517-A081-AC52EF66D863}"/>
    <cellStyle name="SubRoutine 2 8 6" xfId="31231" xr:uid="{062FEA89-627D-4475-8A32-7FFB1EBA687F}"/>
    <cellStyle name="SubRoutine 2 8 7" xfId="31232" xr:uid="{2E22D51B-028F-4CBA-9792-9FE38CCD47E4}"/>
    <cellStyle name="SubRoutine 2 9" xfId="31233" xr:uid="{162A0FED-3F82-47D1-9059-12EC06E9E013}"/>
    <cellStyle name="SubRoutine 2 9 2" xfId="31234" xr:uid="{87F77DAB-E318-4668-ADFE-8DC644BDE835}"/>
    <cellStyle name="SubRoutine 2 9 2 2" xfId="31235" xr:uid="{CBF4DF85-49B3-4971-9786-40EB90773784}"/>
    <cellStyle name="SubRoutine 2 9 2 2 2" xfId="31236" xr:uid="{38F9630B-2643-492D-B7B6-5FE55DD848D4}"/>
    <cellStyle name="SubRoutine 2 9 2 2 3" xfId="31237" xr:uid="{6A499EE7-3E77-461F-9EFD-DC6B8C7066BA}"/>
    <cellStyle name="SubRoutine 2 9 2 3" xfId="31238" xr:uid="{C713634D-26D7-455D-A02B-A1B1964DDF9F}"/>
    <cellStyle name="SubRoutine 2 9 2 3 2" xfId="31239" xr:uid="{EC03F735-DE31-4245-A1DC-675189636480}"/>
    <cellStyle name="SubRoutine 2 9 2 4" xfId="31240" xr:uid="{724A79AB-1F92-418A-97C1-9B02604E1B9B}"/>
    <cellStyle name="SubRoutine 2 9 2 5" xfId="31241" xr:uid="{E78C4B15-D02C-40EE-A117-67C470B3C368}"/>
    <cellStyle name="SubRoutine 2 9 3" xfId="31242" xr:uid="{C78CE927-E74D-412B-A94F-4ECC429DBDFF}"/>
    <cellStyle name="SubRoutine 2 9 3 2" xfId="31243" xr:uid="{1D0E4BCB-5A04-4B4E-951E-98C885466857}"/>
    <cellStyle name="SubRoutine 2 9 3 3" xfId="31244" xr:uid="{6D35D478-4892-4CC8-94B3-0143AC091AD8}"/>
    <cellStyle name="SubRoutine 2 9 4" xfId="31245" xr:uid="{AAE42913-8314-4823-8678-A693610C1C7D}"/>
    <cellStyle name="SubRoutine 2 9 4 2" xfId="31246" xr:uid="{ECFFDB1F-C543-4C13-8B6B-9233E905FB96}"/>
    <cellStyle name="SubRoutine 2 9 5" xfId="31247" xr:uid="{84816D74-5AB8-4528-96E4-761B66918CFC}"/>
    <cellStyle name="SubRoutine 2 9 6" xfId="31248" xr:uid="{2A716036-E1E4-44C6-9889-4B4EA12635A8}"/>
    <cellStyle name="SubRoutine 2 9 7" xfId="31249" xr:uid="{7693EB22-92F3-497B-A493-5C970E10754E}"/>
    <cellStyle name="SubRoutine 2_12-31-2009 PES TBBS done" xfId="31250" xr:uid="{0A3F2954-5175-4469-BDC3-F3C3BD3B65ED}"/>
    <cellStyle name="SubRoutine 3" xfId="31251" xr:uid="{F1B33244-2BBD-4C70-AE76-D89E5DAB1974}"/>
    <cellStyle name="SubRoutine 3 10" xfId="31252" xr:uid="{4BCB457B-4FA4-4DCA-981D-A8A52CCA1810}"/>
    <cellStyle name="SubRoutine 3 10 2" xfId="31253" xr:uid="{76C6FA76-3E6B-4135-9565-4DC01650F272}"/>
    <cellStyle name="SubRoutine 3 10 2 2" xfId="31254" xr:uid="{A9BBB346-B536-4AA0-84E1-79F9DF14C965}"/>
    <cellStyle name="SubRoutine 3 10 2 3" xfId="31255" xr:uid="{C4C65ACB-5DA3-4A1A-AF94-1677D2A16A59}"/>
    <cellStyle name="SubRoutine 3 10 3" xfId="31256" xr:uid="{EB617159-D1C5-4754-A837-930798E9AFF4}"/>
    <cellStyle name="SubRoutine 3 10 3 2" xfId="31257" xr:uid="{666E1F0A-EAB4-4349-9160-95AB705D5E7D}"/>
    <cellStyle name="SubRoutine 3 10 4" xfId="31258" xr:uid="{093AEC8D-EA86-4775-8687-4C456FBC67A1}"/>
    <cellStyle name="SubRoutine 3 10 5" xfId="31259" xr:uid="{B35CFB68-ABEB-4849-8092-098DB9BB6AEB}"/>
    <cellStyle name="SubRoutine 3 10 6" xfId="31260" xr:uid="{CF41D00C-0261-4681-8142-32AF30D69F35}"/>
    <cellStyle name="SubRoutine 3 11" xfId="31261" xr:uid="{7289A95A-4540-4F13-88F7-997B7D0BA94E}"/>
    <cellStyle name="SubRoutine 3 11 2" xfId="31262" xr:uid="{2D0B7344-091A-442B-8B65-222B703CF557}"/>
    <cellStyle name="SubRoutine 3 11 3" xfId="31263" xr:uid="{F320A300-0B8B-4AF0-AE7D-F9FA6B29AEBB}"/>
    <cellStyle name="SubRoutine 3 12" xfId="31264" xr:uid="{69D063DE-8D05-4EF5-A1C5-092F4FDA31F3}"/>
    <cellStyle name="SubRoutine 3 12 2" xfId="31265" xr:uid="{B7EA4938-CD8F-4B96-AA11-56EC70297777}"/>
    <cellStyle name="SubRoutine 3 13" xfId="31266" xr:uid="{4548377B-B44B-4EB1-8777-374076D8CB44}"/>
    <cellStyle name="SubRoutine 3 14" xfId="31267" xr:uid="{533D69DC-C135-40D4-B660-A22A6BBDB8D7}"/>
    <cellStyle name="SubRoutine 3 2" xfId="31268" xr:uid="{3EA7D452-7676-4D57-8363-2D34A7FB585A}"/>
    <cellStyle name="SubRoutine 3 2 2" xfId="31269" xr:uid="{10EC5D53-10DB-402F-9966-859EDAD8F807}"/>
    <cellStyle name="SubRoutine 3 2 2 2" xfId="31270" xr:uid="{B736ABAB-B7D8-4ED3-AFA3-D14DE3D44423}"/>
    <cellStyle name="SubRoutine 3 2 2 2 2" xfId="31271" xr:uid="{574A902E-F3F5-4949-9641-DCE25666D07D}"/>
    <cellStyle name="SubRoutine 3 2 2 2 3" xfId="31272" xr:uid="{C103D568-FAE1-4648-BD07-6A2A53DB3BB0}"/>
    <cellStyle name="SubRoutine 3 2 2 3" xfId="31273" xr:uid="{D6611F0B-2804-4A8A-B57D-7A5D89022803}"/>
    <cellStyle name="SubRoutine 3 2 2 3 2" xfId="31274" xr:uid="{F2421C95-E8BF-4503-8F56-7B3B592AAACF}"/>
    <cellStyle name="SubRoutine 3 2 2 4" xfId="31275" xr:uid="{A6F366A7-0F7E-432B-83EE-A81743B8A7B7}"/>
    <cellStyle name="SubRoutine 3 2 2 5" xfId="31276" xr:uid="{44937616-6BC9-4A45-8FF0-E718B01A5342}"/>
    <cellStyle name="SubRoutine 3 2 3" xfId="31277" xr:uid="{91611498-00F8-4C77-AC63-A0589E5BE892}"/>
    <cellStyle name="SubRoutine 3 2 3 2" xfId="31278" xr:uid="{7020ABD5-9A01-476B-B30B-921A2957B891}"/>
    <cellStyle name="SubRoutine 3 2 3 3" xfId="31279" xr:uid="{7ACD1DD7-B265-497E-AF54-BF08CEEC55D6}"/>
    <cellStyle name="SubRoutine 3 2 4" xfId="31280" xr:uid="{E3FBB041-4464-4CB5-B2F5-2794AEB73EB0}"/>
    <cellStyle name="SubRoutine 3 2 4 2" xfId="31281" xr:uid="{AD65FC07-3444-4118-8A3C-BCF4BEA8D391}"/>
    <cellStyle name="SubRoutine 3 2 5" xfId="31282" xr:uid="{2BA70414-36FE-4F16-AF2C-5F653AA63DEF}"/>
    <cellStyle name="SubRoutine 3 2 6" xfId="31283" xr:uid="{0571DEF4-09AC-4903-BBA5-9704E9E4D8E8}"/>
    <cellStyle name="SubRoutine 3 2 7" xfId="31284" xr:uid="{82BCCFDB-0130-4A0D-99C9-D8F0F6B43C3E}"/>
    <cellStyle name="SubRoutine 3 3" xfId="31285" xr:uid="{0750CB7A-87EB-4259-924E-E5160CCAC47F}"/>
    <cellStyle name="SubRoutine 3 3 2" xfId="31286" xr:uid="{76863994-8E41-4D02-B44B-B0EC96BE2C97}"/>
    <cellStyle name="SubRoutine 3 3 2 2" xfId="31287" xr:uid="{AEDF6626-A52F-4F22-95DB-5B2EF8ADB5CC}"/>
    <cellStyle name="SubRoutine 3 3 2 2 2" xfId="31288" xr:uid="{8940F725-784B-4552-93D8-8074C5EF7FC2}"/>
    <cellStyle name="SubRoutine 3 3 2 2 3" xfId="31289" xr:uid="{055459DF-B71F-4194-BC36-F26E37515EED}"/>
    <cellStyle name="SubRoutine 3 3 2 3" xfId="31290" xr:uid="{3049EC6D-92D3-4786-9CC3-D46A726251F1}"/>
    <cellStyle name="SubRoutine 3 3 2 3 2" xfId="31291" xr:uid="{A3DCCB08-74CF-4AA3-8EB6-BFCD3038ECE0}"/>
    <cellStyle name="SubRoutine 3 3 2 4" xfId="31292" xr:uid="{2D588C9D-7E4B-4CA2-BD4F-FBF02BC4518A}"/>
    <cellStyle name="SubRoutine 3 3 2 5" xfId="31293" xr:uid="{3AE12281-64BA-49BE-AA49-FD7E180323A5}"/>
    <cellStyle name="SubRoutine 3 3 3" xfId="31294" xr:uid="{59E4B829-E37B-4C02-807B-DE725A24ED64}"/>
    <cellStyle name="SubRoutine 3 3 3 2" xfId="31295" xr:uid="{A3916041-2073-4008-9A0C-1AF12FB9A96D}"/>
    <cellStyle name="SubRoutine 3 3 3 3" xfId="31296" xr:uid="{3C599086-6AC5-49B5-BFD0-73A39F93FB07}"/>
    <cellStyle name="SubRoutine 3 3 4" xfId="31297" xr:uid="{E7BC8EDD-EF0C-42EF-9A8F-4D2C6BA87DF4}"/>
    <cellStyle name="SubRoutine 3 3 4 2" xfId="31298" xr:uid="{7E2CC467-ABEF-489E-98E5-DA13045B4CAF}"/>
    <cellStyle name="SubRoutine 3 3 5" xfId="31299" xr:uid="{9DC0863D-1106-48F5-BF17-3DFF5434AF08}"/>
    <cellStyle name="SubRoutine 3 3 6" xfId="31300" xr:uid="{D8F113F3-22E6-4641-B0A0-3F7A4ACB5BF4}"/>
    <cellStyle name="SubRoutine 3 3 7" xfId="31301" xr:uid="{66B1159A-FFD0-4DA9-B4CC-2F5CE8F1370F}"/>
    <cellStyle name="SubRoutine 3 4" xfId="31302" xr:uid="{4F6E876F-701E-4D6F-AC25-E87A48847B04}"/>
    <cellStyle name="SubRoutine 3 4 2" xfId="31303" xr:uid="{6CB63211-B1CB-4496-A9DD-DB46EDD09575}"/>
    <cellStyle name="SubRoutine 3 4 2 2" xfId="31304" xr:uid="{24A8900F-AAA5-43FF-94A1-3602C1346451}"/>
    <cellStyle name="SubRoutine 3 4 2 2 2" xfId="31305" xr:uid="{32379217-DFF6-4F84-A204-4BEDB5878ADA}"/>
    <cellStyle name="SubRoutine 3 4 2 2 3" xfId="31306" xr:uid="{C9895560-CE98-4761-8C96-A562EECA2073}"/>
    <cellStyle name="SubRoutine 3 4 2 3" xfId="31307" xr:uid="{A61FD3F4-EE99-40EF-8D62-761A8523AA62}"/>
    <cellStyle name="SubRoutine 3 4 2 3 2" xfId="31308" xr:uid="{6A4DBF29-3A0A-40D2-A4B2-2AA0E1697E50}"/>
    <cellStyle name="SubRoutine 3 4 2 4" xfId="31309" xr:uid="{C650500E-ADE1-4B75-B7D5-9305BB7B37A7}"/>
    <cellStyle name="SubRoutine 3 4 2 5" xfId="31310" xr:uid="{E99DC068-4644-4BE8-BCEA-37BA2893E678}"/>
    <cellStyle name="SubRoutine 3 4 3" xfId="31311" xr:uid="{C3C7B507-0449-4376-8D4F-08C02B2D9B00}"/>
    <cellStyle name="SubRoutine 3 4 3 2" xfId="31312" xr:uid="{CE122D8B-EF40-420A-B7DA-C90667C57DA0}"/>
    <cellStyle name="SubRoutine 3 4 3 3" xfId="31313" xr:uid="{5B7C0154-6236-449C-95CF-F8B830ED80E0}"/>
    <cellStyle name="SubRoutine 3 4 4" xfId="31314" xr:uid="{BC0010C6-9D50-4BD2-95AA-08AE90741491}"/>
    <cellStyle name="SubRoutine 3 4 4 2" xfId="31315" xr:uid="{E1E5AC11-A221-41F4-A74D-66F8FED13CC8}"/>
    <cellStyle name="SubRoutine 3 4 5" xfId="31316" xr:uid="{A3CCC340-FD26-4545-9EA2-E82AE1E6A5B1}"/>
    <cellStyle name="SubRoutine 3 4 6" xfId="31317" xr:uid="{A410E5FE-8578-40DD-B4A8-B34BEEF05BED}"/>
    <cellStyle name="SubRoutine 3 4 7" xfId="31318" xr:uid="{8E1AFD0B-F7F6-4285-80A6-C34472BD7AFC}"/>
    <cellStyle name="SubRoutine 3 5" xfId="31319" xr:uid="{B936C4D2-04BC-4CE8-B533-947DE6457AF6}"/>
    <cellStyle name="SubRoutine 3 5 2" xfId="31320" xr:uid="{15FBC107-D5BC-483A-B9D4-E0C395388AD8}"/>
    <cellStyle name="SubRoutine 3 5 2 2" xfId="31321" xr:uid="{DDD4A3C8-1B2D-47A6-B28E-1A35A01E6FD3}"/>
    <cellStyle name="SubRoutine 3 5 2 2 2" xfId="31322" xr:uid="{AD81BE37-13FA-4F27-9B71-79BA5BCCB90D}"/>
    <cellStyle name="SubRoutine 3 5 2 2 3" xfId="31323" xr:uid="{84490040-B469-4B19-B451-9900EF9C7F9A}"/>
    <cellStyle name="SubRoutine 3 5 2 3" xfId="31324" xr:uid="{851AF263-9B9F-47B1-BA96-E613DDB35C71}"/>
    <cellStyle name="SubRoutine 3 5 2 3 2" xfId="31325" xr:uid="{E9D44B0D-D3BE-4D67-9D45-A4E1031226FA}"/>
    <cellStyle name="SubRoutine 3 5 2 4" xfId="31326" xr:uid="{759A7D03-3952-4E75-B1CF-00C6DB301E92}"/>
    <cellStyle name="SubRoutine 3 5 2 5" xfId="31327" xr:uid="{3F8DE171-4324-4C9F-B679-EE00B5FA6243}"/>
    <cellStyle name="SubRoutine 3 5 3" xfId="31328" xr:uid="{C8F51E8A-A287-440E-84A0-5C84FBBFEEB3}"/>
    <cellStyle name="SubRoutine 3 5 3 2" xfId="31329" xr:uid="{54B1EC92-0666-4382-9651-98B83885D993}"/>
    <cellStyle name="SubRoutine 3 5 3 3" xfId="31330" xr:uid="{4FF3DD5C-DE2B-44B3-9FC6-1DA601FA1FD4}"/>
    <cellStyle name="SubRoutine 3 5 4" xfId="31331" xr:uid="{6277D193-487F-4988-A823-EC1FA2C3FC19}"/>
    <cellStyle name="SubRoutine 3 5 4 2" xfId="31332" xr:uid="{3998BA10-3E17-4C2B-AC37-829E73FA3AC4}"/>
    <cellStyle name="SubRoutine 3 5 5" xfId="31333" xr:uid="{25130287-76C4-49A0-9CC5-A6979EB0E797}"/>
    <cellStyle name="SubRoutine 3 5 6" xfId="31334" xr:uid="{720E4591-741E-4107-A26A-E9106FD47272}"/>
    <cellStyle name="SubRoutine 3 5 7" xfId="31335" xr:uid="{8503E4FB-D861-4EA1-BF77-65A2C455956E}"/>
    <cellStyle name="SubRoutine 3 6" xfId="31336" xr:uid="{CE84A09C-FD6E-44BF-9FD8-64B137AC52FB}"/>
    <cellStyle name="SubRoutine 3 6 2" xfId="31337" xr:uid="{BDBE887F-D7C2-4010-BBE9-8EFC5B76248D}"/>
    <cellStyle name="SubRoutine 3 6 2 2" xfId="31338" xr:uid="{44D89DFE-EE05-4978-9BC2-AF462CCF70FC}"/>
    <cellStyle name="SubRoutine 3 6 2 2 2" xfId="31339" xr:uid="{C7359D4A-97E5-4E28-B261-87AEB1018B7E}"/>
    <cellStyle name="SubRoutine 3 6 2 2 3" xfId="31340" xr:uid="{431190C6-34D7-4215-84DF-397480851246}"/>
    <cellStyle name="SubRoutine 3 6 2 3" xfId="31341" xr:uid="{3D62A21B-7AB2-4B32-B5F4-EE292F124585}"/>
    <cellStyle name="SubRoutine 3 6 2 3 2" xfId="31342" xr:uid="{07F0FF7A-E88A-449E-9A14-0D304367866C}"/>
    <cellStyle name="SubRoutine 3 6 2 4" xfId="31343" xr:uid="{9EB410BA-8C6A-46C1-B503-EE58F2CAE5D5}"/>
    <cellStyle name="SubRoutine 3 6 2 5" xfId="31344" xr:uid="{42DEA136-D763-4882-8957-0877F3AAB4F7}"/>
    <cellStyle name="SubRoutine 3 6 3" xfId="31345" xr:uid="{C6E97A77-28D1-41A2-97DE-258B4EE969E1}"/>
    <cellStyle name="SubRoutine 3 6 3 2" xfId="31346" xr:uid="{04969F8A-E68B-4623-8137-519A8DFE8CA3}"/>
    <cellStyle name="SubRoutine 3 6 3 3" xfId="31347" xr:uid="{0451E480-CCA7-45A0-BB9E-695A035175BB}"/>
    <cellStyle name="SubRoutine 3 6 4" xfId="31348" xr:uid="{E9C88AC7-20FC-4F34-A432-140BFD3176FD}"/>
    <cellStyle name="SubRoutine 3 6 4 2" xfId="31349" xr:uid="{2165AA9A-6372-4F26-8518-892393EE5E18}"/>
    <cellStyle name="SubRoutine 3 6 5" xfId="31350" xr:uid="{0134BDFC-3490-498D-A0AB-5CE4F93B7114}"/>
    <cellStyle name="SubRoutine 3 6 6" xfId="31351" xr:uid="{AA3F0D52-5D5B-4428-A734-A9C477C00D5A}"/>
    <cellStyle name="SubRoutine 3 6 7" xfId="31352" xr:uid="{CA747B76-D803-4005-965D-ED8252566E0A}"/>
    <cellStyle name="SubRoutine 3 7" xfId="31353" xr:uid="{F5B6AC14-F0B0-44F5-B17C-18D27C8162E7}"/>
    <cellStyle name="SubRoutine 3 7 2" xfId="31354" xr:uid="{F4023471-3609-48B1-8E3D-B6A8AB4A1A3E}"/>
    <cellStyle name="SubRoutine 3 7 2 2" xfId="31355" xr:uid="{C533CA04-2E18-424D-A378-8353A1A3238D}"/>
    <cellStyle name="SubRoutine 3 7 2 2 2" xfId="31356" xr:uid="{1DBAE40E-B621-416A-9357-A185E045B4B0}"/>
    <cellStyle name="SubRoutine 3 7 2 2 3" xfId="31357" xr:uid="{E23DFD74-58C8-492E-B12E-C1E3B479CD58}"/>
    <cellStyle name="SubRoutine 3 7 2 3" xfId="31358" xr:uid="{994B1094-1B75-44AA-A5F6-D018F0A7B079}"/>
    <cellStyle name="SubRoutine 3 7 2 3 2" xfId="31359" xr:uid="{F5E06846-DA03-4E00-AEB1-B848BD99B7D6}"/>
    <cellStyle name="SubRoutine 3 7 2 4" xfId="31360" xr:uid="{CC0848C1-FF84-44FB-B09F-C39052A73339}"/>
    <cellStyle name="SubRoutine 3 7 2 5" xfId="31361" xr:uid="{4300CDC1-DD3E-4B1B-AD5D-C225816D7EA4}"/>
    <cellStyle name="SubRoutine 3 7 3" xfId="31362" xr:uid="{3DE333FE-EF14-492F-8C6C-6E49AE5B2763}"/>
    <cellStyle name="SubRoutine 3 7 3 2" xfId="31363" xr:uid="{80B8C534-7A22-461B-A244-75566BC44378}"/>
    <cellStyle name="SubRoutine 3 7 3 3" xfId="31364" xr:uid="{280D23EC-8071-4861-B3E6-B80409BAF4E5}"/>
    <cellStyle name="SubRoutine 3 7 4" xfId="31365" xr:uid="{ADFF7933-6FA0-4B76-98E7-0E1A5C025B18}"/>
    <cellStyle name="SubRoutine 3 7 4 2" xfId="31366" xr:uid="{E5B5DBFF-64D9-4639-8296-873490051F74}"/>
    <cellStyle name="SubRoutine 3 7 5" xfId="31367" xr:uid="{462E78FF-F3C7-4B1F-9D01-66FB3F374AC8}"/>
    <cellStyle name="SubRoutine 3 7 6" xfId="31368" xr:uid="{F3A9D15A-B729-4DDF-9BFB-60C348F4E0BA}"/>
    <cellStyle name="SubRoutine 3 7 7" xfId="31369" xr:uid="{CCFA858F-D861-4B09-BF6D-5D7952B52A9C}"/>
    <cellStyle name="SubRoutine 3 8" xfId="31370" xr:uid="{8061EED3-4ECF-43B2-9DC7-1CC2EE7CE7B2}"/>
    <cellStyle name="SubRoutine 3 8 2" xfId="31371" xr:uid="{C359D554-00BE-4F91-9563-C630EDFD516B}"/>
    <cellStyle name="SubRoutine 3 8 2 2" xfId="31372" xr:uid="{3C06FB5C-EB77-414A-8528-53179852AEE7}"/>
    <cellStyle name="SubRoutine 3 8 2 2 2" xfId="31373" xr:uid="{7D5E0643-53EF-4C1E-8845-3C2EF83BD985}"/>
    <cellStyle name="SubRoutine 3 8 2 2 3" xfId="31374" xr:uid="{10044E67-6189-4A64-A503-B400D2B3DFEA}"/>
    <cellStyle name="SubRoutine 3 8 2 3" xfId="31375" xr:uid="{1C9E5966-2A6E-40E1-9759-A76E88A17CE2}"/>
    <cellStyle name="SubRoutine 3 8 2 3 2" xfId="31376" xr:uid="{DF1BACE6-8AA0-41F5-8E6C-6AD665C66222}"/>
    <cellStyle name="SubRoutine 3 8 2 4" xfId="31377" xr:uid="{AA399AC9-CAF6-4648-8C70-B22704C336C4}"/>
    <cellStyle name="SubRoutine 3 8 2 5" xfId="31378" xr:uid="{F162AFB0-7226-49AB-9310-02C655CF203C}"/>
    <cellStyle name="SubRoutine 3 8 3" xfId="31379" xr:uid="{80194746-DAB6-4505-B27F-B987295353A0}"/>
    <cellStyle name="SubRoutine 3 8 3 2" xfId="31380" xr:uid="{CD7BC8D6-ABCF-4F8C-915C-67F082B69029}"/>
    <cellStyle name="SubRoutine 3 8 3 3" xfId="31381" xr:uid="{D95EA510-5017-4F63-B077-C9D2AC506DB6}"/>
    <cellStyle name="SubRoutine 3 8 4" xfId="31382" xr:uid="{C8E46889-C00D-4C25-A1AC-8292A233AEA6}"/>
    <cellStyle name="SubRoutine 3 8 4 2" xfId="31383" xr:uid="{12F71F05-A7F5-402D-B16C-2769E50218A4}"/>
    <cellStyle name="SubRoutine 3 8 5" xfId="31384" xr:uid="{F93E7DD7-A0CC-4D67-ABCF-001C5B3F3D55}"/>
    <cellStyle name="SubRoutine 3 8 6" xfId="31385" xr:uid="{61142637-1C5F-4778-ACF4-B4E17492ABD3}"/>
    <cellStyle name="SubRoutine 3 8 7" xfId="31386" xr:uid="{5C73F587-66E6-406E-8D30-B0B9B01F79D1}"/>
    <cellStyle name="SubRoutine 3 9" xfId="31387" xr:uid="{52CD9C45-3648-446F-B85B-50354FE89CBE}"/>
    <cellStyle name="SubRoutine 3 9 2" xfId="31388" xr:uid="{AB48BD0C-85D1-4A78-9411-B7B384F6B0B3}"/>
    <cellStyle name="SubRoutine 3 9 2 2" xfId="31389" xr:uid="{42C87071-C0A9-47FE-BCE1-5176A57A21F2}"/>
    <cellStyle name="SubRoutine 3 9 2 2 2" xfId="31390" xr:uid="{16578AD5-7DB3-424C-A0B4-C20D5B1BF086}"/>
    <cellStyle name="SubRoutine 3 9 2 2 3" xfId="31391" xr:uid="{A747A696-4E1C-4EA5-9155-EF8C6A1F1017}"/>
    <cellStyle name="SubRoutine 3 9 2 3" xfId="31392" xr:uid="{B0982E18-050E-409C-9354-8C76F86E96BD}"/>
    <cellStyle name="SubRoutine 3 9 2 3 2" xfId="31393" xr:uid="{D04DCBB7-927E-464C-B205-3426DFF6AC35}"/>
    <cellStyle name="SubRoutine 3 9 2 4" xfId="31394" xr:uid="{4085E97B-A5DB-46F1-8422-BF036FB16174}"/>
    <cellStyle name="SubRoutine 3 9 2 5" xfId="31395" xr:uid="{CC4405B1-59ED-496E-9F11-5300BE9A0269}"/>
    <cellStyle name="SubRoutine 3 9 3" xfId="31396" xr:uid="{18771FD5-83F2-42AA-9955-5B0E13160533}"/>
    <cellStyle name="SubRoutine 3 9 3 2" xfId="31397" xr:uid="{C848F8AA-3ED8-4D92-83D9-B18ACC22B2D1}"/>
    <cellStyle name="SubRoutine 3 9 3 3" xfId="31398" xr:uid="{3AC4307C-5975-428B-958D-7DB1B0CD397E}"/>
    <cellStyle name="SubRoutine 3 9 4" xfId="31399" xr:uid="{12799A70-A5E3-4689-A0D7-48A64EE75E5B}"/>
    <cellStyle name="SubRoutine 3 9 4 2" xfId="31400" xr:uid="{32717834-637A-47C6-AFE7-2D947C884374}"/>
    <cellStyle name="SubRoutine 3 9 5" xfId="31401" xr:uid="{DE5E1C8E-1912-4B8A-829F-045345E4C567}"/>
    <cellStyle name="SubRoutine 3 9 6" xfId="31402" xr:uid="{D3F66B49-593E-4890-AEF7-A6D9FE1EA1C2}"/>
    <cellStyle name="SubRoutine 3 9 7" xfId="31403" xr:uid="{4C6B90B6-A5DE-45C2-9495-1C03D8D32FEA}"/>
    <cellStyle name="SubRoutine 4" xfId="31404" xr:uid="{39E1AF07-7248-469A-8ADB-84660A82E1E2}"/>
    <cellStyle name="SubRoutine 4 10" xfId="31405" xr:uid="{6074E8FA-7E65-4DE5-88FF-0A7781D4F264}"/>
    <cellStyle name="SubRoutine 4 10 2" xfId="31406" xr:uid="{0AD4844E-51C4-4E4D-90EE-800E80B7E9F8}"/>
    <cellStyle name="SubRoutine 4 10 2 2" xfId="31407" xr:uid="{91092AF2-7E1C-42E2-BAE5-8933EBC68AC2}"/>
    <cellStyle name="SubRoutine 4 10 2 3" xfId="31408" xr:uid="{CC730CA6-CB6D-4690-B4AB-08024E3C38E2}"/>
    <cellStyle name="SubRoutine 4 10 3" xfId="31409" xr:uid="{D059389F-B6B3-467D-91F1-25F48E4D2A74}"/>
    <cellStyle name="SubRoutine 4 10 3 2" xfId="31410" xr:uid="{354D3ABB-DFBA-467C-B392-96EF002FDE4B}"/>
    <cellStyle name="SubRoutine 4 10 4" xfId="31411" xr:uid="{920086A4-B8AC-4254-ACC8-126CB892D0FD}"/>
    <cellStyle name="SubRoutine 4 10 5" xfId="31412" xr:uid="{14EF164D-0706-4174-917B-380CCB6C31DD}"/>
    <cellStyle name="SubRoutine 4 11" xfId="31413" xr:uid="{E31C6D9A-1A74-4C3A-A8FE-2C36ECC38FF8}"/>
    <cellStyle name="SubRoutine 4 11 2" xfId="31414" xr:uid="{463A5E94-B4A7-441E-923B-F929085C21A5}"/>
    <cellStyle name="SubRoutine 4 11 3" xfId="31415" xr:uid="{142EE556-F3A7-4296-87BD-7F5040873FF4}"/>
    <cellStyle name="SubRoutine 4 12" xfId="31416" xr:uid="{221C0555-9881-487F-92DB-CFECB617F377}"/>
    <cellStyle name="SubRoutine 4 12 2" xfId="31417" xr:uid="{D93B2FEA-A70C-4E48-A95E-34DEC2C90921}"/>
    <cellStyle name="SubRoutine 4 13" xfId="31418" xr:uid="{98266599-A583-4F5B-95DB-077E733C7051}"/>
    <cellStyle name="SubRoutine 4 14" xfId="31419" xr:uid="{844C36B9-6AE2-4073-89DF-9C7CCF301A7E}"/>
    <cellStyle name="SubRoutine 4 2" xfId="31420" xr:uid="{42FECCAB-60FD-4816-9675-62E3BEA2EB99}"/>
    <cellStyle name="SubRoutine 4 2 2" xfId="31421" xr:uid="{183AEBA8-E62F-4063-9A29-CB2D4C2E0DF0}"/>
    <cellStyle name="SubRoutine 4 2 2 2" xfId="31422" xr:uid="{969072C4-8C88-4DA2-B2AB-BB8278FB1BFF}"/>
    <cellStyle name="SubRoutine 4 2 2 2 2" xfId="31423" xr:uid="{0727121C-7CD3-4344-961C-C1F67D1EC071}"/>
    <cellStyle name="SubRoutine 4 2 2 2 3" xfId="31424" xr:uid="{7CD989E0-76F6-4E96-B87B-0D9DE78EB8BF}"/>
    <cellStyle name="SubRoutine 4 2 2 3" xfId="31425" xr:uid="{E131AC1C-4D40-42BE-ACD2-E7E1BEDF7269}"/>
    <cellStyle name="SubRoutine 4 2 2 3 2" xfId="31426" xr:uid="{8A60015D-7A30-4A42-84FD-C85F0AF0A4D5}"/>
    <cellStyle name="SubRoutine 4 2 2 4" xfId="31427" xr:uid="{82733059-D187-4378-A651-4B2593ED2F1A}"/>
    <cellStyle name="SubRoutine 4 2 2 5" xfId="31428" xr:uid="{B0FF9FEA-94A3-425A-B016-176D85D0FA53}"/>
    <cellStyle name="SubRoutine 4 2 3" xfId="31429" xr:uid="{F4D3981E-E966-46A9-84EF-6C2BAD88551F}"/>
    <cellStyle name="SubRoutine 4 2 3 2" xfId="31430" xr:uid="{38270B3E-64F2-4249-B276-142C6E9DBD7A}"/>
    <cellStyle name="SubRoutine 4 2 3 3" xfId="31431" xr:uid="{B99B49A8-386C-4613-BABA-A7443FAC1734}"/>
    <cellStyle name="SubRoutine 4 2 4" xfId="31432" xr:uid="{F318E5B4-BF11-45FD-A793-72C66B128AFB}"/>
    <cellStyle name="SubRoutine 4 2 4 2" xfId="31433" xr:uid="{E1E42323-7233-48DF-AEC3-B7BCA7E993DE}"/>
    <cellStyle name="SubRoutine 4 2 5" xfId="31434" xr:uid="{5119C12B-E1C6-4DF9-A347-6094FBFBD2D3}"/>
    <cellStyle name="SubRoutine 4 2 6" xfId="31435" xr:uid="{3870F361-ECD8-41D7-BF3D-1BF716A5C2BF}"/>
    <cellStyle name="SubRoutine 4 2 7" xfId="31436" xr:uid="{23D8D016-47A1-4CB8-99D2-134CE29149B9}"/>
    <cellStyle name="SubRoutine 4 3" xfId="31437" xr:uid="{9A5226C1-E11E-4FDB-B30C-567854CFB041}"/>
    <cellStyle name="SubRoutine 4 3 2" xfId="31438" xr:uid="{13EACA3C-E7C0-4E0B-B4D2-6CD2AAC44710}"/>
    <cellStyle name="SubRoutine 4 3 2 2" xfId="31439" xr:uid="{0ACF0B35-986E-429A-A54F-BCFEDB812FCE}"/>
    <cellStyle name="SubRoutine 4 3 2 2 2" xfId="31440" xr:uid="{D1A7E535-1DD6-402D-BDC8-B47B418548A2}"/>
    <cellStyle name="SubRoutine 4 3 2 2 3" xfId="31441" xr:uid="{6CAEDE6E-0B8B-4DB3-9B4B-AEBA272F09F9}"/>
    <cellStyle name="SubRoutine 4 3 2 3" xfId="31442" xr:uid="{9590D9CE-50F7-48FA-8E66-17614F9C2607}"/>
    <cellStyle name="SubRoutine 4 3 2 3 2" xfId="31443" xr:uid="{C11EE80E-4AE0-4F99-BB51-5B1B22608EE1}"/>
    <cellStyle name="SubRoutine 4 3 2 4" xfId="31444" xr:uid="{6ADB248D-25D6-48E2-AB67-E1F8BEFD6DFC}"/>
    <cellStyle name="SubRoutine 4 3 2 5" xfId="31445" xr:uid="{C3BA4245-9EC4-4D45-988D-3C84EAA544B6}"/>
    <cellStyle name="SubRoutine 4 3 3" xfId="31446" xr:uid="{0475684B-97D3-46B3-86B9-DB7E566FBB43}"/>
    <cellStyle name="SubRoutine 4 3 3 2" xfId="31447" xr:uid="{B897B4AF-11EA-4112-AB73-4516F1B0F77B}"/>
    <cellStyle name="SubRoutine 4 3 3 3" xfId="31448" xr:uid="{878DEBE3-5C31-41D5-8F62-E3F91DB95DF0}"/>
    <cellStyle name="SubRoutine 4 3 4" xfId="31449" xr:uid="{68A97E4A-CBE3-4A5A-B3C2-DF2E26C3325B}"/>
    <cellStyle name="SubRoutine 4 3 4 2" xfId="31450" xr:uid="{24122010-AE3A-469D-AD72-EAA6251ACE9B}"/>
    <cellStyle name="SubRoutine 4 3 5" xfId="31451" xr:uid="{AEC9D1E9-DD26-4369-A651-5263B103AC04}"/>
    <cellStyle name="SubRoutine 4 3 6" xfId="31452" xr:uid="{83907093-403E-4B66-B4E2-9EC6A1E6565F}"/>
    <cellStyle name="SubRoutine 4 3 7" xfId="31453" xr:uid="{B64CC970-6DB7-478F-831E-D8AF0A8E6515}"/>
    <cellStyle name="SubRoutine 4 4" xfId="31454" xr:uid="{5C8A8E4D-6BD2-4BE6-BF9C-FA9288919EB9}"/>
    <cellStyle name="SubRoutine 4 4 2" xfId="31455" xr:uid="{4651494D-8449-4EFB-8078-97BA309B16C8}"/>
    <cellStyle name="SubRoutine 4 4 2 2" xfId="31456" xr:uid="{4DDE497A-FCBE-4A87-BAB2-BEE7995F1840}"/>
    <cellStyle name="SubRoutine 4 4 2 2 2" xfId="31457" xr:uid="{F947DCD7-8DD7-4846-A430-75479714BEE4}"/>
    <cellStyle name="SubRoutine 4 4 2 2 3" xfId="31458" xr:uid="{EF74E87C-531D-4811-B3EE-A2BDA0908DF8}"/>
    <cellStyle name="SubRoutine 4 4 2 3" xfId="31459" xr:uid="{389AE8C4-9B3C-4A0F-A4B3-39D5F5565837}"/>
    <cellStyle name="SubRoutine 4 4 2 3 2" xfId="31460" xr:uid="{70F9BD8C-4710-4152-8B8C-92C060C192B0}"/>
    <cellStyle name="SubRoutine 4 4 2 4" xfId="31461" xr:uid="{882C1730-6B3E-46F2-AD6E-0D47B76AAF58}"/>
    <cellStyle name="SubRoutine 4 4 2 5" xfId="31462" xr:uid="{4258D87C-D7B1-45F5-8132-D25135F066E0}"/>
    <cellStyle name="SubRoutine 4 4 3" xfId="31463" xr:uid="{695575CF-C929-4225-A1D4-B75C709AA342}"/>
    <cellStyle name="SubRoutine 4 4 3 2" xfId="31464" xr:uid="{482AED5B-0FF6-4FDF-A94F-C40FBE41E60C}"/>
    <cellStyle name="SubRoutine 4 4 3 3" xfId="31465" xr:uid="{11F7F263-4526-4ECD-A865-CB67FC2CDA0A}"/>
    <cellStyle name="SubRoutine 4 4 4" xfId="31466" xr:uid="{6317DE9E-F62A-4EF8-A855-249A04B1F9A4}"/>
    <cellStyle name="SubRoutine 4 4 4 2" xfId="31467" xr:uid="{0FEC3B10-A09D-4617-81B5-E8414F3D91C5}"/>
    <cellStyle name="SubRoutine 4 4 5" xfId="31468" xr:uid="{3FEC20E2-F7CC-4DFF-9235-17FC56A37D91}"/>
    <cellStyle name="SubRoutine 4 4 6" xfId="31469" xr:uid="{0DA3D719-E45D-4387-B387-42F10BADD505}"/>
    <cellStyle name="SubRoutine 4 4 7" xfId="31470" xr:uid="{36BEB1A7-EB85-47A6-B52C-3DBA5BE8431A}"/>
    <cellStyle name="SubRoutine 4 5" xfId="31471" xr:uid="{10955686-B469-4EC6-98A2-7981724FEAD4}"/>
    <cellStyle name="SubRoutine 4 5 2" xfId="31472" xr:uid="{147FC4C7-719D-471C-A0FC-02803BF2EEBB}"/>
    <cellStyle name="SubRoutine 4 5 2 2" xfId="31473" xr:uid="{C7FB088E-3DDC-4C71-BBA1-10930BAE973A}"/>
    <cellStyle name="SubRoutine 4 5 2 2 2" xfId="31474" xr:uid="{46E608F8-146A-4024-81F4-7AC7CEB2F382}"/>
    <cellStyle name="SubRoutine 4 5 2 2 3" xfId="31475" xr:uid="{A622B29D-8187-4263-9BFA-9A7648F9DB7E}"/>
    <cellStyle name="SubRoutine 4 5 2 3" xfId="31476" xr:uid="{FB38AA99-71BE-4E61-B3DB-FEB2172C4E91}"/>
    <cellStyle name="SubRoutine 4 5 2 3 2" xfId="31477" xr:uid="{97EB3C1A-11A6-4E91-B41D-071BA79FE943}"/>
    <cellStyle name="SubRoutine 4 5 2 4" xfId="31478" xr:uid="{AD4C3D8E-D634-4DB3-AB1D-FBFCABB85D9E}"/>
    <cellStyle name="SubRoutine 4 5 2 5" xfId="31479" xr:uid="{2ED35102-B181-45B1-8D03-4D961580ECC4}"/>
    <cellStyle name="SubRoutine 4 5 3" xfId="31480" xr:uid="{90442D5E-3278-40BB-95D4-2D11771CBA04}"/>
    <cellStyle name="SubRoutine 4 5 3 2" xfId="31481" xr:uid="{8052813A-C4CE-41B5-A6DA-7FC18C473CAD}"/>
    <cellStyle name="SubRoutine 4 5 3 3" xfId="31482" xr:uid="{4F08D516-08B2-49B4-BB67-35F720937AC7}"/>
    <cellStyle name="SubRoutine 4 5 4" xfId="31483" xr:uid="{8FDDB8C7-4E06-47CB-B583-C51AEDD78D23}"/>
    <cellStyle name="SubRoutine 4 5 4 2" xfId="31484" xr:uid="{B2685A79-4BAB-45F5-BDFD-7B908C9813FC}"/>
    <cellStyle name="SubRoutine 4 5 5" xfId="31485" xr:uid="{F0863300-1271-4588-A130-CEF3D2EB5818}"/>
    <cellStyle name="SubRoutine 4 5 6" xfId="31486" xr:uid="{487D9693-163D-4C0C-B0BB-267DD6FCCB36}"/>
    <cellStyle name="SubRoutine 4 5 7" xfId="31487" xr:uid="{F80955D4-F1D7-4008-8B15-FA45DC99D984}"/>
    <cellStyle name="SubRoutine 4 6" xfId="31488" xr:uid="{E737143A-740B-4F0A-9A6A-1E89F0C25156}"/>
    <cellStyle name="SubRoutine 4 6 2" xfId="31489" xr:uid="{25F9E624-194C-4C74-ABA3-E1DE414EE4C0}"/>
    <cellStyle name="SubRoutine 4 6 2 2" xfId="31490" xr:uid="{E42C17C8-5864-49F3-B1DC-06DBB9ED1A4A}"/>
    <cellStyle name="SubRoutine 4 6 2 2 2" xfId="31491" xr:uid="{6E1F6D84-89B1-4544-9F2D-F71B805AFE5D}"/>
    <cellStyle name="SubRoutine 4 6 2 2 3" xfId="31492" xr:uid="{040B9EA2-319B-4EF9-96F9-51C431B051F4}"/>
    <cellStyle name="SubRoutine 4 6 2 3" xfId="31493" xr:uid="{8A83A3A3-26AA-4D1C-98DB-57E4210FE758}"/>
    <cellStyle name="SubRoutine 4 6 2 3 2" xfId="31494" xr:uid="{2194F3E7-1864-48E4-9697-FA70136B04A8}"/>
    <cellStyle name="SubRoutine 4 6 2 4" xfId="31495" xr:uid="{3CDB0749-660A-461D-81A2-4EB4D3069C4B}"/>
    <cellStyle name="SubRoutine 4 6 2 5" xfId="31496" xr:uid="{6BF8BA77-0F90-4229-9A4F-A78FAD10A195}"/>
    <cellStyle name="SubRoutine 4 6 3" xfId="31497" xr:uid="{7225CCD3-512B-4041-9A02-6B3F5B394BB9}"/>
    <cellStyle name="SubRoutine 4 6 3 2" xfId="31498" xr:uid="{FB862413-A658-4AD8-9052-26CC0F0CC2B9}"/>
    <cellStyle name="SubRoutine 4 6 3 3" xfId="31499" xr:uid="{A71A9D31-EE28-45ED-AC4F-9D5776C26C76}"/>
    <cellStyle name="SubRoutine 4 6 4" xfId="31500" xr:uid="{7B246FC5-38AC-4591-B210-3D3650EB9128}"/>
    <cellStyle name="SubRoutine 4 6 4 2" xfId="31501" xr:uid="{C1332DF2-73E2-4581-A9C6-839D216667D3}"/>
    <cellStyle name="SubRoutine 4 6 5" xfId="31502" xr:uid="{0C9D30CB-2D25-4A45-988C-0428134C3913}"/>
    <cellStyle name="SubRoutine 4 6 6" xfId="31503" xr:uid="{FD8F4C7B-CEF3-4787-AE35-1E513E9456E9}"/>
    <cellStyle name="SubRoutine 4 7" xfId="31504" xr:uid="{93FDE181-DE9E-4610-B451-B2097CFD3E35}"/>
    <cellStyle name="SubRoutine 4 7 2" xfId="31505" xr:uid="{4FB278FE-C40E-4C7D-9859-33D7CF78FBDD}"/>
    <cellStyle name="SubRoutine 4 7 2 2" xfId="31506" xr:uid="{844453FC-56DF-48D2-9BC2-240D3B5D1D81}"/>
    <cellStyle name="SubRoutine 4 7 2 2 2" xfId="31507" xr:uid="{6AEFBB96-6181-4C62-9D3F-E3E267E20B71}"/>
    <cellStyle name="SubRoutine 4 7 2 2 3" xfId="31508" xr:uid="{3F9599FB-F2AD-4267-8BB3-E8FBD88B7AAC}"/>
    <cellStyle name="SubRoutine 4 7 2 3" xfId="31509" xr:uid="{CA703749-5BC4-4286-BD8B-4C77BAB582A8}"/>
    <cellStyle name="SubRoutine 4 7 2 3 2" xfId="31510" xr:uid="{8D8E9C4E-AC65-488F-AD37-61FA40EACD6A}"/>
    <cellStyle name="SubRoutine 4 7 2 4" xfId="31511" xr:uid="{6EAC9747-4A5C-462C-B599-270B63A4C627}"/>
    <cellStyle name="SubRoutine 4 7 2 5" xfId="31512" xr:uid="{F61E90F7-0AD6-401D-AC4A-32C5D43BAC0A}"/>
    <cellStyle name="SubRoutine 4 7 3" xfId="31513" xr:uid="{69A97532-F06B-48D6-BD44-9648F9225C16}"/>
    <cellStyle name="SubRoutine 4 7 3 2" xfId="31514" xr:uid="{D35D7799-6299-4A99-9B09-B84C4265073D}"/>
    <cellStyle name="SubRoutine 4 7 3 3" xfId="31515" xr:uid="{EAD98BAF-FC2D-44EA-9132-45E14C5AD700}"/>
    <cellStyle name="SubRoutine 4 7 4" xfId="31516" xr:uid="{5BB3688C-E962-489D-9141-3510E00B4A13}"/>
    <cellStyle name="SubRoutine 4 7 4 2" xfId="31517" xr:uid="{DB163A4D-2522-46EF-BF8E-AF000731FD63}"/>
    <cellStyle name="SubRoutine 4 7 5" xfId="31518" xr:uid="{3AAB54AD-77EE-47F2-AFB7-3E44A2D7883E}"/>
    <cellStyle name="SubRoutine 4 7 6" xfId="31519" xr:uid="{2F55788C-8B79-4062-9AF1-BE689ECA3C07}"/>
    <cellStyle name="SubRoutine 4 8" xfId="31520" xr:uid="{731807DF-7B0E-4704-9563-799F99A0D0AA}"/>
    <cellStyle name="SubRoutine 4 8 2" xfId="31521" xr:uid="{4C574571-143F-4EA5-8F7E-7F2D9CF5AB95}"/>
    <cellStyle name="SubRoutine 4 8 2 2" xfId="31522" xr:uid="{82A85815-515D-4D15-BB16-5B3FC9F4245D}"/>
    <cellStyle name="SubRoutine 4 8 2 2 2" xfId="31523" xr:uid="{10204B5D-8F6D-4E24-B47B-4F77B953E993}"/>
    <cellStyle name="SubRoutine 4 8 2 2 3" xfId="31524" xr:uid="{C9200849-46ED-477E-A7A5-E37ACAD97EDC}"/>
    <cellStyle name="SubRoutine 4 8 2 3" xfId="31525" xr:uid="{AC0FBF01-A97C-4BB5-8B4D-0EADEE52042E}"/>
    <cellStyle name="SubRoutine 4 8 2 3 2" xfId="31526" xr:uid="{2DBE9A25-1088-4EDA-8280-0AC3F6ABD65D}"/>
    <cellStyle name="SubRoutine 4 8 2 4" xfId="31527" xr:uid="{A311611B-E994-497F-8F5A-098E797E975F}"/>
    <cellStyle name="SubRoutine 4 8 2 5" xfId="31528" xr:uid="{BBE46DB7-7BA6-4ACA-BD27-A35A52246B60}"/>
    <cellStyle name="SubRoutine 4 8 3" xfId="31529" xr:uid="{DA28DDB7-7AB6-48D7-8023-8E86A33DF26E}"/>
    <cellStyle name="SubRoutine 4 8 3 2" xfId="31530" xr:uid="{2A946326-FEF5-4029-925E-02D6FAF1D442}"/>
    <cellStyle name="SubRoutine 4 8 3 3" xfId="31531" xr:uid="{A0AC46D9-66D2-43BD-8561-3D63475BF9DE}"/>
    <cellStyle name="SubRoutine 4 8 4" xfId="31532" xr:uid="{E0367F55-F7F8-412B-9B59-DF71F8E5600E}"/>
    <cellStyle name="SubRoutine 4 8 4 2" xfId="31533" xr:uid="{C1C22C79-0F21-4A58-922D-CE5E66B41DCE}"/>
    <cellStyle name="SubRoutine 4 8 5" xfId="31534" xr:uid="{CD7B4D13-6C48-4550-90BC-37953ABA26B8}"/>
    <cellStyle name="SubRoutine 4 8 6" xfId="31535" xr:uid="{30CC804B-8EEA-4DCD-B747-93324C75E566}"/>
    <cellStyle name="SubRoutine 4 9" xfId="31536" xr:uid="{BD1C59DE-35BE-4710-B741-DD0BB4CE4227}"/>
    <cellStyle name="SubRoutine 4 9 2" xfId="31537" xr:uid="{7D0AEC72-1F4F-4E4F-B7B3-6747D26EECF5}"/>
    <cellStyle name="SubRoutine 4 9 2 2" xfId="31538" xr:uid="{724684A7-8808-4E5D-81BA-DE2956DEA730}"/>
    <cellStyle name="SubRoutine 4 9 2 2 2" xfId="31539" xr:uid="{0FCBE54A-476F-4C34-9320-546C9FF81548}"/>
    <cellStyle name="SubRoutine 4 9 2 2 3" xfId="31540" xr:uid="{AC3E864A-A238-4D59-9FE0-F3DF71C31FD1}"/>
    <cellStyle name="SubRoutine 4 9 2 3" xfId="31541" xr:uid="{FE3E4BCD-5E9C-44CC-953F-57510B4BB7B9}"/>
    <cellStyle name="SubRoutine 4 9 2 3 2" xfId="31542" xr:uid="{A7984335-329F-4A1D-B734-69D0C595C256}"/>
    <cellStyle name="SubRoutine 4 9 2 4" xfId="31543" xr:uid="{172E7272-01ED-496F-8CB3-707E7B7E931F}"/>
    <cellStyle name="SubRoutine 4 9 2 5" xfId="31544" xr:uid="{919E6308-20CB-4645-BED9-D6DDDE7C03FC}"/>
    <cellStyle name="SubRoutine 4 9 3" xfId="31545" xr:uid="{59FE85E7-DD8B-4BC4-9346-18C02031D60C}"/>
    <cellStyle name="SubRoutine 4 9 3 2" xfId="31546" xr:uid="{342E1BF8-6186-4093-9D45-E8DAEFB69EA9}"/>
    <cellStyle name="SubRoutine 4 9 3 3" xfId="31547" xr:uid="{4186FA1E-08C1-43EA-8694-D5452C92BE28}"/>
    <cellStyle name="SubRoutine 4 9 4" xfId="31548" xr:uid="{6CCD50D6-7EBB-423D-9550-5B7A67807CC6}"/>
    <cellStyle name="SubRoutine 4 9 4 2" xfId="31549" xr:uid="{CDB8FF64-C324-4A48-84A8-60B2998B0234}"/>
    <cellStyle name="SubRoutine 4 9 5" xfId="31550" xr:uid="{713C1570-9DA9-4563-94A3-8792DECF15D0}"/>
    <cellStyle name="SubRoutine 4 9 6" xfId="31551" xr:uid="{5F790782-2BB1-4D49-A9AD-F028F4C3FC53}"/>
    <cellStyle name="SubRoutine 5" xfId="31552" xr:uid="{1685F729-8073-45D7-8206-7870970665E5}"/>
    <cellStyle name="SubRoutine 5 10" xfId="31553" xr:uid="{5CC7BC87-EDE6-43A2-9E76-5557FD24985A}"/>
    <cellStyle name="SubRoutine 5 10 2" xfId="31554" xr:uid="{33DAD219-AA26-4B48-941F-2D233770920C}"/>
    <cellStyle name="SubRoutine 5 10 2 2" xfId="31555" xr:uid="{D0D9F48C-21D0-4239-8490-680ABF20E797}"/>
    <cellStyle name="SubRoutine 5 10 2 3" xfId="31556" xr:uid="{D2A44C45-B77E-4C94-959E-9380C91F812C}"/>
    <cellStyle name="SubRoutine 5 10 3" xfId="31557" xr:uid="{0EA95CDD-69F4-44EA-930A-78A76220CE92}"/>
    <cellStyle name="SubRoutine 5 10 3 2" xfId="31558" xr:uid="{E437C4E0-95C2-4F56-957C-DF3EE127CED9}"/>
    <cellStyle name="SubRoutine 5 10 4" xfId="31559" xr:uid="{D9FA1174-6256-43B3-88C2-C228D1E9C60E}"/>
    <cellStyle name="SubRoutine 5 10 5" xfId="31560" xr:uid="{4C46AB26-400D-40D9-BCD6-DF254AA5F43B}"/>
    <cellStyle name="SubRoutine 5 11" xfId="31561" xr:uid="{475BB262-4BD5-490E-BDFA-9C9A49D9EFD5}"/>
    <cellStyle name="SubRoutine 5 11 2" xfId="31562" xr:uid="{27599895-7FD7-4784-8E2E-40FE809EF32E}"/>
    <cellStyle name="SubRoutine 5 11 3" xfId="31563" xr:uid="{7A330E54-93BA-4243-AFDD-69C660978E23}"/>
    <cellStyle name="SubRoutine 5 12" xfId="31564" xr:uid="{250E16AA-55C3-4565-B6DD-F75C964BF369}"/>
    <cellStyle name="SubRoutine 5 12 2" xfId="31565" xr:uid="{4EDAD770-10EC-4B7C-A935-FDC4A3D397F0}"/>
    <cellStyle name="SubRoutine 5 13" xfId="31566" xr:uid="{88384977-5BED-472F-9FA1-F2C89D1F65FF}"/>
    <cellStyle name="SubRoutine 5 14" xfId="31567" xr:uid="{003DBF25-3D69-46BE-9A8F-4B79A6E120E6}"/>
    <cellStyle name="SubRoutine 5 2" xfId="31568" xr:uid="{C07FAAF7-F4D6-48C8-BE70-DD16785CF4AE}"/>
    <cellStyle name="SubRoutine 5 2 2" xfId="31569" xr:uid="{0C34D215-06FA-4491-9583-3C2AFA6B94FC}"/>
    <cellStyle name="SubRoutine 5 2 2 2" xfId="31570" xr:uid="{30096478-0E75-43CA-8056-7BA815FF21E3}"/>
    <cellStyle name="SubRoutine 5 2 2 2 2" xfId="31571" xr:uid="{AB4D4658-0288-4A1C-8956-9C2D9F27D778}"/>
    <cellStyle name="SubRoutine 5 2 2 2 3" xfId="31572" xr:uid="{3C75E80D-CEA5-4CEA-80E6-21BA9496403D}"/>
    <cellStyle name="SubRoutine 5 2 2 3" xfId="31573" xr:uid="{BE784E99-F49B-4C13-A924-93B04536D3C9}"/>
    <cellStyle name="SubRoutine 5 2 2 3 2" xfId="31574" xr:uid="{E8CB33A2-08D4-439C-994B-A8D26C288A32}"/>
    <cellStyle name="SubRoutine 5 2 2 4" xfId="31575" xr:uid="{A99522A5-82D6-41BD-B74C-14BD954F3542}"/>
    <cellStyle name="SubRoutine 5 2 2 5" xfId="31576" xr:uid="{B4825288-EE13-4FC3-A777-007075B7716F}"/>
    <cellStyle name="SubRoutine 5 2 3" xfId="31577" xr:uid="{C069277B-ADCC-4B71-8A9D-50E3E1677058}"/>
    <cellStyle name="SubRoutine 5 2 3 2" xfId="31578" xr:uid="{F5444747-503D-494F-8289-F0038BB9510F}"/>
    <cellStyle name="SubRoutine 5 2 3 3" xfId="31579" xr:uid="{DD0E89C8-E491-4365-BECD-ACD52BF8BEBF}"/>
    <cellStyle name="SubRoutine 5 2 4" xfId="31580" xr:uid="{ADCB3200-A75B-4E6A-B61B-5F88C612225B}"/>
    <cellStyle name="SubRoutine 5 2 4 2" xfId="31581" xr:uid="{AC7B2B11-0ABB-442A-B010-7266C9C747F3}"/>
    <cellStyle name="SubRoutine 5 2 5" xfId="31582" xr:uid="{16327748-8F27-4783-9212-254CBF3F3A9B}"/>
    <cellStyle name="SubRoutine 5 2 6" xfId="31583" xr:uid="{1D3C4B1B-982E-4ACF-8E06-C18CFC286526}"/>
    <cellStyle name="SubRoutine 5 2 7" xfId="31584" xr:uid="{7F59B343-8C07-42F1-9361-F39433B907D9}"/>
    <cellStyle name="SubRoutine 5 3" xfId="31585" xr:uid="{8F0641FF-AF06-4C71-9649-4601C69A9A36}"/>
    <cellStyle name="SubRoutine 5 3 2" xfId="31586" xr:uid="{3EE5ED4C-D545-4822-8CC3-F461713C47BE}"/>
    <cellStyle name="SubRoutine 5 3 2 2" xfId="31587" xr:uid="{320C0435-2B95-4E5F-B217-E2649B20AFF6}"/>
    <cellStyle name="SubRoutine 5 3 2 2 2" xfId="31588" xr:uid="{171E1AE7-3C98-4E9E-8ADF-649D3241601C}"/>
    <cellStyle name="SubRoutine 5 3 2 2 3" xfId="31589" xr:uid="{BA3D62CD-36B5-4804-9354-62381ACC2656}"/>
    <cellStyle name="SubRoutine 5 3 2 3" xfId="31590" xr:uid="{891098B1-CB58-4023-A973-289A6C34B473}"/>
    <cellStyle name="SubRoutine 5 3 2 3 2" xfId="31591" xr:uid="{A6F08016-B1A5-4B61-93CF-7E19FB6E99EC}"/>
    <cellStyle name="SubRoutine 5 3 2 4" xfId="31592" xr:uid="{C9A020B3-453F-47F1-9913-4A2D30A259BC}"/>
    <cellStyle name="SubRoutine 5 3 2 5" xfId="31593" xr:uid="{3F4E0737-417E-46E6-A275-FD4213C788F2}"/>
    <cellStyle name="SubRoutine 5 3 3" xfId="31594" xr:uid="{61B1BEC6-146E-4358-AA27-04643B9A4086}"/>
    <cellStyle name="SubRoutine 5 3 3 2" xfId="31595" xr:uid="{4F51456C-7307-438C-83F3-4B3CAA5B613A}"/>
    <cellStyle name="SubRoutine 5 3 3 3" xfId="31596" xr:uid="{5F93B0B1-6170-4DC4-B713-AE235AF9FDA1}"/>
    <cellStyle name="SubRoutine 5 3 4" xfId="31597" xr:uid="{4641D861-1E65-47D6-BB42-5A55A14B05A2}"/>
    <cellStyle name="SubRoutine 5 3 4 2" xfId="31598" xr:uid="{3F0D54C9-8691-463E-86A9-3E467B965971}"/>
    <cellStyle name="SubRoutine 5 3 5" xfId="31599" xr:uid="{D4A05F0D-F91E-44BC-BF70-62AA8088BAD3}"/>
    <cellStyle name="SubRoutine 5 3 6" xfId="31600" xr:uid="{15F4676B-C87D-4719-B0B2-5C02D5377FE7}"/>
    <cellStyle name="SubRoutine 5 3 7" xfId="31601" xr:uid="{3A9A3642-21CE-4A25-AB73-96AF385B28A7}"/>
    <cellStyle name="SubRoutine 5 4" xfId="31602" xr:uid="{6402A6BE-671C-4BB7-9C37-A63C9B9F187B}"/>
    <cellStyle name="SubRoutine 5 4 2" xfId="31603" xr:uid="{9743DDB7-DA69-4C7C-AF78-A8B0194DEE46}"/>
    <cellStyle name="SubRoutine 5 4 2 2" xfId="31604" xr:uid="{F0F8361A-7462-4BE3-9437-5BECB8712B84}"/>
    <cellStyle name="SubRoutine 5 4 2 2 2" xfId="31605" xr:uid="{91C1ECD5-929D-46B3-9798-E130F15C4A36}"/>
    <cellStyle name="SubRoutine 5 4 2 2 3" xfId="31606" xr:uid="{28128123-1DAB-45F5-9BFA-3BE88AFE6C23}"/>
    <cellStyle name="SubRoutine 5 4 2 3" xfId="31607" xr:uid="{91E064F8-87E4-44ED-AF2C-69CE602B2D57}"/>
    <cellStyle name="SubRoutine 5 4 2 3 2" xfId="31608" xr:uid="{DDF2BF5D-3436-403B-A4CD-171D6F755AC5}"/>
    <cellStyle name="SubRoutine 5 4 2 4" xfId="31609" xr:uid="{3F825F73-79C9-4AE9-9CB4-A84C008853E9}"/>
    <cellStyle name="SubRoutine 5 4 2 5" xfId="31610" xr:uid="{92F7B9E6-44F2-4AAC-A143-9745528E8BA9}"/>
    <cellStyle name="SubRoutine 5 4 3" xfId="31611" xr:uid="{E011A991-5738-4FF6-916C-028C5F759755}"/>
    <cellStyle name="SubRoutine 5 4 3 2" xfId="31612" xr:uid="{A0B73BE6-C1B0-4A4A-B92D-657D3ADFEEC1}"/>
    <cellStyle name="SubRoutine 5 4 3 3" xfId="31613" xr:uid="{E0C2BEEE-46C7-4679-96CF-6EB080AEA94E}"/>
    <cellStyle name="SubRoutine 5 4 4" xfId="31614" xr:uid="{1CFAE000-D00C-4FBC-93A3-81BD8129740E}"/>
    <cellStyle name="SubRoutine 5 4 4 2" xfId="31615" xr:uid="{4EF5C806-06AF-4E5C-B83E-27720FA1E57E}"/>
    <cellStyle name="SubRoutine 5 4 5" xfId="31616" xr:uid="{ECE1A3EB-0486-4733-B4E6-E1F6102E1569}"/>
    <cellStyle name="SubRoutine 5 4 6" xfId="31617" xr:uid="{FAA5D730-B728-4C3F-B692-3D03792C27EC}"/>
    <cellStyle name="SubRoutine 5 4 7" xfId="31618" xr:uid="{23895386-BC81-45F0-BEA2-B71E626D99F1}"/>
    <cellStyle name="SubRoutine 5 5" xfId="31619" xr:uid="{9228166B-9EBB-4533-9F99-D001C1CFBBDD}"/>
    <cellStyle name="SubRoutine 5 5 2" xfId="31620" xr:uid="{A2BB436C-851E-4005-B7D2-5A426D747337}"/>
    <cellStyle name="SubRoutine 5 5 2 2" xfId="31621" xr:uid="{4B0545EF-8B4B-4FCB-A15E-1ACCD8991993}"/>
    <cellStyle name="SubRoutine 5 5 2 2 2" xfId="31622" xr:uid="{DBE55FEB-5C95-4359-AF19-F0EC3F88741D}"/>
    <cellStyle name="SubRoutine 5 5 2 2 3" xfId="31623" xr:uid="{EF09A7ED-8B7A-4622-92BA-5B9527BC27A2}"/>
    <cellStyle name="SubRoutine 5 5 2 3" xfId="31624" xr:uid="{A4B3A180-2396-4E66-9356-4924EE2D2FB0}"/>
    <cellStyle name="SubRoutine 5 5 2 3 2" xfId="31625" xr:uid="{16916F81-5302-4CFE-A06D-5AE7C9D69239}"/>
    <cellStyle name="SubRoutine 5 5 2 4" xfId="31626" xr:uid="{845FC393-66BF-43E0-B373-948983F9D15F}"/>
    <cellStyle name="SubRoutine 5 5 2 5" xfId="31627" xr:uid="{7819BD10-9F92-44A0-A277-FBC8F0ED70C8}"/>
    <cellStyle name="SubRoutine 5 5 3" xfId="31628" xr:uid="{2F07DD10-4F66-4781-B7D2-3E89D8B367BC}"/>
    <cellStyle name="SubRoutine 5 5 3 2" xfId="31629" xr:uid="{7EF61B30-46E4-4071-B172-08920D0BF1D9}"/>
    <cellStyle name="SubRoutine 5 5 3 3" xfId="31630" xr:uid="{61084571-BAAD-48F1-A7F3-F0D3AA34C80F}"/>
    <cellStyle name="SubRoutine 5 5 4" xfId="31631" xr:uid="{C76434EF-B7AE-4A21-A750-CE17E79C0E97}"/>
    <cellStyle name="SubRoutine 5 5 4 2" xfId="31632" xr:uid="{3539C4E0-A6C5-4FCE-8E02-7CD560CE8BF6}"/>
    <cellStyle name="SubRoutine 5 5 5" xfId="31633" xr:uid="{DF75D0F4-C9FA-4B08-B276-12A0C0B8F8FC}"/>
    <cellStyle name="SubRoutine 5 5 6" xfId="31634" xr:uid="{7DC7574B-C97A-476D-AA57-C95DDCCCFD36}"/>
    <cellStyle name="SubRoutine 5 6" xfId="31635" xr:uid="{E42005CC-5AB8-428F-9E1F-714996942A41}"/>
    <cellStyle name="SubRoutine 5 6 2" xfId="31636" xr:uid="{7195CF19-7773-418A-AD8C-B0A8CE09FF2D}"/>
    <cellStyle name="SubRoutine 5 6 2 2" xfId="31637" xr:uid="{02D955AA-6BA5-46CB-B5D9-FF0C7A421F75}"/>
    <cellStyle name="SubRoutine 5 6 2 2 2" xfId="31638" xr:uid="{4E2913E1-A23F-411D-ADB7-93EC1EC7B737}"/>
    <cellStyle name="SubRoutine 5 6 2 2 3" xfId="31639" xr:uid="{43A4E382-21EB-4473-AACC-2A7B0078C497}"/>
    <cellStyle name="SubRoutine 5 6 2 3" xfId="31640" xr:uid="{35325C48-5020-40D8-BBEF-2EF5C740E66B}"/>
    <cellStyle name="SubRoutine 5 6 2 3 2" xfId="31641" xr:uid="{5F46E773-B5DF-4D78-A614-FDC458B53A25}"/>
    <cellStyle name="SubRoutine 5 6 2 4" xfId="31642" xr:uid="{D2AAB081-0DE9-4A12-B777-712120E098A5}"/>
    <cellStyle name="SubRoutine 5 6 2 5" xfId="31643" xr:uid="{E6BD9B94-F846-4B0D-843D-FF259B73FDEE}"/>
    <cellStyle name="SubRoutine 5 6 3" xfId="31644" xr:uid="{6B915076-B2CA-41FF-B57C-72A32C65ABCC}"/>
    <cellStyle name="SubRoutine 5 6 3 2" xfId="31645" xr:uid="{9A6D47C0-739C-4775-8FFB-53BB42DA3ADC}"/>
    <cellStyle name="SubRoutine 5 6 3 3" xfId="31646" xr:uid="{B6DC4DD7-5A95-4EF0-A34B-81779B561467}"/>
    <cellStyle name="SubRoutine 5 6 4" xfId="31647" xr:uid="{78741A9F-B0EA-4C31-AB60-A96BABF141CC}"/>
    <cellStyle name="SubRoutine 5 6 4 2" xfId="31648" xr:uid="{DE19349A-11A4-417E-9E48-EBCBF0EBA65A}"/>
    <cellStyle name="SubRoutine 5 6 5" xfId="31649" xr:uid="{585D7625-95FD-44D6-AAA2-D9187D6EF8EC}"/>
    <cellStyle name="SubRoutine 5 6 6" xfId="31650" xr:uid="{B0BBCA92-DF7E-43FA-91CD-A4F7ADC39681}"/>
    <cellStyle name="SubRoutine 5 7" xfId="31651" xr:uid="{C9E92D5B-7700-4793-AC0A-AE03CDB5A3DB}"/>
    <cellStyle name="SubRoutine 5 7 2" xfId="31652" xr:uid="{7C63ABCC-1105-4DBF-A430-D6DCFBDD350C}"/>
    <cellStyle name="SubRoutine 5 7 2 2" xfId="31653" xr:uid="{E336760B-D218-4388-AD30-6BB7165824B5}"/>
    <cellStyle name="SubRoutine 5 7 2 2 2" xfId="31654" xr:uid="{01DFA787-76A2-473A-85A3-33CF52347F6F}"/>
    <cellStyle name="SubRoutine 5 7 2 2 3" xfId="31655" xr:uid="{D9E49F9F-FFAA-46A8-9192-AE631CD7EC66}"/>
    <cellStyle name="SubRoutine 5 7 2 3" xfId="31656" xr:uid="{E0EFF97D-59ED-48C2-BE02-0C251C6C4156}"/>
    <cellStyle name="SubRoutine 5 7 2 3 2" xfId="31657" xr:uid="{D1BCFB85-F483-4011-BFC1-9C25500E3221}"/>
    <cellStyle name="SubRoutine 5 7 2 4" xfId="31658" xr:uid="{75852A8F-FC6F-4BA7-A50E-F4FED06E11E9}"/>
    <cellStyle name="SubRoutine 5 7 2 5" xfId="31659" xr:uid="{655D336C-407D-49F4-BE95-3E10A182F4F6}"/>
    <cellStyle name="SubRoutine 5 7 3" xfId="31660" xr:uid="{F4C0886F-63FF-49B4-AC86-007978526EA9}"/>
    <cellStyle name="SubRoutine 5 7 3 2" xfId="31661" xr:uid="{8A122BFE-0C73-43EE-9AEF-256FE87BE508}"/>
    <cellStyle name="SubRoutine 5 7 3 3" xfId="31662" xr:uid="{D3714FFE-936F-46A1-9ED5-270B25C850AD}"/>
    <cellStyle name="SubRoutine 5 7 4" xfId="31663" xr:uid="{0194A624-D374-4F1D-A6DA-3396BCD863B9}"/>
    <cellStyle name="SubRoutine 5 7 4 2" xfId="31664" xr:uid="{2A8906BC-CA39-48B1-A70C-0107D2F01300}"/>
    <cellStyle name="SubRoutine 5 7 5" xfId="31665" xr:uid="{33A61EAF-9BFF-4D0B-80F4-8CFF47292AD8}"/>
    <cellStyle name="SubRoutine 5 7 6" xfId="31666" xr:uid="{B2E05F90-281E-47A5-B6DE-35399C768B88}"/>
    <cellStyle name="SubRoutine 5 8" xfId="31667" xr:uid="{2D0A04DD-7E0E-463D-BC93-25F3EBF17DEE}"/>
    <cellStyle name="SubRoutine 5 8 2" xfId="31668" xr:uid="{5C8C9A0F-0794-4A29-A3CA-F670149C5E0A}"/>
    <cellStyle name="SubRoutine 5 8 2 2" xfId="31669" xr:uid="{43B44E3D-EB7C-4064-B9B7-69E2835A6EB8}"/>
    <cellStyle name="SubRoutine 5 8 2 2 2" xfId="31670" xr:uid="{F645678D-4661-4BB1-9180-4D18BC22FE5D}"/>
    <cellStyle name="SubRoutine 5 8 2 2 3" xfId="31671" xr:uid="{0AA576D5-0EB4-4D22-9485-240EDD2EF3AA}"/>
    <cellStyle name="SubRoutine 5 8 2 3" xfId="31672" xr:uid="{7318269D-1AD7-4FF3-8E2C-412C4E9B7F13}"/>
    <cellStyle name="SubRoutine 5 8 2 3 2" xfId="31673" xr:uid="{47575BCA-C9A3-400F-8DDB-604FDFBD3EBC}"/>
    <cellStyle name="SubRoutine 5 8 2 4" xfId="31674" xr:uid="{BFE59721-DCB3-4204-9559-24DEFF020B96}"/>
    <cellStyle name="SubRoutine 5 8 2 5" xfId="31675" xr:uid="{3338FCC1-43D1-484D-B953-0657BD0DD00D}"/>
    <cellStyle name="SubRoutine 5 8 3" xfId="31676" xr:uid="{A0C4C30F-FD07-4E45-9BF1-1E0083DDBC7A}"/>
    <cellStyle name="SubRoutine 5 8 3 2" xfId="31677" xr:uid="{3B2B4596-123F-4EE4-BD37-9CC5E1A0A4F1}"/>
    <cellStyle name="SubRoutine 5 8 3 3" xfId="31678" xr:uid="{346C1A33-6434-4C58-9F2D-828D5A10D9E5}"/>
    <cellStyle name="SubRoutine 5 8 4" xfId="31679" xr:uid="{70CF7A61-AF04-46FA-9147-1F05FDB4BDE1}"/>
    <cellStyle name="SubRoutine 5 8 4 2" xfId="31680" xr:uid="{86EBA02D-AF8A-4030-9A08-B61FF01E29E3}"/>
    <cellStyle name="SubRoutine 5 8 5" xfId="31681" xr:uid="{3A295EC8-B5C5-4080-B155-F2AEA48D8672}"/>
    <cellStyle name="SubRoutine 5 8 6" xfId="31682" xr:uid="{CC796823-D17D-46C2-9DF5-772B4B4074F3}"/>
    <cellStyle name="SubRoutine 5 9" xfId="31683" xr:uid="{A836FFB1-6BA5-4AA0-A335-5D58D59E550D}"/>
    <cellStyle name="SubRoutine 5 9 2" xfId="31684" xr:uid="{AD2FB1C4-6260-40F4-B659-259198ACA032}"/>
    <cellStyle name="SubRoutine 5 9 2 2" xfId="31685" xr:uid="{730E426C-40A6-4467-8306-413620A303C9}"/>
    <cellStyle name="SubRoutine 5 9 2 2 2" xfId="31686" xr:uid="{4D41F40E-FC55-4629-83C0-9D8936F3F13B}"/>
    <cellStyle name="SubRoutine 5 9 2 2 3" xfId="31687" xr:uid="{D1775886-AD6A-4201-AEF3-D141C0E09167}"/>
    <cellStyle name="SubRoutine 5 9 2 3" xfId="31688" xr:uid="{7807E258-6246-4719-8574-0C0CF4E69B6D}"/>
    <cellStyle name="SubRoutine 5 9 2 3 2" xfId="31689" xr:uid="{B5EB7948-36CE-4F56-98C2-8CE0C89CC810}"/>
    <cellStyle name="SubRoutine 5 9 2 4" xfId="31690" xr:uid="{567D74A2-1C13-424B-B300-AC7A31E8FDBB}"/>
    <cellStyle name="SubRoutine 5 9 2 5" xfId="31691" xr:uid="{67D5FE70-0C16-4FDB-87B4-1FF9167EAA6B}"/>
    <cellStyle name="SubRoutine 5 9 3" xfId="31692" xr:uid="{D5D8ECC5-86C6-4F0E-BB68-BDEF4C1E47B2}"/>
    <cellStyle name="SubRoutine 5 9 3 2" xfId="31693" xr:uid="{1E7A756F-E43C-4C59-8343-A2B2FF40186E}"/>
    <cellStyle name="SubRoutine 5 9 3 3" xfId="31694" xr:uid="{4428296A-6F79-457C-B951-36CF191C3C6E}"/>
    <cellStyle name="SubRoutine 5 9 4" xfId="31695" xr:uid="{331DE9FE-A9EE-4F30-BD66-1C7560F7C044}"/>
    <cellStyle name="SubRoutine 5 9 4 2" xfId="31696" xr:uid="{C9CE6E4A-FA78-4018-AEC2-07697CBE0A40}"/>
    <cellStyle name="SubRoutine 5 9 5" xfId="31697" xr:uid="{BA9B04EF-C977-42E1-8445-DA9DCF157FA1}"/>
    <cellStyle name="SubRoutine 5 9 6" xfId="31698" xr:uid="{1AD9A7E7-ACFC-46F4-ABF8-6475BAA7D696}"/>
    <cellStyle name="SubRoutine 6" xfId="31699" xr:uid="{692B9096-4184-4DA8-9F5E-344891E21147}"/>
    <cellStyle name="SubRoutine 6 10" xfId="31700" xr:uid="{8AC85E45-C837-4E56-AEBA-E57E1E9FE23F}"/>
    <cellStyle name="SubRoutine 6 10 2" xfId="31701" xr:uid="{13EAD6F7-CD46-442C-9EC1-B8ECCDA33F40}"/>
    <cellStyle name="SubRoutine 6 10 2 2" xfId="31702" xr:uid="{F3EB20D3-8EF6-4A39-A0E2-D28D83F64B8C}"/>
    <cellStyle name="SubRoutine 6 10 2 3" xfId="31703" xr:uid="{12EDB395-EC5E-4AAA-AEAB-1707671DCB6B}"/>
    <cellStyle name="SubRoutine 6 10 3" xfId="31704" xr:uid="{E302D949-E578-48ED-817D-B0C06165B269}"/>
    <cellStyle name="SubRoutine 6 10 3 2" xfId="31705" xr:uid="{5B01012E-0AA7-48C8-AA72-A666F0673456}"/>
    <cellStyle name="SubRoutine 6 10 4" xfId="31706" xr:uid="{0F0834F8-EA00-4909-821D-038AC18DC908}"/>
    <cellStyle name="SubRoutine 6 10 5" xfId="31707" xr:uid="{F46E6A96-CBD6-4143-A490-20C8C4EBFD32}"/>
    <cellStyle name="SubRoutine 6 11" xfId="31708" xr:uid="{41072988-237E-4336-AA1C-0B288FCF841B}"/>
    <cellStyle name="SubRoutine 6 11 2" xfId="31709" xr:uid="{E9DBFBC9-C230-48DF-9981-822339B548F3}"/>
    <cellStyle name="SubRoutine 6 11 3" xfId="31710" xr:uid="{B4F583E5-08F4-4B47-8DF9-F255614D06E3}"/>
    <cellStyle name="SubRoutine 6 12" xfId="31711" xr:uid="{EA1AC342-4F20-42FA-A5DF-1EB29B88D2C9}"/>
    <cellStyle name="SubRoutine 6 12 2" xfId="31712" xr:uid="{1D1CFF7C-0732-415C-A087-AFF5617BB0EE}"/>
    <cellStyle name="SubRoutine 6 13" xfId="31713" xr:uid="{1FBA3976-21CE-465B-8246-EDD281BDC8CE}"/>
    <cellStyle name="SubRoutine 6 14" xfId="31714" xr:uid="{D1F0138E-6C5A-4662-813D-1297CEC29499}"/>
    <cellStyle name="SubRoutine 6 2" xfId="31715" xr:uid="{6EB88B0D-5D78-4EEA-81A7-FFD500901C10}"/>
    <cellStyle name="SubRoutine 6 2 2" xfId="31716" xr:uid="{9E0473AA-D925-47D2-A221-DE44014E8548}"/>
    <cellStyle name="SubRoutine 6 2 2 2" xfId="31717" xr:uid="{07632BB6-4F46-4104-B468-D0B5037A65D5}"/>
    <cellStyle name="SubRoutine 6 2 2 2 2" xfId="31718" xr:uid="{CBD10BB0-A9E9-4BA1-A178-A01917AA860B}"/>
    <cellStyle name="SubRoutine 6 2 2 2 3" xfId="31719" xr:uid="{D7F44E27-1879-4517-B095-70DDD303D4B5}"/>
    <cellStyle name="SubRoutine 6 2 2 3" xfId="31720" xr:uid="{1F92B814-EEF0-4D44-AAA5-8EF545E389ED}"/>
    <cellStyle name="SubRoutine 6 2 2 3 2" xfId="31721" xr:uid="{A8FE0FC4-5D1E-4599-A787-C72EE5F23D51}"/>
    <cellStyle name="SubRoutine 6 2 2 4" xfId="31722" xr:uid="{2AF49050-7E4A-495A-8768-F3E76C56ED02}"/>
    <cellStyle name="SubRoutine 6 2 2 5" xfId="31723" xr:uid="{82A2AA43-6DB2-4815-BC2D-F598102EF50D}"/>
    <cellStyle name="SubRoutine 6 2 3" xfId="31724" xr:uid="{ACE96661-156C-4BC7-A1B4-A4DD0DF1B408}"/>
    <cellStyle name="SubRoutine 6 2 3 2" xfId="31725" xr:uid="{C4136637-70D2-490D-B62F-4C6EA6B90FB4}"/>
    <cellStyle name="SubRoutine 6 2 3 3" xfId="31726" xr:uid="{E78FEBC5-5C7C-4CF8-99B8-F7D2F488BFAF}"/>
    <cellStyle name="SubRoutine 6 2 4" xfId="31727" xr:uid="{13C66FAE-496C-469A-ABDB-8C1FE417F0FF}"/>
    <cellStyle name="SubRoutine 6 2 4 2" xfId="31728" xr:uid="{3C55C126-D340-435F-8343-075DBB8C83C5}"/>
    <cellStyle name="SubRoutine 6 2 5" xfId="31729" xr:uid="{09166EFE-24C0-45FC-B5F1-C1AAAEC04C10}"/>
    <cellStyle name="SubRoutine 6 2 6" xfId="31730" xr:uid="{2753CF3B-8E56-4EB6-9AE9-A05B91692C0B}"/>
    <cellStyle name="SubRoutine 6 3" xfId="31731" xr:uid="{B94E38B3-B2EA-4A0E-BE26-7C08902B4F84}"/>
    <cellStyle name="SubRoutine 6 3 2" xfId="31732" xr:uid="{F295C695-C51F-4EFA-9BA0-EC7E981B17BF}"/>
    <cellStyle name="SubRoutine 6 3 2 2" xfId="31733" xr:uid="{27C735E3-E925-4BEF-822E-FD878661495C}"/>
    <cellStyle name="SubRoutine 6 3 2 2 2" xfId="31734" xr:uid="{DDC35187-809E-48F6-9519-F3C290EE11C5}"/>
    <cellStyle name="SubRoutine 6 3 2 2 3" xfId="31735" xr:uid="{A4A6E217-60F2-4D55-91FD-8B9502863E49}"/>
    <cellStyle name="SubRoutine 6 3 2 3" xfId="31736" xr:uid="{ED06C652-5253-4A05-B0B7-D66CA7A3AE4C}"/>
    <cellStyle name="SubRoutine 6 3 2 3 2" xfId="31737" xr:uid="{3C95ADFE-0EA3-44C2-9211-B84AB57CF190}"/>
    <cellStyle name="SubRoutine 6 3 2 4" xfId="31738" xr:uid="{9B7BBE41-5557-4BAF-878B-32C025908AAF}"/>
    <cellStyle name="SubRoutine 6 3 2 5" xfId="31739" xr:uid="{0294B10F-5A4A-4E51-8EA8-20CD42CF9069}"/>
    <cellStyle name="SubRoutine 6 3 3" xfId="31740" xr:uid="{AB0816B8-9B7C-4FF8-9D46-6B8F64BD45E5}"/>
    <cellStyle name="SubRoutine 6 3 3 2" xfId="31741" xr:uid="{29DD14AC-105A-4C47-AAAB-82ABC7F81E77}"/>
    <cellStyle name="SubRoutine 6 3 3 3" xfId="31742" xr:uid="{0C1C88C2-1E18-482A-ACDC-6FFCC4C8F2D8}"/>
    <cellStyle name="SubRoutine 6 3 4" xfId="31743" xr:uid="{DCAAA48F-27A0-4712-AA75-BABD518EEC5A}"/>
    <cellStyle name="SubRoutine 6 3 4 2" xfId="31744" xr:uid="{0608E298-D482-4D75-AB70-17C50AB637A5}"/>
    <cellStyle name="SubRoutine 6 3 5" xfId="31745" xr:uid="{4FFC6161-C7CF-46F6-B7DB-C3FA866AEE00}"/>
    <cellStyle name="SubRoutine 6 3 6" xfId="31746" xr:uid="{F9B1E605-567C-40DF-988D-D9F158A6B064}"/>
    <cellStyle name="SubRoutine 6 4" xfId="31747" xr:uid="{250C1F8F-1510-4FCA-96EE-ED95F9E29E06}"/>
    <cellStyle name="SubRoutine 6 4 2" xfId="31748" xr:uid="{B7466A9D-A347-4419-84E8-3D0FBF21DCF5}"/>
    <cellStyle name="SubRoutine 6 4 2 2" xfId="31749" xr:uid="{5E4AB727-AC33-49A1-BEAD-1DCFFECF6656}"/>
    <cellStyle name="SubRoutine 6 4 2 2 2" xfId="31750" xr:uid="{F2156616-190D-44B6-B29A-D8B7C8EA0E69}"/>
    <cellStyle name="SubRoutine 6 4 2 2 3" xfId="31751" xr:uid="{C92A97D6-F8C5-4020-A7E4-B6B2A1EFE578}"/>
    <cellStyle name="SubRoutine 6 4 2 3" xfId="31752" xr:uid="{ADB7800B-271C-49D8-852A-5F8C34C659D0}"/>
    <cellStyle name="SubRoutine 6 4 2 3 2" xfId="31753" xr:uid="{196959D9-69DD-461E-A0EC-DABC3D344053}"/>
    <cellStyle name="SubRoutine 6 4 2 4" xfId="31754" xr:uid="{079F126B-DBD2-4C1A-A524-34913336E04E}"/>
    <cellStyle name="SubRoutine 6 4 2 5" xfId="31755" xr:uid="{26961271-B2FF-44CB-AA99-C2C758E42060}"/>
    <cellStyle name="SubRoutine 6 4 3" xfId="31756" xr:uid="{F77126C0-DCAA-45A7-A70F-CB02A7E5C852}"/>
    <cellStyle name="SubRoutine 6 4 3 2" xfId="31757" xr:uid="{E82745E5-15E8-4EE9-9E0F-7F1BC4D99D7F}"/>
    <cellStyle name="SubRoutine 6 4 3 3" xfId="31758" xr:uid="{68978F69-DCE6-4843-8DD5-5434EDC87551}"/>
    <cellStyle name="SubRoutine 6 4 4" xfId="31759" xr:uid="{F401C93E-61AA-4AAC-96B3-5900B35480B7}"/>
    <cellStyle name="SubRoutine 6 4 4 2" xfId="31760" xr:uid="{F4E73897-24A2-41DE-9C22-507C974C0B58}"/>
    <cellStyle name="SubRoutine 6 4 5" xfId="31761" xr:uid="{6C8D941B-4121-4A36-800E-4807196C524A}"/>
    <cellStyle name="SubRoutine 6 4 6" xfId="31762" xr:uid="{80AF644D-FDF7-4458-B64E-2E64499F8E6E}"/>
    <cellStyle name="SubRoutine 6 5" xfId="31763" xr:uid="{20804593-362C-41A5-AAE8-EEB25BCF806E}"/>
    <cellStyle name="SubRoutine 6 5 2" xfId="31764" xr:uid="{C1C981DF-E0C7-4337-9723-074CB3DBC4BD}"/>
    <cellStyle name="SubRoutine 6 5 2 2" xfId="31765" xr:uid="{BB78371C-391C-4221-8CCC-F330E75C3552}"/>
    <cellStyle name="SubRoutine 6 5 2 2 2" xfId="31766" xr:uid="{8D71A15E-8A35-454D-A2FF-00B9C6F4927E}"/>
    <cellStyle name="SubRoutine 6 5 2 2 3" xfId="31767" xr:uid="{FCDA2249-B2F1-42A6-A609-D22C02FB181F}"/>
    <cellStyle name="SubRoutine 6 5 2 3" xfId="31768" xr:uid="{628B35BD-0BED-480C-90AB-C393EEF5FCB9}"/>
    <cellStyle name="SubRoutine 6 5 2 3 2" xfId="31769" xr:uid="{635F11D0-07DB-4A51-BBD7-615E9D961D39}"/>
    <cellStyle name="SubRoutine 6 5 2 4" xfId="31770" xr:uid="{4F71A736-50DA-4E33-B161-26D412CA85C2}"/>
    <cellStyle name="SubRoutine 6 5 2 5" xfId="31771" xr:uid="{887035E9-A3B5-427C-A31E-CA9CD54127F7}"/>
    <cellStyle name="SubRoutine 6 5 3" xfId="31772" xr:uid="{81B498DB-3636-490B-9C3B-D0AB6C885502}"/>
    <cellStyle name="SubRoutine 6 5 3 2" xfId="31773" xr:uid="{4213695D-66AD-4857-B792-FB05F0FF5999}"/>
    <cellStyle name="SubRoutine 6 5 3 3" xfId="31774" xr:uid="{B62D4665-AC04-461C-82CE-C71F806DFE75}"/>
    <cellStyle name="SubRoutine 6 5 4" xfId="31775" xr:uid="{4D2267B7-8CCF-4D51-A1F3-53971F4D0451}"/>
    <cellStyle name="SubRoutine 6 5 4 2" xfId="31776" xr:uid="{BD76F3B1-9F0D-4A5E-9976-A87F230D60B6}"/>
    <cellStyle name="SubRoutine 6 5 5" xfId="31777" xr:uid="{F893736A-CD29-462D-85C3-B0C7E833FA26}"/>
    <cellStyle name="SubRoutine 6 5 6" xfId="31778" xr:uid="{3F1EF7F6-5842-4765-887D-7C869A855B02}"/>
    <cellStyle name="SubRoutine 6 6" xfId="31779" xr:uid="{97860FFF-0CDF-4E37-80A2-A6EDE215DB51}"/>
    <cellStyle name="SubRoutine 6 6 2" xfId="31780" xr:uid="{A57BF8C1-DA74-4B7C-BA32-6C2971E8BC4F}"/>
    <cellStyle name="SubRoutine 6 6 2 2" xfId="31781" xr:uid="{ECF244B2-8897-4A69-BC4C-728EBB2AD5A3}"/>
    <cellStyle name="SubRoutine 6 6 2 2 2" xfId="31782" xr:uid="{7411CC96-2567-4C39-81B3-E52FCC45FD23}"/>
    <cellStyle name="SubRoutine 6 6 2 2 3" xfId="31783" xr:uid="{EED789EC-D889-45CA-ABE9-3836C8DCAE84}"/>
    <cellStyle name="SubRoutine 6 6 2 3" xfId="31784" xr:uid="{B17FD983-1A8E-4B71-930E-EC1F2EA4DD27}"/>
    <cellStyle name="SubRoutine 6 6 2 3 2" xfId="31785" xr:uid="{99D2257A-BC3C-4615-90BB-B58E0C90AF49}"/>
    <cellStyle name="SubRoutine 6 6 2 4" xfId="31786" xr:uid="{263E5300-F865-44AB-A4AB-ADB1F8EFF4BC}"/>
    <cellStyle name="SubRoutine 6 6 2 5" xfId="31787" xr:uid="{10103C0A-9EEB-4E78-A67E-78C254EBF89B}"/>
    <cellStyle name="SubRoutine 6 6 3" xfId="31788" xr:uid="{D23762C4-3E6C-4F74-AC2E-102D4AD6960E}"/>
    <cellStyle name="SubRoutine 6 6 3 2" xfId="31789" xr:uid="{8D3E6215-1079-4563-BE5C-467DCA868F6A}"/>
    <cellStyle name="SubRoutine 6 6 3 3" xfId="31790" xr:uid="{0BFAF874-249E-4A87-9ADC-597D0E8A5DE6}"/>
    <cellStyle name="SubRoutine 6 6 4" xfId="31791" xr:uid="{086706EE-25B0-40B1-9015-DC53A800D1FA}"/>
    <cellStyle name="SubRoutine 6 6 4 2" xfId="31792" xr:uid="{F2B21A00-3E40-4849-AF93-A285DAA2F1FE}"/>
    <cellStyle name="SubRoutine 6 6 5" xfId="31793" xr:uid="{4062B016-8F36-4256-B428-B532E88FE8B7}"/>
    <cellStyle name="SubRoutine 6 6 6" xfId="31794" xr:uid="{46E6B3C4-3FF2-4AD5-8C00-E121CDA3BACF}"/>
    <cellStyle name="SubRoutine 6 7" xfId="31795" xr:uid="{FB03AB01-0233-4437-A38A-7213C8D2C968}"/>
    <cellStyle name="SubRoutine 6 7 2" xfId="31796" xr:uid="{60B529B3-DFEA-47DE-ABF2-09637DBBF16C}"/>
    <cellStyle name="SubRoutine 6 7 2 2" xfId="31797" xr:uid="{C048CEA2-893E-437A-B63C-1F3BAD6AE4F7}"/>
    <cellStyle name="SubRoutine 6 7 2 2 2" xfId="31798" xr:uid="{775AECCE-C723-4D74-9124-20B86EC485B6}"/>
    <cellStyle name="SubRoutine 6 7 2 2 3" xfId="31799" xr:uid="{97A6EBF9-4B80-492E-B7C6-F4C40C0812B3}"/>
    <cellStyle name="SubRoutine 6 7 2 3" xfId="31800" xr:uid="{5EEE56FC-82FD-48BF-8EDA-25403F390CBC}"/>
    <cellStyle name="SubRoutine 6 7 2 3 2" xfId="31801" xr:uid="{D3885EF2-8075-4659-A6A3-C45F555DC300}"/>
    <cellStyle name="SubRoutine 6 7 2 4" xfId="31802" xr:uid="{E4613F07-26D3-4443-9247-A5206E0F8DE2}"/>
    <cellStyle name="SubRoutine 6 7 2 5" xfId="31803" xr:uid="{26553F5D-B899-4B1A-8076-200C6E5831A3}"/>
    <cellStyle name="SubRoutine 6 7 3" xfId="31804" xr:uid="{F4719D1D-9983-4371-85EA-138409628E4A}"/>
    <cellStyle name="SubRoutine 6 7 3 2" xfId="31805" xr:uid="{96250F87-E69F-4197-9E4C-FA885B8C49CA}"/>
    <cellStyle name="SubRoutine 6 7 3 3" xfId="31806" xr:uid="{4E132627-6425-4278-998D-F2676F820CA2}"/>
    <cellStyle name="SubRoutine 6 7 4" xfId="31807" xr:uid="{A7B7E7C2-4CBB-4216-88AB-B9FE5C4D8BEB}"/>
    <cellStyle name="SubRoutine 6 7 4 2" xfId="31808" xr:uid="{30E6CB46-1B84-4724-920A-671298EFCE23}"/>
    <cellStyle name="SubRoutine 6 7 5" xfId="31809" xr:uid="{A8833669-65AE-4887-BE7E-16BDFA4D5042}"/>
    <cellStyle name="SubRoutine 6 7 6" xfId="31810" xr:uid="{DCC0E3FD-8F81-493B-9B63-FD36DC8A7150}"/>
    <cellStyle name="SubRoutine 6 8" xfId="31811" xr:uid="{D9596220-DC27-437B-903C-B2DCE1B99360}"/>
    <cellStyle name="SubRoutine 6 8 2" xfId="31812" xr:uid="{BFE96EE2-7B3E-4E40-B792-50E6215E9094}"/>
    <cellStyle name="SubRoutine 6 8 2 2" xfId="31813" xr:uid="{FC8602EB-04F4-49DF-831F-629EB9605551}"/>
    <cellStyle name="SubRoutine 6 8 2 2 2" xfId="31814" xr:uid="{A51D02AF-E353-426F-9A57-84ECAF33DD49}"/>
    <cellStyle name="SubRoutine 6 8 2 2 3" xfId="31815" xr:uid="{E40F53AD-BACD-4450-B3AE-398347044D19}"/>
    <cellStyle name="SubRoutine 6 8 2 3" xfId="31816" xr:uid="{A69CF717-4D10-4725-AC31-9C76D89CDD62}"/>
    <cellStyle name="SubRoutine 6 8 2 3 2" xfId="31817" xr:uid="{E84B391B-2C7A-4C1E-902E-F5F9CEAB5075}"/>
    <cellStyle name="SubRoutine 6 8 2 4" xfId="31818" xr:uid="{2C70163F-EBD7-4E0B-AEE9-2873BC080C41}"/>
    <cellStyle name="SubRoutine 6 8 2 5" xfId="31819" xr:uid="{7C2DE172-AF9D-41ED-B1B9-F47906408B42}"/>
    <cellStyle name="SubRoutine 6 8 3" xfId="31820" xr:uid="{420395D3-5286-4D36-81D5-5440D006E43C}"/>
    <cellStyle name="SubRoutine 6 8 3 2" xfId="31821" xr:uid="{8C8CA7CB-1157-4BBD-970B-DDB65304F877}"/>
    <cellStyle name="SubRoutine 6 8 3 3" xfId="31822" xr:uid="{193877E0-33A7-4C9F-90EA-8037C04D0006}"/>
    <cellStyle name="SubRoutine 6 8 4" xfId="31823" xr:uid="{B43CD4F6-ABC6-4B8D-8F48-895879D4D93D}"/>
    <cellStyle name="SubRoutine 6 8 4 2" xfId="31824" xr:uid="{557FFA57-44C3-4E13-A400-46D7E428FD33}"/>
    <cellStyle name="SubRoutine 6 8 5" xfId="31825" xr:uid="{BC55C97A-E946-4D35-969A-CEF4CC8A1772}"/>
    <cellStyle name="SubRoutine 6 8 6" xfId="31826" xr:uid="{234437F3-182B-4BE9-8948-3E22C3CD0823}"/>
    <cellStyle name="SubRoutine 6 9" xfId="31827" xr:uid="{57F3346E-5971-4771-ABD4-D8C2CAF1B7CA}"/>
    <cellStyle name="SubRoutine 6 9 2" xfId="31828" xr:uid="{F9BAD3F6-E7B1-4F8B-9310-2E2B96463D99}"/>
    <cellStyle name="SubRoutine 6 9 2 2" xfId="31829" xr:uid="{1C7D1B0B-1B51-466B-BFF5-CFFD02FF0BD9}"/>
    <cellStyle name="SubRoutine 6 9 2 2 2" xfId="31830" xr:uid="{21974E4E-795F-4B92-9334-FDB1B56F1A3A}"/>
    <cellStyle name="SubRoutine 6 9 2 2 3" xfId="31831" xr:uid="{4B613980-EF95-4A23-BCA8-A98070AEB4B6}"/>
    <cellStyle name="SubRoutine 6 9 2 3" xfId="31832" xr:uid="{29210F17-BE47-4807-B8E8-69C7CB9FAD4E}"/>
    <cellStyle name="SubRoutine 6 9 2 3 2" xfId="31833" xr:uid="{BE40142A-2A57-42CA-A315-20EE05CDE935}"/>
    <cellStyle name="SubRoutine 6 9 2 4" xfId="31834" xr:uid="{6912C368-111D-48CE-87CF-0BB18C6CFDCE}"/>
    <cellStyle name="SubRoutine 6 9 2 5" xfId="31835" xr:uid="{023D7194-7369-4C01-8DC4-39D6FF01FDF6}"/>
    <cellStyle name="SubRoutine 6 9 3" xfId="31836" xr:uid="{FAB09FFB-0DFA-435E-AB87-20871F16F3ED}"/>
    <cellStyle name="SubRoutine 6 9 3 2" xfId="31837" xr:uid="{AC9B1904-8645-454E-9128-6DB8DE53169E}"/>
    <cellStyle name="SubRoutine 6 9 3 3" xfId="31838" xr:uid="{32A4CE33-BEC4-43F8-A4D2-9950C3309135}"/>
    <cellStyle name="SubRoutine 6 9 4" xfId="31839" xr:uid="{9890C158-E7CA-4D35-BC9E-D79FFCD6CE94}"/>
    <cellStyle name="SubRoutine 6 9 4 2" xfId="31840" xr:uid="{D8A2CC33-D60B-4E57-ACE7-03CB12A50F2D}"/>
    <cellStyle name="SubRoutine 6 9 5" xfId="31841" xr:uid="{F7341D17-5CF4-45A7-B19A-A6B8E3153896}"/>
    <cellStyle name="SubRoutine 6 9 6" xfId="31842" xr:uid="{028270CB-9FB2-4E47-B7EE-0734EA5401F2}"/>
    <cellStyle name="SubRoutine 7" xfId="31843" xr:uid="{CB4D9797-7E15-46FE-8E8B-BAB59C616923}"/>
    <cellStyle name="SubRoutine 7 10" xfId="31844" xr:uid="{5EC2B749-97B2-4271-944E-1430078BA143}"/>
    <cellStyle name="SubRoutine 7 2" xfId="31845" xr:uid="{C71424D3-97C6-4F7C-802F-906D5964BC12}"/>
    <cellStyle name="SubRoutine 7 2 2" xfId="31846" xr:uid="{42AC09EC-4850-4C10-BC7F-5F6B132BF9C4}"/>
    <cellStyle name="SubRoutine 7 2 2 2" xfId="31847" xr:uid="{395A793E-01FE-4B32-AD22-F9979E6D0A2A}"/>
    <cellStyle name="SubRoutine 7 2 2 2 2" xfId="31848" xr:uid="{4C7B4A2C-8E54-49E8-95C1-A225D95189BB}"/>
    <cellStyle name="SubRoutine 7 2 2 2 3" xfId="31849" xr:uid="{44B33918-5388-43D7-B702-B412EF2CC692}"/>
    <cellStyle name="SubRoutine 7 2 2 3" xfId="31850" xr:uid="{C9204D35-4D15-4A38-988F-A503C7947731}"/>
    <cellStyle name="SubRoutine 7 2 2 3 2" xfId="31851" xr:uid="{346ADB64-A1DB-4355-9875-74EE916E7938}"/>
    <cellStyle name="SubRoutine 7 2 2 4" xfId="31852" xr:uid="{213AF64A-D040-48AB-BFE3-B45FABB8E02A}"/>
    <cellStyle name="SubRoutine 7 2 2 5" xfId="31853" xr:uid="{85D82B3C-8E1C-431D-A4D1-9B77C22F25EC}"/>
    <cellStyle name="SubRoutine 7 2 3" xfId="31854" xr:uid="{6A68128F-A637-4B9E-93D0-1B3E15EC97E0}"/>
    <cellStyle name="SubRoutine 7 2 3 2" xfId="31855" xr:uid="{7FA5AA7D-0AD6-4E2A-BD4B-095D318532ED}"/>
    <cellStyle name="SubRoutine 7 2 3 3" xfId="31856" xr:uid="{9AA19F00-C3C7-48FA-BBF3-2E0D4F9A3756}"/>
    <cellStyle name="SubRoutine 7 2 4" xfId="31857" xr:uid="{527019F7-5A93-41C0-BD12-BE98FA56478F}"/>
    <cellStyle name="SubRoutine 7 2 4 2" xfId="31858" xr:uid="{B7DD422E-A5C3-461E-8323-00322615DC24}"/>
    <cellStyle name="SubRoutine 7 2 5" xfId="31859" xr:uid="{E331D2F8-FEAF-4404-ABD6-9556E02A46A5}"/>
    <cellStyle name="SubRoutine 7 2 6" xfId="31860" xr:uid="{9C2E5348-BF9A-4BFB-BE21-F6078F6834AD}"/>
    <cellStyle name="SubRoutine 7 3" xfId="31861" xr:uid="{3DD878DB-AE7A-44DB-ADFC-3580A232A366}"/>
    <cellStyle name="SubRoutine 7 3 2" xfId="31862" xr:uid="{7F38013C-33F1-486A-9076-902E607755A9}"/>
    <cellStyle name="SubRoutine 7 3 2 2" xfId="31863" xr:uid="{293F60F1-FE7E-40A4-B75F-A9BCF229F664}"/>
    <cellStyle name="SubRoutine 7 3 2 2 2" xfId="31864" xr:uid="{43287459-C792-4B32-A750-79F49C0D0C0D}"/>
    <cellStyle name="SubRoutine 7 3 2 2 3" xfId="31865" xr:uid="{CE19FE99-8732-4640-A765-7471653D2F13}"/>
    <cellStyle name="SubRoutine 7 3 2 3" xfId="31866" xr:uid="{5F176DC3-EFC9-4147-A23D-8A6E5F44E7B5}"/>
    <cellStyle name="SubRoutine 7 3 2 3 2" xfId="31867" xr:uid="{2D8CD7E8-82F4-4DEC-9B75-F50FB78C2581}"/>
    <cellStyle name="SubRoutine 7 3 2 4" xfId="31868" xr:uid="{59DF169E-624D-4CE6-AA4B-235AE05D820B}"/>
    <cellStyle name="SubRoutine 7 3 2 5" xfId="31869" xr:uid="{F778F13B-A8E3-4E65-9B58-AF467AFC33F0}"/>
    <cellStyle name="SubRoutine 7 3 3" xfId="31870" xr:uid="{7E73859B-430D-4AE8-A468-874426AA99D7}"/>
    <cellStyle name="SubRoutine 7 3 3 2" xfId="31871" xr:uid="{BEC554DF-7A73-4498-BDCF-9AE9DC8D69B1}"/>
    <cellStyle name="SubRoutine 7 3 3 3" xfId="31872" xr:uid="{734F39B4-FE1B-4989-BBA7-7378C0576AB2}"/>
    <cellStyle name="SubRoutine 7 3 4" xfId="31873" xr:uid="{1F2F5730-A4A1-44A1-9ED2-A86CE5260305}"/>
    <cellStyle name="SubRoutine 7 3 4 2" xfId="31874" xr:uid="{6AD01950-8BB3-4015-81A7-FF668CC3B7E1}"/>
    <cellStyle name="SubRoutine 7 3 5" xfId="31875" xr:uid="{AC75A88A-F5FD-4B74-BCB6-67F42B9CF762}"/>
    <cellStyle name="SubRoutine 7 3 6" xfId="31876" xr:uid="{CD7E5311-0ECE-4F9C-8C3E-624BD2750EF4}"/>
    <cellStyle name="SubRoutine 7 4" xfId="31877" xr:uid="{C8DC76A3-272E-4B1B-95D5-B0034CDAD715}"/>
    <cellStyle name="SubRoutine 7 4 2" xfId="31878" xr:uid="{7F9A37E8-438C-4E45-944A-844C4812AE84}"/>
    <cellStyle name="SubRoutine 7 4 2 2" xfId="31879" xr:uid="{E8EDDCD0-B183-4FED-9599-69350BBCD3AA}"/>
    <cellStyle name="SubRoutine 7 4 2 2 2" xfId="31880" xr:uid="{1B2EAA8F-90DF-4A7A-9AD0-606097E4454E}"/>
    <cellStyle name="SubRoutine 7 4 2 2 3" xfId="31881" xr:uid="{8AA8DE84-7D65-4DA4-BD39-CEFB2A2A895C}"/>
    <cellStyle name="SubRoutine 7 4 2 3" xfId="31882" xr:uid="{4FAA9D29-3793-4C4A-A33D-9D6A4D0EA57E}"/>
    <cellStyle name="SubRoutine 7 4 2 3 2" xfId="31883" xr:uid="{C5375DF3-1E12-4750-91FA-36A28D704E67}"/>
    <cellStyle name="SubRoutine 7 4 2 4" xfId="31884" xr:uid="{90F93AA6-CC45-4436-A444-4279608F626B}"/>
    <cellStyle name="SubRoutine 7 4 2 5" xfId="31885" xr:uid="{513100A1-4EE7-4BCE-8A9E-D26E2E5947AA}"/>
    <cellStyle name="SubRoutine 7 4 3" xfId="31886" xr:uid="{8A57E546-0B8B-4830-90B4-EA7775379AE2}"/>
    <cellStyle name="SubRoutine 7 4 3 2" xfId="31887" xr:uid="{A0B50148-AFC7-4368-9892-AC95D53C236C}"/>
    <cellStyle name="SubRoutine 7 4 3 3" xfId="31888" xr:uid="{FC28E19E-3A06-4526-8AB9-51C2B3BA279F}"/>
    <cellStyle name="SubRoutine 7 4 4" xfId="31889" xr:uid="{A06F0871-6B0F-4FE0-BECD-415A10D6AD56}"/>
    <cellStyle name="SubRoutine 7 4 4 2" xfId="31890" xr:uid="{831B92A0-395D-4DC4-9104-A47B17F7CF0B}"/>
    <cellStyle name="SubRoutine 7 4 5" xfId="31891" xr:uid="{C7432886-ADAF-435F-AB2F-E8416CD16A4B}"/>
    <cellStyle name="SubRoutine 7 4 6" xfId="31892" xr:uid="{ACC31B14-D791-4763-A6E3-1FD98895BA67}"/>
    <cellStyle name="SubRoutine 7 5" xfId="31893" xr:uid="{D14EB53C-FFEB-4657-BAED-AE03811CA109}"/>
    <cellStyle name="SubRoutine 7 5 2" xfId="31894" xr:uid="{7268507C-AB5B-4EF1-AB1D-D8FD8DA30AB3}"/>
    <cellStyle name="SubRoutine 7 5 2 2" xfId="31895" xr:uid="{25127066-2B32-447D-8576-6791319F1D40}"/>
    <cellStyle name="SubRoutine 7 5 2 2 2" xfId="31896" xr:uid="{C7564F33-0BA5-459C-8A8F-095E105BC06D}"/>
    <cellStyle name="SubRoutine 7 5 2 2 3" xfId="31897" xr:uid="{AF69E6BD-A6D2-4EAD-AE77-B519403111B3}"/>
    <cellStyle name="SubRoutine 7 5 2 3" xfId="31898" xr:uid="{8BBEB963-249D-4B97-B658-FEFDD28C6653}"/>
    <cellStyle name="SubRoutine 7 5 2 3 2" xfId="31899" xr:uid="{1A043097-9B15-4F39-A4DC-73B12FC3F402}"/>
    <cellStyle name="SubRoutine 7 5 2 4" xfId="31900" xr:uid="{369702F8-0E2A-4882-BE69-E9E30C6A71E4}"/>
    <cellStyle name="SubRoutine 7 5 2 5" xfId="31901" xr:uid="{9AFBCC56-0A05-4D37-98CE-9A335455D3C2}"/>
    <cellStyle name="SubRoutine 7 5 3" xfId="31902" xr:uid="{E7A65FA6-9542-4F35-8731-32C4C02FDD41}"/>
    <cellStyle name="SubRoutine 7 5 3 2" xfId="31903" xr:uid="{1C2F96E1-0047-41A7-8AF7-550D51309E4E}"/>
    <cellStyle name="SubRoutine 7 5 3 3" xfId="31904" xr:uid="{62211EA2-8149-465D-832C-04207BFA128D}"/>
    <cellStyle name="SubRoutine 7 5 4" xfId="31905" xr:uid="{4A39F525-B9F0-4A4C-A5DE-077080D4D86F}"/>
    <cellStyle name="SubRoutine 7 5 4 2" xfId="31906" xr:uid="{AC9E20FE-6F72-4FA8-9B68-5757475E17EB}"/>
    <cellStyle name="SubRoutine 7 5 5" xfId="31907" xr:uid="{5C51CA72-6DA9-466A-8B62-208E39D19B37}"/>
    <cellStyle name="SubRoutine 7 5 6" xfId="31908" xr:uid="{2B6CE9C8-0ADF-4912-BA70-17FE4476B72F}"/>
    <cellStyle name="SubRoutine 7 6" xfId="31909" xr:uid="{5C5FDFCD-83B7-4A3E-80C9-A3D0405201CD}"/>
    <cellStyle name="SubRoutine 7 6 2" xfId="31910" xr:uid="{270A939A-EF76-4FDA-8350-D4EF6C4A51D6}"/>
    <cellStyle name="SubRoutine 7 6 2 2" xfId="31911" xr:uid="{B3640682-8C40-4DB9-ABBC-83D43A15CC7A}"/>
    <cellStyle name="SubRoutine 7 6 2 3" xfId="31912" xr:uid="{CA7F85EA-FAEE-49DF-AF67-46D5009C3164}"/>
    <cellStyle name="SubRoutine 7 6 3" xfId="31913" xr:uid="{FCC728A8-6565-4C35-810E-811B0A22D50C}"/>
    <cellStyle name="SubRoutine 7 6 3 2" xfId="31914" xr:uid="{D3DECD33-EF87-4B01-AA6B-025624D0D95E}"/>
    <cellStyle name="SubRoutine 7 6 4" xfId="31915" xr:uid="{0249F4D8-4A0C-426B-B7E0-7AE63E1E7F7C}"/>
    <cellStyle name="SubRoutine 7 6 5" xfId="31916" xr:uid="{733A87F2-BB3B-4576-A1B5-0ED7B473EA07}"/>
    <cellStyle name="SubRoutine 7 7" xfId="31917" xr:uid="{CD9573F7-B957-4DE6-9A59-A3E68695009E}"/>
    <cellStyle name="SubRoutine 7 7 2" xfId="31918" xr:uid="{A6572B09-E60E-4FB0-BE5D-A2C9B5773C2B}"/>
    <cellStyle name="SubRoutine 7 7 3" xfId="31919" xr:uid="{18D477D6-4C5B-46C7-90D3-777183B837E0}"/>
    <cellStyle name="SubRoutine 7 8" xfId="31920" xr:uid="{90BB93B7-C5F4-4E99-A2D5-7BBF38C5F7A1}"/>
    <cellStyle name="SubRoutine 7 8 2" xfId="31921" xr:uid="{8C6E2F95-BB8A-4523-9EF7-579E1FC8F6B5}"/>
    <cellStyle name="SubRoutine 7 9" xfId="31922" xr:uid="{6148D887-8064-4646-A5DA-E606DE7FA98A}"/>
    <cellStyle name="SubRoutine 8" xfId="31923" xr:uid="{18E43102-5EEE-43E8-8652-61B347402E0E}"/>
    <cellStyle name="SubRoutine 8 10" xfId="31924" xr:uid="{83E13996-167D-4B17-95BB-5A36335B9B64}"/>
    <cellStyle name="SubRoutine 8 2" xfId="31925" xr:uid="{95BEAC06-7EBF-42FC-B8F6-6A264D4A0558}"/>
    <cellStyle name="SubRoutine 8 2 2" xfId="31926" xr:uid="{34F0FD41-7D19-42BB-8BE5-CF212A1D773E}"/>
    <cellStyle name="SubRoutine 8 2 2 2" xfId="31927" xr:uid="{24318E7D-BC9E-4C92-BA3E-83B9FB2C5808}"/>
    <cellStyle name="SubRoutine 8 2 2 2 2" xfId="31928" xr:uid="{FB06B908-672F-490B-8034-7FA6C455F9EC}"/>
    <cellStyle name="SubRoutine 8 2 2 2 3" xfId="31929" xr:uid="{B2AC0BD1-755A-4514-B056-ADE750ABA220}"/>
    <cellStyle name="SubRoutine 8 2 2 3" xfId="31930" xr:uid="{DBB3E0C6-228C-493F-8D5E-310B4C7D5989}"/>
    <cellStyle name="SubRoutine 8 2 2 3 2" xfId="31931" xr:uid="{529797D1-1161-4229-98CB-F248E9E0BD8C}"/>
    <cellStyle name="SubRoutine 8 2 2 4" xfId="31932" xr:uid="{B323C2FC-0CDB-463D-8B00-33874E3944F3}"/>
    <cellStyle name="SubRoutine 8 2 2 5" xfId="31933" xr:uid="{070E8200-EC41-4839-A95A-270F8B88D7EF}"/>
    <cellStyle name="SubRoutine 8 2 3" xfId="31934" xr:uid="{7A28A4A9-D015-42BF-A452-A94B43397B3E}"/>
    <cellStyle name="SubRoutine 8 2 3 2" xfId="31935" xr:uid="{87E7C4F5-C7F5-4687-9CB3-DFEFE3C63E89}"/>
    <cellStyle name="SubRoutine 8 2 3 3" xfId="31936" xr:uid="{6352CF09-D16D-4F11-82AE-737B602654D5}"/>
    <cellStyle name="SubRoutine 8 2 4" xfId="31937" xr:uid="{94BDE931-1C84-4581-B847-D1AA4C3765A1}"/>
    <cellStyle name="SubRoutine 8 2 4 2" xfId="31938" xr:uid="{EB57CCF8-82F7-4212-B618-4DB59020DA47}"/>
    <cellStyle name="SubRoutine 8 2 5" xfId="31939" xr:uid="{6863AB60-741D-4B11-8166-E878FBA49375}"/>
    <cellStyle name="SubRoutine 8 2 6" xfId="31940" xr:uid="{C3A8E737-F9C6-4CC5-893D-E01E279AB6C3}"/>
    <cellStyle name="SubRoutine 8 3" xfId="31941" xr:uid="{84D924AC-B89A-4435-927B-996FC6C619F7}"/>
    <cellStyle name="SubRoutine 8 3 2" xfId="31942" xr:uid="{2A36FFA3-C413-48CE-A2BD-E9AB69E021EE}"/>
    <cellStyle name="SubRoutine 8 3 2 2" xfId="31943" xr:uid="{EAB6F45B-BA7F-45F9-8DAC-F8F0006D7224}"/>
    <cellStyle name="SubRoutine 8 3 2 2 2" xfId="31944" xr:uid="{CA36BB5A-C11F-4C04-8AF2-B8DA1919B555}"/>
    <cellStyle name="SubRoutine 8 3 2 2 3" xfId="31945" xr:uid="{B64349DF-0AC4-432A-AF74-CDF466E72B85}"/>
    <cellStyle name="SubRoutine 8 3 2 3" xfId="31946" xr:uid="{571BDA07-E4C4-4D83-87C5-28041BDFDAB7}"/>
    <cellStyle name="SubRoutine 8 3 2 3 2" xfId="31947" xr:uid="{B03C4558-519C-457D-B388-BC77351FA749}"/>
    <cellStyle name="SubRoutine 8 3 2 4" xfId="31948" xr:uid="{99C66FF3-C392-49D9-9D32-7E6B2658D630}"/>
    <cellStyle name="SubRoutine 8 3 2 5" xfId="31949" xr:uid="{47C62907-B57A-4E7F-8717-98A01392E4D4}"/>
    <cellStyle name="SubRoutine 8 3 3" xfId="31950" xr:uid="{79AD16B9-02C3-4292-8952-7E0FA75E93A3}"/>
    <cellStyle name="SubRoutine 8 3 3 2" xfId="31951" xr:uid="{BCB06C08-5984-47E5-83D5-78884C470BF3}"/>
    <cellStyle name="SubRoutine 8 3 3 3" xfId="31952" xr:uid="{891F7F0D-685B-46A8-853A-D21B008F369D}"/>
    <cellStyle name="SubRoutine 8 3 4" xfId="31953" xr:uid="{8E8472C3-DB72-4DE7-9772-7CDFD216E171}"/>
    <cellStyle name="SubRoutine 8 3 4 2" xfId="31954" xr:uid="{DD50B14F-DC45-4615-915A-2823EB36F4E7}"/>
    <cellStyle name="SubRoutine 8 3 5" xfId="31955" xr:uid="{75258477-75DF-43D4-8910-2C55AB2C6191}"/>
    <cellStyle name="SubRoutine 8 3 6" xfId="31956" xr:uid="{917CD259-3FA5-4791-8F94-C0BF14FDDCE7}"/>
    <cellStyle name="SubRoutine 8 4" xfId="31957" xr:uid="{839EA329-F6D3-40EB-8607-3EF9648A1D4E}"/>
    <cellStyle name="SubRoutine 8 4 2" xfId="31958" xr:uid="{90A55E07-7047-4DB9-9B18-913DE6F2C5DA}"/>
    <cellStyle name="SubRoutine 8 4 2 2" xfId="31959" xr:uid="{77951EA0-28AE-49D8-857C-A839D7C52B9C}"/>
    <cellStyle name="SubRoutine 8 4 2 2 2" xfId="31960" xr:uid="{D8A68A39-246E-4ADF-8034-AABDC796DA12}"/>
    <cellStyle name="SubRoutine 8 4 2 2 3" xfId="31961" xr:uid="{CF8B3719-0246-4C86-A4C6-2C971C22562C}"/>
    <cellStyle name="SubRoutine 8 4 2 3" xfId="31962" xr:uid="{8D9AA6E7-3BFE-4B0A-ACAB-79D62CF900FB}"/>
    <cellStyle name="SubRoutine 8 4 2 3 2" xfId="31963" xr:uid="{7F2287F7-1375-443C-A753-030122F4F9C1}"/>
    <cellStyle name="SubRoutine 8 4 2 4" xfId="31964" xr:uid="{56238656-7D2B-4086-987E-DD2790980BA5}"/>
    <cellStyle name="SubRoutine 8 4 2 5" xfId="31965" xr:uid="{5D29BA51-D677-42CE-BBA5-84C18B901717}"/>
    <cellStyle name="SubRoutine 8 4 3" xfId="31966" xr:uid="{47AAAAED-81B3-43DF-B1AE-9A7A9D76B5DB}"/>
    <cellStyle name="SubRoutine 8 4 3 2" xfId="31967" xr:uid="{592430BD-0885-4546-924F-7111B3D79289}"/>
    <cellStyle name="SubRoutine 8 4 3 3" xfId="31968" xr:uid="{3E99BE99-5FAA-42E0-8B42-C358300A37C6}"/>
    <cellStyle name="SubRoutine 8 4 4" xfId="31969" xr:uid="{D5B1CF70-7532-4CE3-B1E4-4DB805223FA5}"/>
    <cellStyle name="SubRoutine 8 4 4 2" xfId="31970" xr:uid="{525FC85F-54AC-4B96-9970-F82893CD9246}"/>
    <cellStyle name="SubRoutine 8 4 5" xfId="31971" xr:uid="{5A549EDC-FD28-44CD-B6FB-AB0343F85E65}"/>
    <cellStyle name="SubRoutine 8 4 6" xfId="31972" xr:uid="{D065E4B7-8257-404A-B03B-66170E5AA865}"/>
    <cellStyle name="SubRoutine 8 5" xfId="31973" xr:uid="{010F880C-6E43-492F-B06D-FECACC9008B2}"/>
    <cellStyle name="SubRoutine 8 5 2" xfId="31974" xr:uid="{1B6685E0-E559-4EA5-8B31-B529EC77D058}"/>
    <cellStyle name="SubRoutine 8 5 2 2" xfId="31975" xr:uid="{3B930C96-6D61-4E58-B08C-866B7BE3B1C3}"/>
    <cellStyle name="SubRoutine 8 5 2 2 2" xfId="31976" xr:uid="{4EF7B3AD-C2D7-4958-A03F-BD71E1B8CBBA}"/>
    <cellStyle name="SubRoutine 8 5 2 2 3" xfId="31977" xr:uid="{C6E2EEEF-C73D-42E3-A14B-E7EB5EEAB4D6}"/>
    <cellStyle name="SubRoutine 8 5 2 3" xfId="31978" xr:uid="{D07A30A8-564B-4C4A-A558-27659DCBEC59}"/>
    <cellStyle name="SubRoutine 8 5 2 3 2" xfId="31979" xr:uid="{4079B0E6-7A40-4266-B2D8-33DC23968EDC}"/>
    <cellStyle name="SubRoutine 8 5 2 4" xfId="31980" xr:uid="{629F465B-A24B-4E79-BEDD-1A7822CA6333}"/>
    <cellStyle name="SubRoutine 8 5 2 5" xfId="31981" xr:uid="{CD09E596-F6D0-4574-BDA5-B5E283C23D3C}"/>
    <cellStyle name="SubRoutine 8 5 3" xfId="31982" xr:uid="{9A3A6087-A070-4420-92B9-56A577A31E56}"/>
    <cellStyle name="SubRoutine 8 5 3 2" xfId="31983" xr:uid="{F3E28207-4FE0-44CC-8505-6857F53104D2}"/>
    <cellStyle name="SubRoutine 8 5 3 3" xfId="31984" xr:uid="{DA0A6B17-5C5D-44F5-9C2F-721D3C814170}"/>
    <cellStyle name="SubRoutine 8 5 4" xfId="31985" xr:uid="{9AEDB0F0-B963-4F22-8E0C-2C2502513993}"/>
    <cellStyle name="SubRoutine 8 5 4 2" xfId="31986" xr:uid="{74A71E8F-D80D-4BA4-BBC9-769CB1D8CB70}"/>
    <cellStyle name="SubRoutine 8 5 5" xfId="31987" xr:uid="{6F7DF3AB-F11A-483F-943A-765450415D97}"/>
    <cellStyle name="SubRoutine 8 5 6" xfId="31988" xr:uid="{17FD63B7-29D8-4EB1-88EF-AEB9571387B7}"/>
    <cellStyle name="SubRoutine 8 6" xfId="31989" xr:uid="{C1819CAA-D73F-48CD-9AE5-4D44BF9A47BA}"/>
    <cellStyle name="SubRoutine 8 6 2" xfId="31990" xr:uid="{1C86D5C3-41AC-41DF-94A5-D0AB1899636A}"/>
    <cellStyle name="SubRoutine 8 6 2 2" xfId="31991" xr:uid="{0AE5060E-0A25-46EC-BF06-B7C9719670C1}"/>
    <cellStyle name="SubRoutine 8 6 2 3" xfId="31992" xr:uid="{117EB9A9-1FFE-4E1B-AED7-B81C91033908}"/>
    <cellStyle name="SubRoutine 8 6 3" xfId="31993" xr:uid="{A7BF7A02-277A-4461-964D-01467DB1738A}"/>
    <cellStyle name="SubRoutine 8 6 3 2" xfId="31994" xr:uid="{0843EF75-415C-4770-A800-BD470A8475CB}"/>
    <cellStyle name="SubRoutine 8 6 4" xfId="31995" xr:uid="{DCAB2F50-E195-41C4-8AAA-3B222F936AAD}"/>
    <cellStyle name="SubRoutine 8 6 5" xfId="31996" xr:uid="{E11C9995-1329-4B7A-BAD4-FDF6BBC7AE49}"/>
    <cellStyle name="SubRoutine 8 7" xfId="31997" xr:uid="{FC4C657C-4466-416C-BBB7-5E2A98F21D01}"/>
    <cellStyle name="SubRoutine 8 7 2" xfId="31998" xr:uid="{A84DAEBB-351E-4C5F-B091-66A59C605DD1}"/>
    <cellStyle name="SubRoutine 8 7 3" xfId="31999" xr:uid="{74F71F3A-2EB6-4794-B701-6CEE641A695B}"/>
    <cellStyle name="SubRoutine 8 8" xfId="32000" xr:uid="{0F1EBB52-997C-427C-BC36-65189743E5AE}"/>
    <cellStyle name="SubRoutine 8 8 2" xfId="32001" xr:uid="{39F0F08B-DB7A-4942-AE72-2F58D82D9D99}"/>
    <cellStyle name="SubRoutine 8 9" xfId="32002" xr:uid="{BB199AE7-1E93-498E-93B0-2B99D1EA13F5}"/>
    <cellStyle name="SubRoutine 9" xfId="32003" xr:uid="{6914DF29-AC18-4C9F-857C-FBBE9550D9FF}"/>
    <cellStyle name="SubRoutine 9 10" xfId="32004" xr:uid="{DF72404B-5338-4B47-99C3-72B0EA07B753}"/>
    <cellStyle name="SubRoutine 9 2" xfId="32005" xr:uid="{F6D601E4-036C-4724-B89F-3B9A51B32133}"/>
    <cellStyle name="SubRoutine 9 2 2" xfId="32006" xr:uid="{156CE923-D398-4AF6-96FA-DAD0C8754453}"/>
    <cellStyle name="SubRoutine 9 2 2 2" xfId="32007" xr:uid="{7D8BF2B2-7C9B-4CCB-8CD8-B69D5F8E9A2A}"/>
    <cellStyle name="SubRoutine 9 2 2 2 2" xfId="32008" xr:uid="{BE126E25-3325-48D3-BEEC-28D9F22B8EB2}"/>
    <cellStyle name="SubRoutine 9 2 2 2 3" xfId="32009" xr:uid="{B9562265-8F87-4C7A-B415-64DEA88094F4}"/>
    <cellStyle name="SubRoutine 9 2 2 3" xfId="32010" xr:uid="{169BAA7D-3248-4713-B223-E3D03C1F1CC9}"/>
    <cellStyle name="SubRoutine 9 2 2 3 2" xfId="32011" xr:uid="{87B19E67-9512-4993-A2B1-4A18FFF54940}"/>
    <cellStyle name="SubRoutine 9 2 2 4" xfId="32012" xr:uid="{6F878A28-D24F-48B4-8A56-4A6B4B4447E2}"/>
    <cellStyle name="SubRoutine 9 2 2 5" xfId="32013" xr:uid="{2AF59671-DA53-4670-96E7-DAD679430DAD}"/>
    <cellStyle name="SubRoutine 9 2 3" xfId="32014" xr:uid="{9419EB77-F39B-41B7-9D38-30B81F6D177F}"/>
    <cellStyle name="SubRoutine 9 2 3 2" xfId="32015" xr:uid="{103A62CA-042C-4029-91A3-06BC2DB44B82}"/>
    <cellStyle name="SubRoutine 9 2 3 3" xfId="32016" xr:uid="{9F3EF5BF-614C-4143-A78E-B0B8D7023BC3}"/>
    <cellStyle name="SubRoutine 9 2 4" xfId="32017" xr:uid="{8F8DD5E5-9308-4263-9CC0-8CEA909FE19E}"/>
    <cellStyle name="SubRoutine 9 2 4 2" xfId="32018" xr:uid="{9D69B603-24C2-46DB-9D9C-C83F1B34F68A}"/>
    <cellStyle name="SubRoutine 9 2 5" xfId="32019" xr:uid="{69BFE29A-9802-429F-832C-C815A477C145}"/>
    <cellStyle name="SubRoutine 9 2 6" xfId="32020" xr:uid="{06DB1453-3226-41C0-8BFC-07119B5F58D8}"/>
    <cellStyle name="SubRoutine 9 3" xfId="32021" xr:uid="{892751EC-0883-4629-8819-F20F3CF729DA}"/>
    <cellStyle name="SubRoutine 9 3 2" xfId="32022" xr:uid="{FF1B2AD4-6113-4B92-BEE9-E0B56E0CA448}"/>
    <cellStyle name="SubRoutine 9 3 2 2" xfId="32023" xr:uid="{F1767CB7-3389-4446-90FA-3BD3F689A1BA}"/>
    <cellStyle name="SubRoutine 9 3 2 2 2" xfId="32024" xr:uid="{FA10CC37-21DA-4D7A-A2A2-157B09FA61FE}"/>
    <cellStyle name="SubRoutine 9 3 2 2 3" xfId="32025" xr:uid="{5FC3F241-23F8-46D3-B7CE-0E5490A24CEC}"/>
    <cellStyle name="SubRoutine 9 3 2 3" xfId="32026" xr:uid="{DC493882-24A3-449A-9D3C-06BF84ACCB03}"/>
    <cellStyle name="SubRoutine 9 3 2 3 2" xfId="32027" xr:uid="{2E7433A4-0A7A-4697-92C3-8A5D33DA9723}"/>
    <cellStyle name="SubRoutine 9 3 2 4" xfId="32028" xr:uid="{F4E2E711-6DA8-446B-BFC9-1CE2E63B6A59}"/>
    <cellStyle name="SubRoutine 9 3 2 5" xfId="32029" xr:uid="{9F04E60C-0485-453E-850F-861FE8C51F0A}"/>
    <cellStyle name="SubRoutine 9 3 3" xfId="32030" xr:uid="{EBDBFD31-C991-417E-B36E-BAF732000BE9}"/>
    <cellStyle name="SubRoutine 9 3 3 2" xfId="32031" xr:uid="{98B5CDD2-7FB1-48EF-9826-C70E3433221D}"/>
    <cellStyle name="SubRoutine 9 3 3 3" xfId="32032" xr:uid="{EE3BFDEC-5B2B-41CD-A70D-AE75604E12E4}"/>
    <cellStyle name="SubRoutine 9 3 4" xfId="32033" xr:uid="{E699FA70-A2B1-4DA1-90A1-1333AE36CA98}"/>
    <cellStyle name="SubRoutine 9 3 4 2" xfId="32034" xr:uid="{A27640CC-4E8A-44F1-9CB6-ACDB53C73444}"/>
    <cellStyle name="SubRoutine 9 3 5" xfId="32035" xr:uid="{5D0000E7-AC2A-4000-96E6-5356ED795BEA}"/>
    <cellStyle name="SubRoutine 9 3 6" xfId="32036" xr:uid="{583119E3-526F-474A-A2EF-303FE1C1F1A8}"/>
    <cellStyle name="SubRoutine 9 4" xfId="32037" xr:uid="{ABCDCFC1-28E1-47BE-B6B4-B1DFFDC9EA7D}"/>
    <cellStyle name="SubRoutine 9 4 2" xfId="32038" xr:uid="{4C9980D5-FDD6-4D54-9010-93838416DC67}"/>
    <cellStyle name="SubRoutine 9 4 2 2" xfId="32039" xr:uid="{549CC6CE-BC34-46C3-8F0D-D65F3D01B406}"/>
    <cellStyle name="SubRoutine 9 4 2 2 2" xfId="32040" xr:uid="{F5D4B5BB-C389-4B3B-BE5D-9F948D52FAC9}"/>
    <cellStyle name="SubRoutine 9 4 2 2 3" xfId="32041" xr:uid="{9A29F67A-6E6A-4D17-80F3-6792DBDA8221}"/>
    <cellStyle name="SubRoutine 9 4 2 3" xfId="32042" xr:uid="{35292181-B5CB-4D21-A1AE-D9C2F8719412}"/>
    <cellStyle name="SubRoutine 9 4 2 3 2" xfId="32043" xr:uid="{E143E876-B25E-41A5-8156-5FA251A85996}"/>
    <cellStyle name="SubRoutine 9 4 2 4" xfId="32044" xr:uid="{9DF63118-65A6-4E19-873F-EE5DD6F35296}"/>
    <cellStyle name="SubRoutine 9 4 2 5" xfId="32045" xr:uid="{A9C1F305-1665-4F74-9DDD-10D7F3D535D6}"/>
    <cellStyle name="SubRoutine 9 4 3" xfId="32046" xr:uid="{7CE7BFE2-FB79-45B9-8176-FB070F6A13AE}"/>
    <cellStyle name="SubRoutine 9 4 3 2" xfId="32047" xr:uid="{C21E8F96-175C-4AE9-B6E7-5C9938C27612}"/>
    <cellStyle name="SubRoutine 9 4 3 3" xfId="32048" xr:uid="{8ECC28EB-99EE-49A3-B31E-396F17660B59}"/>
    <cellStyle name="SubRoutine 9 4 4" xfId="32049" xr:uid="{CF86045C-C37F-4426-9700-F93095880B3A}"/>
    <cellStyle name="SubRoutine 9 4 4 2" xfId="32050" xr:uid="{DE647812-1A28-42D7-A3B8-CD6538065D20}"/>
    <cellStyle name="SubRoutine 9 4 5" xfId="32051" xr:uid="{6A9A7564-23F6-4BCE-9900-E1CBACCC7413}"/>
    <cellStyle name="SubRoutine 9 4 6" xfId="32052" xr:uid="{845E6F23-4EB9-4B30-A68E-CB7B88268880}"/>
    <cellStyle name="SubRoutine 9 5" xfId="32053" xr:uid="{E4521DCE-16EA-4014-87ED-CABAF660FC0E}"/>
    <cellStyle name="SubRoutine 9 5 2" xfId="32054" xr:uid="{982A5B8F-C747-4738-BECB-206EBA9A8DF3}"/>
    <cellStyle name="SubRoutine 9 5 2 2" xfId="32055" xr:uid="{83BBCCF2-55E9-49D9-8C91-B9F299889AD8}"/>
    <cellStyle name="SubRoutine 9 5 2 2 2" xfId="32056" xr:uid="{EC40C231-58E4-48F6-9957-66C31F859253}"/>
    <cellStyle name="SubRoutine 9 5 2 2 3" xfId="32057" xr:uid="{882FFC73-B2A2-433A-8D02-4F6B0E744A97}"/>
    <cellStyle name="SubRoutine 9 5 2 3" xfId="32058" xr:uid="{170218D5-FCEC-4166-A951-F5E2547BE8C3}"/>
    <cellStyle name="SubRoutine 9 5 2 3 2" xfId="32059" xr:uid="{6AEE17F7-0CD1-49AA-9244-1047FB7A5DE2}"/>
    <cellStyle name="SubRoutine 9 5 2 4" xfId="32060" xr:uid="{AC872143-E298-4368-B41E-C6629DE8BA10}"/>
    <cellStyle name="SubRoutine 9 5 2 5" xfId="32061" xr:uid="{A139244B-275F-4FBE-87D3-2E3E9BC641CA}"/>
    <cellStyle name="SubRoutine 9 5 3" xfId="32062" xr:uid="{3102D62A-C4C8-4D96-A19B-82746C3DDE0D}"/>
    <cellStyle name="SubRoutine 9 5 3 2" xfId="32063" xr:uid="{DE411378-4FB5-48B3-AFDE-AD1B477A6781}"/>
    <cellStyle name="SubRoutine 9 5 3 3" xfId="32064" xr:uid="{B529A493-F4D1-4603-8C60-1BDFDC94DDEC}"/>
    <cellStyle name="SubRoutine 9 5 4" xfId="32065" xr:uid="{2E499427-7AC6-483D-9184-B9F157568EBE}"/>
    <cellStyle name="SubRoutine 9 5 4 2" xfId="32066" xr:uid="{7400C7CD-8A20-46D6-8128-ABB06C281661}"/>
    <cellStyle name="SubRoutine 9 5 5" xfId="32067" xr:uid="{62ACDC6E-BF0F-4964-9B00-E697ED0D5C71}"/>
    <cellStyle name="SubRoutine 9 5 6" xfId="32068" xr:uid="{69652376-454C-48BF-9D3B-A55C96A9BB12}"/>
    <cellStyle name="SubRoutine 9 6" xfId="32069" xr:uid="{2B8509F5-1E4B-4113-897E-15F5458C3BFB}"/>
    <cellStyle name="SubRoutine 9 6 2" xfId="32070" xr:uid="{CB75530C-693E-4DF4-9E37-C7D08A7ACDB7}"/>
    <cellStyle name="SubRoutine 9 6 2 2" xfId="32071" xr:uid="{1042CEF3-C7FD-4C06-B7F2-7CA0FD06D1AA}"/>
    <cellStyle name="SubRoutine 9 6 2 3" xfId="32072" xr:uid="{3C9713CD-0B0F-4376-830B-B523E7DDF66F}"/>
    <cellStyle name="SubRoutine 9 6 3" xfId="32073" xr:uid="{75F1D449-0E6A-4EB4-B7ED-816259B667A8}"/>
    <cellStyle name="SubRoutine 9 6 3 2" xfId="32074" xr:uid="{BD82BCE8-2A7C-42D4-A6D3-6BEC2896FE58}"/>
    <cellStyle name="SubRoutine 9 6 4" xfId="32075" xr:uid="{B0341692-B40A-44E6-8359-4B0BD48A45D2}"/>
    <cellStyle name="SubRoutine 9 6 5" xfId="32076" xr:uid="{948911C3-40D0-496A-BAD8-43025B0AAA9B}"/>
    <cellStyle name="SubRoutine 9 7" xfId="32077" xr:uid="{02BBFC75-AD88-4400-90B4-2590ACA6AD6E}"/>
    <cellStyle name="SubRoutine 9 7 2" xfId="32078" xr:uid="{088A3046-0CE5-4313-BED4-4783D3DE8020}"/>
    <cellStyle name="SubRoutine 9 7 3" xfId="32079" xr:uid="{EB5442D4-0AE5-42C2-8745-24506E933362}"/>
    <cellStyle name="SubRoutine 9 8" xfId="32080" xr:uid="{17993113-88D9-4704-9084-AB783D14DDC3}"/>
    <cellStyle name="SubRoutine 9 8 2" xfId="32081" xr:uid="{781D5595-6BCD-4B51-8BFA-FA41D02E5EBA}"/>
    <cellStyle name="SubRoutine 9 9" xfId="32082" xr:uid="{75781F31-6F62-4534-8E5A-6BD31D30F55D}"/>
    <cellStyle name="SubRoutine_11-03.1 Pepco" xfId="32083" xr:uid="{C3D07957-CB1C-4335-ABD9-5D869B2F8BF9}"/>
    <cellStyle name="Title 10" xfId="32084" xr:uid="{E2993764-686C-43DB-82EA-038524F4BF4C}"/>
    <cellStyle name="Title 10 2" xfId="32085" xr:uid="{74EA0895-5900-45D3-862E-52A3D1DB211F}"/>
    <cellStyle name="Title 10 3" xfId="32086" xr:uid="{3C1E7102-6AAF-421F-85F7-EACF8D619AA3}"/>
    <cellStyle name="Title 11" xfId="32087" xr:uid="{D44ED646-DED0-487A-9ECD-BC7B8636E61A}"/>
    <cellStyle name="Title 11 2" xfId="32088" xr:uid="{BDD485EC-163E-4F0E-B7E6-D7A4F4055906}"/>
    <cellStyle name="Title 11 3" xfId="32089" xr:uid="{4665CDED-8175-4A1C-9DEB-B1A7492F68FF}"/>
    <cellStyle name="Title 12" xfId="32090" xr:uid="{D81AAE2E-E2C5-4076-95D9-B00B7E0473D9}"/>
    <cellStyle name="Title 12 2" xfId="32091" xr:uid="{01FE6802-D192-4F94-A606-A6E51C530328}"/>
    <cellStyle name="Title 13" xfId="32092" xr:uid="{21DD791D-D7BA-4E1C-BFE7-3D9A6C149AEE}"/>
    <cellStyle name="Title 13 2" xfId="32093" xr:uid="{CD6BD77C-721D-4885-AB3D-FA64BD5FD9F7}"/>
    <cellStyle name="Title 14" xfId="32094" xr:uid="{D6BD0AF9-43E2-4BDE-A028-647C39FED4A5}"/>
    <cellStyle name="Title 14 2" xfId="32095" xr:uid="{AFB72A65-3614-4234-BB54-6F92527EEBBC}"/>
    <cellStyle name="Title 15" xfId="32096" xr:uid="{0B7A8D71-EC94-495B-9B11-03FD578F6D78}"/>
    <cellStyle name="Title 15 2" xfId="32097" xr:uid="{339AD1D8-036B-4B26-9F8E-03D66808C3F4}"/>
    <cellStyle name="Title 16" xfId="32098" xr:uid="{49E7F477-DAB4-4019-AD25-5C23C96B66A0}"/>
    <cellStyle name="Title 16 2" xfId="32099" xr:uid="{81834613-4AB5-4677-A549-8A44CFE66518}"/>
    <cellStyle name="Title 17" xfId="32100" xr:uid="{634C2BBB-2EEC-4F6C-8EAA-10650D79EBC5}"/>
    <cellStyle name="Title 17 2" xfId="32101" xr:uid="{3EA1FB2D-0A12-44F4-806B-BD232F748AF0}"/>
    <cellStyle name="Title 18" xfId="32102" xr:uid="{23560B17-818B-464B-A7B5-A15174F3DC6B}"/>
    <cellStyle name="Title 18 2" xfId="32103" xr:uid="{8123ECAD-635C-46AA-B0F7-319AD7C2F528}"/>
    <cellStyle name="Title 19" xfId="32104" xr:uid="{D0BBAE44-E31A-4D49-863C-12A19AB65596}"/>
    <cellStyle name="Title 19 2" xfId="32105" xr:uid="{F65C2385-C641-4309-8792-CF487B89FEDC}"/>
    <cellStyle name="Title 2" xfId="32106" xr:uid="{56B442A4-013D-43B0-92C0-E9A0EFFAB91C}"/>
    <cellStyle name="Title 2 2" xfId="32107" xr:uid="{1E050416-BC1D-4F01-85F5-2BFF1CDB5EC3}"/>
    <cellStyle name="Title 2 2 2" xfId="32108" xr:uid="{A10B7386-691F-45FB-8834-9005B830F88E}"/>
    <cellStyle name="Title 2 2 3" xfId="32109" xr:uid="{6E9CE06E-617B-438A-A194-A2D10D06F2C6}"/>
    <cellStyle name="Title 2 2 4" xfId="43442" xr:uid="{0518B5C0-03CE-46B7-9121-837F5B0B2AD8}"/>
    <cellStyle name="Title 2 3" xfId="32110" xr:uid="{A839F59B-1A97-4B59-BBBA-BFD461B1ABC5}"/>
    <cellStyle name="Title 2 3 2" xfId="32111" xr:uid="{7905114A-4AA9-4958-B200-84FC75EAD560}"/>
    <cellStyle name="Title 2 3 3" xfId="32112" xr:uid="{C476DB94-D196-487A-8FE5-1E05694A7CEC}"/>
    <cellStyle name="Title 2 3 4" xfId="32113" xr:uid="{79B30482-882F-479F-8D79-3FEC1BFDA3D5}"/>
    <cellStyle name="Title 2 4" xfId="32114" xr:uid="{EF04849C-4839-477A-B5E2-91F7461C5177}"/>
    <cellStyle name="Title 2 5" xfId="32115" xr:uid="{85AF8522-3782-4B7C-8B44-75E930597066}"/>
    <cellStyle name="Title 2_PwrTax 51040" xfId="32116" xr:uid="{77900008-B1EF-4AA6-82F4-074263B781B3}"/>
    <cellStyle name="Title 20" xfId="32117" xr:uid="{2CFF73FB-0723-47A0-B5FB-B189E1BBD474}"/>
    <cellStyle name="Title 21" xfId="32118" xr:uid="{F2F89125-1AA1-4FF3-AB70-3A89EE661020}"/>
    <cellStyle name="Title 22" xfId="32119" xr:uid="{4AB31881-7DCD-44D5-960C-9B46AAA39715}"/>
    <cellStyle name="Title 23" xfId="32120" xr:uid="{45DB2EE1-92A4-40CE-B477-9BC0F1B12AC0}"/>
    <cellStyle name="Title 24" xfId="32121" xr:uid="{7F5661E4-6F71-4B36-ADE9-35391BA6FA84}"/>
    <cellStyle name="Title 25" xfId="32122" xr:uid="{FFBF6F01-5193-49F7-8F30-657FD1398AEA}"/>
    <cellStyle name="Title 26" xfId="32123" xr:uid="{9392A99D-3E6C-4C2C-9086-2B42F8B78D4C}"/>
    <cellStyle name="Title 27" xfId="32124" xr:uid="{6E77F24E-05FD-40E1-A48C-134DD68A0147}"/>
    <cellStyle name="Title 28" xfId="32125" xr:uid="{F1F0BB3C-3664-455F-A7C1-E3D267D58798}"/>
    <cellStyle name="Title 29" xfId="32126" xr:uid="{8F91CCF2-A3F2-4F84-B868-94464A0FE54D}"/>
    <cellStyle name="Title 3" xfId="32127" xr:uid="{F4679CB7-4A0A-4695-843D-E01DEBF761BB}"/>
    <cellStyle name="Title 3 2" xfId="32128" xr:uid="{95EFB777-6BA6-4F28-9357-D253134F5AD8}"/>
    <cellStyle name="Title 3 3" xfId="32129" xr:uid="{BA71735B-246A-4C5F-B217-002E6B41F958}"/>
    <cellStyle name="Title 3 3 2" xfId="32130" xr:uid="{EA15826D-9947-4E85-886B-2A7BF231EA9E}"/>
    <cellStyle name="Title 3 3 3" xfId="32131" xr:uid="{EC56AE3D-0ABF-4D29-A8A7-BE563161FC08}"/>
    <cellStyle name="Title 3 4" xfId="32132" xr:uid="{71FFD9EA-FEFB-4232-9044-DFC30F2C0803}"/>
    <cellStyle name="Title 3 4 2" xfId="43443" xr:uid="{759FEDAB-B19B-41D7-B1BF-8C5F887AC5EA}"/>
    <cellStyle name="Title 3 4 3" xfId="43444" xr:uid="{608393D1-FE97-4992-979B-9B82814D65D1}"/>
    <cellStyle name="Title 3 5" xfId="32133" xr:uid="{1AFB82B0-86EB-4151-B30B-5479B9996F6A}"/>
    <cellStyle name="Title 30" xfId="32134" xr:uid="{DAFD83AC-1B9C-4947-AB5F-A74417F4E3D8}"/>
    <cellStyle name="Title 31" xfId="32135" xr:uid="{CC55DBC9-0F5D-4EAE-A0EC-3426200C7408}"/>
    <cellStyle name="Title 32" xfId="32136" xr:uid="{EF3DE094-3C75-4D58-9BD2-5EF25D978A71}"/>
    <cellStyle name="Title 33" xfId="32137" xr:uid="{56B4F2F2-6EED-41D9-9D14-2621A2AE79FD}"/>
    <cellStyle name="Title 34" xfId="32138" xr:uid="{60427DF6-3345-4901-9549-1A51A81C205F}"/>
    <cellStyle name="Title 35" xfId="32139" xr:uid="{70983227-A43F-41C5-8EFE-2A2A0D6C0F14}"/>
    <cellStyle name="Title 36" xfId="32140" xr:uid="{3165BC63-FFC0-4D48-9A13-8D0C89FD8ECB}"/>
    <cellStyle name="Title 37" xfId="32141" xr:uid="{3E6E3391-ABC3-40C6-8BC1-D94D802C421D}"/>
    <cellStyle name="Title 37 2" xfId="43445" xr:uid="{95355D66-4EA2-4D9F-9885-295AA31D4D1F}"/>
    <cellStyle name="Title 37 3" xfId="43446" xr:uid="{076CE268-0201-4C82-AF31-14C39CC426F6}"/>
    <cellStyle name="Title 38" xfId="43447" xr:uid="{08ED7DDE-5563-4DF7-8233-AE28B92D32B4}"/>
    <cellStyle name="Title 39" xfId="209" xr:uid="{F5F765D6-C153-4337-9C16-AEA5D0F2C3F9}"/>
    <cellStyle name="Title 4" xfId="32142" xr:uid="{4C7D3C76-C358-48AD-A852-CDA0E06A11F1}"/>
    <cellStyle name="Title 4 2" xfId="32143" xr:uid="{45965FD6-CB1B-4170-972F-BBF7F9F8023C}"/>
    <cellStyle name="Title 4 3" xfId="32144" xr:uid="{95AB7F5A-2B93-4AD4-8AA2-1A42ABFE1764}"/>
    <cellStyle name="Title 4 3 2" xfId="32145" xr:uid="{29892BB3-B2DD-485D-9157-4D3FD541A444}"/>
    <cellStyle name="Title 5" xfId="32146" xr:uid="{40160F07-2277-4392-9754-258499C1066F}"/>
    <cellStyle name="Title 5 2" xfId="32147" xr:uid="{A2F3738E-24A9-48E5-AAD6-A1A7E4F56A06}"/>
    <cellStyle name="Title 5 3" xfId="32148" xr:uid="{ED64AE3F-5C29-47FC-861D-77E1C96ACDA6}"/>
    <cellStyle name="Title 6" xfId="32149" xr:uid="{B5E62B12-6431-45FD-ADBB-B0B59E91917F}"/>
    <cellStyle name="Title 6 2" xfId="32150" xr:uid="{731F00F1-4464-4798-8669-2473CB98B1E5}"/>
    <cellStyle name="Title 6 3" xfId="32151" xr:uid="{741FA56C-9F2D-4330-B9E2-9A378491A21D}"/>
    <cellStyle name="Title 7" xfId="32152" xr:uid="{71AD1558-7720-4172-AA73-F2F0C4D0D2A0}"/>
    <cellStyle name="Title 7 2" xfId="32153" xr:uid="{F12C8B6C-1387-4BBB-92BA-080433AEFC9F}"/>
    <cellStyle name="Title 7 3" xfId="32154" xr:uid="{11AF2FA0-73DF-45E5-9856-60DBD8ED4EF0}"/>
    <cellStyle name="Title 8" xfId="32155" xr:uid="{45369235-1B0B-4574-AF3D-76D62A2A7E3D}"/>
    <cellStyle name="Title 8 2" xfId="32156" xr:uid="{BBE6E8AC-020F-481F-97AA-A3CCA0C427D0}"/>
    <cellStyle name="Title 8 3" xfId="32157" xr:uid="{51B0D37B-87BF-455C-AEAF-03743B3F1B40}"/>
    <cellStyle name="Title 9" xfId="32158" xr:uid="{3899BFBB-38EC-4E96-BBEE-34668B0C5C8B}"/>
    <cellStyle name="Title 9 2" xfId="32159" xr:uid="{CD01C9F0-AE7D-4ABB-BA18-DB5033B5F88A}"/>
    <cellStyle name="Title 9 3" xfId="32160" xr:uid="{E1E0772B-575A-484E-992B-DB627B10122C}"/>
    <cellStyle name="Total 10" xfId="32161" xr:uid="{030447E3-EA0E-4C3A-BFAD-586935F0956E}"/>
    <cellStyle name="Total 10 2" xfId="32162" xr:uid="{B284BAF6-C6AB-4BE0-AFA3-DDBA6A61259C}"/>
    <cellStyle name="Total 10 2 2" xfId="32163" xr:uid="{A7974278-A9B3-4FA4-B5C4-24D98C404435}"/>
    <cellStyle name="Total 10 2 2 2" xfId="32164" xr:uid="{F6B31C45-B525-42D0-81BD-7800A0EE47C8}"/>
    <cellStyle name="Total 10 2 2 3" xfId="32165" xr:uid="{02E183D0-9370-4E32-8952-CE20AA5D4A38}"/>
    <cellStyle name="Total 10 2 3" xfId="32166" xr:uid="{4356AE4F-631A-4FEB-A8CC-83351DFD3D29}"/>
    <cellStyle name="Total 10 2 3 2" xfId="32167" xr:uid="{CA5688BA-99C2-4846-BA3C-BD3EA9882FC0}"/>
    <cellStyle name="Total 10 2 3 3" xfId="32168" xr:uid="{16B5827B-CA04-43C8-9225-35CF4624BCC7}"/>
    <cellStyle name="Total 10 2 4" xfId="32169" xr:uid="{D1A73521-21EA-422B-BAA3-63B979697BF9}"/>
    <cellStyle name="Total 10 2 4 2" xfId="32170" xr:uid="{74E78F35-D1ED-4D12-BF1C-2C531A09DAE4}"/>
    <cellStyle name="Total 10 2 4 3" xfId="32171" xr:uid="{A3FDFD81-15FA-4DDA-9E3E-C7D4D4CF6622}"/>
    <cellStyle name="Total 10 2 5" xfId="32172" xr:uid="{9FA8361E-E0E2-4693-81B5-26DA2D02A275}"/>
    <cellStyle name="Total 10 2 6" xfId="32173" xr:uid="{A9957A19-125F-4B0E-A134-FED74687DAEF}"/>
    <cellStyle name="Total 10 2 7" xfId="32174" xr:uid="{D4B229CB-24D4-4437-AD06-880D22D9CD12}"/>
    <cellStyle name="Total 10 2 8" xfId="32175" xr:uid="{7C9C7AAF-038C-4F0C-9033-9A8E3DC6DAD6}"/>
    <cellStyle name="Total 10 3" xfId="32176" xr:uid="{ED7B4973-3AEC-4DE4-96E6-A10878B94A63}"/>
    <cellStyle name="Total 10 3 2" xfId="32177" xr:uid="{62C4B1E9-DB54-4D60-84EE-D56CAB364080}"/>
    <cellStyle name="Total 10 3 2 2" xfId="32178" xr:uid="{CC3457FD-55BD-4DE9-9141-71117B9DEE0C}"/>
    <cellStyle name="Total 10 3 2 3" xfId="32179" xr:uid="{50BFD212-9CA8-4E9C-AB77-7AD930DD5431}"/>
    <cellStyle name="Total 10 3 3" xfId="32180" xr:uid="{AF4401E0-AD73-4BA4-83A6-E74E8AF29550}"/>
    <cellStyle name="Total 10 3 4" xfId="32181" xr:uid="{A3116550-0E33-432E-A9CB-26152503C673}"/>
    <cellStyle name="Total 10 4" xfId="32182" xr:uid="{9BF7BB55-E69E-4D83-8381-FC8403667946}"/>
    <cellStyle name="Total 10 4 2" xfId="32183" xr:uid="{BB9FCF61-34E5-4099-A484-3C5EC23C204E}"/>
    <cellStyle name="Total 10 4 3" xfId="32184" xr:uid="{7B4FAC58-53D0-4D79-8834-4C881CB9DE20}"/>
    <cellStyle name="Total 10 5" xfId="32185" xr:uid="{5D3F58B8-F937-4622-8CFB-86E584DE6758}"/>
    <cellStyle name="Total 10 5 2" xfId="32186" xr:uid="{2354B4AA-BA8E-4594-9D43-B5E4AF7860FB}"/>
    <cellStyle name="Total 10 5 3" xfId="32187" xr:uid="{700916F9-5299-442C-B2AB-6506FBB6537F}"/>
    <cellStyle name="Total 10 6" xfId="32188" xr:uid="{8AA4840A-D62D-408D-B76F-B51977EA8C91}"/>
    <cellStyle name="Total 10 7" xfId="32189" xr:uid="{C412457D-6D08-40E3-925D-5B132D70E964}"/>
    <cellStyle name="Total 10 8" xfId="32190" xr:uid="{E233D71D-A473-4A39-942E-33BF993B06BD}"/>
    <cellStyle name="Total 10 9" xfId="32191" xr:uid="{91BCF8CD-644F-44A4-8B4A-8682864933D0}"/>
    <cellStyle name="Total 11" xfId="32192" xr:uid="{070405D1-78F2-4D57-BE56-0722ABF5DEFE}"/>
    <cellStyle name="Total 11 2" xfId="32193" xr:uid="{C1AAE715-0021-4D97-A154-7119EAEB5BEC}"/>
    <cellStyle name="Total 11 2 2" xfId="32194" xr:uid="{25E5DBB9-78D5-4CDB-BEFA-EDC0154B953F}"/>
    <cellStyle name="Total 11 2 2 2" xfId="32195" xr:uid="{B89EF8C6-C6E2-42A3-B821-64B42E39AD63}"/>
    <cellStyle name="Total 11 2 2 3" xfId="32196" xr:uid="{3E07F85C-0673-43C0-815B-4E6CD86E5D73}"/>
    <cellStyle name="Total 11 2 3" xfId="32197" xr:uid="{2DD783D9-ADCD-4A04-9454-FF3A16BCC542}"/>
    <cellStyle name="Total 11 2 3 2" xfId="32198" xr:uid="{F4BC97A1-5B97-49F0-992A-6B148158B9E8}"/>
    <cellStyle name="Total 11 2 3 3" xfId="32199" xr:uid="{E3838E57-BEB1-4594-8D69-9B10B2E03FCC}"/>
    <cellStyle name="Total 11 2 4" xfId="32200" xr:uid="{CF59233F-CF4A-4857-8594-9E2AB7B76F4B}"/>
    <cellStyle name="Total 11 2 4 2" xfId="32201" xr:uid="{2817D09A-6B54-46BD-AFF3-FA8EA3238D92}"/>
    <cellStyle name="Total 11 2 4 3" xfId="32202" xr:uid="{81128DEE-6F19-4AE3-AF26-C244B87D1438}"/>
    <cellStyle name="Total 11 2 5" xfId="32203" xr:uid="{11DB8DC4-31FA-422C-879F-94F92483828C}"/>
    <cellStyle name="Total 11 2 6" xfId="32204" xr:uid="{B8168966-4633-42B3-B556-CFBB563709C1}"/>
    <cellStyle name="Total 11 2 7" xfId="32205" xr:uid="{892630D8-1CB4-4FA2-B1F1-6B9708E94B7B}"/>
    <cellStyle name="Total 11 2 8" xfId="32206" xr:uid="{A33A5E44-6695-4936-8380-343881ED5EC4}"/>
    <cellStyle name="Total 11 3" xfId="32207" xr:uid="{8C1B0E66-2D17-466D-A0B4-D503FE3750E5}"/>
    <cellStyle name="Total 11 3 2" xfId="32208" xr:uid="{86B46486-EF8A-4B38-A0BD-A008CB487D63}"/>
    <cellStyle name="Total 11 3 2 2" xfId="32209" xr:uid="{D6DC986E-9DB4-4650-96B3-C1B0C5EC98BF}"/>
    <cellStyle name="Total 11 3 2 3" xfId="32210" xr:uid="{4654FE5A-132F-4D51-A289-B99C8706FCB3}"/>
    <cellStyle name="Total 11 3 3" xfId="32211" xr:uid="{B5F6DEC8-960E-4DAD-B36B-35C01951C8A2}"/>
    <cellStyle name="Total 11 3 4" xfId="32212" xr:uid="{7DB235AD-27C6-4CC7-84D7-A1F46AD945C7}"/>
    <cellStyle name="Total 11 4" xfId="32213" xr:uid="{C24AF6DD-9945-4611-A831-9D9B6DD09C89}"/>
    <cellStyle name="Total 11 4 2" xfId="32214" xr:uid="{73F27893-FA73-482E-96C1-3A63641FB2C2}"/>
    <cellStyle name="Total 11 4 3" xfId="32215" xr:uid="{7D63B818-812E-401B-8D0B-88820E8BF2EF}"/>
    <cellStyle name="Total 11 5" xfId="32216" xr:uid="{5AEAED20-2BE5-4DDF-9529-846CE7E3E6D9}"/>
    <cellStyle name="Total 11 5 2" xfId="32217" xr:uid="{12E792BB-E3AC-4AEF-94DD-337BA4F3E266}"/>
    <cellStyle name="Total 11 5 3" xfId="32218" xr:uid="{79A8C440-92B3-4F64-BF18-0E7E0A28EB53}"/>
    <cellStyle name="Total 11 6" xfId="32219" xr:uid="{D826D59B-D785-4CC0-BA6D-2924B975603E}"/>
    <cellStyle name="Total 11 7" xfId="32220" xr:uid="{F8068659-486A-4506-86EA-15A6D42DDF10}"/>
    <cellStyle name="Total 11 8" xfId="32221" xr:uid="{C2657F87-3D37-448E-983A-CEB8607343A2}"/>
    <cellStyle name="Total 11 9" xfId="32222" xr:uid="{4893F2F5-AEAA-402D-A902-30B96EC180BE}"/>
    <cellStyle name="Total 12" xfId="32223" xr:uid="{99768DE4-A99D-4CC5-9710-6C16BA584EEA}"/>
    <cellStyle name="Total 12 2" xfId="32224" xr:uid="{48320CD4-E95F-4C38-A685-3CA12080C16C}"/>
    <cellStyle name="Total 12 2 2" xfId="32225" xr:uid="{A394E3EC-455B-455B-83BF-1A8883214627}"/>
    <cellStyle name="Total 12 2 2 2" xfId="32226" xr:uid="{68C8B04A-6BA3-401E-BAE5-F863DD1A054E}"/>
    <cellStyle name="Total 12 2 2 3" xfId="32227" xr:uid="{1B4CD5B9-BB83-4F12-9004-CB8562AD99FA}"/>
    <cellStyle name="Total 12 2 3" xfId="32228" xr:uid="{A1B04CEE-28C9-410E-B48B-A68B06A8E000}"/>
    <cellStyle name="Total 12 2 3 2" xfId="32229" xr:uid="{4A57E78D-C08E-49AB-8B5D-0C2F29678F76}"/>
    <cellStyle name="Total 12 2 3 3" xfId="32230" xr:uid="{1BADE6FB-6DC8-4A6B-B659-B7C1155EA5F0}"/>
    <cellStyle name="Total 12 2 4" xfId="32231" xr:uid="{35482A81-9FEC-44B4-B2AA-9B33518016FC}"/>
    <cellStyle name="Total 12 2 4 2" xfId="32232" xr:uid="{7EB55A23-F7DA-411E-BE68-8530BF7FBEED}"/>
    <cellStyle name="Total 12 2 4 3" xfId="32233" xr:uid="{CC21FD88-5C35-471C-86A5-0EA541D5EBD6}"/>
    <cellStyle name="Total 12 2 5" xfId="32234" xr:uid="{2EC12C78-5D15-4D58-B569-4181CCC86A50}"/>
    <cellStyle name="Total 12 2 6" xfId="32235" xr:uid="{EABC982F-8437-4723-8289-CD47D9664145}"/>
    <cellStyle name="Total 12 2 7" xfId="32236" xr:uid="{13B01350-47B0-45CA-B459-A30DA2679281}"/>
    <cellStyle name="Total 12 2 8" xfId="32237" xr:uid="{C1833951-F57F-4C69-A74A-E21245256587}"/>
    <cellStyle name="Total 12 3" xfId="32238" xr:uid="{CE59C3AF-1F4D-40BE-B6C0-28048606F722}"/>
    <cellStyle name="Total 12 3 2" xfId="32239" xr:uid="{7E8EA044-3901-4E51-8EA2-49DEBD77343E}"/>
    <cellStyle name="Total 12 3 3" xfId="32240" xr:uid="{87AF9A51-AB1A-4A55-A141-468B279150FB}"/>
    <cellStyle name="Total 12 4" xfId="32241" xr:uid="{EA6CDCD4-6F34-4799-A98E-6CE3DCB83087}"/>
    <cellStyle name="Total 12 4 2" xfId="32242" xr:uid="{242CA75B-4AC1-49FE-8143-52464BBC9623}"/>
    <cellStyle name="Total 12 4 3" xfId="32243" xr:uid="{BCF906E0-D9F2-4072-901F-D067E198F561}"/>
    <cellStyle name="Total 12 5" xfId="32244" xr:uid="{92E13489-5355-4EC3-AF9F-8AD64FC16143}"/>
    <cellStyle name="Total 12 5 2" xfId="32245" xr:uid="{BED445CD-2756-4DF8-BE50-450BAEEF436A}"/>
    <cellStyle name="Total 12 5 3" xfId="32246" xr:uid="{B5E0A206-773C-4D7F-A905-DE783E0A298E}"/>
    <cellStyle name="Total 12 6" xfId="32247" xr:uid="{22E11464-7F33-4E3A-924F-B5D8699152EB}"/>
    <cellStyle name="Total 12 7" xfId="32248" xr:uid="{4C4F02D4-72F1-4C67-B8A3-58ECA0F51521}"/>
    <cellStyle name="Total 12 8" xfId="32249" xr:uid="{BCE07D80-DD6E-43B6-B2DA-9640C008E90A}"/>
    <cellStyle name="Total 12 9" xfId="32250" xr:uid="{84D6C51D-AF11-4ABA-9ECE-6A85A0982794}"/>
    <cellStyle name="Total 13" xfId="32251" xr:uid="{1285156B-19FF-44E5-8720-7CDEACAD7A9C}"/>
    <cellStyle name="Total 13 2" xfId="32252" xr:uid="{AA7E12E7-9453-465F-996D-2E8B81D5D961}"/>
    <cellStyle name="Total 13 2 2" xfId="32253" xr:uid="{875477A5-2393-4968-8E51-4B6FB1AADF66}"/>
    <cellStyle name="Total 13 2 2 2" xfId="32254" xr:uid="{BDC00F3C-2546-4A24-89CF-B59A2E893D17}"/>
    <cellStyle name="Total 13 2 2 3" xfId="32255" xr:uid="{9F06B0C9-CD02-4213-BC09-0DCBDFAFAF10}"/>
    <cellStyle name="Total 13 2 3" xfId="32256" xr:uid="{B73D3E78-F3D1-4FF0-8060-B178C13EAE65}"/>
    <cellStyle name="Total 13 2 3 2" xfId="32257" xr:uid="{A05C73E6-8963-4D03-BA2A-F70029127F9A}"/>
    <cellStyle name="Total 13 2 3 3" xfId="32258" xr:uid="{51D3F40A-540F-48C6-884B-8023F544C092}"/>
    <cellStyle name="Total 13 2 4" xfId="32259" xr:uid="{404B8945-11BF-4AB7-BBDC-055118F1921D}"/>
    <cellStyle name="Total 13 2 4 2" xfId="32260" xr:uid="{4630D2FD-9C1D-40A5-AA43-0A735A1E5A08}"/>
    <cellStyle name="Total 13 2 4 3" xfId="32261" xr:uid="{D64B7F2D-207F-4613-856E-A386C1DA6930}"/>
    <cellStyle name="Total 13 2 5" xfId="32262" xr:uid="{82CEA4F4-5173-4DED-90E2-4C3118C4F566}"/>
    <cellStyle name="Total 13 2 6" xfId="32263" xr:uid="{4B24CFAA-E06C-422F-9FDE-3205B8B99E57}"/>
    <cellStyle name="Total 13 2 7" xfId="32264" xr:uid="{ECEAFD3D-F8F3-4B05-B5EC-C28EF35B7479}"/>
    <cellStyle name="Total 13 2 8" xfId="32265" xr:uid="{326DA00C-3F98-4FD0-B92B-34DC5F825B59}"/>
    <cellStyle name="Total 13 3" xfId="32266" xr:uid="{7118935D-A654-4898-A247-D01F121EB1E4}"/>
    <cellStyle name="Total 13 3 2" xfId="32267" xr:uid="{5D88C6F4-48E6-4E8D-B62F-E2FF5FE12467}"/>
    <cellStyle name="Total 13 3 3" xfId="32268" xr:uid="{E0B6628D-DF3F-47CA-A24D-505D2253668A}"/>
    <cellStyle name="Total 13 4" xfId="32269" xr:uid="{8A5BB915-EB59-4566-8053-6D6F745EB4BA}"/>
    <cellStyle name="Total 13 4 2" xfId="32270" xr:uid="{FA6D55BB-B39B-4997-9A30-59B7EC71021A}"/>
    <cellStyle name="Total 13 4 3" xfId="32271" xr:uid="{2934FC0C-8D67-452F-9148-7794BE853C84}"/>
    <cellStyle name="Total 13 5" xfId="32272" xr:uid="{1AEBDD64-4B50-4D13-8DE4-C84C3C714FCB}"/>
    <cellStyle name="Total 13 5 2" xfId="32273" xr:uid="{193074D2-643B-4285-A350-D30389E367BE}"/>
    <cellStyle name="Total 13 5 3" xfId="32274" xr:uid="{CFA8A783-2915-4263-A4F6-3E18B3CFC0D9}"/>
    <cellStyle name="Total 13 6" xfId="32275" xr:uid="{810E59D1-86EF-4D47-8771-38AEBCD04BE5}"/>
    <cellStyle name="Total 13 7" xfId="32276" xr:uid="{5C7EAFE8-FF1B-4C7E-A281-E71AD90EDE30}"/>
    <cellStyle name="Total 13 8" xfId="32277" xr:uid="{29924FAA-4C7C-48FD-92C3-10CBAFC3D3F3}"/>
    <cellStyle name="Total 13 9" xfId="32278" xr:uid="{33E75EAC-B8F5-43DF-89AD-B673BF394BDD}"/>
    <cellStyle name="Total 14" xfId="32279" xr:uid="{A1023952-DD89-49B0-8353-21089ED29A57}"/>
    <cellStyle name="Total 14 2" xfId="32280" xr:uid="{79DDE186-5FF8-4B02-97FE-D76BB1891A49}"/>
    <cellStyle name="Total 14 2 2" xfId="32281" xr:uid="{BFA4E8D0-5FE5-4731-A228-D8E7DDC409E8}"/>
    <cellStyle name="Total 14 2 2 2" xfId="32282" xr:uid="{C78E5C3E-52B1-437E-BB0F-0AB1F254EF1F}"/>
    <cellStyle name="Total 14 2 2 3" xfId="32283" xr:uid="{596E102E-8F21-4EBC-8C7F-F59BC883B97F}"/>
    <cellStyle name="Total 14 2 3" xfId="32284" xr:uid="{5672B450-4C7B-42FB-B517-4A552A38AFBE}"/>
    <cellStyle name="Total 14 2 3 2" xfId="32285" xr:uid="{4964CB55-71D7-4A7F-A5D7-B0595A9E8A1F}"/>
    <cellStyle name="Total 14 2 3 3" xfId="32286" xr:uid="{ECD4DBA9-385B-47C5-AC90-0E8ACEACC3AA}"/>
    <cellStyle name="Total 14 2 4" xfId="32287" xr:uid="{A01DEF14-BACF-44FF-8CDA-BB60B29FF8BC}"/>
    <cellStyle name="Total 14 2 4 2" xfId="32288" xr:uid="{FA81AA14-FE96-406D-AEA4-1C29267CC874}"/>
    <cellStyle name="Total 14 2 4 3" xfId="32289" xr:uid="{25F72C5E-8180-4A4E-BD26-9147F203A2B3}"/>
    <cellStyle name="Total 14 2 5" xfId="32290" xr:uid="{86A6BF4E-3EA7-49C8-8F82-65E8DFAB6CCE}"/>
    <cellStyle name="Total 14 2 6" xfId="32291" xr:uid="{72230DB4-4141-4D9F-8EE7-B155B4B5292B}"/>
    <cellStyle name="Total 14 2 7" xfId="32292" xr:uid="{84479873-C08B-485A-A819-A8D92AE6DDB0}"/>
    <cellStyle name="Total 14 2 8" xfId="32293" xr:uid="{93811F36-0BCD-4936-9DBD-8C11416387BA}"/>
    <cellStyle name="Total 14 3" xfId="32294" xr:uid="{01118133-693D-4114-938B-80995830C422}"/>
    <cellStyle name="Total 14 3 2" xfId="32295" xr:uid="{B0703E41-392F-4F2C-979F-C06FB7A47D52}"/>
    <cellStyle name="Total 14 3 3" xfId="32296" xr:uid="{6F0B8A4D-06E7-4245-98E7-DC518A524F02}"/>
    <cellStyle name="Total 14 4" xfId="32297" xr:uid="{D8E9316F-24C6-4782-957B-73A0BABC4F0D}"/>
    <cellStyle name="Total 14 4 2" xfId="32298" xr:uid="{4B2A09F3-5DE7-4775-8C8C-4542A2500FD2}"/>
    <cellStyle name="Total 14 4 3" xfId="32299" xr:uid="{D35054A6-5F0E-4FFB-BC3B-6820DBAF3B6B}"/>
    <cellStyle name="Total 14 5" xfId="32300" xr:uid="{B7F23364-AFD8-4359-AD09-6D939FE37A97}"/>
    <cellStyle name="Total 14 5 2" xfId="32301" xr:uid="{27E2E679-BD97-4802-89E6-5F8CAC74B0F8}"/>
    <cellStyle name="Total 14 5 3" xfId="32302" xr:uid="{E4F81CB3-9A7E-43A6-A762-F6EFD508F62D}"/>
    <cellStyle name="Total 14 6" xfId="32303" xr:uid="{ADEEDF67-8ABC-46C4-8594-C54AB9566A3C}"/>
    <cellStyle name="Total 14 7" xfId="32304" xr:uid="{B2701FC8-A27D-493F-9FEA-D12C5B2F037B}"/>
    <cellStyle name="Total 14 8" xfId="32305" xr:uid="{25BE5F02-C40A-4429-A3BF-84BD6931D6C2}"/>
    <cellStyle name="Total 14 9" xfId="32306" xr:uid="{004FE996-AA11-4E29-BD12-9A0317A284FA}"/>
    <cellStyle name="Total 15" xfId="32307" xr:uid="{4EAA2A6E-CD35-401F-A579-A306EA5CC8B1}"/>
    <cellStyle name="Total 15 2" xfId="32308" xr:uid="{3456EB17-2CEF-4E09-BECC-57EEAAE004E4}"/>
    <cellStyle name="Total 15 2 2" xfId="32309" xr:uid="{3A86E7FC-1141-46C8-AC89-92046FE40846}"/>
    <cellStyle name="Total 15 2 2 2" xfId="32310" xr:uid="{A58EA4D3-468E-4D44-A9D6-A0DD93824CAF}"/>
    <cellStyle name="Total 15 2 2 3" xfId="32311" xr:uid="{D48AD9E3-5A4E-4E5B-8F81-39A4401A65F9}"/>
    <cellStyle name="Total 15 2 3" xfId="32312" xr:uid="{6E03AE00-DE42-4BE6-887C-553E7F05B1C9}"/>
    <cellStyle name="Total 15 2 3 2" xfId="32313" xr:uid="{7F372333-3707-46F0-89CE-814F4F4D5904}"/>
    <cellStyle name="Total 15 2 3 3" xfId="32314" xr:uid="{8B415922-0448-4B4B-9C33-099BF07FF0A2}"/>
    <cellStyle name="Total 15 2 4" xfId="32315" xr:uid="{A4E09CB9-0FAB-4C39-AB93-83E21B6CE613}"/>
    <cellStyle name="Total 15 2 4 2" xfId="32316" xr:uid="{AD820240-2C3D-4B01-96A6-48742F700F6B}"/>
    <cellStyle name="Total 15 2 4 3" xfId="32317" xr:uid="{8FB5FE00-6FF1-49AE-8666-974E7BABBBC1}"/>
    <cellStyle name="Total 15 2 5" xfId="32318" xr:uid="{A207E1FA-B3D9-4178-8779-A5264B342766}"/>
    <cellStyle name="Total 15 2 6" xfId="32319" xr:uid="{8A195CC9-F9E8-4EA1-A007-9EA9B5DFB67C}"/>
    <cellStyle name="Total 15 2 7" xfId="32320" xr:uid="{F4D0BA0A-43A6-46D4-9B56-C828BC3CD947}"/>
    <cellStyle name="Total 15 2 8" xfId="32321" xr:uid="{A6D88B0D-099A-4C19-8A68-39CD1B2EF314}"/>
    <cellStyle name="Total 15 3" xfId="32322" xr:uid="{238E9635-D3F5-4DAC-AE7C-C169BE8D0936}"/>
    <cellStyle name="Total 15 3 2" xfId="32323" xr:uid="{A9D3685D-65F7-47E0-9005-EABA1C07639C}"/>
    <cellStyle name="Total 15 3 3" xfId="32324" xr:uid="{B63982A2-6AA8-489A-B9BA-CEEE94883732}"/>
    <cellStyle name="Total 15 4" xfId="32325" xr:uid="{075946C1-BAED-4A85-97AF-A95CE283994C}"/>
    <cellStyle name="Total 15 4 2" xfId="32326" xr:uid="{B027E053-BC05-4FF8-B25D-3D8BACEBD8D4}"/>
    <cellStyle name="Total 15 4 3" xfId="32327" xr:uid="{A3570E40-A2F1-4A48-9FC2-1E145297ADE9}"/>
    <cellStyle name="Total 15 5" xfId="32328" xr:uid="{C0BE4C48-C76D-42A0-9C50-56AD92C919FD}"/>
    <cellStyle name="Total 15 5 2" xfId="32329" xr:uid="{B984C1BA-F352-46C6-ABCC-0E32A09DAC7A}"/>
    <cellStyle name="Total 15 5 3" xfId="32330" xr:uid="{E4AA96F0-7340-45B1-ADD6-A14307A48DCC}"/>
    <cellStyle name="Total 15 6" xfId="32331" xr:uid="{16A71C46-BB5B-4EFE-9888-3BDE705DACDF}"/>
    <cellStyle name="Total 15 7" xfId="32332" xr:uid="{67E44693-6B26-4C76-BD30-2B6377EF016D}"/>
    <cellStyle name="Total 15 8" xfId="32333" xr:uid="{52E79A7F-D1D5-4B16-B66A-E2B2DC9F21D6}"/>
    <cellStyle name="Total 15 9" xfId="32334" xr:uid="{C9F46FE2-4885-4FF1-82E3-A46DA43DC04A}"/>
    <cellStyle name="Total 16" xfId="32335" xr:uid="{281D2280-DAA5-40E0-8BA4-CAFCB9AEA81F}"/>
    <cellStyle name="Total 16 2" xfId="32336" xr:uid="{F9E4AABD-11B6-4B25-A1F8-474F40F6F196}"/>
    <cellStyle name="Total 16 2 2" xfId="32337" xr:uid="{551FEA3D-517A-4823-BB26-CF785131FFEE}"/>
    <cellStyle name="Total 16 2 2 2" xfId="32338" xr:uid="{4EAD9CF0-AE53-4FCA-B9C3-5E158030B048}"/>
    <cellStyle name="Total 16 2 2 3" xfId="32339" xr:uid="{D52598F5-DF01-401F-9CB5-9C1FDF264A8D}"/>
    <cellStyle name="Total 16 2 3" xfId="32340" xr:uid="{9C21F5D4-58B8-4439-A4E7-95321E4BA5E1}"/>
    <cellStyle name="Total 16 2 3 2" xfId="32341" xr:uid="{CA23B017-AC28-4542-9048-32286C56B542}"/>
    <cellStyle name="Total 16 2 3 3" xfId="32342" xr:uid="{50D60BF5-9C24-430C-BE18-EB7E7DBBC945}"/>
    <cellStyle name="Total 16 2 4" xfId="32343" xr:uid="{2D0E550D-F34F-43E7-B10F-50F2685259F4}"/>
    <cellStyle name="Total 16 2 4 2" xfId="32344" xr:uid="{A249FDE9-BC9A-4269-BF54-7CD800597A48}"/>
    <cellStyle name="Total 16 2 4 3" xfId="32345" xr:uid="{A65AD51F-3242-4E7F-9934-1F66BEDDF18C}"/>
    <cellStyle name="Total 16 2 5" xfId="32346" xr:uid="{9F71AFF4-44C1-4865-9C38-FF20119D98F3}"/>
    <cellStyle name="Total 16 2 6" xfId="32347" xr:uid="{65B6D090-B268-4F84-B562-C2BD841C1DB8}"/>
    <cellStyle name="Total 16 2 7" xfId="32348" xr:uid="{EA8B0810-8176-4CCA-B1B3-C564147ACDB5}"/>
    <cellStyle name="Total 16 2 8" xfId="32349" xr:uid="{77327BA5-CA3A-467B-B43D-FD0566273F34}"/>
    <cellStyle name="Total 16 3" xfId="32350" xr:uid="{33871E75-11DA-4E07-B49B-05805D0E84C7}"/>
    <cellStyle name="Total 16 3 2" xfId="32351" xr:uid="{82B78A39-8E67-4767-A482-3F3BCE936E94}"/>
    <cellStyle name="Total 16 3 3" xfId="32352" xr:uid="{FCE79540-E5A7-45A7-B3A1-A54F97D0915D}"/>
    <cellStyle name="Total 16 4" xfId="32353" xr:uid="{2A780332-E12F-4A9B-B61C-F274484E8540}"/>
    <cellStyle name="Total 16 4 2" xfId="32354" xr:uid="{513DE969-0D1B-475F-BBD8-2B3B92851A8A}"/>
    <cellStyle name="Total 16 4 3" xfId="32355" xr:uid="{60C5CFBD-ECD1-4DF4-A361-2AFE4024E638}"/>
    <cellStyle name="Total 16 5" xfId="32356" xr:uid="{06573420-8E9B-4A03-82C4-A6128A69CCC8}"/>
    <cellStyle name="Total 16 5 2" xfId="32357" xr:uid="{132DD60F-C9AE-4C71-80BE-1425F9EAB870}"/>
    <cellStyle name="Total 16 5 3" xfId="32358" xr:uid="{73959D17-6A54-4700-9233-29C3F5F57F93}"/>
    <cellStyle name="Total 16 6" xfId="32359" xr:uid="{4E876E7F-E1DE-423E-9ADA-6FC753670403}"/>
    <cellStyle name="Total 16 7" xfId="32360" xr:uid="{5608433A-C650-42D7-83C4-75E6FE3CF497}"/>
    <cellStyle name="Total 16 8" xfId="32361" xr:uid="{37B49A02-0323-4914-8244-0A76F3CA8426}"/>
    <cellStyle name="Total 16 9" xfId="32362" xr:uid="{AA4D6A9D-99F8-4686-8EFB-A1A585F12704}"/>
    <cellStyle name="Total 17" xfId="32363" xr:uid="{5D72631A-CFA7-4B31-8BE1-BE83362B0F26}"/>
    <cellStyle name="Total 17 2" xfId="32364" xr:uid="{D299B55D-9AA6-4526-B29C-18C24F9E6DEA}"/>
    <cellStyle name="Total 17 2 2" xfId="32365" xr:uid="{EB0688A6-B135-45CC-8F60-7ECCD40AE63F}"/>
    <cellStyle name="Total 17 2 2 2" xfId="32366" xr:uid="{2DE097E2-D92C-4336-A228-F7D4F6C21762}"/>
    <cellStyle name="Total 17 2 2 3" xfId="32367" xr:uid="{E4FE5594-AC8D-4B5E-B91F-4BB10D526ED3}"/>
    <cellStyle name="Total 17 2 3" xfId="32368" xr:uid="{3A91C0B0-BD54-4094-96AA-7B2F753388F6}"/>
    <cellStyle name="Total 17 2 3 2" xfId="32369" xr:uid="{B2F373FA-77A5-4F69-BD6F-C9AF5FAE658C}"/>
    <cellStyle name="Total 17 2 3 3" xfId="32370" xr:uid="{2ABD0A58-B90F-4790-86EA-AF9AF1295384}"/>
    <cellStyle name="Total 17 2 4" xfId="32371" xr:uid="{2125B6C2-4658-4C99-A650-2ABD32E79C90}"/>
    <cellStyle name="Total 17 2 4 2" xfId="32372" xr:uid="{B077B56B-8165-4EEE-8FE3-4C2B253A5E22}"/>
    <cellStyle name="Total 17 2 4 3" xfId="32373" xr:uid="{106BD236-1EDA-45D8-B5BF-038FA3145386}"/>
    <cellStyle name="Total 17 2 5" xfId="32374" xr:uid="{F4885A20-C0EB-4941-9AAB-9704AE5C5BCD}"/>
    <cellStyle name="Total 17 2 6" xfId="32375" xr:uid="{2C8EBBF6-BEE3-45EC-ADC2-E26ABA7B1A23}"/>
    <cellStyle name="Total 17 2 7" xfId="32376" xr:uid="{0F988828-44D3-4D61-8304-EFBC31182B0E}"/>
    <cellStyle name="Total 17 2 8" xfId="32377" xr:uid="{85276BF2-400C-48EA-A44A-5E5C4531E329}"/>
    <cellStyle name="Total 17 3" xfId="32378" xr:uid="{E1F895CF-09B6-4EC9-8855-52E1BE7428E4}"/>
    <cellStyle name="Total 17 3 2" xfId="32379" xr:uid="{D46C9CE4-54E6-4331-B76C-51241EE1321E}"/>
    <cellStyle name="Total 17 3 3" xfId="32380" xr:uid="{A33F44B6-5807-4B0C-9FD1-EA153B99E19F}"/>
    <cellStyle name="Total 17 4" xfId="32381" xr:uid="{2F7AA602-87EF-42CC-8769-6016811F1DFE}"/>
    <cellStyle name="Total 17 4 2" xfId="32382" xr:uid="{FF2F226F-173C-48AF-A528-4366B7FE8A51}"/>
    <cellStyle name="Total 17 4 3" xfId="32383" xr:uid="{FD55BEAE-91C5-42D0-9644-05CF1C82D0A7}"/>
    <cellStyle name="Total 17 5" xfId="32384" xr:uid="{AE669887-0C9D-4221-98DF-2CAE83330EAB}"/>
    <cellStyle name="Total 17 5 2" xfId="32385" xr:uid="{0B479D0B-6121-4811-BEB1-AAE84B36556A}"/>
    <cellStyle name="Total 17 5 3" xfId="32386" xr:uid="{01077FE0-B886-43B7-96D8-1937E2F75291}"/>
    <cellStyle name="Total 17 6" xfId="32387" xr:uid="{E43C5006-8220-4EAF-A485-6EB2FC35B99B}"/>
    <cellStyle name="Total 17 7" xfId="32388" xr:uid="{78D1BAB4-47F5-4E41-839C-991B1B46E813}"/>
    <cellStyle name="Total 17 8" xfId="32389" xr:uid="{51DA8B08-076A-4B2E-B5D8-61545E0FF171}"/>
    <cellStyle name="Total 17 9" xfId="32390" xr:uid="{1D15BD08-4D03-42A9-B14C-B43438BB63A5}"/>
    <cellStyle name="Total 18" xfId="32391" xr:uid="{D6CDAB67-C37C-4245-B67D-744148AE57D7}"/>
    <cellStyle name="Total 18 2" xfId="32392" xr:uid="{6EF53D79-8EA7-48E0-9DC7-9B4E3B4DD552}"/>
    <cellStyle name="Total 18 2 2" xfId="32393" xr:uid="{36896033-9426-472F-BCBE-5A2353C42874}"/>
    <cellStyle name="Total 18 2 2 2" xfId="32394" xr:uid="{CE1C35F7-6FBD-4EB2-BC1E-1CC6BB8817F9}"/>
    <cellStyle name="Total 18 2 2 3" xfId="32395" xr:uid="{E080F556-8197-47B6-859A-31B99115FD76}"/>
    <cellStyle name="Total 18 2 3" xfId="32396" xr:uid="{0C1678C1-EDFB-4C76-AACF-478FCB2EC49A}"/>
    <cellStyle name="Total 18 2 3 2" xfId="32397" xr:uid="{D59160FF-6BAD-4B1E-9113-6CFD5D98A561}"/>
    <cellStyle name="Total 18 2 3 3" xfId="32398" xr:uid="{D18F6ADC-FDC2-47EC-ADAF-EE0FE747580F}"/>
    <cellStyle name="Total 18 2 4" xfId="32399" xr:uid="{9E1D951E-311F-4BAD-A6BD-05138016856A}"/>
    <cellStyle name="Total 18 2 4 2" xfId="32400" xr:uid="{CEE74B45-4330-4EF0-8FC2-0FBD8A27D2DA}"/>
    <cellStyle name="Total 18 2 4 3" xfId="32401" xr:uid="{B8B2EDF1-28FC-45F0-B57E-BB4FBE73372B}"/>
    <cellStyle name="Total 18 2 5" xfId="32402" xr:uid="{7E7D5B39-A9A3-44F1-A115-85F30CF3EDBF}"/>
    <cellStyle name="Total 18 2 6" xfId="32403" xr:uid="{DE32EE2C-6F06-4E31-B23A-227109B19B6E}"/>
    <cellStyle name="Total 18 2 7" xfId="32404" xr:uid="{E75E9604-670D-4A70-BB4E-0B0F1BD40341}"/>
    <cellStyle name="Total 18 2 8" xfId="32405" xr:uid="{0F91A0EB-5A98-4361-A227-83CCB2C71897}"/>
    <cellStyle name="Total 18 3" xfId="32406" xr:uid="{C5A65B91-E2C8-456D-936F-AD23B8C0D536}"/>
    <cellStyle name="Total 18 3 2" xfId="32407" xr:uid="{3744E215-7D32-4A9E-A085-9FC9BB2ADBA9}"/>
    <cellStyle name="Total 18 3 3" xfId="32408" xr:uid="{E828D619-1756-4C07-B601-9CA2D4D68977}"/>
    <cellStyle name="Total 18 4" xfId="32409" xr:uid="{95A8336A-D25D-4D55-A89E-37E2976474B1}"/>
    <cellStyle name="Total 18 4 2" xfId="32410" xr:uid="{E20630BE-106D-41D2-992E-DAE5DE75139F}"/>
    <cellStyle name="Total 18 4 3" xfId="32411" xr:uid="{FC9D6B7B-2C5A-4934-AD5E-0CBD9F50601D}"/>
    <cellStyle name="Total 18 5" xfId="32412" xr:uid="{04EB3A1D-5CCB-47CB-8871-CB7166511F58}"/>
    <cellStyle name="Total 18 5 2" xfId="32413" xr:uid="{DEF59738-7E70-48ED-B98B-B0B51D3B7A09}"/>
    <cellStyle name="Total 18 5 3" xfId="32414" xr:uid="{30D7F2B5-FF3B-49C0-AA03-DC02E5D5DFDB}"/>
    <cellStyle name="Total 18 6" xfId="32415" xr:uid="{E297E519-2D39-4B5C-BDDF-99ABDA0158F4}"/>
    <cellStyle name="Total 18 7" xfId="32416" xr:uid="{581FD57E-896B-4ADA-BE9D-589E89DF65F7}"/>
    <cellStyle name="Total 18 8" xfId="32417" xr:uid="{88095583-D33A-4D34-81A1-0293803304AA}"/>
    <cellStyle name="Total 18 9" xfId="32418" xr:uid="{084E327D-7E60-4579-AD89-6A9F8DBFE7F6}"/>
    <cellStyle name="Total 19" xfId="32419" xr:uid="{8D4B9C4E-A7BA-4C20-B8AA-01840271D568}"/>
    <cellStyle name="Total 19 2" xfId="32420" xr:uid="{F9DB0235-4D37-4910-8099-4923F11504E1}"/>
    <cellStyle name="Total 19 2 2" xfId="32421" xr:uid="{0FCE781F-74B5-482E-913E-9BD5FC6983CB}"/>
    <cellStyle name="Total 19 2 2 2" xfId="32422" xr:uid="{E1706683-B99C-4670-9950-1E094EE4CE78}"/>
    <cellStyle name="Total 19 2 2 3" xfId="32423" xr:uid="{DA723B79-4180-4CC4-9BB0-5F0FF6839FEB}"/>
    <cellStyle name="Total 19 2 3" xfId="32424" xr:uid="{8A0691F7-CF2A-4F76-A62C-E3054B482DB1}"/>
    <cellStyle name="Total 19 2 3 2" xfId="32425" xr:uid="{C84819EA-F7E2-42F7-BD07-350C0916B955}"/>
    <cellStyle name="Total 19 2 3 3" xfId="32426" xr:uid="{B709D0F7-D93B-4502-9BB0-2052AD6A3DDE}"/>
    <cellStyle name="Total 19 2 4" xfId="32427" xr:uid="{7E6F8955-D266-464C-BF7E-EBFE9CE34084}"/>
    <cellStyle name="Total 19 2 4 2" xfId="32428" xr:uid="{0E29B848-D495-497E-9ECF-5E1FA7681B16}"/>
    <cellStyle name="Total 19 2 4 3" xfId="32429" xr:uid="{DCD324FD-CF49-4D58-8EE7-7E91BCC02AED}"/>
    <cellStyle name="Total 19 2 5" xfId="32430" xr:uid="{C5D2AD22-1B56-466D-A045-86C8892F2D08}"/>
    <cellStyle name="Total 19 2 6" xfId="32431" xr:uid="{4865A0E2-694A-4D14-AFDE-FCEC95D0641A}"/>
    <cellStyle name="Total 19 2 7" xfId="32432" xr:uid="{CB65037E-A552-4DB1-804D-8F47D08785FD}"/>
    <cellStyle name="Total 19 2 8" xfId="32433" xr:uid="{9C565F95-D9BC-4C9D-B406-42B39157E0FD}"/>
    <cellStyle name="Total 19 3" xfId="32434" xr:uid="{3298E9E4-7019-4112-B3A8-C2F54E2F80FB}"/>
    <cellStyle name="Total 19 3 2" xfId="32435" xr:uid="{7CEF2541-322E-4038-8ECB-42B69D8506EA}"/>
    <cellStyle name="Total 19 3 3" xfId="32436" xr:uid="{270BA49C-2D53-4285-A50E-E8FF565DF27D}"/>
    <cellStyle name="Total 19 4" xfId="32437" xr:uid="{1C49865D-073C-460F-8D21-20EC1CCDD497}"/>
    <cellStyle name="Total 19 4 2" xfId="32438" xr:uid="{706C945B-79AE-48D4-AAF6-652300D20B47}"/>
    <cellStyle name="Total 19 4 3" xfId="32439" xr:uid="{12118C43-FF04-449A-AE35-3917065A5BB8}"/>
    <cellStyle name="Total 19 5" xfId="32440" xr:uid="{F8FAF4DD-B60A-4DB3-B731-571F54C14359}"/>
    <cellStyle name="Total 19 5 2" xfId="32441" xr:uid="{478EA3DF-83D5-4A21-A4C3-FDFF430EA1E5}"/>
    <cellStyle name="Total 19 5 3" xfId="32442" xr:uid="{69074AC1-5CDF-4D69-B4B1-74F142E8D0C0}"/>
    <cellStyle name="Total 19 6" xfId="32443" xr:uid="{2D794DBC-917C-4553-83DB-4F04DFC6E769}"/>
    <cellStyle name="Total 19 7" xfId="32444" xr:uid="{757561BF-D19C-466D-AF50-5E7D56EC03F7}"/>
    <cellStyle name="Total 19 8" xfId="32445" xr:uid="{BA9DEC70-4024-47E3-9566-5EE76961CFEF}"/>
    <cellStyle name="Total 19 9" xfId="32446" xr:uid="{288F9724-7BFB-42C0-B2D7-C9A976132762}"/>
    <cellStyle name="Total 2" xfId="32447" xr:uid="{CB87BCD7-A94E-4BE0-A5D9-32FA1F399961}"/>
    <cellStyle name="Total 2 10" xfId="32448" xr:uid="{54E92566-12B8-4A4C-8675-E675BB674502}"/>
    <cellStyle name="Total 2 11" xfId="32449" xr:uid="{92C9E152-D112-4A11-A55F-9061A6E1BE5D}"/>
    <cellStyle name="Total 2 12" xfId="32450" xr:uid="{709770BB-F869-44AA-A39A-A3B41B71A569}"/>
    <cellStyle name="Total 2 13" xfId="32451" xr:uid="{856D0F2E-A814-4EB8-A570-9ABB9F43BD5F}"/>
    <cellStyle name="Total 2 14" xfId="32452" xr:uid="{9ED1BB41-11B9-4B97-86D1-FE6BAD5DDF1C}"/>
    <cellStyle name="Total 2 2" xfId="32453" xr:uid="{1E317B64-B658-4DF2-9ED6-FAF8C430C1AC}"/>
    <cellStyle name="Total 2 2 2" xfId="32454" xr:uid="{B464C092-7B9A-41EF-85E1-91F35AFE83F4}"/>
    <cellStyle name="Total 2 2 2 2" xfId="32455" xr:uid="{9FA9DAD4-D068-43A0-AE0D-43E1389BF3B5}"/>
    <cellStyle name="Total 2 2 2 3" xfId="32456" xr:uid="{A902D3CB-B16F-4F85-96C6-17E6952E4988}"/>
    <cellStyle name="Total 2 2 2 4" xfId="32457" xr:uid="{17194224-F551-4AE5-B3F4-332DD88ABDEA}"/>
    <cellStyle name="Total 2 2 3" xfId="32458" xr:uid="{D518C8DF-16E5-4169-9F00-E75F30E33D2F}"/>
    <cellStyle name="Total 2 2 3 2" xfId="32459" xr:uid="{2839B88E-45D1-42C6-A1D5-87DB2FB1FFFC}"/>
    <cellStyle name="Total 2 2 3 3" xfId="32460" xr:uid="{83094C4F-4B2F-469C-ACB6-FB2E18E56FF3}"/>
    <cellStyle name="Total 2 2 3 4" xfId="32461" xr:uid="{EA9CFAC9-9B97-4CB1-8E3E-89B739DE4A19}"/>
    <cellStyle name="Total 2 2 4" xfId="32462" xr:uid="{5EE1BD91-9C55-4CB6-88EE-D729D7882ADF}"/>
    <cellStyle name="Total 2 2 4 2" xfId="32463" xr:uid="{F81D29A2-2B36-443E-A54E-FEC230B4C7F9}"/>
    <cellStyle name="Total 2 2 4 3" xfId="32464" xr:uid="{916F3F00-DD3B-46BD-837D-97A8F27FBD86}"/>
    <cellStyle name="Total 2 2 5" xfId="32465" xr:uid="{C26A4E7C-5B1F-4069-8938-8B23329BCE63}"/>
    <cellStyle name="Total 2 2 6" xfId="32466" xr:uid="{F2129DCA-9A7F-4090-B604-FB9E5FCB15B0}"/>
    <cellStyle name="Total 2 2 7" xfId="32467" xr:uid="{8C5AE749-D024-4DBD-AD29-0920C37C185E}"/>
    <cellStyle name="Total 2 2 8" xfId="32468" xr:uid="{ACFD696B-1F9F-4F9F-86A5-B65376612090}"/>
    <cellStyle name="Total 2 2 9" xfId="32469" xr:uid="{C15A4D4A-6746-499F-A3E5-734BE4ECEAB9}"/>
    <cellStyle name="Total 2 3" xfId="32470" xr:uid="{E79D368A-2C57-44DD-98F4-982C1BBD2C91}"/>
    <cellStyle name="Total 2 3 2" xfId="32471" xr:uid="{C0A14952-825B-439D-8804-46BA516FBDD9}"/>
    <cellStyle name="Total 2 3 3" xfId="32472" xr:uid="{1677DF61-EC33-4CE4-8A39-DA02ADE1F51C}"/>
    <cellStyle name="Total 2 3 3 2" xfId="32473" xr:uid="{F6033EB5-C079-43C0-8396-264585FD9FD3}"/>
    <cellStyle name="Total 2 3 3 3" xfId="32474" xr:uid="{983B96F2-9804-41E1-B3FB-F4DA7C601BF7}"/>
    <cellStyle name="Total 2 3 4" xfId="32475" xr:uid="{D6348520-CA92-4C81-B6F6-D68C16D4B949}"/>
    <cellStyle name="Total 2 3 5" xfId="32476" xr:uid="{65E51601-7B23-49E0-9AF1-66BB848BF95E}"/>
    <cellStyle name="Total 2 4" xfId="32477" xr:uid="{F3A1129C-E7C6-45A8-88B6-403DACB30C72}"/>
    <cellStyle name="Total 2 4 2" xfId="32478" xr:uid="{E39C02A7-66BF-4D25-ABC8-1EA4B07C8DC7}"/>
    <cellStyle name="Total 2 4 3" xfId="32479" xr:uid="{D84D61D5-8A69-4B83-BB33-4893EE9AB1EC}"/>
    <cellStyle name="Total 2 4 4" xfId="32480" xr:uid="{AC785195-EFF0-4E69-8E31-7FD11DD613A4}"/>
    <cellStyle name="Total 2 4 5" xfId="32481" xr:uid="{2FD1147B-9FF9-460F-A725-8F9278F12E62}"/>
    <cellStyle name="Total 2 5" xfId="32482" xr:uid="{A70DAB83-7DCC-4901-AE55-574F0D608241}"/>
    <cellStyle name="Total 2 5 2" xfId="32483" xr:uid="{C541577A-834D-4A56-9342-9FEFA29B895A}"/>
    <cellStyle name="Total 2 5 3" xfId="32484" xr:uid="{71C4FF14-3828-489C-97AF-96C1C48AF606}"/>
    <cellStyle name="Total 2 5 4" xfId="32485" xr:uid="{D44D7A38-65AE-42D9-870D-033B0E95DF9A}"/>
    <cellStyle name="Total 2 5 5" xfId="32486" xr:uid="{DCD4A25F-4D72-4644-B358-9FB41757DE46}"/>
    <cellStyle name="Total 2 6" xfId="32487" xr:uid="{9213F652-2341-42D4-A09D-41FFD5D63147}"/>
    <cellStyle name="Total 2 7" xfId="32488" xr:uid="{0C49FF4E-C5B1-4FDC-934A-4A272ECD3741}"/>
    <cellStyle name="Total 2 8" xfId="32489" xr:uid="{B5F34543-2536-4942-8078-E4BEE45E25EB}"/>
    <cellStyle name="Total 2 9" xfId="32490" xr:uid="{6F0CE672-9570-41EB-98D1-B12C2AEDD6B0}"/>
    <cellStyle name="Total 2_PwrTax 51040" xfId="32491" xr:uid="{6008DB68-8D35-4AFC-8419-DE5E0E94838F}"/>
    <cellStyle name="Total 20" xfId="32492" xr:uid="{5268FB59-5115-4FCC-9C21-38D8D3EBCD1C}"/>
    <cellStyle name="Total 20 2" xfId="32493" xr:uid="{C9BB4C13-B4BD-4251-A55E-8B245C3A3D2E}"/>
    <cellStyle name="Total 20 2 2" xfId="32494" xr:uid="{4B383DF0-A64E-4144-9944-4F2F7BB16BD8}"/>
    <cellStyle name="Total 20 2 3" xfId="32495" xr:uid="{009A3F70-A31A-4980-A0A8-3157ADAAA85F}"/>
    <cellStyle name="Total 20 3" xfId="32496" xr:uid="{1ED8F5B0-27A7-44A8-8491-990D5A660E58}"/>
    <cellStyle name="Total 20 3 2" xfId="32497" xr:uid="{C736C78E-708A-4D69-AAD6-60445B455577}"/>
    <cellStyle name="Total 20 3 3" xfId="32498" xr:uid="{5D6CD883-3E97-4896-B98B-FE87619951B0}"/>
    <cellStyle name="Total 20 4" xfId="32499" xr:uid="{5FBFC2AE-D0B9-4B8D-8122-7C69EFEE8944}"/>
    <cellStyle name="Total 20 4 2" xfId="32500" xr:uid="{E7F9F7ED-0579-4AE8-87E7-ABB5DF7F35CA}"/>
    <cellStyle name="Total 20 4 3" xfId="32501" xr:uid="{692ADDA3-2BD8-407A-AF90-551A681593AD}"/>
    <cellStyle name="Total 20 5" xfId="32502" xr:uid="{D74A3EDC-5E40-4494-8161-D080001EA8CF}"/>
    <cellStyle name="Total 20 6" xfId="32503" xr:uid="{02F25842-1B38-4DEC-8B0E-3F11B1CEC1E2}"/>
    <cellStyle name="Total 20 7" xfId="32504" xr:uid="{638B9B44-D2DD-47B0-A458-594DBA309695}"/>
    <cellStyle name="Total 20 8" xfId="32505" xr:uid="{9E4912C6-D60C-4D48-90AE-9BF6D84ED62C}"/>
    <cellStyle name="Total 21" xfId="32506" xr:uid="{C0CB6142-C18E-4CB8-85B1-356990389152}"/>
    <cellStyle name="Total 21 2" xfId="32507" xr:uid="{D27A32FD-743E-48C4-97A0-1CE7BFA1956E}"/>
    <cellStyle name="Total 21 2 2" xfId="32508" xr:uid="{20F1338A-A951-431E-AB7D-FFEE528D0CC3}"/>
    <cellStyle name="Total 21 2 3" xfId="32509" xr:uid="{91DAB56D-FC12-433A-9067-8A4C7A7F14CB}"/>
    <cellStyle name="Total 21 3" xfId="32510" xr:uid="{7FF207BC-8195-4EC9-BBC4-1D16F9CAB71B}"/>
    <cellStyle name="Total 21 3 2" xfId="32511" xr:uid="{3A58940C-4456-4339-A82B-4690EF851747}"/>
    <cellStyle name="Total 21 3 3" xfId="32512" xr:uid="{60953E8F-0FAC-4A6D-BB05-C7BEEA2C1451}"/>
    <cellStyle name="Total 21 4" xfId="32513" xr:uid="{B500754A-BB05-4C1C-99DC-81D6FD38A2A8}"/>
    <cellStyle name="Total 21 4 2" xfId="32514" xr:uid="{3D84A9E4-1383-48D0-B4C6-C9041744EC8C}"/>
    <cellStyle name="Total 21 4 3" xfId="32515" xr:uid="{32F9A290-0AAF-4667-B2B3-2C5963970A6E}"/>
    <cellStyle name="Total 21 5" xfId="32516" xr:uid="{6539B787-BDA2-43DA-9899-C45DB136FB92}"/>
    <cellStyle name="Total 21 6" xfId="32517" xr:uid="{077C08FF-E2A0-4C56-AEB1-A68C325DCF07}"/>
    <cellStyle name="Total 21 7" xfId="32518" xr:uid="{EE29097E-5C0F-40E5-B053-1CD00CB65ECF}"/>
    <cellStyle name="Total 21 8" xfId="32519" xr:uid="{16600970-B1E9-488E-811C-8AAE3830AC92}"/>
    <cellStyle name="Total 22" xfId="32520" xr:uid="{FC0FD554-3E40-40B2-B69A-BEAAD73E6EEF}"/>
    <cellStyle name="Total 22 2" xfId="32521" xr:uid="{2AD6894D-FB72-48F8-850F-2801A2E89359}"/>
    <cellStyle name="Total 22 2 2" xfId="32522" xr:uid="{598DC161-482B-4840-B8A9-5E53C33FAD74}"/>
    <cellStyle name="Total 22 2 3" xfId="32523" xr:uid="{C0A20FB3-22AA-4D18-B7C4-4F1BE99E25DE}"/>
    <cellStyle name="Total 22 3" xfId="32524" xr:uid="{51D0A592-1FF3-4F5B-A530-4A7F01210810}"/>
    <cellStyle name="Total 22 3 2" xfId="32525" xr:uid="{3733CF8D-21ED-448D-B254-27BC1CF044D0}"/>
    <cellStyle name="Total 22 3 3" xfId="32526" xr:uid="{A471CC61-858D-4785-B39C-DC602D22078E}"/>
    <cellStyle name="Total 22 4" xfId="32527" xr:uid="{306A934F-24FE-4BC2-999F-FDCE47CC1C5C}"/>
    <cellStyle name="Total 22 4 2" xfId="32528" xr:uid="{9826B595-88A4-400D-957F-E0FD48ABF30D}"/>
    <cellStyle name="Total 22 4 3" xfId="32529" xr:uid="{C0604CC3-ADBC-4CD3-97A4-2E64D4E3E0C4}"/>
    <cellStyle name="Total 22 5" xfId="32530" xr:uid="{51341B33-F983-422A-B14A-8C931C18538C}"/>
    <cellStyle name="Total 22 6" xfId="32531" xr:uid="{977568E5-269D-4DA4-BF10-488C5A63C246}"/>
    <cellStyle name="Total 22 7" xfId="32532" xr:uid="{76BCAF83-2B3B-42ED-843D-428B1F928527}"/>
    <cellStyle name="Total 22 8" xfId="32533" xr:uid="{A4875B2E-6FC1-4622-8E88-48C483E2EA56}"/>
    <cellStyle name="Total 23" xfId="32534" xr:uid="{467F31C5-ECFA-4B5B-A7D5-73D0D5F42468}"/>
    <cellStyle name="Total 23 2" xfId="32535" xr:uid="{A98186BA-37CF-43BB-8CFD-93F1ADBBBEB3}"/>
    <cellStyle name="Total 23 2 2" xfId="32536" xr:uid="{966223BB-ED3C-4C7F-B290-1142C23DB462}"/>
    <cellStyle name="Total 23 2 3" xfId="32537" xr:uid="{71C37B9E-68E6-41BB-930D-40A7CFCA6541}"/>
    <cellStyle name="Total 23 3" xfId="32538" xr:uid="{1DF6DFB6-99AB-479D-9D64-11DE7F0206E7}"/>
    <cellStyle name="Total 23 3 2" xfId="32539" xr:uid="{71BC8BEA-E539-440C-AB4A-05D21DFF50A6}"/>
    <cellStyle name="Total 23 3 3" xfId="32540" xr:uid="{9087D162-1692-4A12-BB76-4A88E887A054}"/>
    <cellStyle name="Total 23 4" xfId="32541" xr:uid="{152F2676-2511-48AC-A041-F61D94A3E438}"/>
    <cellStyle name="Total 23 4 2" xfId="32542" xr:uid="{B2FF90DF-454D-4A3B-986D-5E66D690F6E3}"/>
    <cellStyle name="Total 23 4 3" xfId="32543" xr:uid="{ABAF9B5F-E1D4-4720-92F6-693116665589}"/>
    <cellStyle name="Total 23 5" xfId="32544" xr:uid="{25D563B2-9B42-4464-801A-1E5A77B7C0E0}"/>
    <cellStyle name="Total 23 6" xfId="32545" xr:uid="{C266A3CB-9A4D-4DE6-9286-E8D0F67EF765}"/>
    <cellStyle name="Total 23 7" xfId="32546" xr:uid="{8E9F1951-77F1-4A8A-AEFD-10717EFB4A52}"/>
    <cellStyle name="Total 23 8" xfId="32547" xr:uid="{590F187F-CA95-4500-AA44-7D1E3AF1D0D5}"/>
    <cellStyle name="Total 24" xfId="32548" xr:uid="{4A331CC2-6D8E-426C-A28C-292017F9A6C4}"/>
    <cellStyle name="Total 24 2" xfId="32549" xr:uid="{2223B4F7-19EB-4ABC-A5E5-6AA60E2FCC5A}"/>
    <cellStyle name="Total 24 2 2" xfId="32550" xr:uid="{CC113CF0-040C-4017-ABE8-73BB88AE7A39}"/>
    <cellStyle name="Total 24 2 3" xfId="32551" xr:uid="{BD196B58-1C2F-44C6-A78D-764DC8689095}"/>
    <cellStyle name="Total 24 3" xfId="32552" xr:uid="{EF55846F-8BE1-44F6-A8DC-9EABF734AB33}"/>
    <cellStyle name="Total 24 3 2" xfId="32553" xr:uid="{77E6B73B-70BF-47C0-84A3-53A30AB46F89}"/>
    <cellStyle name="Total 24 3 3" xfId="32554" xr:uid="{FE31D851-046A-4691-8668-C4B04794E715}"/>
    <cellStyle name="Total 24 4" xfId="32555" xr:uid="{6551CF5F-D937-4A1B-8CFA-6C56FCBD2EFC}"/>
    <cellStyle name="Total 24 4 2" xfId="32556" xr:uid="{1966EA0C-07FB-4F2D-B895-2188B4AE26AE}"/>
    <cellStyle name="Total 24 4 3" xfId="32557" xr:uid="{45102979-1826-4E48-B56A-9D25C9E1F21E}"/>
    <cellStyle name="Total 24 5" xfId="32558" xr:uid="{8FE02D61-BAC9-4518-B0CF-BCB522FDE4B8}"/>
    <cellStyle name="Total 24 6" xfId="32559" xr:uid="{913F5F89-81C7-47F5-9FF3-7F8D28480422}"/>
    <cellStyle name="Total 24 7" xfId="32560" xr:uid="{5C7AB284-5C4B-4642-853D-12A3B27FE6BE}"/>
    <cellStyle name="Total 24 8" xfId="32561" xr:uid="{4F5254AF-239C-4233-A63F-BFB614C164C6}"/>
    <cellStyle name="Total 25" xfId="32562" xr:uid="{30832910-6FDD-41F9-BFC0-7C9DE6D916CB}"/>
    <cellStyle name="Total 25 2" xfId="32563" xr:uid="{AC296FAD-CDFD-4C7E-BE98-3578642107B3}"/>
    <cellStyle name="Total 25 2 2" xfId="32564" xr:uid="{AEE241BC-A880-43BD-B444-93748FB05D82}"/>
    <cellStyle name="Total 25 2 3" xfId="32565" xr:uid="{357A47A1-BDA5-454A-A437-C6251C3E0EA7}"/>
    <cellStyle name="Total 25 3" xfId="32566" xr:uid="{49035714-8A35-4EF2-9F54-CB9D024DD294}"/>
    <cellStyle name="Total 25 3 2" xfId="32567" xr:uid="{08D101D7-6096-47D0-A6CA-CE22D66E7AD1}"/>
    <cellStyle name="Total 25 3 3" xfId="32568" xr:uid="{E4BCFA12-E831-4375-A142-BC2A457851CD}"/>
    <cellStyle name="Total 25 4" xfId="32569" xr:uid="{6D450D23-EC0F-4B09-BED7-D38399DF77C0}"/>
    <cellStyle name="Total 25 4 2" xfId="32570" xr:uid="{EC101D40-4733-4A82-9912-9586FF9AAF27}"/>
    <cellStyle name="Total 25 4 3" xfId="32571" xr:uid="{01979467-5088-4D98-B5DD-A0654DF633AA}"/>
    <cellStyle name="Total 25 5" xfId="32572" xr:uid="{B9FEB0AE-8534-4767-85A1-1E8674251EB1}"/>
    <cellStyle name="Total 25 6" xfId="32573" xr:uid="{1EBA4DBE-7A7D-4D0E-B693-E7BA2ABA99D3}"/>
    <cellStyle name="Total 25 7" xfId="32574" xr:uid="{BAA3C35B-9B73-491F-A045-F43F890FECAB}"/>
    <cellStyle name="Total 25 8" xfId="32575" xr:uid="{15C73191-D04A-435B-AC64-7FACB769B6AF}"/>
    <cellStyle name="Total 26" xfId="32576" xr:uid="{AB2FCB21-2755-4E02-AC03-5E24019E6F4A}"/>
    <cellStyle name="Total 26 2" xfId="32577" xr:uid="{8046C06B-B50E-49B6-AA0E-399E10128A1F}"/>
    <cellStyle name="Total 26 2 2" xfId="32578" xr:uid="{16000C79-5760-4213-B50B-4E1FE65A7D5C}"/>
    <cellStyle name="Total 26 2 3" xfId="32579" xr:uid="{A0980585-A851-40A0-B47D-CEA7C5EC92F9}"/>
    <cellStyle name="Total 26 3" xfId="32580" xr:uid="{5737FE1E-E898-46AC-9063-37AF85534486}"/>
    <cellStyle name="Total 26 3 2" xfId="32581" xr:uid="{12A4DF0E-C426-434B-A2D3-7D4322CC20AB}"/>
    <cellStyle name="Total 26 3 3" xfId="32582" xr:uid="{20AD34B3-4DCA-4168-84D8-7EB5BB0E6B94}"/>
    <cellStyle name="Total 26 4" xfId="32583" xr:uid="{6C395945-F046-409C-BC0E-BAD84ED412E4}"/>
    <cellStyle name="Total 26 4 2" xfId="32584" xr:uid="{6693E285-50AA-444A-B928-9CA56C94DE18}"/>
    <cellStyle name="Total 26 4 3" xfId="32585" xr:uid="{F3E059CA-9E15-48D7-A1A9-2A1B38959BA4}"/>
    <cellStyle name="Total 26 5" xfId="32586" xr:uid="{15496BC0-6959-4AA9-987E-0A2A0E47FF30}"/>
    <cellStyle name="Total 26 6" xfId="32587" xr:uid="{FF57883C-33E5-4D5D-BFB1-1C71A8956A44}"/>
    <cellStyle name="Total 26 7" xfId="32588" xr:uid="{535CDFCA-5DE6-4469-A93F-9BA08007031B}"/>
    <cellStyle name="Total 26 8" xfId="32589" xr:uid="{C47B1FA8-4CD3-4251-B11F-F83F5324CD9E}"/>
    <cellStyle name="Total 27" xfId="32590" xr:uid="{5099B06C-00E4-4A4A-86AB-67DE964C2B25}"/>
    <cellStyle name="Total 27 2" xfId="32591" xr:uid="{8EAF0B63-9396-40E6-BD97-8E14117EABF3}"/>
    <cellStyle name="Total 27 2 2" xfId="32592" xr:uid="{0B8DD9DC-C184-44A2-BFB4-51A5E0E92275}"/>
    <cellStyle name="Total 27 2 3" xfId="32593" xr:uid="{DD97D305-A87B-41BC-92B2-19E94C022E24}"/>
    <cellStyle name="Total 27 3" xfId="32594" xr:uid="{7F42C199-0187-4EB8-9FA5-AF19E9A2D794}"/>
    <cellStyle name="Total 27 3 2" xfId="32595" xr:uid="{19CBD14C-B916-4C9F-9952-5FAD99BC55B2}"/>
    <cellStyle name="Total 27 3 3" xfId="32596" xr:uid="{DB25B6C5-44B3-43AC-80C5-8A2D05B0919B}"/>
    <cellStyle name="Total 27 4" xfId="32597" xr:uid="{3CAA9730-6227-422C-A024-8A4AC48AED9E}"/>
    <cellStyle name="Total 27 4 2" xfId="32598" xr:uid="{F60A2E35-E906-474A-854D-A518A9543BAB}"/>
    <cellStyle name="Total 27 4 3" xfId="32599" xr:uid="{BE314BFC-E3F0-4101-A4E2-2564F4648C25}"/>
    <cellStyle name="Total 27 5" xfId="32600" xr:uid="{7DB23D04-AD74-4D26-BEA6-406FA1334463}"/>
    <cellStyle name="Total 27 6" xfId="32601" xr:uid="{B13494DC-7E57-4B4D-B793-63F1C64F871C}"/>
    <cellStyle name="Total 27 7" xfId="32602" xr:uid="{B0AC7813-A8C3-4AA0-8A68-764A00377C3E}"/>
    <cellStyle name="Total 27 8" xfId="32603" xr:uid="{F72AC8DA-35BC-4D78-ABFE-E69A5A7CCC76}"/>
    <cellStyle name="Total 28" xfId="32604" xr:uid="{C560F6D1-81D3-4AEC-8DA4-229BF3EBCA60}"/>
    <cellStyle name="Total 28 2" xfId="32605" xr:uid="{C1296608-3210-41CC-A162-41B269FEE06A}"/>
    <cellStyle name="Total 28 2 2" xfId="32606" xr:uid="{7AFDD1A3-68DE-4697-8445-36E4D962B381}"/>
    <cellStyle name="Total 28 2 3" xfId="32607" xr:uid="{52FE6B20-F444-4AC6-A291-54F2D8080CCA}"/>
    <cellStyle name="Total 28 3" xfId="32608" xr:uid="{FAF38E7E-AA51-4CE4-AA94-97F574EC2DC2}"/>
    <cellStyle name="Total 28 3 2" xfId="32609" xr:uid="{57CC53B5-BA7A-423B-B93A-4A586402DA39}"/>
    <cellStyle name="Total 28 3 3" xfId="32610" xr:uid="{84D071A7-2C06-4627-B879-33383088385B}"/>
    <cellStyle name="Total 28 4" xfId="32611" xr:uid="{CF5EE182-6E39-46B0-86E4-E8ECF209DFD3}"/>
    <cellStyle name="Total 28 4 2" xfId="32612" xr:uid="{37EC6525-7896-4D84-AAA4-1C103A31E84F}"/>
    <cellStyle name="Total 28 4 3" xfId="32613" xr:uid="{9B7305BE-2451-4C39-A97A-34027B421D9D}"/>
    <cellStyle name="Total 28 5" xfId="32614" xr:uid="{9BBB1665-6110-436E-9406-EE727F419BFF}"/>
    <cellStyle name="Total 28 6" xfId="32615" xr:uid="{94B4C5C4-8CD3-4FA9-8A01-8061D2B8CA1F}"/>
    <cellStyle name="Total 28 7" xfId="32616" xr:uid="{28E4556A-3B43-4CCD-ABEB-C166BE20AAD8}"/>
    <cellStyle name="Total 28 8" xfId="32617" xr:uid="{1496AF68-FF32-4AF0-BCB4-D11BFE1231CF}"/>
    <cellStyle name="Total 29" xfId="32618" xr:uid="{1797BAB9-1D76-44D7-8F2F-4D57AA4D7BCF}"/>
    <cellStyle name="Total 29 2" xfId="32619" xr:uid="{FE30DA01-9188-4460-9D09-73D7C2963E5D}"/>
    <cellStyle name="Total 29 2 2" xfId="32620" xr:uid="{2BF5FCA5-66AC-48F9-B02A-4F075B1873BD}"/>
    <cellStyle name="Total 29 2 3" xfId="32621" xr:uid="{BA2FFC88-BDF4-455A-B167-F29B4FDACF85}"/>
    <cellStyle name="Total 29 3" xfId="32622" xr:uid="{9EADF7DA-229C-42C8-B86E-6E5BD05F9D6D}"/>
    <cellStyle name="Total 29 3 2" xfId="32623" xr:uid="{CD8626B3-3F57-4836-A13C-A19FF248B6DD}"/>
    <cellStyle name="Total 29 3 3" xfId="32624" xr:uid="{73E8AAC6-AF7E-49F5-8465-E34062DBAEE6}"/>
    <cellStyle name="Total 29 4" xfId="32625" xr:uid="{1C00B513-B220-4AFA-A88F-835472164ADF}"/>
    <cellStyle name="Total 29 4 2" xfId="32626" xr:uid="{2D947319-9750-42F3-B644-E14523D1FD7C}"/>
    <cellStyle name="Total 29 4 3" xfId="32627" xr:uid="{08809A79-4760-4FCA-A37C-2019B3127062}"/>
    <cellStyle name="Total 29 5" xfId="32628" xr:uid="{4722FF17-15B0-4F51-B288-C20F2411F985}"/>
    <cellStyle name="Total 29 6" xfId="32629" xr:uid="{25C4E829-E053-44D6-8784-316C5281930A}"/>
    <cellStyle name="Total 29 7" xfId="32630" xr:uid="{DA1CB75F-3A7F-4CEC-977C-A62E5C2AC296}"/>
    <cellStyle name="Total 29 8" xfId="32631" xr:uid="{6401421C-72D9-42C2-8EA1-796C82084775}"/>
    <cellStyle name="Total 3" xfId="32632" xr:uid="{504330EE-90E5-49B5-8995-911402B305D6}"/>
    <cellStyle name="Total 3 2" xfId="32633" xr:uid="{607973EA-6195-4030-8051-77555BDB17FE}"/>
    <cellStyle name="Total 3 2 2" xfId="32634" xr:uid="{1393E57D-5053-40F6-BB0B-23B9CB87C983}"/>
    <cellStyle name="Total 3 2 2 2" xfId="32635" xr:uid="{BDDC140B-216D-432C-BDBC-23ACECCCB6B3}"/>
    <cellStyle name="Total 3 2 2 3" xfId="32636" xr:uid="{C2DE627D-ED5A-4F64-9A65-11DA713D48DF}"/>
    <cellStyle name="Total 3 2 3" xfId="32637" xr:uid="{98D6B389-BD64-4536-8AE3-B8E5B0C3FFFC}"/>
    <cellStyle name="Total 3 2 3 2" xfId="32638" xr:uid="{E2136300-E1C5-4AE2-89E7-FE2EE2A71C7B}"/>
    <cellStyle name="Total 3 2 3 3" xfId="32639" xr:uid="{013CAB32-771B-4983-8895-F7FDC926DCED}"/>
    <cellStyle name="Total 3 2 4" xfId="32640" xr:uid="{98B509F2-F9CF-4F99-947B-C54E2D1213A0}"/>
    <cellStyle name="Total 3 2 4 2" xfId="32641" xr:uid="{AC27B7BB-0983-4B29-B1CC-39AD3FCF5B54}"/>
    <cellStyle name="Total 3 2 4 3" xfId="32642" xr:uid="{F788ECC9-4576-4951-BBD8-3F376B1CFE96}"/>
    <cellStyle name="Total 3 2 5" xfId="32643" xr:uid="{5AD4FB0D-5554-4900-9C4B-19BB318D9556}"/>
    <cellStyle name="Total 3 2 6" xfId="32644" xr:uid="{0EF98A6F-6499-41BF-9AB1-9A5D3C68DDB4}"/>
    <cellStyle name="Total 3 2 7" xfId="32645" xr:uid="{DECF5F30-507E-4364-8886-F14740A70F45}"/>
    <cellStyle name="Total 3 2 8" xfId="32646" xr:uid="{17F035E8-D1BF-4968-AFC6-F8B6E22418D5}"/>
    <cellStyle name="Total 3 3" xfId="32647" xr:uid="{B55FDA7C-6CAC-49B6-91C3-518554B302B8}"/>
    <cellStyle name="Total 3 3 2" xfId="32648" xr:uid="{414607DA-D2BF-45A2-82FA-EDC2139E91E9}"/>
    <cellStyle name="Total 3 3 2 2" xfId="32649" xr:uid="{917D0B5A-C954-4079-B82C-67EBC8468E39}"/>
    <cellStyle name="Total 3 3 2 3" xfId="32650" xr:uid="{E0A51559-5C1C-47BC-8C95-579EFAB724E4}"/>
    <cellStyle name="Total 3 3 3" xfId="32651" xr:uid="{2B2C2FF5-9586-4912-98C0-D165977D019F}"/>
    <cellStyle name="Total 3 3 4" xfId="32652" xr:uid="{7F1DC4C3-B5F0-46D8-9809-9DAEAEAF00C0}"/>
    <cellStyle name="Total 3 3 5" xfId="32653" xr:uid="{BAC550B9-F40B-492D-BDD4-6BD4D8D5FE14}"/>
    <cellStyle name="Total 3 3 6" xfId="32654" xr:uid="{1B870EC8-5D02-4817-80AE-475DBCBB10FA}"/>
    <cellStyle name="Total 3 4" xfId="32655" xr:uid="{3D832C7E-0BA2-4A23-9117-4011AD7A0A0F}"/>
    <cellStyle name="Total 3 4 2" xfId="32656" xr:uid="{EB99DD11-9C12-40B9-9FD5-04D92E668AD3}"/>
    <cellStyle name="Total 3 4 3" xfId="32657" xr:uid="{C0A3BA46-0FEB-44B3-9DEC-502FAAB793D3}"/>
    <cellStyle name="Total 3 4 4" xfId="32658" xr:uid="{6C2C6E9B-9723-4034-A3F7-11F0D0936CE3}"/>
    <cellStyle name="Total 3 5" xfId="32659" xr:uid="{E6FCCC45-3D2F-476D-9670-0D448750BB79}"/>
    <cellStyle name="Total 3 5 2" xfId="32660" xr:uid="{28A8D6F0-4C77-4A8F-BCDF-CABD33158052}"/>
    <cellStyle name="Total 3 5 3" xfId="32661" xr:uid="{4BB2C091-8992-4340-94F4-B5EF4496682B}"/>
    <cellStyle name="Total 3 5 4" xfId="32662" xr:uid="{0F1F1048-3A5F-4B32-87A8-02FEB4BFD6E0}"/>
    <cellStyle name="Total 3 6" xfId="32663" xr:uid="{A3736ABB-A3CC-4C92-BB95-F9DBBEAD02D1}"/>
    <cellStyle name="Total 3 7" xfId="32664" xr:uid="{DF56CB51-E243-4605-AA89-9023785E3A1D}"/>
    <cellStyle name="Total 3 8" xfId="32665" xr:uid="{4C480384-BC66-495D-89C4-A92A36B4B0B9}"/>
    <cellStyle name="Total 3 9" xfId="32666" xr:uid="{1EAAD439-39B2-49BA-8E7C-EDC0F7EAA7E8}"/>
    <cellStyle name="Total 30" xfId="32667" xr:uid="{B518333A-C10B-4807-81E0-48F2E54A8BF0}"/>
    <cellStyle name="Total 30 2" xfId="32668" xr:uid="{11D41E13-6BC4-45CA-BD24-F1CA4B2633D9}"/>
    <cellStyle name="Total 30 2 2" xfId="32669" xr:uid="{C81AD1D6-194F-4A47-B3E7-1EAD05E4106D}"/>
    <cellStyle name="Total 30 2 3" xfId="32670" xr:uid="{4661B948-585A-4E97-90D8-1718BF0F8C32}"/>
    <cellStyle name="Total 30 3" xfId="32671" xr:uid="{E001A60B-2C43-4402-B2CF-4249DD32F5A5}"/>
    <cellStyle name="Total 30 3 2" xfId="32672" xr:uid="{1752E00B-D2C2-4C8A-BE7F-7B9367157950}"/>
    <cellStyle name="Total 30 3 3" xfId="32673" xr:uid="{AAC41FB9-FEA5-461D-AEE8-DE6A01B6ACC3}"/>
    <cellStyle name="Total 30 4" xfId="32674" xr:uid="{3B790771-1A8E-4C1C-970D-B4CBDD4B48C9}"/>
    <cellStyle name="Total 30 4 2" xfId="32675" xr:uid="{1F43AD47-D2D3-422F-93F6-B86B2BA6404D}"/>
    <cellStyle name="Total 30 4 3" xfId="32676" xr:uid="{B3B215FD-51F9-4C4F-932B-58E48C1569B0}"/>
    <cellStyle name="Total 30 5" xfId="32677" xr:uid="{DA9CFB1C-DAEE-46AE-B4D5-C33AA3674014}"/>
    <cellStyle name="Total 30 6" xfId="32678" xr:uid="{49D33994-0470-4CDC-8139-5AB417CEEB93}"/>
    <cellStyle name="Total 30 7" xfId="32679" xr:uid="{AC6A38A3-70E1-46BA-ABC5-55E148D36A02}"/>
    <cellStyle name="Total 30 8" xfId="32680" xr:uid="{5B3E4817-7B22-4653-9E3C-F107E05219CA}"/>
    <cellStyle name="Total 31" xfId="32681" xr:uid="{95A1532B-DA58-4612-83DA-8F3CA3CEC39A}"/>
    <cellStyle name="Total 31 2" xfId="32682" xr:uid="{5ADC9403-6B7A-4891-B03E-39DFE8F494D6}"/>
    <cellStyle name="Total 31 2 2" xfId="32683" xr:uid="{E0080876-4DF0-4F97-ACD4-3B3005FD2868}"/>
    <cellStyle name="Total 31 2 3" xfId="32684" xr:uid="{1271DDEF-C840-40AA-BC86-1454EF53C769}"/>
    <cellStyle name="Total 31 3" xfId="32685" xr:uid="{F1651783-FCE4-4F95-9858-8FB4B1CA1A4C}"/>
    <cellStyle name="Total 31 3 2" xfId="32686" xr:uid="{83C35FE1-11CA-4084-83B1-6B7600C802DC}"/>
    <cellStyle name="Total 31 3 3" xfId="32687" xr:uid="{45F7B143-3E14-47E8-AD39-CE66BF4609E6}"/>
    <cellStyle name="Total 31 4" xfId="32688" xr:uid="{9DA5618B-03B1-47FD-A5EE-A7DE8B0C4C18}"/>
    <cellStyle name="Total 31 4 2" xfId="32689" xr:uid="{71D86F60-FB03-4E4C-A9D1-7733B13EF5B1}"/>
    <cellStyle name="Total 31 4 3" xfId="32690" xr:uid="{CC128CE2-D3A0-4C71-83CB-8198CA6BDFD1}"/>
    <cellStyle name="Total 31 5" xfId="32691" xr:uid="{C538921F-BD7F-4591-9061-9E931D68CE8B}"/>
    <cellStyle name="Total 31 6" xfId="32692" xr:uid="{BF8CDD9F-417B-4A7A-BEB3-CE82A85522B5}"/>
    <cellStyle name="Total 31 7" xfId="32693" xr:uid="{910598BC-CDCF-4E2C-88BC-FC1B1FC9C5DC}"/>
    <cellStyle name="Total 31 8" xfId="32694" xr:uid="{76434C5A-880E-491F-8441-86EDE9DBC188}"/>
    <cellStyle name="Total 32" xfId="32695" xr:uid="{C93822AA-79EA-435E-9A06-F2DDD60F396D}"/>
    <cellStyle name="Total 32 2" xfId="32696" xr:uid="{5A4816F0-A0E9-4985-8938-82DBC7FE4D35}"/>
    <cellStyle name="Total 32 2 2" xfId="32697" xr:uid="{127330D9-055F-49D7-912A-4D5490CCD5D8}"/>
    <cellStyle name="Total 32 2 3" xfId="32698" xr:uid="{E5AB94C0-645C-4BC8-B357-0FD02D628768}"/>
    <cellStyle name="Total 32 3" xfId="32699" xr:uid="{2CBA1971-358D-46FE-BDEA-E07849B73B66}"/>
    <cellStyle name="Total 32 3 2" xfId="32700" xr:uid="{3E2196F4-CB79-439B-A22A-883044F8327D}"/>
    <cellStyle name="Total 32 3 3" xfId="32701" xr:uid="{A2BA8530-A23F-4811-8266-E0755DD1F7F7}"/>
    <cellStyle name="Total 32 4" xfId="32702" xr:uid="{45163799-AD3A-4CD7-B523-35015165D8B4}"/>
    <cellStyle name="Total 32 4 2" xfId="32703" xr:uid="{2B37105F-A8A8-4B27-B5B9-5DD1CF969CF9}"/>
    <cellStyle name="Total 32 4 3" xfId="32704" xr:uid="{02A63E26-DCCC-4A65-A5DB-E09B5DA9D27F}"/>
    <cellStyle name="Total 32 5" xfId="32705" xr:uid="{BF66BC2D-85AB-480D-8EB7-8F29A36318F8}"/>
    <cellStyle name="Total 32 6" xfId="32706" xr:uid="{C35BA9F0-93B1-4DC7-BE7E-6BBA255E2AC3}"/>
    <cellStyle name="Total 32 7" xfId="32707" xr:uid="{A671F3B1-382D-4AAA-977C-AE1B5B618002}"/>
    <cellStyle name="Total 32 8" xfId="32708" xr:uid="{F304CB20-AA78-46EB-A53D-C45F5D6985E7}"/>
    <cellStyle name="Total 33" xfId="32709" xr:uid="{66BD621B-CE07-4720-A7E9-0B652C5D2AE3}"/>
    <cellStyle name="Total 33 2" xfId="32710" xr:uid="{D6460C48-C2D6-4F60-9644-D227FF3EF7E1}"/>
    <cellStyle name="Total 33 2 2" xfId="32711" xr:uid="{37BEBA99-43D7-49DC-B4B7-15319D95DCA9}"/>
    <cellStyle name="Total 33 2 3" xfId="32712" xr:uid="{71E9518D-3F60-4079-B73D-53379E0B34B4}"/>
    <cellStyle name="Total 33 3" xfId="32713" xr:uid="{A4F8597C-8D52-4340-A9DF-752264D83202}"/>
    <cellStyle name="Total 33 3 2" xfId="32714" xr:uid="{DA999BD8-039E-47FE-A519-7237040F7859}"/>
    <cellStyle name="Total 33 3 3" xfId="32715" xr:uid="{F07E52C3-BFCD-4EBA-8F8E-D723354E985C}"/>
    <cellStyle name="Total 33 4" xfId="32716" xr:uid="{AEB97E3C-57C4-4253-A619-79AF6DB4B9D2}"/>
    <cellStyle name="Total 33 4 2" xfId="32717" xr:uid="{75C031FA-7804-46F2-8A66-E42B59A045F8}"/>
    <cellStyle name="Total 33 4 3" xfId="32718" xr:uid="{0A30BE0E-43A1-408B-B97E-F1389C0488C7}"/>
    <cellStyle name="Total 33 5" xfId="32719" xr:uid="{972AC1DD-512E-4151-8FE7-D8A07BF6F3A4}"/>
    <cellStyle name="Total 33 6" xfId="32720" xr:uid="{6D23767F-6AE1-4192-97FD-C9577F2BF2CC}"/>
    <cellStyle name="Total 33 7" xfId="32721" xr:uid="{28EAFC58-5A0B-4EAE-9038-66DB1C85556F}"/>
    <cellStyle name="Total 33 8" xfId="32722" xr:uid="{DE323B33-6BC8-4F93-BF2E-9D521B7974A5}"/>
    <cellStyle name="Total 34" xfId="32723" xr:uid="{4F884C82-F1F7-4062-B998-086EA6DB4157}"/>
    <cellStyle name="Total 34 2" xfId="32724" xr:uid="{C49FF407-E847-41BA-95AC-36D533BE80BC}"/>
    <cellStyle name="Total 34 2 2" xfId="32725" xr:uid="{6A76A328-0063-46EA-82DE-0DED0D25FBB6}"/>
    <cellStyle name="Total 34 2 3" xfId="32726" xr:uid="{93607780-21B2-4797-9063-6BDDF5CA7D5D}"/>
    <cellStyle name="Total 34 3" xfId="32727" xr:uid="{6D096DD9-D8B1-46B2-B4F1-1005D332D0AD}"/>
    <cellStyle name="Total 34 3 2" xfId="32728" xr:uid="{310CCCE7-6917-42D3-B548-41645503DD85}"/>
    <cellStyle name="Total 34 3 3" xfId="32729" xr:uid="{1E1098E6-F69A-4A10-B4FD-ABB5FDEA2B4C}"/>
    <cellStyle name="Total 34 4" xfId="32730" xr:uid="{35FFE46F-6653-42CF-8EF7-D6F5BA3E1895}"/>
    <cellStyle name="Total 34 4 2" xfId="32731" xr:uid="{1780DE76-FD88-45BC-8743-806299F616D0}"/>
    <cellStyle name="Total 34 4 3" xfId="32732" xr:uid="{48D9E9F1-92A3-4E3B-AF24-86D570CD35D0}"/>
    <cellStyle name="Total 34 5" xfId="32733" xr:uid="{6637ABE9-E293-424A-89AE-EA8E0055BB51}"/>
    <cellStyle name="Total 34 6" xfId="32734" xr:uid="{0E850D55-369C-4087-A03A-6FBBC3C8B28C}"/>
    <cellStyle name="Total 34 7" xfId="32735" xr:uid="{422CAF9C-7D9A-4D7B-9F1E-2B98B435CB5B}"/>
    <cellStyle name="Total 34 8" xfId="32736" xr:uid="{AE683703-A86A-4881-B633-0A22B8853273}"/>
    <cellStyle name="Total 35" xfId="32737" xr:uid="{8B07463D-1139-44E4-821E-4A4D327E23DB}"/>
    <cellStyle name="Total 35 2" xfId="32738" xr:uid="{95DC5E09-8D12-40B1-AAB9-05D8D02952E4}"/>
    <cellStyle name="Total 35 2 2" xfId="32739" xr:uid="{F0BF4964-BE6B-4FC6-9266-4E1B99C5D2F5}"/>
    <cellStyle name="Total 35 2 3" xfId="32740" xr:uid="{7BC74BCC-C6E2-4D5E-B27B-ED96FE72A771}"/>
    <cellStyle name="Total 35 3" xfId="32741" xr:uid="{8011E3CC-016B-49CA-95A8-28DE6A9DD3B4}"/>
    <cellStyle name="Total 35 3 2" xfId="32742" xr:uid="{3E5D7665-954C-4E90-937B-F7158E0ED300}"/>
    <cellStyle name="Total 35 3 3" xfId="32743" xr:uid="{FE07B4B7-01A7-4182-97E5-D524F583B8DC}"/>
    <cellStyle name="Total 35 4" xfId="32744" xr:uid="{C5267423-5426-4536-8967-B83E39E84963}"/>
    <cellStyle name="Total 35 4 2" xfId="32745" xr:uid="{968A3B56-DA12-4115-AEDD-6206106F0C0A}"/>
    <cellStyle name="Total 35 4 3" xfId="32746" xr:uid="{1088CB7B-39EA-487F-A653-84C6D3A02B26}"/>
    <cellStyle name="Total 35 5" xfId="32747" xr:uid="{22EBA539-2121-495B-BB89-007A2E2240B7}"/>
    <cellStyle name="Total 35 6" xfId="32748" xr:uid="{25C6458F-7C82-480F-A1F8-D274E13298C7}"/>
    <cellStyle name="Total 35 7" xfId="32749" xr:uid="{D0D83DD5-C714-458E-AE1D-69D54D50469D}"/>
    <cellStyle name="Total 35 8" xfId="32750" xr:uid="{338B05C0-0EB4-493B-80B8-475B7508173D}"/>
    <cellStyle name="Total 36" xfId="32751" xr:uid="{FFF7DF9D-A748-4820-8D77-15E62B281885}"/>
    <cellStyle name="Total 36 2" xfId="32752" xr:uid="{5743E69C-3D51-4DDF-9666-479E6B212AFB}"/>
    <cellStyle name="Total 36 2 2" xfId="32753" xr:uid="{5CEBE72D-ABF1-44C3-9434-87986B8E8C2A}"/>
    <cellStyle name="Total 36 2 3" xfId="32754" xr:uid="{4B50F34C-7612-4C7A-9E68-CB986B917010}"/>
    <cellStyle name="Total 36 3" xfId="32755" xr:uid="{CECE4793-D9A3-4594-B661-D4A3B0E20BF6}"/>
    <cellStyle name="Total 36 3 2" xfId="32756" xr:uid="{12898E02-94BE-48EE-BA4A-59F3C6C81919}"/>
    <cellStyle name="Total 36 3 3" xfId="32757" xr:uid="{5A9F2A8A-D993-47F6-A85F-268B54DF6B5E}"/>
    <cellStyle name="Total 36 4" xfId="32758" xr:uid="{252A90AE-9166-467B-98E4-5BAA5F450BAA}"/>
    <cellStyle name="Total 36 5" xfId="32759" xr:uid="{839A71A5-5670-43AB-B158-F96AFB1B9186}"/>
    <cellStyle name="Total 36 6" xfId="32760" xr:uid="{F91EAE6C-7C94-4CF9-BB41-0C43D81671DC}"/>
    <cellStyle name="Total 36 7" xfId="32761" xr:uid="{5F8F49A5-4C1C-4D1C-949A-99F69E53AE41}"/>
    <cellStyle name="Total 37" xfId="32762" xr:uid="{C5514768-5FC1-42B4-A8D1-40A589F2BA75}"/>
    <cellStyle name="Total 37 2" xfId="43448" xr:uid="{766C6293-5FC2-43F9-A8B3-0C766CFEA378}"/>
    <cellStyle name="Total 37 3" xfId="43449" xr:uid="{9EE8CAF4-86BC-4CC0-8ED6-1476C7C58C17}"/>
    <cellStyle name="Total 37 4" xfId="43450" xr:uid="{4DEABA94-228B-4E71-9F2B-F0EF8F623AA0}"/>
    <cellStyle name="Total 38" xfId="32763" xr:uid="{CB4F910A-FA07-4289-A997-528DC5CA23A1}"/>
    <cellStyle name="Total 39" xfId="210" xr:uid="{172DC205-BDCC-44C8-9854-B11446D351B2}"/>
    <cellStyle name="Total 4" xfId="32764" xr:uid="{0474436D-A925-4C9B-81A5-9AA9524E80AC}"/>
    <cellStyle name="Total 4 2" xfId="32765" xr:uid="{A6ACF4AF-F583-4EAA-AEB9-491FE6548F03}"/>
    <cellStyle name="Total 4 2 2" xfId="32766" xr:uid="{1B957860-9799-459D-87DE-44D4990E8747}"/>
    <cellStyle name="Total 4 2 2 2" xfId="32767" xr:uid="{D2E7D7C0-6C90-47C6-9AA0-70AD383AEE95}"/>
    <cellStyle name="Total 4 2 2 3" xfId="32768" xr:uid="{197E59FF-F733-4B58-9798-8AC403D85740}"/>
    <cellStyle name="Total 4 2 3" xfId="32769" xr:uid="{9EB648BB-C30E-4283-B03D-2786BB802783}"/>
    <cellStyle name="Total 4 2 3 2" xfId="32770" xr:uid="{8D6E0730-AC8B-4CBB-91C3-17D5B7C939C8}"/>
    <cellStyle name="Total 4 2 3 3" xfId="32771" xr:uid="{FD683DBF-8396-4D14-AB91-1A28BDAAEEF5}"/>
    <cellStyle name="Total 4 2 4" xfId="32772" xr:uid="{A3C59793-86E0-40D8-B932-5448900B78D4}"/>
    <cellStyle name="Total 4 2 4 2" xfId="32773" xr:uid="{ADD21480-7C7C-4F5E-B746-92332BF16269}"/>
    <cellStyle name="Total 4 2 4 3" xfId="32774" xr:uid="{E7EA2B0B-722D-4D42-BA79-EBA45DCBA4EB}"/>
    <cellStyle name="Total 4 2 5" xfId="32775" xr:uid="{132BF1D4-3E8D-42C1-9206-FD011626197F}"/>
    <cellStyle name="Total 4 2 6" xfId="32776" xr:uid="{BC2DA9E9-9E2E-41C3-B99E-D55ED2FDC2AE}"/>
    <cellStyle name="Total 4 2 7" xfId="32777" xr:uid="{B91143F7-EFC2-4FD2-997C-952E7C2C4AE7}"/>
    <cellStyle name="Total 4 2 8" xfId="32778" xr:uid="{3C17EA54-EA06-48C3-9A99-474A8B7B8544}"/>
    <cellStyle name="Total 4 3" xfId="32779" xr:uid="{CD805A72-ABD2-4AD0-BCE6-BD29C9FC81FB}"/>
    <cellStyle name="Total 4 3 2" xfId="32780" xr:uid="{78416725-B449-4BD1-8430-A8742D050197}"/>
    <cellStyle name="Total 4 3 2 2" xfId="32781" xr:uid="{17A44BC1-8906-49BC-BD15-74A61EFAADB5}"/>
    <cellStyle name="Total 4 3 2 3" xfId="32782" xr:uid="{FBA663F6-4161-463A-A50C-3345F5E631E9}"/>
    <cellStyle name="Total 4 3 3" xfId="32783" xr:uid="{302DD2A0-5A1F-441E-A9C0-E237A3F9A3A5}"/>
    <cellStyle name="Total 4 3 4" xfId="32784" xr:uid="{E012AA87-6B6C-46FF-8ABD-747C82790D19}"/>
    <cellStyle name="Total 4 3 5" xfId="32785" xr:uid="{292E9D48-3F98-4FC4-8049-3283B5E24A15}"/>
    <cellStyle name="Total 4 4" xfId="32786" xr:uid="{D239DBDC-E411-4134-8829-772B66DAE9E8}"/>
    <cellStyle name="Total 4 4 2" xfId="32787" xr:uid="{13CE10A3-9901-4DFA-8486-A97A560F208C}"/>
    <cellStyle name="Total 4 4 3" xfId="32788" xr:uid="{C5F9DCD4-A68C-4DBE-BA61-78277338D671}"/>
    <cellStyle name="Total 4 5" xfId="32789" xr:uid="{89B2A59C-5BFF-474D-8C40-3EE7DBC3DD92}"/>
    <cellStyle name="Total 4 5 2" xfId="32790" xr:uid="{A7CECB9E-B00D-45C9-BA98-E1B8364EEB68}"/>
    <cellStyle name="Total 4 5 3" xfId="32791" xr:uid="{AA57C1EA-F5EC-4DF0-B4F5-E9979A783C40}"/>
    <cellStyle name="Total 4 6" xfId="32792" xr:uid="{79E11562-8FD9-4CC5-B352-834CE67AABCA}"/>
    <cellStyle name="Total 4 7" xfId="32793" xr:uid="{DBBB67BC-459F-45C5-BCE9-3EF032515FBC}"/>
    <cellStyle name="Total 4 8" xfId="32794" xr:uid="{E4A9F844-BEFA-4CA9-B03F-8761689A74C8}"/>
    <cellStyle name="Total 4 9" xfId="32795" xr:uid="{0F29E817-D592-4804-AAE6-FDF2B21B12C6}"/>
    <cellStyle name="Total 5" xfId="32796" xr:uid="{ECABF9D0-A06D-45F9-9A11-76E4462D6C27}"/>
    <cellStyle name="Total 5 2" xfId="32797" xr:uid="{000D2BFA-428E-48A6-9394-60018F5AFD88}"/>
    <cellStyle name="Total 5 2 2" xfId="32798" xr:uid="{6AB70F94-3687-45B7-9A3B-0290AF3EB22F}"/>
    <cellStyle name="Total 5 2 2 2" xfId="32799" xr:uid="{72477241-0BF6-4FE6-A6E0-6B1568C2F607}"/>
    <cellStyle name="Total 5 2 2 3" xfId="32800" xr:uid="{97AA1D0D-DDA6-4D71-A24E-0BAEE94B0413}"/>
    <cellStyle name="Total 5 2 3" xfId="32801" xr:uid="{558062B8-23FF-4722-A166-812A7C338F12}"/>
    <cellStyle name="Total 5 2 3 2" xfId="32802" xr:uid="{640513FE-E4C1-4189-8DAD-5135911B2782}"/>
    <cellStyle name="Total 5 2 3 3" xfId="32803" xr:uid="{CF3714B3-6F23-44A8-9CE4-E732EC5672EE}"/>
    <cellStyle name="Total 5 2 4" xfId="32804" xr:uid="{4BD5B8F1-217A-4B31-8D1A-DC05F241124D}"/>
    <cellStyle name="Total 5 2 4 2" xfId="32805" xr:uid="{765A38F3-A7AB-46F2-B580-AD02844D14FC}"/>
    <cellStyle name="Total 5 2 4 3" xfId="32806" xr:uid="{4AAC72D2-D672-4452-A6A5-DE4587B9FFDB}"/>
    <cellStyle name="Total 5 2 5" xfId="32807" xr:uid="{55021B6A-D9FE-4103-BF86-44EB6FB25C05}"/>
    <cellStyle name="Total 5 2 6" xfId="32808" xr:uid="{677317DB-32FF-47E8-A86B-2542BDA1674F}"/>
    <cellStyle name="Total 5 2 7" xfId="32809" xr:uid="{6760D765-DF3C-4A41-9AF5-4D4C0C2FCC61}"/>
    <cellStyle name="Total 5 2 8" xfId="32810" xr:uid="{640BA8E6-BA33-45D6-87D7-75931D8A94D1}"/>
    <cellStyle name="Total 5 3" xfId="32811" xr:uid="{536003D0-421F-4230-9FFD-35B411C9C64A}"/>
    <cellStyle name="Total 5 3 2" xfId="32812" xr:uid="{DA6AED9A-628B-4317-B5D2-F997823F15E3}"/>
    <cellStyle name="Total 5 3 2 2" xfId="32813" xr:uid="{BD556FFB-0FA1-4863-B085-03C5766F9131}"/>
    <cellStyle name="Total 5 3 2 3" xfId="32814" xr:uid="{0702EBF2-2C6E-4F15-AF83-BF8D84E34CFF}"/>
    <cellStyle name="Total 5 3 3" xfId="32815" xr:uid="{9C9D75D9-38FD-4D87-BA61-6C4CE8777470}"/>
    <cellStyle name="Total 5 3 4" xfId="32816" xr:uid="{6877974D-8331-45DA-91DA-031D7C6DEA76}"/>
    <cellStyle name="Total 5 4" xfId="32817" xr:uid="{84B2BDFC-CFBB-4AC6-8148-6D8B51E1414F}"/>
    <cellStyle name="Total 5 4 2" xfId="32818" xr:uid="{BD440A44-9A54-4CEC-872A-93F5AC808A0A}"/>
    <cellStyle name="Total 5 4 3" xfId="32819" xr:uid="{95FBB29F-C96B-406B-8FAE-6DCFB0CCD1C8}"/>
    <cellStyle name="Total 5 5" xfId="32820" xr:uid="{4820897D-2BCB-48DE-A6B9-B9206DA48609}"/>
    <cellStyle name="Total 5 5 2" xfId="32821" xr:uid="{FBE09D48-722B-4BDA-9B2E-1B83B156DBA1}"/>
    <cellStyle name="Total 5 5 3" xfId="32822" xr:uid="{80052AB3-EBBE-4539-9C51-074E623294F6}"/>
    <cellStyle name="Total 5 6" xfId="32823" xr:uid="{30CF5D8B-8A03-425D-85CF-F983022D7282}"/>
    <cellStyle name="Total 5 7" xfId="32824" xr:uid="{A803F98B-CD11-4D3D-BAA8-8018FB83995A}"/>
    <cellStyle name="Total 5 8" xfId="32825" xr:uid="{C88CB80C-F976-4D0B-B042-804732A6F264}"/>
    <cellStyle name="Total 5 9" xfId="32826" xr:uid="{64502B52-B510-4F02-A3A4-2F2BA5934E25}"/>
    <cellStyle name="Total 6" xfId="32827" xr:uid="{D959D8B7-48EF-4D8B-A2D7-A97D019F8D31}"/>
    <cellStyle name="Total 6 2" xfId="32828" xr:uid="{65DA59DD-1262-4A13-91A5-5D9B0DEF013E}"/>
    <cellStyle name="Total 6 2 2" xfId="32829" xr:uid="{FEA1DA53-744C-443D-B05C-08FBBA80096B}"/>
    <cellStyle name="Total 6 2 2 2" xfId="32830" xr:uid="{1800FAEC-6B7B-40AC-9238-CE098D5B1325}"/>
    <cellStyle name="Total 6 2 2 3" xfId="32831" xr:uid="{EB682E68-A58F-4838-BEDD-A7A0993DFA2D}"/>
    <cellStyle name="Total 6 2 3" xfId="32832" xr:uid="{A4A365AF-502D-483F-B291-8BF2A38AC533}"/>
    <cellStyle name="Total 6 2 3 2" xfId="32833" xr:uid="{D6A9BCFA-A363-4F13-B8AC-EC84EF9F5D51}"/>
    <cellStyle name="Total 6 2 3 3" xfId="32834" xr:uid="{D2F0A2AF-D1AC-4F0B-BB78-0BDFAAEE66BE}"/>
    <cellStyle name="Total 6 2 4" xfId="32835" xr:uid="{4A526641-F9AA-4A51-9375-9F6AB373D424}"/>
    <cellStyle name="Total 6 2 4 2" xfId="32836" xr:uid="{49999258-7836-407C-8A67-E3AA5EAB56C8}"/>
    <cellStyle name="Total 6 2 4 3" xfId="32837" xr:uid="{5A6D169F-CD08-4AC7-BE8A-87026F7470E2}"/>
    <cellStyle name="Total 6 2 5" xfId="32838" xr:uid="{A0100347-9777-4FA2-86DD-898776887C18}"/>
    <cellStyle name="Total 6 2 6" xfId="32839" xr:uid="{2BAEF0AB-3751-48D1-B726-C9B0312115BA}"/>
    <cellStyle name="Total 6 2 7" xfId="32840" xr:uid="{D5FA443D-8EC5-4A1F-B790-CAFEF254DB2D}"/>
    <cellStyle name="Total 6 2 8" xfId="32841" xr:uid="{1D4AB410-A04C-493D-A168-AA96FE429DB6}"/>
    <cellStyle name="Total 6 3" xfId="32842" xr:uid="{F8452742-41BB-4019-9BDE-9FB12A7A4CC8}"/>
    <cellStyle name="Total 6 3 2" xfId="32843" xr:uid="{C420CCE2-637B-4917-BBC6-C16E66B49D80}"/>
    <cellStyle name="Total 6 3 2 2" xfId="32844" xr:uid="{7B3B3FC2-A3B0-470D-AB8B-7B190398C949}"/>
    <cellStyle name="Total 6 3 2 3" xfId="32845" xr:uid="{C14E7E04-6134-4191-83C6-4D7DCF01540C}"/>
    <cellStyle name="Total 6 3 3" xfId="32846" xr:uid="{4F6E24CA-F56F-4A4D-81DD-8A9C1B111854}"/>
    <cellStyle name="Total 6 3 4" xfId="32847" xr:uid="{AABE9087-F039-49EC-8F30-1EFEC749D0F2}"/>
    <cellStyle name="Total 6 4" xfId="32848" xr:uid="{BE10BB6E-99DA-4500-8887-3CFB9CA3F56E}"/>
    <cellStyle name="Total 6 4 2" xfId="32849" xr:uid="{547E87C3-9334-4DF2-8A8A-8A3F1EC1CAEB}"/>
    <cellStyle name="Total 6 4 3" xfId="32850" xr:uid="{110ED4A1-DA95-482F-B347-DA80BC5DD1AE}"/>
    <cellStyle name="Total 6 5" xfId="32851" xr:uid="{7BB99492-EAE9-4E5F-A33B-38457EC98C7F}"/>
    <cellStyle name="Total 6 5 2" xfId="32852" xr:uid="{59BD8EE4-481B-4926-8FCE-764DD54C9040}"/>
    <cellStyle name="Total 6 5 3" xfId="32853" xr:uid="{8E0C251A-779C-46B9-A5AC-D98B08F63965}"/>
    <cellStyle name="Total 6 6" xfId="32854" xr:uid="{9A583A05-32C4-4FE2-A362-4F09E1AC2B7F}"/>
    <cellStyle name="Total 6 7" xfId="32855" xr:uid="{5ABCE591-2374-4403-9267-EACE2910A21E}"/>
    <cellStyle name="Total 6 8" xfId="32856" xr:uid="{D8F527F5-50EE-43CE-8031-883F75D072F8}"/>
    <cellStyle name="Total 6 9" xfId="32857" xr:uid="{7A4D3F94-1B47-4860-A8C0-235CDE033B4B}"/>
    <cellStyle name="Total 7" xfId="32858" xr:uid="{F98A0869-AB34-4564-8C7E-168DB93B084F}"/>
    <cellStyle name="Total 7 2" xfId="32859" xr:uid="{5BEB6CA2-1A94-467D-96B2-87A9B43C9A43}"/>
    <cellStyle name="Total 7 2 2" xfId="32860" xr:uid="{49520454-89D5-4A22-A04C-F4E48D3C20A6}"/>
    <cellStyle name="Total 7 2 2 2" xfId="32861" xr:uid="{5B4EBFE7-F95B-4ADB-8485-727C2B3F41B8}"/>
    <cellStyle name="Total 7 2 2 3" xfId="32862" xr:uid="{D58968D0-DEED-4BBA-A26F-D72FF3A9EC35}"/>
    <cellStyle name="Total 7 2 3" xfId="32863" xr:uid="{C81A3646-C813-45D3-A76A-A73605C842CB}"/>
    <cellStyle name="Total 7 2 3 2" xfId="32864" xr:uid="{14A6BD90-AC8D-4992-A1C9-C042FFF0C076}"/>
    <cellStyle name="Total 7 2 3 3" xfId="32865" xr:uid="{D1841D5E-4AEC-4F4F-A92D-56E54897BF63}"/>
    <cellStyle name="Total 7 2 4" xfId="32866" xr:uid="{8813CB6C-9F6A-4DB9-BABA-A87D93268929}"/>
    <cellStyle name="Total 7 2 4 2" xfId="32867" xr:uid="{F85CB007-CD89-4105-9401-EC3A354D4A75}"/>
    <cellStyle name="Total 7 2 4 3" xfId="32868" xr:uid="{522E37FA-E8F5-4ACB-98FA-4000F1A87ACA}"/>
    <cellStyle name="Total 7 2 5" xfId="32869" xr:uid="{0CF7DBFA-E641-4088-ADFE-4781A6163B4F}"/>
    <cellStyle name="Total 7 2 6" xfId="32870" xr:uid="{544DCBA4-E3AD-43ED-9469-A9A664F1AAB9}"/>
    <cellStyle name="Total 7 2 7" xfId="32871" xr:uid="{D2321434-917E-41ED-9188-5316B0B9CD5A}"/>
    <cellStyle name="Total 7 2 8" xfId="32872" xr:uid="{97511735-2B60-4C76-868F-55BADC587CC2}"/>
    <cellStyle name="Total 7 3" xfId="32873" xr:uid="{1B4E4286-0CD9-482D-BF25-78EE462E6DCC}"/>
    <cellStyle name="Total 7 3 2" xfId="32874" xr:uid="{CDBF5DFB-78DA-42CA-9526-D5EA5BEAA304}"/>
    <cellStyle name="Total 7 3 2 2" xfId="32875" xr:uid="{160C0794-3C58-45D7-87AE-A86FED9CD4F6}"/>
    <cellStyle name="Total 7 3 2 3" xfId="32876" xr:uid="{334AE9FA-547E-4C0E-955B-FC73AC3E7B0C}"/>
    <cellStyle name="Total 7 3 3" xfId="32877" xr:uid="{DC5C35BB-04AD-4930-83AF-15FD457C042F}"/>
    <cellStyle name="Total 7 3 4" xfId="32878" xr:uid="{A35D742E-F1F5-4EB4-900E-EE8C283A1EAA}"/>
    <cellStyle name="Total 7 4" xfId="32879" xr:uid="{222C417E-F7F1-44D2-9E28-CAC87F951709}"/>
    <cellStyle name="Total 7 4 2" xfId="32880" xr:uid="{CC580634-1628-4247-9A93-FF3293D52757}"/>
    <cellStyle name="Total 7 4 3" xfId="32881" xr:uid="{B6327612-7250-48F9-83DD-FEF69DCEDF62}"/>
    <cellStyle name="Total 7 5" xfId="32882" xr:uid="{D980C319-EB0B-4112-8460-46BEB8E4C3FD}"/>
    <cellStyle name="Total 7 5 2" xfId="32883" xr:uid="{86806C4F-909B-46EF-9820-5AEABA80AA97}"/>
    <cellStyle name="Total 7 5 3" xfId="32884" xr:uid="{F46EB392-804D-49C3-ABFF-953045E7FE23}"/>
    <cellStyle name="Total 7 6" xfId="32885" xr:uid="{434D8D2F-545A-4BED-B185-C35C74A43536}"/>
    <cellStyle name="Total 7 7" xfId="32886" xr:uid="{C2E76981-CA7B-4B3F-8736-A8D13B093C79}"/>
    <cellStyle name="Total 7 8" xfId="32887" xr:uid="{C5E82B79-E26A-4401-A5AC-30ABE9CC4BA8}"/>
    <cellStyle name="Total 7 9" xfId="32888" xr:uid="{70D0A435-DD21-434A-AE69-8572ACC4D657}"/>
    <cellStyle name="Total 8" xfId="32889" xr:uid="{9ECDA58B-C578-4699-826A-0B60AC3A10C4}"/>
    <cellStyle name="Total 8 2" xfId="32890" xr:uid="{B9445F44-E8D0-479E-ADAB-3E07370D9618}"/>
    <cellStyle name="Total 8 2 2" xfId="32891" xr:uid="{A5BD7B6D-70D7-4545-BD5E-D0DF7E4A9788}"/>
    <cellStyle name="Total 8 2 2 2" xfId="32892" xr:uid="{F5A85E28-B51C-4AA3-9AB8-89D28DE77B66}"/>
    <cellStyle name="Total 8 2 2 3" xfId="32893" xr:uid="{ADEE64C0-7E03-45B3-8511-27F053E68E61}"/>
    <cellStyle name="Total 8 2 3" xfId="32894" xr:uid="{7ED75E62-93F4-440C-BEC7-FDDB2112E2F1}"/>
    <cellStyle name="Total 8 2 3 2" xfId="32895" xr:uid="{4C3FF2AC-A3A2-42AB-A56B-D754079CDDDD}"/>
    <cellStyle name="Total 8 2 3 3" xfId="32896" xr:uid="{46708117-6CDA-4C0E-9ABA-2303191237E9}"/>
    <cellStyle name="Total 8 2 4" xfId="32897" xr:uid="{DEF0FE31-8E9D-441C-8FDE-962BCF2F94D8}"/>
    <cellStyle name="Total 8 2 4 2" xfId="32898" xr:uid="{B6E3BCCE-9614-4BAC-A56A-00FBA69850D5}"/>
    <cellStyle name="Total 8 2 4 3" xfId="32899" xr:uid="{3D21E6F3-FCF4-4570-A5E5-4FD53FE44617}"/>
    <cellStyle name="Total 8 2 5" xfId="32900" xr:uid="{AF345F29-42B3-49AD-891A-1D4A5DE64164}"/>
    <cellStyle name="Total 8 2 6" xfId="32901" xr:uid="{75419506-67EB-412B-A447-1FC0BAFFA52E}"/>
    <cellStyle name="Total 8 2 7" xfId="32902" xr:uid="{875A1B4F-6364-4356-9521-78ECF016C42F}"/>
    <cellStyle name="Total 8 2 8" xfId="32903" xr:uid="{A04B2B57-10E6-40C9-81F6-C8202DC34F68}"/>
    <cellStyle name="Total 8 3" xfId="32904" xr:uid="{3792B57D-CFE3-4C9E-8592-5E2108A2EF80}"/>
    <cellStyle name="Total 8 3 2" xfId="32905" xr:uid="{BB2514D5-545D-4EB3-B05F-731D36111A4D}"/>
    <cellStyle name="Total 8 3 2 2" xfId="32906" xr:uid="{3F8E37E0-B742-43CF-A5DC-1450B5B75EDF}"/>
    <cellStyle name="Total 8 3 2 3" xfId="32907" xr:uid="{3D701320-41FB-4F67-BCF2-F37F90C7AEAF}"/>
    <cellStyle name="Total 8 3 3" xfId="32908" xr:uid="{20970153-9C54-47F8-ADD4-977824A02A7B}"/>
    <cellStyle name="Total 8 3 4" xfId="32909" xr:uid="{2DF7A839-95C0-4AFC-A57C-FE618C5571D0}"/>
    <cellStyle name="Total 8 4" xfId="32910" xr:uid="{38E15E1F-EEBF-4F76-B790-3BD67407B030}"/>
    <cellStyle name="Total 8 4 2" xfId="32911" xr:uid="{FD17F9CA-83DC-48DE-986A-99088DE17328}"/>
    <cellStyle name="Total 8 4 3" xfId="32912" xr:uid="{11E22363-29BD-4901-BA78-ACD1C62FBE7C}"/>
    <cellStyle name="Total 8 5" xfId="32913" xr:uid="{EBA394DE-8B7A-4CA6-9E68-E55F4B9BF0DE}"/>
    <cellStyle name="Total 8 5 2" xfId="32914" xr:uid="{E5DA25CC-516C-43A2-95A6-BB8E836C861B}"/>
    <cellStyle name="Total 8 5 3" xfId="32915" xr:uid="{E8E39CF3-A3FD-44F3-AAF8-E8BB8C150DBC}"/>
    <cellStyle name="Total 8 6" xfId="32916" xr:uid="{690389B2-0EA2-4166-B441-9F012680DF19}"/>
    <cellStyle name="Total 8 7" xfId="32917" xr:uid="{2F39BB98-6BC4-4EB9-ABD9-9F01AEFCF0A3}"/>
    <cellStyle name="Total 8 8" xfId="32918" xr:uid="{C34935F4-3AC7-44BD-B98D-2F075CC95624}"/>
    <cellStyle name="Total 8 9" xfId="32919" xr:uid="{177186B4-06EE-4678-8E7C-D1F54232B5B3}"/>
    <cellStyle name="Total 9" xfId="32920" xr:uid="{BB39A09D-E7C6-4471-9F9A-1223D8CAAE00}"/>
    <cellStyle name="Total 9 2" xfId="32921" xr:uid="{124BFE9E-E7CF-4168-B711-24817014B0E6}"/>
    <cellStyle name="Total 9 2 2" xfId="32922" xr:uid="{82D6EE4E-2A59-4C98-9170-AC7861C30D7B}"/>
    <cellStyle name="Total 9 2 2 2" xfId="32923" xr:uid="{C616EA38-7309-4F4F-B6A1-5342FB32C13A}"/>
    <cellStyle name="Total 9 2 2 3" xfId="32924" xr:uid="{1FB0BD0D-C8B4-40B2-B0A3-DEE882E82D91}"/>
    <cellStyle name="Total 9 2 3" xfId="32925" xr:uid="{304ADA42-A8CF-4E60-ABE0-C081DA58015F}"/>
    <cellStyle name="Total 9 2 3 2" xfId="32926" xr:uid="{3809B028-CC14-4934-9727-4F96AB029011}"/>
    <cellStyle name="Total 9 2 3 3" xfId="32927" xr:uid="{F5FAD1B9-BF4F-4EA7-BE27-2AADD6DAD911}"/>
    <cellStyle name="Total 9 2 4" xfId="32928" xr:uid="{CBA92974-E7FD-48C4-978F-2395E955C423}"/>
    <cellStyle name="Total 9 2 4 2" xfId="32929" xr:uid="{67436CBE-3C97-4DE2-B9F2-80A32CF371BB}"/>
    <cellStyle name="Total 9 2 4 3" xfId="32930" xr:uid="{F8401AEB-FBAF-4B9D-8F01-539D0FDDCA62}"/>
    <cellStyle name="Total 9 2 5" xfId="32931" xr:uid="{BFB1CF56-6251-4F4B-8662-3C6C09C8FFC7}"/>
    <cellStyle name="Total 9 2 6" xfId="32932" xr:uid="{3247863E-202B-4240-B78E-217B6ABA4B87}"/>
    <cellStyle name="Total 9 2 7" xfId="32933" xr:uid="{2B488B44-738D-439A-B3BE-5268F0B6D1DE}"/>
    <cellStyle name="Total 9 2 8" xfId="32934" xr:uid="{4CFDFBD5-4BEF-4E26-A07F-CB2ED0037C72}"/>
    <cellStyle name="Total 9 3" xfId="32935" xr:uid="{6E11293B-258D-4476-BC81-3447A466213C}"/>
    <cellStyle name="Total 9 3 2" xfId="32936" xr:uid="{51B7827D-C0D2-41AC-9475-C4E00AFAE5AE}"/>
    <cellStyle name="Total 9 3 2 2" xfId="32937" xr:uid="{C4F7DDBE-AFFD-4EFA-B091-25B11638FC97}"/>
    <cellStyle name="Total 9 3 2 3" xfId="32938" xr:uid="{16C175AF-5B32-4D31-95A8-DA45D86BF8A1}"/>
    <cellStyle name="Total 9 3 3" xfId="32939" xr:uid="{E43D725D-FB01-4761-8DA5-DB69D90E57F8}"/>
    <cellStyle name="Total 9 3 4" xfId="32940" xr:uid="{E441E193-53CD-42EA-B120-A589F973A5BD}"/>
    <cellStyle name="Total 9 4" xfId="32941" xr:uid="{D0A08954-8251-45AD-A9C3-BAE2D7886E42}"/>
    <cellStyle name="Total 9 4 2" xfId="32942" xr:uid="{061AC959-AAF3-427D-B4FE-45F924B4CB54}"/>
    <cellStyle name="Total 9 4 3" xfId="32943" xr:uid="{97679CCD-24BA-49C9-85C9-C406D16FB1AE}"/>
    <cellStyle name="Total 9 5" xfId="32944" xr:uid="{C5671B8C-3637-4305-94E0-74FAE7324B69}"/>
    <cellStyle name="Total 9 5 2" xfId="32945" xr:uid="{BEC03F92-A38A-4574-BC95-8120CF36B48B}"/>
    <cellStyle name="Total 9 5 3" xfId="32946" xr:uid="{81D55437-AF7E-408F-B231-BB2B91C2BD15}"/>
    <cellStyle name="Total 9 6" xfId="32947" xr:uid="{087F65FE-E566-4177-870B-A8E3EBE6A4F5}"/>
    <cellStyle name="Total 9 7" xfId="32948" xr:uid="{5E2EC090-D887-4ED4-A29B-5DE41408B33E}"/>
    <cellStyle name="Total 9 8" xfId="32949" xr:uid="{B7C6FBD0-21C2-455E-8BB8-FC081F5BFDC1}"/>
    <cellStyle name="Total 9 9" xfId="32950" xr:uid="{0ABFDB67-894C-4FAA-8C45-802EAA2002A3}"/>
    <cellStyle name="Warning Text 10" xfId="32951" xr:uid="{0E2C8338-E7D3-4051-BC34-4146B0F97CA8}"/>
    <cellStyle name="Warning Text 10 2" xfId="32952" xr:uid="{3CF5BEEF-3B6D-4D51-818F-EBB8BE788761}"/>
    <cellStyle name="Warning Text 10 3" xfId="32953" xr:uid="{847EAB11-735C-40A5-A30E-7B457B0F8204}"/>
    <cellStyle name="Warning Text 11" xfId="32954" xr:uid="{7850643C-F50E-44A2-B2BC-77910B56D0C4}"/>
    <cellStyle name="Warning Text 11 2" xfId="32955" xr:uid="{59B3E1E1-3A33-4601-AC6F-7F27E39794E3}"/>
    <cellStyle name="Warning Text 11 3" xfId="32956" xr:uid="{91C6868A-E2DE-4751-88DD-2DCC9992A055}"/>
    <cellStyle name="Warning Text 12" xfId="32957" xr:uid="{9AA52E01-1ABE-4ACA-BB4D-F03E50CAC597}"/>
    <cellStyle name="Warning Text 12 2" xfId="32958" xr:uid="{CE0A06DA-6533-4A3C-A1C4-70A908FCD5B1}"/>
    <cellStyle name="Warning Text 13" xfId="32959" xr:uid="{4F8EF378-CBC5-4AEC-87DF-D84BF3B312D9}"/>
    <cellStyle name="Warning Text 13 2" xfId="32960" xr:uid="{B7D968CA-E04A-431D-877D-F110CAC0A16E}"/>
    <cellStyle name="Warning Text 14" xfId="32961" xr:uid="{B200ED65-42B9-41BD-82E1-8F265B825059}"/>
    <cellStyle name="Warning Text 14 2" xfId="32962" xr:uid="{CBDEE11D-4309-4156-89CF-4BD225554007}"/>
    <cellStyle name="Warning Text 15" xfId="32963" xr:uid="{5447C2C1-4588-4823-9BA8-C445B1470FF4}"/>
    <cellStyle name="Warning Text 15 2" xfId="32964" xr:uid="{2F4E7906-D7DE-4D39-A150-39FB1FBEE880}"/>
    <cellStyle name="Warning Text 16" xfId="32965" xr:uid="{423C42BF-FCE1-4840-A8EC-C2F92342F036}"/>
    <cellStyle name="Warning Text 16 2" xfId="32966" xr:uid="{2FFD204C-9323-4049-B0BA-8AB2E3A80473}"/>
    <cellStyle name="Warning Text 17" xfId="32967" xr:uid="{9852DBFF-E841-4CE1-B72B-BCA59F97B982}"/>
    <cellStyle name="Warning Text 17 2" xfId="32968" xr:uid="{5D310698-23E1-4052-BCA4-165F01D83E1F}"/>
    <cellStyle name="Warning Text 18" xfId="32969" xr:uid="{8677A756-4085-4A4F-BBB5-CCF526B9D61B}"/>
    <cellStyle name="Warning Text 18 2" xfId="32970" xr:uid="{38B18403-7394-471D-BC3D-A14C856D746B}"/>
    <cellStyle name="Warning Text 19" xfId="32971" xr:uid="{9A246AD7-D127-4221-A0B0-2AA83FD458A1}"/>
    <cellStyle name="Warning Text 19 2" xfId="32972" xr:uid="{FE0D2B1C-CB19-4722-AEB0-39B8AC057368}"/>
    <cellStyle name="Warning Text 2" xfId="32973" xr:uid="{8D8C9561-12D1-45A7-AA7A-61F6D502F86E}"/>
    <cellStyle name="Warning Text 2 2" xfId="32974" xr:uid="{26AAA21D-E8F2-4314-9076-61E790B4E1B4}"/>
    <cellStyle name="Warning Text 2 2 2" xfId="32975" xr:uid="{AEEE6FD8-3D5E-42BB-A302-45256D3FD149}"/>
    <cellStyle name="Warning Text 2 2 3" xfId="32976" xr:uid="{CA03500C-2244-4195-8660-BFD1CFB0FF50}"/>
    <cellStyle name="Warning Text 2 2 4" xfId="43451" xr:uid="{3A4D5765-719E-484B-B039-348451FC98B9}"/>
    <cellStyle name="Warning Text 2 3" xfId="32977" xr:uid="{57482F13-D228-45F0-BAA8-0D4681FBBB6A}"/>
    <cellStyle name="Warning Text 2 3 2" xfId="32978" xr:uid="{7249D481-A625-476D-BC8F-EE92AF19798C}"/>
    <cellStyle name="Warning Text 2 3 3" xfId="32979" xr:uid="{94E4C003-269A-4104-85C4-02E5B3B4253F}"/>
    <cellStyle name="Warning Text 2 4" xfId="32980" xr:uid="{D750174A-1897-4F0F-B2D9-846F0A3E126F}"/>
    <cellStyle name="Warning Text 2 5" xfId="32981" xr:uid="{9CD39694-0664-4635-B9B2-0D4FD1B3FD93}"/>
    <cellStyle name="Warning Text 2_PwrTax 51040" xfId="32982" xr:uid="{1724DD7D-63F2-411C-8F3A-003742F8F0AB}"/>
    <cellStyle name="Warning Text 20" xfId="32983" xr:uid="{3169D732-7557-4FBA-AD79-6499C6E56FE8}"/>
    <cellStyle name="Warning Text 21" xfId="32984" xr:uid="{8DF60213-8807-4C07-A9FF-55C1110B39A5}"/>
    <cellStyle name="Warning Text 22" xfId="32985" xr:uid="{B8B68DA1-7C6B-4DF0-868D-1181D2E925B2}"/>
    <cellStyle name="Warning Text 23" xfId="32986" xr:uid="{61E378A1-EAE9-47F8-8D18-6C96F641AB86}"/>
    <cellStyle name="Warning Text 24" xfId="32987" xr:uid="{BFB7519F-897F-456E-995C-A778B89A5AD4}"/>
    <cellStyle name="Warning Text 25" xfId="32988" xr:uid="{A6E7C06C-7787-4D16-9974-C65F4F1621D4}"/>
    <cellStyle name="Warning Text 26" xfId="32989" xr:uid="{EDE3BE14-86DB-48CF-A566-23B3F3D89253}"/>
    <cellStyle name="Warning Text 27" xfId="32990" xr:uid="{205B7DEC-CBF4-4CE3-A374-7FEB469250FF}"/>
    <cellStyle name="Warning Text 28" xfId="32991" xr:uid="{16C322A0-BBE1-4378-9ECE-5ECFA89880D8}"/>
    <cellStyle name="Warning Text 29" xfId="32992" xr:uid="{2389C049-C2ED-4BF6-9438-AB2176D74EBD}"/>
    <cellStyle name="Warning Text 3" xfId="32993" xr:uid="{FCA8AA28-E047-4B41-A0BE-591674AF08B6}"/>
    <cellStyle name="Warning Text 3 2" xfId="32994" xr:uid="{CF8CADD9-0DC1-4780-AF47-6718B2BAB7CE}"/>
    <cellStyle name="Warning Text 3 3" xfId="32995" xr:uid="{585655CB-23DC-480A-981A-6FECAB2093E1}"/>
    <cellStyle name="Warning Text 3 3 2" xfId="32996" xr:uid="{350968E1-AF79-4060-9526-5791AF7906ED}"/>
    <cellStyle name="Warning Text 3 3 3" xfId="32997" xr:uid="{228C7D0A-6301-48BE-8F9E-E15223A1A297}"/>
    <cellStyle name="Warning Text 3 4" xfId="32998" xr:uid="{6ED52806-0B11-45E2-B805-61A230614836}"/>
    <cellStyle name="Warning Text 3 4 2" xfId="43452" xr:uid="{BA8B16F7-D1D0-4FA1-B6DD-827C3148F593}"/>
    <cellStyle name="Warning Text 3 4 3" xfId="43453" xr:uid="{F3FBAC5D-4E90-4FF3-B1CE-7407C455D465}"/>
    <cellStyle name="Warning Text 3 5" xfId="32999" xr:uid="{181F0FBC-198E-466A-8799-B0CE9D9F3167}"/>
    <cellStyle name="Warning Text 30" xfId="33000" xr:uid="{8E6FACF2-1412-4C55-B85A-FAC636F177E8}"/>
    <cellStyle name="Warning Text 31" xfId="33001" xr:uid="{008F2EA5-94B9-4EB3-A370-FBFD8BDB2110}"/>
    <cellStyle name="Warning Text 32" xfId="33002" xr:uid="{7E53A50B-EC39-469B-8DA6-24426AE84FCA}"/>
    <cellStyle name="Warning Text 33" xfId="33003" xr:uid="{47204EAA-83C9-4F32-96B6-9967405EBEDF}"/>
    <cellStyle name="Warning Text 34" xfId="33004" xr:uid="{51B3CF89-C76C-4E70-A847-7100F15E4042}"/>
    <cellStyle name="Warning Text 35" xfId="33005" xr:uid="{0302F82A-0BC4-4EB0-A0E0-6E9749CF298E}"/>
    <cellStyle name="Warning Text 36" xfId="33006" xr:uid="{30A2EE84-ACE9-475B-B583-BD8642B3D3ED}"/>
    <cellStyle name="Warning Text 37" xfId="33007" xr:uid="{4A04A81B-94FF-41FF-A602-DDC94F75893E}"/>
    <cellStyle name="Warning Text 37 2" xfId="43454" xr:uid="{E265D2C7-04D2-402A-A3EF-590A9A1A9974}"/>
    <cellStyle name="Warning Text 37 3" xfId="43455" xr:uid="{424B66F9-B54B-4606-9094-8075B787A5E1}"/>
    <cellStyle name="Warning Text 37 4" xfId="43456" xr:uid="{0BCE0535-0E3B-48C4-96FA-450298CC85DA}"/>
    <cellStyle name="Warning Text 38" xfId="43457" xr:uid="{FF3C0E1A-0FE1-49D3-B148-0B0DC295A2BE}"/>
    <cellStyle name="Warning Text 39" xfId="211" xr:uid="{4079CEDB-B64E-4F32-B14B-88CD5B6E4A36}"/>
    <cellStyle name="Warning Text 4" xfId="33008" xr:uid="{7B1771F3-402F-48D5-8034-CAA490489632}"/>
    <cellStyle name="Warning Text 4 2" xfId="33009" xr:uid="{85ABABCC-F20C-4D3C-A06A-0B9AA7B7A56A}"/>
    <cellStyle name="Warning Text 4 3" xfId="33010" xr:uid="{90621699-0965-4D9D-87F9-ACBEFFD05A66}"/>
    <cellStyle name="Warning Text 4 3 2" xfId="33011" xr:uid="{99816BB6-8D3E-42AC-8433-87769E6088AA}"/>
    <cellStyle name="Warning Text 5" xfId="33012" xr:uid="{2CC421C6-7FF8-44F8-99B7-A26EAC7A7D4B}"/>
    <cellStyle name="Warning Text 5 2" xfId="33013" xr:uid="{81D13894-6183-498C-B6B7-C6866FED4AD9}"/>
    <cellStyle name="Warning Text 5 3" xfId="33014" xr:uid="{AE062C94-71EF-45D2-88D2-BAAD63ED062E}"/>
    <cellStyle name="Warning Text 6" xfId="33015" xr:uid="{0BD74C67-AF73-4197-81B4-DFCDC6325B59}"/>
    <cellStyle name="Warning Text 6 2" xfId="33016" xr:uid="{63198FC5-C828-48F6-9892-A7AE1FD39FF2}"/>
    <cellStyle name="Warning Text 6 3" xfId="33017" xr:uid="{FC4698BE-84BD-43E6-998A-7A77E8C59EE9}"/>
    <cellStyle name="Warning Text 7" xfId="33018" xr:uid="{20F319B1-96AC-44D9-B381-A1F3DD03CE71}"/>
    <cellStyle name="Warning Text 7 2" xfId="33019" xr:uid="{243BB3F9-2DB3-40A2-9436-86DD6B74B34E}"/>
    <cellStyle name="Warning Text 7 3" xfId="33020" xr:uid="{0B44C558-6CFF-403D-B047-9871CC7AC3CB}"/>
    <cellStyle name="Warning Text 8" xfId="33021" xr:uid="{A5A1AEC4-162A-495E-9DBC-8FD7195EEB0A}"/>
    <cellStyle name="Warning Text 8 2" xfId="33022" xr:uid="{D2D84898-7918-4ABC-AF43-ADAC8F167E7B}"/>
    <cellStyle name="Warning Text 8 3" xfId="33023" xr:uid="{FA7D3044-B0DA-4E2A-84D1-C5203817394B}"/>
    <cellStyle name="Warning Text 9" xfId="33024" xr:uid="{7EE8DCA5-2B77-4781-BA1E-8802E39B8826}"/>
    <cellStyle name="Warning Text 9 2" xfId="33025" xr:uid="{FF630BCB-3CBF-43BE-9CC2-1570FF6C3F60}"/>
    <cellStyle name="Warning Text 9 3" xfId="33026" xr:uid="{21558E9A-901B-4D6C-B0A2-BE5C3B5B1756}"/>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100</xdr:row>
      <xdr:rowOff>123825</xdr:rowOff>
    </xdr:from>
    <xdr:to>
      <xdr:col>14</xdr:col>
      <xdr:colOff>170136</xdr:colOff>
      <xdr:row>133</xdr:row>
      <xdr:rowOff>113633</xdr:rowOff>
    </xdr:to>
    <xdr:pic>
      <xdr:nvPicPr>
        <xdr:cNvPr id="4" name="Picture 3">
          <a:extLst>
            <a:ext uri="{FF2B5EF4-FFF2-40B4-BE49-F238E27FC236}">
              <a16:creationId xmlns:a16="http://schemas.microsoft.com/office/drawing/2014/main" id="{08AAF4C7-D8B7-455E-83CE-7CBCADD3AE75}"/>
            </a:ext>
          </a:extLst>
        </xdr:cNvPr>
        <xdr:cNvPicPr>
          <a:picLocks noChangeAspect="1"/>
        </xdr:cNvPicPr>
      </xdr:nvPicPr>
      <xdr:blipFill>
        <a:blip xmlns:r="http://schemas.openxmlformats.org/officeDocument/2006/relationships" r:embed="rId1"/>
        <a:stretch>
          <a:fillRect/>
        </a:stretch>
      </xdr:blipFill>
      <xdr:spPr>
        <a:xfrm>
          <a:off x="628650" y="20669250"/>
          <a:ext cx="10514286" cy="5333333"/>
        </a:xfrm>
        <a:prstGeom prst="rect">
          <a:avLst/>
        </a:prstGeom>
      </xdr:spPr>
    </xdr:pic>
    <xdr:clientData/>
  </xdr:twoCellAnchor>
  <xdr:twoCellAnchor editAs="oneCell">
    <xdr:from>
      <xdr:col>0</xdr:col>
      <xdr:colOff>1038225</xdr:colOff>
      <xdr:row>133</xdr:row>
      <xdr:rowOff>142875</xdr:rowOff>
    </xdr:from>
    <xdr:to>
      <xdr:col>14</xdr:col>
      <xdr:colOff>113044</xdr:colOff>
      <xdr:row>162</xdr:row>
      <xdr:rowOff>47050</xdr:rowOff>
    </xdr:to>
    <xdr:pic>
      <xdr:nvPicPr>
        <xdr:cNvPr id="7" name="Picture 6">
          <a:extLst>
            <a:ext uri="{FF2B5EF4-FFF2-40B4-BE49-F238E27FC236}">
              <a16:creationId xmlns:a16="http://schemas.microsoft.com/office/drawing/2014/main" id="{654BF506-AB5D-4BDB-98C8-76D9F1814001}"/>
            </a:ext>
          </a:extLst>
        </xdr:cNvPr>
        <xdr:cNvPicPr>
          <a:picLocks noChangeAspect="1"/>
        </xdr:cNvPicPr>
      </xdr:nvPicPr>
      <xdr:blipFill>
        <a:blip xmlns:r="http://schemas.openxmlformats.org/officeDocument/2006/relationships" r:embed="rId2"/>
        <a:stretch>
          <a:fillRect/>
        </a:stretch>
      </xdr:blipFill>
      <xdr:spPr>
        <a:xfrm>
          <a:off x="1038225" y="26031825"/>
          <a:ext cx="10047619" cy="4600000"/>
        </a:xfrm>
        <a:prstGeom prst="rect">
          <a:avLst/>
        </a:prstGeom>
      </xdr:spPr>
    </xdr:pic>
    <xdr:clientData/>
  </xdr:twoCellAnchor>
  <xdr:twoCellAnchor editAs="oneCell">
    <xdr:from>
      <xdr:col>0</xdr:col>
      <xdr:colOff>1714500</xdr:colOff>
      <xdr:row>37</xdr:row>
      <xdr:rowOff>66675</xdr:rowOff>
    </xdr:from>
    <xdr:to>
      <xdr:col>9</xdr:col>
      <xdr:colOff>219075</xdr:colOff>
      <xdr:row>91</xdr:row>
      <xdr:rowOff>1089</xdr:rowOff>
    </xdr:to>
    <xdr:pic>
      <xdr:nvPicPr>
        <xdr:cNvPr id="5" name="Picture 4">
          <a:extLst>
            <a:ext uri="{FF2B5EF4-FFF2-40B4-BE49-F238E27FC236}">
              <a16:creationId xmlns:a16="http://schemas.microsoft.com/office/drawing/2014/main" id="{4C3F8FF9-C8BF-4995-BDAE-1016F5D23156}"/>
            </a:ext>
          </a:extLst>
        </xdr:cNvPr>
        <xdr:cNvPicPr>
          <a:picLocks noChangeAspect="1"/>
        </xdr:cNvPicPr>
      </xdr:nvPicPr>
      <xdr:blipFill rotWithShape="1">
        <a:blip xmlns:r="http://schemas.openxmlformats.org/officeDocument/2006/relationships" r:embed="rId3"/>
        <a:srcRect l="1" r="568" b="769"/>
        <a:stretch/>
      </xdr:blipFill>
      <xdr:spPr>
        <a:xfrm>
          <a:off x="1714500" y="6686550"/>
          <a:ext cx="6372225" cy="867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78"/>
  <sheetViews>
    <sheetView tabSelected="1" zoomScale="75" zoomScaleNormal="75" zoomScaleSheetLayoutView="80" workbookViewId="0">
      <selection activeCell="H5" sqref="H5"/>
    </sheetView>
  </sheetViews>
  <sheetFormatPr defaultColWidth="9.1796875" defaultRowHeight="15.5"/>
  <cols>
    <col min="1" max="1" width="7.453125" style="227" customWidth="1"/>
    <col min="2" max="2" width="5.7265625" style="232" customWidth="1"/>
    <col min="3" max="3" width="64" style="232" customWidth="1"/>
    <col min="4" max="4" width="35.81640625" style="232" customWidth="1"/>
    <col min="5" max="5" width="25.7265625" style="220" customWidth="1"/>
    <col min="6" max="6" width="65.7265625" style="168" customWidth="1"/>
    <col min="7" max="7" width="2.7265625" style="168" customWidth="1"/>
    <col min="8" max="8" width="26.1796875" style="168" customWidth="1"/>
    <col min="9" max="9" width="3.26953125" style="221" customWidth="1"/>
    <col min="10" max="10" width="7.453125" style="168" customWidth="1"/>
    <col min="11" max="11" width="16.7265625" customWidth="1"/>
    <col min="12" max="12" width="4.1796875" customWidth="1"/>
    <col min="13" max="13" width="11.453125" bestFit="1" customWidth="1"/>
    <col min="14" max="14" width="9.1796875" style="168" customWidth="1"/>
    <col min="15" max="15" width="19.453125" style="168" customWidth="1"/>
    <col min="16" max="17" width="9.1796875" style="168" customWidth="1"/>
    <col min="18" max="18" width="12.453125" style="168" customWidth="1"/>
    <col min="19" max="16384" width="9.1796875" style="168"/>
  </cols>
  <sheetData>
    <row r="1" spans="1:16" ht="30">
      <c r="A1" s="1"/>
      <c r="C1" s="232" t="s">
        <v>86</v>
      </c>
      <c r="F1" s="921"/>
      <c r="H1" s="271"/>
      <c r="I1" s="923"/>
      <c r="J1" s="312"/>
    </row>
    <row r="2" spans="1:16" ht="28">
      <c r="A2" s="1"/>
      <c r="D2" s="390" t="s">
        <v>1549</v>
      </c>
      <c r="F2" s="391"/>
      <c r="H2" s="271"/>
      <c r="I2" s="923"/>
      <c r="J2" s="312"/>
    </row>
    <row r="3" spans="1:16" s="395" customFormat="1" ht="25.5" customHeight="1" thickBot="1">
      <c r="A3" s="392"/>
      <c r="B3" s="393"/>
      <c r="C3" s="393"/>
      <c r="D3" s="393"/>
      <c r="E3" s="394"/>
      <c r="J3" s="312"/>
      <c r="K3"/>
      <c r="L3"/>
      <c r="M3"/>
    </row>
    <row r="4" spans="1:16" ht="27.75" customHeight="1" thickBot="1">
      <c r="A4" s="396" t="s">
        <v>1550</v>
      </c>
      <c r="B4" s="397"/>
      <c r="C4" s="397"/>
      <c r="D4" s="397"/>
      <c r="E4" s="398"/>
      <c r="F4" s="399"/>
      <c r="H4" s="422"/>
      <c r="I4" s="394"/>
      <c r="J4" s="11"/>
    </row>
    <row r="5" spans="1:16" s="312" customFormat="1" ht="42" customHeight="1" thickBot="1">
      <c r="A5" s="400" t="s">
        <v>277</v>
      </c>
      <c r="B5" s="401"/>
      <c r="C5" s="402"/>
      <c r="D5" s="402"/>
      <c r="E5" s="403" t="s">
        <v>278</v>
      </c>
      <c r="F5" s="404" t="s">
        <v>279</v>
      </c>
      <c r="G5" s="405"/>
      <c r="H5" s="406" t="s">
        <v>1786</v>
      </c>
      <c r="I5" s="977"/>
      <c r="K5"/>
      <c r="L5"/>
      <c r="M5"/>
    </row>
    <row r="6" spans="1:16" s="413" customFormat="1" ht="23.25" customHeight="1">
      <c r="A6" s="407" t="s">
        <v>280</v>
      </c>
      <c r="B6" s="408"/>
      <c r="C6" s="409"/>
      <c r="D6" s="409"/>
      <c r="E6" s="410"/>
      <c r="F6" s="411"/>
      <c r="G6" s="412"/>
      <c r="H6" s="411"/>
      <c r="I6" s="411"/>
      <c r="K6"/>
      <c r="L6"/>
      <c r="M6"/>
    </row>
    <row r="7" spans="1:16" s="221" customFormat="1">
      <c r="A7" s="414" t="s">
        <v>281</v>
      </c>
      <c r="B7" s="415"/>
      <c r="C7" s="416"/>
      <c r="D7" s="416"/>
      <c r="E7" s="417"/>
      <c r="F7" s="418"/>
      <c r="G7" s="418"/>
      <c r="H7" s="292"/>
      <c r="I7" s="420"/>
      <c r="K7"/>
      <c r="L7"/>
      <c r="M7"/>
      <c r="N7"/>
      <c r="O7"/>
      <c r="P7"/>
    </row>
    <row r="8" spans="1:16" s="221" customFormat="1">
      <c r="A8" s="252"/>
      <c r="B8" s="311"/>
      <c r="C8" s="311"/>
      <c r="D8" s="311"/>
      <c r="E8" s="1512"/>
      <c r="F8" s="419"/>
      <c r="G8" s="419"/>
      <c r="H8" s="420"/>
      <c r="I8" s="420"/>
      <c r="K8"/>
      <c r="L8"/>
      <c r="M8"/>
      <c r="N8"/>
      <c r="O8"/>
      <c r="P8"/>
    </row>
    <row r="9" spans="1:16" ht="18" customHeight="1">
      <c r="A9" s="228"/>
      <c r="B9" s="259" t="s">
        <v>282</v>
      </c>
      <c r="E9" s="294"/>
      <c r="F9" s="243"/>
      <c r="G9" s="243"/>
      <c r="H9" s="243"/>
      <c r="I9" s="244"/>
      <c r="N9"/>
      <c r="O9"/>
      <c r="P9"/>
    </row>
    <row r="10" spans="1:16">
      <c r="A10" s="236">
        <v>1</v>
      </c>
      <c r="B10" s="236"/>
      <c r="C10" s="419" t="s">
        <v>283</v>
      </c>
      <c r="D10" s="421"/>
      <c r="E10" s="1505"/>
      <c r="F10" s="243" t="s">
        <v>284</v>
      </c>
      <c r="G10" s="232"/>
      <c r="H10" s="423">
        <v>5048447</v>
      </c>
      <c r="I10" s="978"/>
      <c r="N10"/>
      <c r="O10"/>
      <c r="P10"/>
    </row>
    <row r="11" spans="1:16">
      <c r="A11" s="220"/>
      <c r="E11" s="1505"/>
      <c r="N11"/>
      <c r="O11"/>
      <c r="P11"/>
    </row>
    <row r="12" spans="1:16">
      <c r="A12" s="236">
        <v>2</v>
      </c>
      <c r="B12" s="236"/>
      <c r="C12" s="419" t="s">
        <v>285</v>
      </c>
      <c r="D12" s="419"/>
      <c r="E12" s="1505"/>
      <c r="F12" s="419" t="s">
        <v>286</v>
      </c>
      <c r="G12" s="232"/>
      <c r="H12" s="423">
        <v>39587969</v>
      </c>
      <c r="I12" s="978"/>
      <c r="N12"/>
      <c r="O12"/>
      <c r="P12"/>
    </row>
    <row r="13" spans="1:16">
      <c r="A13" s="236">
        <v>3</v>
      </c>
      <c r="B13" s="236"/>
      <c r="C13" s="1700" t="s">
        <v>287</v>
      </c>
      <c r="D13" s="419"/>
      <c r="E13" s="1505"/>
      <c r="F13" s="419" t="s">
        <v>288</v>
      </c>
      <c r="G13" s="232"/>
      <c r="H13" s="424">
        <v>3239295</v>
      </c>
      <c r="I13" s="979"/>
      <c r="N13"/>
      <c r="O13"/>
      <c r="P13"/>
    </row>
    <row r="14" spans="1:16">
      <c r="A14" s="236">
        <v>4</v>
      </c>
      <c r="B14" s="236"/>
      <c r="C14" s="425" t="s">
        <v>44</v>
      </c>
      <c r="D14" s="263"/>
      <c r="E14" s="426"/>
      <c r="F14" s="263" t="s">
        <v>812</v>
      </c>
      <c r="G14" s="260"/>
      <c r="H14" s="263">
        <f>H12-H13</f>
        <v>36348674</v>
      </c>
      <c r="I14" s="235"/>
      <c r="N14"/>
      <c r="O14"/>
      <c r="P14"/>
    </row>
    <row r="15" spans="1:16">
      <c r="A15" s="236"/>
      <c r="B15" s="236"/>
      <c r="C15" s="247"/>
      <c r="E15" s="294"/>
      <c r="F15" s="232"/>
      <c r="G15" s="232"/>
      <c r="H15" s="243"/>
      <c r="I15" s="244"/>
      <c r="N15"/>
      <c r="O15"/>
      <c r="P15"/>
    </row>
    <row r="16" spans="1:16" ht="16" thickBot="1">
      <c r="A16" s="236">
        <v>5</v>
      </c>
      <c r="B16" s="427" t="s">
        <v>264</v>
      </c>
      <c r="C16" s="427"/>
      <c r="D16" s="428"/>
      <c r="E16" s="497"/>
      <c r="F16" s="429" t="s">
        <v>813</v>
      </c>
      <c r="G16" s="430"/>
      <c r="H16" s="431">
        <f>+H10/H14</f>
        <v>0.13888944064369446</v>
      </c>
      <c r="I16" s="975"/>
      <c r="N16"/>
      <c r="O16"/>
      <c r="P16"/>
    </row>
    <row r="17" spans="1:16" ht="16" thickTop="1">
      <c r="A17" s="236"/>
      <c r="B17" s="236"/>
      <c r="C17" s="259"/>
      <c r="D17" s="255"/>
      <c r="E17" s="294"/>
      <c r="F17" s="232"/>
      <c r="G17" s="232"/>
      <c r="H17" s="432"/>
      <c r="I17" s="980"/>
      <c r="N17"/>
      <c r="O17"/>
      <c r="P17"/>
    </row>
    <row r="18" spans="1:16">
      <c r="A18" s="220"/>
      <c r="B18" s="259" t="s">
        <v>54</v>
      </c>
      <c r="D18" s="168"/>
      <c r="E18" s="1505"/>
      <c r="N18"/>
      <c r="O18"/>
      <c r="P18"/>
    </row>
    <row r="19" spans="1:16">
      <c r="A19" s="228">
        <v>6</v>
      </c>
      <c r="B19" s="168"/>
      <c r="C19" s="419" t="s">
        <v>144</v>
      </c>
      <c r="E19" s="515" t="str">
        <f>"(Note "&amp;B$327&amp;")"</f>
        <v>(Note B)</v>
      </c>
      <c r="F19" s="419" t="s">
        <v>787</v>
      </c>
      <c r="H19" s="423">
        <f>'9A - Gross Plant &amp; ARO'!K24</f>
        <v>4371784665.0069227</v>
      </c>
      <c r="I19" s="978"/>
      <c r="N19"/>
      <c r="O19"/>
      <c r="P19"/>
    </row>
    <row r="20" spans="1:16">
      <c r="A20" s="228" t="s">
        <v>810</v>
      </c>
      <c r="B20" s="228"/>
      <c r="C20" s="259" t="s">
        <v>762</v>
      </c>
      <c r="D20" s="255"/>
      <c r="E20" s="1505"/>
      <c r="F20" s="244" t="s">
        <v>811</v>
      </c>
      <c r="H20" s="423">
        <f>+'10 - Merger Costs'!C103</f>
        <v>969311.32000000018</v>
      </c>
      <c r="I20" s="978"/>
      <c r="N20"/>
      <c r="O20"/>
      <c r="P20"/>
    </row>
    <row r="21" spans="1:16">
      <c r="A21" s="228">
        <v>7</v>
      </c>
      <c r="B21" s="168"/>
      <c r="C21" s="419" t="s">
        <v>289</v>
      </c>
      <c r="E21" s="515"/>
      <c r="F21" s="241" t="str">
        <f>"(Line "&amp;A$53&amp;" - "&amp;A$54&amp;")"</f>
        <v>(Line 24 - 24a)</v>
      </c>
      <c r="H21" s="244">
        <f>H53-H54</f>
        <v>0</v>
      </c>
      <c r="I21" s="244"/>
      <c r="N21"/>
      <c r="O21"/>
      <c r="P21"/>
    </row>
    <row r="22" spans="1:16">
      <c r="A22" s="228">
        <v>8</v>
      </c>
      <c r="B22" s="168"/>
      <c r="C22" s="433" t="s">
        <v>290</v>
      </c>
      <c r="D22" s="260"/>
      <c r="E22" s="436"/>
      <c r="F22" s="263" t="str">
        <f>"(Line "&amp;A19&amp;" - "&amp;A20&amp;" +"&amp;A21&amp;")"</f>
        <v>(Line 6 - 6a +7)</v>
      </c>
      <c r="G22" s="434"/>
      <c r="H22" s="258">
        <f>+H19-H20+H21</f>
        <v>4370815353.686923</v>
      </c>
      <c r="I22" s="235"/>
      <c r="N22"/>
      <c r="O22"/>
      <c r="P22"/>
    </row>
    <row r="23" spans="1:16">
      <c r="A23" s="422"/>
      <c r="B23" s="168"/>
      <c r="C23" s="419"/>
      <c r="E23" s="1505"/>
      <c r="F23" s="419"/>
      <c r="H23" s="244"/>
      <c r="I23" s="244"/>
      <c r="N23"/>
      <c r="O23"/>
      <c r="P23"/>
    </row>
    <row r="24" spans="1:16">
      <c r="A24" s="228">
        <f>+A22+1</f>
        <v>9</v>
      </c>
      <c r="B24" s="168"/>
      <c r="C24" s="419" t="s">
        <v>145</v>
      </c>
      <c r="E24" s="1505"/>
      <c r="F24" s="419" t="s">
        <v>861</v>
      </c>
      <c r="H24" s="423">
        <f>+'9A - Gross Plant &amp; ARO'!C64</f>
        <v>883293628.21615386</v>
      </c>
      <c r="I24" s="978"/>
      <c r="N24"/>
      <c r="O24"/>
      <c r="P24"/>
    </row>
    <row r="25" spans="1:16">
      <c r="A25" s="228" t="s">
        <v>855</v>
      </c>
      <c r="B25" s="221"/>
      <c r="C25" s="259" t="s">
        <v>762</v>
      </c>
      <c r="D25" s="255"/>
      <c r="E25" s="1505"/>
      <c r="F25" s="244" t="s">
        <v>859</v>
      </c>
      <c r="H25" s="423">
        <f>+'10 - Merger Costs'!C51</f>
        <v>42917.134925256403</v>
      </c>
      <c r="I25" s="978"/>
      <c r="N25"/>
      <c r="O25"/>
      <c r="P25"/>
    </row>
    <row r="26" spans="1:16">
      <c r="A26" s="228">
        <f>+A24+1</f>
        <v>10</v>
      </c>
      <c r="B26" s="168"/>
      <c r="C26" s="419" t="s">
        <v>146</v>
      </c>
      <c r="E26" s="515" t="str">
        <f>"(Note "&amp;B$326&amp;")"</f>
        <v>(Note A)</v>
      </c>
      <c r="F26" s="244" t="s">
        <v>862</v>
      </c>
      <c r="H26" s="423">
        <f>+'9 - Rate Base'!I24</f>
        <v>25951383.566923078</v>
      </c>
      <c r="I26" s="978"/>
      <c r="N26"/>
      <c r="O26"/>
      <c r="P26"/>
    </row>
    <row r="27" spans="1:16">
      <c r="A27" s="228" t="s">
        <v>856</v>
      </c>
      <c r="B27" s="221"/>
      <c r="C27" s="259" t="s">
        <v>762</v>
      </c>
      <c r="D27" s="255"/>
      <c r="E27" s="1505"/>
      <c r="F27" s="244" t="s">
        <v>886</v>
      </c>
      <c r="H27" s="423">
        <f>+'9 - Rate Base'!I25</f>
        <v>433781.03633384599</v>
      </c>
      <c r="I27" s="978"/>
      <c r="N27"/>
      <c r="O27"/>
      <c r="P27"/>
    </row>
    <row r="28" spans="1:16">
      <c r="A28" s="228">
        <f>+A26+1</f>
        <v>11</v>
      </c>
      <c r="B28" s="168"/>
      <c r="C28" s="419" t="s">
        <v>291</v>
      </c>
      <c r="E28" s="515" t="str">
        <f>"(Note "&amp;B$326&amp;")"</f>
        <v>(Note A)</v>
      </c>
      <c r="F28" s="244" t="s">
        <v>863</v>
      </c>
      <c r="H28" s="435">
        <f>+'9 - Rate Base'!J24</f>
        <v>0</v>
      </c>
      <c r="I28" s="244"/>
      <c r="N28"/>
      <c r="O28"/>
      <c r="P28"/>
    </row>
    <row r="29" spans="1:16">
      <c r="A29" s="228" t="s">
        <v>866</v>
      </c>
      <c r="B29" s="221"/>
      <c r="C29" s="259" t="s">
        <v>762</v>
      </c>
      <c r="D29" s="255"/>
      <c r="E29" s="1505"/>
      <c r="F29" s="244" t="s">
        <v>864</v>
      </c>
      <c r="H29" s="435">
        <f>+'9 - Rate Base'!J25</f>
        <v>0</v>
      </c>
      <c r="I29" s="244"/>
      <c r="N29"/>
      <c r="O29"/>
      <c r="P29"/>
    </row>
    <row r="30" spans="1:16">
      <c r="A30" s="228">
        <f>+A28+1</f>
        <v>12</v>
      </c>
      <c r="C30" s="311" t="s">
        <v>293</v>
      </c>
      <c r="E30" s="515" t="str">
        <f>"(Note "&amp;B$326&amp;")"</f>
        <v>(Note A)</v>
      </c>
      <c r="F30" s="244" t="s">
        <v>865</v>
      </c>
      <c r="H30" s="435">
        <f>+'9 - Rate Base'!H24</f>
        <v>0</v>
      </c>
      <c r="I30" s="244"/>
      <c r="N30"/>
      <c r="O30"/>
      <c r="P30"/>
    </row>
    <row r="31" spans="1:16">
      <c r="A31" s="228" t="s">
        <v>867</v>
      </c>
      <c r="B31" s="221"/>
      <c r="C31" s="259" t="s">
        <v>762</v>
      </c>
      <c r="D31" s="255"/>
      <c r="E31" s="1505"/>
      <c r="F31" s="244" t="s">
        <v>885</v>
      </c>
      <c r="H31" s="435">
        <f>+'9 - Rate Base'!H25</f>
        <v>0</v>
      </c>
      <c r="I31" s="244"/>
      <c r="N31"/>
      <c r="O31"/>
      <c r="P31"/>
    </row>
    <row r="32" spans="1:16">
      <c r="A32" s="228">
        <v>13</v>
      </c>
      <c r="C32" s="433" t="s">
        <v>294</v>
      </c>
      <c r="D32" s="260"/>
      <c r="E32" s="436"/>
      <c r="F32" s="263" t="str">
        <f>"(Line "&amp;A24&amp;" - "&amp;A25&amp;" + "&amp;A26&amp;" - "&amp;A27&amp;" + "&amp;A28&amp;" - "&amp;A29&amp;" + "&amp;A30&amp;" - "&amp;A31&amp;")"</f>
        <v>(Line 9 - 9a + 10 - 10a + 11 - 11a + 12 - 12a)</v>
      </c>
      <c r="G32" s="434"/>
      <c r="H32" s="258">
        <f>H24-H25+H26-H27+H28-H29+H30-H31</f>
        <v>908768313.61181784</v>
      </c>
      <c r="I32" s="235"/>
      <c r="N32"/>
      <c r="O32"/>
      <c r="P32"/>
    </row>
    <row r="33" spans="1:16" ht="17.25" customHeight="1">
      <c r="A33" s="220"/>
      <c r="C33" s="311"/>
      <c r="E33" s="1505"/>
      <c r="F33" s="243"/>
      <c r="H33" s="437"/>
      <c r="I33" s="439"/>
      <c r="N33"/>
      <c r="O33"/>
      <c r="P33"/>
    </row>
    <row r="34" spans="1:16">
      <c r="A34" s="236">
        <v>14</v>
      </c>
      <c r="B34" s="168"/>
      <c r="C34" s="434" t="s">
        <v>295</v>
      </c>
      <c r="D34" s="434"/>
      <c r="E34" s="436"/>
      <c r="F34" s="263" t="s">
        <v>815</v>
      </c>
      <c r="G34" s="434"/>
      <c r="H34" s="263">
        <f>+H22-H32</f>
        <v>3462047040.0751052</v>
      </c>
      <c r="I34" s="235"/>
      <c r="N34"/>
      <c r="O34"/>
      <c r="P34"/>
    </row>
    <row r="35" spans="1:16">
      <c r="A35" s="220"/>
      <c r="B35" s="168"/>
      <c r="C35" s="168"/>
      <c r="D35" s="168"/>
      <c r="E35" s="1505"/>
      <c r="N35"/>
      <c r="O35"/>
      <c r="P35"/>
    </row>
    <row r="36" spans="1:16">
      <c r="A36" s="228">
        <v>15</v>
      </c>
      <c r="B36" s="168"/>
      <c r="C36" s="168" t="s">
        <v>296</v>
      </c>
      <c r="D36" s="168"/>
      <c r="E36" s="1505"/>
      <c r="F36" s="241" t="s">
        <v>816</v>
      </c>
      <c r="H36" s="437">
        <f>+H61-H59</f>
        <v>1629696217.7978616</v>
      </c>
      <c r="I36" s="439"/>
      <c r="N36"/>
      <c r="O36"/>
      <c r="P36"/>
    </row>
    <row r="37" spans="1:16" ht="16" thickBot="1">
      <c r="A37" s="236">
        <v>16</v>
      </c>
      <c r="B37" s="283" t="s">
        <v>237</v>
      </c>
      <c r="C37" s="283"/>
      <c r="D37" s="283"/>
      <c r="E37" s="438"/>
      <c r="F37" s="429" t="s">
        <v>817</v>
      </c>
      <c r="G37" s="283"/>
      <c r="H37" s="431">
        <f>+H36/(H22)</f>
        <v>0.37285862840743444</v>
      </c>
      <c r="I37" s="975"/>
      <c r="N37"/>
      <c r="O37"/>
      <c r="P37"/>
    </row>
    <row r="38" spans="1:16" ht="16" thickTop="1">
      <c r="A38" s="220"/>
      <c r="E38" s="1505"/>
      <c r="N38"/>
      <c r="O38"/>
      <c r="P38"/>
    </row>
    <row r="39" spans="1:16">
      <c r="A39" s="228">
        <v>17</v>
      </c>
      <c r="B39" s="236"/>
      <c r="C39" s="259" t="s">
        <v>297</v>
      </c>
      <c r="D39" s="255"/>
      <c r="E39" s="294"/>
      <c r="F39" s="241" t="s">
        <v>818</v>
      </c>
      <c r="G39" s="232"/>
      <c r="H39" s="439">
        <f>+H80-H59</f>
        <v>1341449365.0656426</v>
      </c>
      <c r="I39" s="439"/>
      <c r="N39"/>
      <c r="O39"/>
      <c r="P39"/>
    </row>
    <row r="40" spans="1:16" ht="16" thickBot="1">
      <c r="A40" s="236">
        <v>18</v>
      </c>
      <c r="B40" s="283" t="s">
        <v>298</v>
      </c>
      <c r="C40" s="283"/>
      <c r="D40" s="283"/>
      <c r="E40" s="438"/>
      <c r="F40" s="429" t="s">
        <v>819</v>
      </c>
      <c r="G40" s="283"/>
      <c r="H40" s="440">
        <f>+H39/H34</f>
        <v>0.3874728880161436</v>
      </c>
      <c r="I40" s="975"/>
      <c r="N40"/>
      <c r="O40"/>
      <c r="P40"/>
    </row>
    <row r="41" spans="1:16" ht="16" thickTop="1">
      <c r="A41" s="236"/>
      <c r="B41" s="461"/>
      <c r="C41" s="461"/>
      <c r="D41" s="461"/>
      <c r="E41" s="1505"/>
      <c r="F41" s="234"/>
      <c r="G41" s="461"/>
      <c r="H41" s="975"/>
      <c r="I41" s="975"/>
      <c r="N41"/>
      <c r="O41"/>
      <c r="P41"/>
    </row>
    <row r="42" spans="1:16" s="221" customFormat="1">
      <c r="A42" s="441" t="s">
        <v>299</v>
      </c>
      <c r="B42" s="442"/>
      <c r="C42" s="416"/>
      <c r="D42" s="416"/>
      <c r="E42" s="1513"/>
      <c r="F42" s="418"/>
      <c r="G42" s="418"/>
      <c r="H42" s="292"/>
      <c r="I42" s="420"/>
      <c r="K42"/>
      <c r="L42"/>
      <c r="M42"/>
      <c r="N42"/>
      <c r="O42"/>
      <c r="P42"/>
    </row>
    <row r="43" spans="1:16" s="221" customFormat="1">
      <c r="A43" s="443"/>
      <c r="B43" s="444"/>
      <c r="C43" s="311"/>
      <c r="D43" s="311"/>
      <c r="E43" s="1514"/>
      <c r="F43" s="419"/>
      <c r="G43" s="419"/>
      <c r="H43" s="420"/>
      <c r="I43" s="420"/>
      <c r="K43"/>
      <c r="L43"/>
      <c r="M43"/>
      <c r="N43"/>
      <c r="O43"/>
      <c r="P43"/>
    </row>
    <row r="44" spans="1:16">
      <c r="A44" s="220"/>
      <c r="B44" s="259" t="s">
        <v>56</v>
      </c>
      <c r="E44" s="294"/>
      <c r="F44" s="244"/>
      <c r="G44" s="228"/>
      <c r="H44" s="243"/>
      <c r="I44" s="244"/>
      <c r="N44"/>
      <c r="O44"/>
      <c r="P44"/>
    </row>
    <row r="45" spans="1:16">
      <c r="A45" s="228">
        <v>19</v>
      </c>
      <c r="B45" s="236"/>
      <c r="C45" s="247" t="s">
        <v>300</v>
      </c>
      <c r="E45" s="515" t="str">
        <f>"(Note "&amp;B$327&amp;")"</f>
        <v>(Note B)</v>
      </c>
      <c r="F45" s="244" t="s">
        <v>880</v>
      </c>
      <c r="G45" s="232"/>
      <c r="H45" s="423">
        <f>+'9 - Rate Base'!C24</f>
        <v>1597562320.5284615</v>
      </c>
      <c r="I45" s="978"/>
      <c r="N45"/>
      <c r="O45"/>
      <c r="P45"/>
    </row>
    <row r="46" spans="1:16">
      <c r="A46" s="228" t="s">
        <v>868</v>
      </c>
      <c r="B46" s="221"/>
      <c r="C46" s="259" t="s">
        <v>762</v>
      </c>
      <c r="D46" s="255"/>
      <c r="E46" s="1505"/>
      <c r="F46" s="244" t="s">
        <v>869</v>
      </c>
      <c r="G46" s="232"/>
      <c r="H46" s="435">
        <f>+'9 - Rate Base'!C25</f>
        <v>0</v>
      </c>
      <c r="I46" s="244"/>
      <c r="N46"/>
      <c r="O46"/>
      <c r="P46"/>
    </row>
    <row r="47" spans="1:16">
      <c r="A47" s="228">
        <v>20</v>
      </c>
      <c r="B47" s="228"/>
      <c r="C47" s="259" t="s">
        <v>803</v>
      </c>
      <c r="D47" s="255"/>
      <c r="E47" s="294"/>
      <c r="F47" s="252"/>
      <c r="G47" s="232"/>
      <c r="H47" s="904">
        <v>0</v>
      </c>
      <c r="I47" s="904"/>
      <c r="N47"/>
      <c r="O47"/>
      <c r="P47"/>
    </row>
    <row r="48" spans="1:16">
      <c r="A48" s="228">
        <v>21</v>
      </c>
      <c r="B48" s="228"/>
      <c r="C48" s="541" t="s">
        <v>803</v>
      </c>
      <c r="D48" s="491"/>
      <c r="E48" s="445"/>
      <c r="F48" s="305"/>
      <c r="G48" s="238"/>
      <c r="H48" s="905">
        <v>0</v>
      </c>
      <c r="I48" s="904"/>
      <c r="N48"/>
      <c r="O48"/>
      <c r="P48"/>
    </row>
    <row r="49" spans="1:16">
      <c r="A49" s="228">
        <v>22</v>
      </c>
      <c r="B49" s="236"/>
      <c r="C49" s="247" t="s">
        <v>302</v>
      </c>
      <c r="E49" s="515"/>
      <c r="F49" s="263" t="str">
        <f>"(Line "&amp;A45&amp;" -"&amp;A46&amp;")"</f>
        <v>(Line 19 -19a)</v>
      </c>
      <c r="G49" s="232"/>
      <c r="H49" s="244">
        <f>H45-H46+H47+H48</f>
        <v>1597562320.5284615</v>
      </c>
      <c r="I49" s="244"/>
      <c r="N49"/>
      <c r="O49"/>
      <c r="P49"/>
    </row>
    <row r="50" spans="1:16" s="221" customFormat="1">
      <c r="A50" s="228"/>
      <c r="B50" s="228"/>
      <c r="C50" s="259"/>
      <c r="D50" s="255"/>
      <c r="E50" s="1505"/>
      <c r="F50" s="244"/>
      <c r="G50" s="255"/>
      <c r="H50" s="244"/>
      <c r="I50" s="244"/>
      <c r="K50"/>
      <c r="L50"/>
      <c r="M50"/>
      <c r="N50"/>
      <c r="O50"/>
      <c r="P50"/>
    </row>
    <row r="51" spans="1:16">
      <c r="A51" s="228">
        <v>23</v>
      </c>
      <c r="B51" s="236"/>
      <c r="C51" s="247" t="s">
        <v>147</v>
      </c>
      <c r="E51" s="1505"/>
      <c r="F51" s="244" t="s">
        <v>881</v>
      </c>
      <c r="G51" s="232"/>
      <c r="H51" s="435">
        <f>+'9 - Rate Base'!D24</f>
        <v>232332452.53846151</v>
      </c>
      <c r="I51" s="244"/>
      <c r="N51"/>
      <c r="O51"/>
      <c r="P51"/>
    </row>
    <row r="52" spans="1:16">
      <c r="A52" s="228" t="s">
        <v>870</v>
      </c>
      <c r="B52" s="228"/>
      <c r="C52" s="259" t="s">
        <v>762</v>
      </c>
      <c r="D52" s="255"/>
      <c r="E52" s="1505"/>
      <c r="F52" s="244" t="s">
        <v>871</v>
      </c>
      <c r="G52" s="232"/>
      <c r="H52" s="435">
        <f>+'9 - Rate Base'!D25</f>
        <v>969311.32000000018</v>
      </c>
      <c r="I52" s="244"/>
      <c r="N52"/>
      <c r="O52"/>
      <c r="P52"/>
    </row>
    <row r="53" spans="1:16">
      <c r="A53" s="228">
        <v>24</v>
      </c>
      <c r="B53" s="236"/>
      <c r="C53" s="247" t="s">
        <v>303</v>
      </c>
      <c r="E53" s="515" t="str">
        <f>"(Notes "&amp;B$326&amp;" &amp; "&amp;B$327&amp;")"</f>
        <v>(Notes A &amp; B)</v>
      </c>
      <c r="F53" s="235" t="s">
        <v>882</v>
      </c>
      <c r="G53" s="232"/>
      <c r="H53" s="446">
        <f>+'9 - Rate Base'!E24</f>
        <v>0</v>
      </c>
      <c r="I53" s="235"/>
      <c r="N53"/>
      <c r="O53"/>
      <c r="P53"/>
    </row>
    <row r="54" spans="1:16">
      <c r="A54" s="228" t="s">
        <v>872</v>
      </c>
      <c r="B54" s="228"/>
      <c r="C54" s="259" t="s">
        <v>762</v>
      </c>
      <c r="D54" s="255"/>
      <c r="E54" s="1505"/>
      <c r="F54" s="250" t="s">
        <v>873</v>
      </c>
      <c r="G54" s="232"/>
      <c r="H54" s="435">
        <f>+'9 - Rate Base'!E25</f>
        <v>0</v>
      </c>
      <c r="I54" s="244"/>
      <c r="N54"/>
      <c r="O54"/>
      <c r="P54"/>
    </row>
    <row r="55" spans="1:16">
      <c r="A55" s="228">
        <v>25</v>
      </c>
      <c r="B55" s="236"/>
      <c r="C55" s="425" t="s">
        <v>304</v>
      </c>
      <c r="D55" s="260"/>
      <c r="E55" s="436"/>
      <c r="F55" s="263" t="str">
        <f>"(Line "&amp;A51&amp;" -"&amp;A52&amp;" + "&amp;A53&amp;" - "&amp;A54&amp;")"</f>
        <v>(Line 23 -23a + 24 - 24a)</v>
      </c>
      <c r="G55" s="260"/>
      <c r="H55" s="263">
        <f>H51-H52+H53-H54</f>
        <v>231363141.21846151</v>
      </c>
      <c r="I55" s="235"/>
      <c r="N55"/>
      <c r="O55"/>
      <c r="P55"/>
    </row>
    <row r="56" spans="1:16">
      <c r="A56" s="228">
        <v>26</v>
      </c>
      <c r="B56" s="236"/>
      <c r="C56" s="1689" t="s">
        <v>305</v>
      </c>
      <c r="D56" s="259"/>
      <c r="E56" s="294"/>
      <c r="F56" s="241" t="str">
        <f>"(Line "&amp;A$16&amp;")"</f>
        <v>(Line 5)</v>
      </c>
      <c r="G56" s="447"/>
      <c r="H56" s="448">
        <f>+H16</f>
        <v>0.13888944064369446</v>
      </c>
      <c r="I56" s="981"/>
      <c r="N56"/>
      <c r="O56"/>
      <c r="P56"/>
    </row>
    <row r="57" spans="1:16">
      <c r="A57" s="228">
        <v>27</v>
      </c>
      <c r="B57" s="168"/>
      <c r="C57" s="257" t="s">
        <v>306</v>
      </c>
      <c r="D57" s="433"/>
      <c r="E57" s="426"/>
      <c r="F57" s="234" t="str">
        <f>"(Line "&amp;A55&amp;" * "&amp;A56&amp;")"</f>
        <v>(Line 25 * 26)</v>
      </c>
      <c r="G57" s="434"/>
      <c r="H57" s="263">
        <f>+H56*H55</f>
        <v>32133897.269400209</v>
      </c>
      <c r="I57" s="235"/>
      <c r="N57"/>
      <c r="O57"/>
      <c r="P57"/>
    </row>
    <row r="58" spans="1:16">
      <c r="A58" s="422"/>
      <c r="B58" s="168"/>
      <c r="C58" s="259"/>
      <c r="D58" s="221"/>
      <c r="E58" s="445"/>
      <c r="H58" s="234"/>
      <c r="I58" s="235"/>
      <c r="N58"/>
      <c r="O58"/>
      <c r="P58"/>
    </row>
    <row r="59" spans="1:16">
      <c r="A59" s="228">
        <v>28</v>
      </c>
      <c r="B59" s="236"/>
      <c r="C59" s="257" t="s">
        <v>307</v>
      </c>
      <c r="D59" s="449"/>
      <c r="E59" s="515" t="str">
        <f>"(Note "&amp;B$332&amp;")"</f>
        <v>(Note C)</v>
      </c>
      <c r="F59" s="258" t="s">
        <v>789</v>
      </c>
      <c r="G59" s="260"/>
      <c r="H59" s="450">
        <f>+'9 - Rate Base'!D47</f>
        <v>813792.15384615387</v>
      </c>
      <c r="I59" s="235"/>
      <c r="N59"/>
      <c r="O59"/>
      <c r="P59"/>
    </row>
    <row r="60" spans="1:16">
      <c r="A60" s="422"/>
      <c r="B60" s="168"/>
      <c r="C60" s="259"/>
      <c r="D60" s="221"/>
      <c r="E60" s="1505"/>
      <c r="H60" s="234"/>
      <c r="I60" s="235"/>
      <c r="N60"/>
      <c r="O60"/>
      <c r="P60"/>
    </row>
    <row r="61" spans="1:16" s="312" customFormat="1" ht="16" thickBot="1">
      <c r="A61" s="228">
        <v>29</v>
      </c>
      <c r="B61" s="283" t="s">
        <v>308</v>
      </c>
      <c r="C61" s="283"/>
      <c r="D61" s="283"/>
      <c r="E61" s="438"/>
      <c r="F61" s="429" t="str">
        <f>"(Line "&amp;A49&amp;" + "&amp;A57&amp;" + "&amp;A59&amp;")"</f>
        <v>(Line 22 + 27 + 28)</v>
      </c>
      <c r="G61" s="283"/>
      <c r="H61" s="451">
        <f>SUM(H49,H57,H59)</f>
        <v>1630510009.9517078</v>
      </c>
      <c r="I61" s="540"/>
      <c r="J61" s="168"/>
      <c r="K61"/>
      <c r="L61"/>
      <c r="M61"/>
      <c r="N61"/>
      <c r="O61"/>
      <c r="P61"/>
    </row>
    <row r="62" spans="1:16" ht="16" thickTop="1">
      <c r="A62" s="422"/>
      <c r="B62" s="168"/>
      <c r="C62" s="168"/>
      <c r="D62" s="168"/>
      <c r="E62" s="1505"/>
      <c r="N62"/>
      <c r="O62"/>
      <c r="P62"/>
    </row>
    <row r="63" spans="1:16">
      <c r="A63" s="228"/>
      <c r="B63" s="259" t="s">
        <v>73</v>
      </c>
      <c r="C63" s="259"/>
      <c r="D63" s="244"/>
      <c r="E63" s="294"/>
      <c r="F63" s="243"/>
      <c r="G63" s="301"/>
      <c r="H63" s="243"/>
      <c r="I63" s="244"/>
      <c r="N63"/>
      <c r="O63"/>
      <c r="P63"/>
    </row>
    <row r="64" spans="1:16">
      <c r="A64" s="422"/>
      <c r="B64" s="255"/>
      <c r="C64" s="255"/>
      <c r="D64" s="255"/>
      <c r="E64" s="1505"/>
      <c r="F64" s="243"/>
      <c r="G64" s="243"/>
      <c r="H64" s="243"/>
      <c r="I64" s="244"/>
      <c r="N64"/>
      <c r="O64"/>
      <c r="P64"/>
    </row>
    <row r="65" spans="1:16">
      <c r="A65" s="228">
        <v>30</v>
      </c>
      <c r="B65" s="236"/>
      <c r="C65" s="247" t="s">
        <v>309</v>
      </c>
      <c r="E65" s="515" t="str">
        <f>"(Note "&amp;B$327&amp;")"</f>
        <v>(Note B)</v>
      </c>
      <c r="F65" s="244" t="s">
        <v>877</v>
      </c>
      <c r="G65" s="232"/>
      <c r="H65" s="435">
        <f>+'9 - Rate Base'!F24</f>
        <v>277871788.37230772</v>
      </c>
      <c r="I65" s="244"/>
      <c r="N65"/>
      <c r="O65"/>
      <c r="P65"/>
    </row>
    <row r="66" spans="1:16">
      <c r="A66" s="228" t="s">
        <v>874</v>
      </c>
      <c r="B66" s="221"/>
      <c r="C66" s="541" t="s">
        <v>762</v>
      </c>
      <c r="D66" s="491"/>
      <c r="E66" s="445"/>
      <c r="F66" s="250" t="s">
        <v>878</v>
      </c>
      <c r="G66" s="238"/>
      <c r="H66" s="514">
        <f>+'9 - Rate Base'!F25</f>
        <v>0</v>
      </c>
      <c r="I66" s="235"/>
      <c r="N66"/>
      <c r="O66"/>
      <c r="P66"/>
    </row>
    <row r="67" spans="1:16">
      <c r="A67" s="228" t="s">
        <v>875</v>
      </c>
      <c r="B67" s="221"/>
      <c r="C67" s="259" t="s">
        <v>876</v>
      </c>
      <c r="D67" s="255"/>
      <c r="E67" s="1505"/>
      <c r="F67" s="244" t="str">
        <f>"(Line "&amp;A65&amp;" - "&amp;A66&amp;")"</f>
        <v>(Line 30 - 30a)</v>
      </c>
      <c r="G67" s="232"/>
      <c r="H67" s="435">
        <f>+H65-H66</f>
        <v>277871788.37230772</v>
      </c>
      <c r="I67" s="244"/>
      <c r="N67"/>
      <c r="O67"/>
      <c r="P67"/>
    </row>
    <row r="68" spans="1:16" s="221" customFormat="1">
      <c r="A68" s="228"/>
      <c r="B68" s="228"/>
      <c r="C68" s="255"/>
      <c r="D68" s="259"/>
      <c r="E68" s="1505"/>
      <c r="F68" s="244"/>
      <c r="G68" s="255"/>
      <c r="H68" s="244"/>
      <c r="I68" s="244"/>
      <c r="K68"/>
      <c r="L68"/>
      <c r="M68"/>
      <c r="N68"/>
      <c r="O68"/>
      <c r="P68"/>
    </row>
    <row r="69" spans="1:16">
      <c r="A69" s="228">
        <v>31</v>
      </c>
      <c r="B69" s="236"/>
      <c r="C69" s="247" t="s">
        <v>151</v>
      </c>
      <c r="E69" s="1505"/>
      <c r="F69" s="244" t="s">
        <v>883</v>
      </c>
      <c r="G69" s="232"/>
      <c r="H69" s="435">
        <f>+'9 - Rate Base'!G24</f>
        <v>49225481.239230767</v>
      </c>
      <c r="I69" s="244"/>
      <c r="N69"/>
      <c r="O69"/>
      <c r="P69"/>
    </row>
    <row r="70" spans="1:16">
      <c r="A70" s="228" t="s">
        <v>879</v>
      </c>
      <c r="B70" s="228"/>
      <c r="C70" s="259" t="s">
        <v>762</v>
      </c>
      <c r="D70" s="255"/>
      <c r="E70" s="1505"/>
      <c r="F70" s="244" t="s">
        <v>884</v>
      </c>
      <c r="G70" s="232"/>
      <c r="H70" s="435">
        <f>+'9 - Rate Base'!G25</f>
        <v>42917.134925256403</v>
      </c>
      <c r="I70" s="244"/>
      <c r="N70"/>
      <c r="O70"/>
      <c r="P70"/>
    </row>
    <row r="71" spans="1:16">
      <c r="A71" s="228">
        <v>32</v>
      </c>
      <c r="B71" s="236"/>
      <c r="C71" s="247" t="s">
        <v>146</v>
      </c>
      <c r="E71" s="1505"/>
      <c r="F71" s="234" t="str">
        <f>"(Line "&amp;A$26&amp;" - "&amp;A$27&amp;")"</f>
        <v>(Line 10 - 10a)</v>
      </c>
      <c r="G71" s="232"/>
      <c r="H71" s="244">
        <f>+H26-H27</f>
        <v>25517602.53058923</v>
      </c>
      <c r="I71" s="244"/>
      <c r="N71"/>
      <c r="O71"/>
      <c r="P71"/>
    </row>
    <row r="72" spans="1:16">
      <c r="A72" s="228">
        <v>33</v>
      </c>
      <c r="B72" s="236"/>
      <c r="C72" s="247" t="s">
        <v>291</v>
      </c>
      <c r="E72" s="515"/>
      <c r="F72" s="234" t="str">
        <f>"(Line "&amp;A$28&amp;" - "&amp;A$29&amp;")"</f>
        <v>(Line 11 - 11a)</v>
      </c>
      <c r="G72" s="232"/>
      <c r="H72" s="244">
        <f>+H28-H29</f>
        <v>0</v>
      </c>
      <c r="I72" s="244"/>
      <c r="N72"/>
      <c r="O72"/>
      <c r="P72"/>
    </row>
    <row r="73" spans="1:16">
      <c r="A73" s="228">
        <v>34</v>
      </c>
      <c r="B73" s="236"/>
      <c r="C73" s="273" t="s">
        <v>310</v>
      </c>
      <c r="D73" s="238"/>
      <c r="E73" s="482"/>
      <c r="F73" s="241" t="str">
        <f>"(Line "&amp;A$30&amp;" - "&amp;A$31&amp;")"</f>
        <v>(Line 12 - 12a)</v>
      </c>
      <c r="G73" s="232"/>
      <c r="H73" s="250">
        <f>+H30-H31</f>
        <v>0</v>
      </c>
      <c r="I73" s="235"/>
      <c r="N73"/>
      <c r="O73"/>
      <c r="P73"/>
    </row>
    <row r="74" spans="1:16">
      <c r="A74" s="228">
        <v>35</v>
      </c>
      <c r="B74" s="236"/>
      <c r="C74" s="453" t="s">
        <v>294</v>
      </c>
      <c r="D74" s="231"/>
      <c r="E74" s="294"/>
      <c r="F74" s="263" t="str">
        <f>"(Line "&amp;A69&amp;" - "&amp;A70&amp;" + "&amp;A71&amp;" + "&amp;A72&amp;" + "&amp;A73&amp;")"</f>
        <v>(Line 31 - 31a + 32 + 33 + 34)</v>
      </c>
      <c r="G74" s="234"/>
      <c r="H74" s="234">
        <f>H69-H70+H71+H72+H73</f>
        <v>74700166.634894744</v>
      </c>
      <c r="I74" s="235"/>
      <c r="N74"/>
      <c r="O74"/>
      <c r="P74"/>
    </row>
    <row r="75" spans="1:16">
      <c r="A75" s="228">
        <v>36</v>
      </c>
      <c r="B75" s="236"/>
      <c r="C75" s="1684" t="s">
        <v>305</v>
      </c>
      <c r="D75" s="231"/>
      <c r="E75" s="294"/>
      <c r="F75" s="241" t="str">
        <f>"(Line "&amp;A$16&amp;")"</f>
        <v>(Line 5)</v>
      </c>
      <c r="G75" s="234"/>
      <c r="H75" s="454">
        <f>+H16</f>
        <v>0.13888944064369446</v>
      </c>
      <c r="I75" s="982"/>
      <c r="N75"/>
      <c r="O75"/>
      <c r="P75"/>
    </row>
    <row r="76" spans="1:16">
      <c r="A76" s="228">
        <v>37</v>
      </c>
      <c r="B76" s="168"/>
      <c r="C76" s="425" t="s">
        <v>311</v>
      </c>
      <c r="D76" s="434"/>
      <c r="E76" s="436"/>
      <c r="F76" s="234" t="str">
        <f>"(Line "&amp;A74&amp;" * "&amp;A75&amp;")"</f>
        <v>(Line 35 * 36)</v>
      </c>
      <c r="G76" s="434"/>
      <c r="H76" s="263">
        <f>+H75*H74</f>
        <v>10375064.359911298</v>
      </c>
      <c r="I76" s="235"/>
      <c r="N76"/>
      <c r="O76"/>
      <c r="P76"/>
    </row>
    <row r="77" spans="1:16">
      <c r="A77" s="422"/>
      <c r="B77" s="168"/>
      <c r="C77" s="168"/>
      <c r="D77" s="168"/>
      <c r="E77" s="1505"/>
      <c r="N77"/>
      <c r="O77"/>
      <c r="P77"/>
    </row>
    <row r="78" spans="1:16" ht="16" thickBot="1">
      <c r="A78" s="228">
        <v>38</v>
      </c>
      <c r="B78" s="283" t="s">
        <v>312</v>
      </c>
      <c r="C78" s="283"/>
      <c r="D78" s="283"/>
      <c r="E78" s="438"/>
      <c r="F78" s="429" t="str">
        <f>"(Line "&amp;A67&amp;" + "&amp;A76&amp;")"</f>
        <v>(Line 30b + 37)</v>
      </c>
      <c r="G78" s="283"/>
      <c r="H78" s="451">
        <f>+H76+H67</f>
        <v>288246852.73221904</v>
      </c>
      <c r="I78" s="540"/>
      <c r="N78"/>
      <c r="O78"/>
      <c r="P78"/>
    </row>
    <row r="79" spans="1:16" ht="16" thickTop="1">
      <c r="A79" s="422"/>
      <c r="B79" s="168"/>
      <c r="C79" s="168"/>
      <c r="D79" s="168"/>
      <c r="E79" s="1505"/>
      <c r="N79"/>
      <c r="O79"/>
      <c r="P79"/>
    </row>
    <row r="80" spans="1:16" ht="16" thickBot="1">
      <c r="A80" s="228">
        <v>39</v>
      </c>
      <c r="B80" s="283" t="s">
        <v>313</v>
      </c>
      <c r="C80" s="283"/>
      <c r="D80" s="283"/>
      <c r="E80" s="438"/>
      <c r="F80" s="429" t="str">
        <f>"(Line "&amp;A61&amp;" - "&amp;A78&amp;")"</f>
        <v>(Line 29 - 38)</v>
      </c>
      <c r="G80" s="283"/>
      <c r="H80" s="451">
        <f>+H61-H78</f>
        <v>1342263157.2194889</v>
      </c>
      <c r="I80" s="540"/>
      <c r="N80"/>
      <c r="O80"/>
      <c r="P80"/>
    </row>
    <row r="81" spans="1:16" ht="16" thickTop="1">
      <c r="A81" s="220"/>
      <c r="B81" s="168"/>
      <c r="C81" s="168"/>
      <c r="D81" s="168"/>
      <c r="E81" s="1505"/>
      <c r="N81"/>
      <c r="O81"/>
      <c r="P81"/>
    </row>
    <row r="82" spans="1:16">
      <c r="A82" s="441" t="s">
        <v>314</v>
      </c>
      <c r="B82" s="416"/>
      <c r="C82" s="416"/>
      <c r="D82" s="416"/>
      <c r="E82" s="1513"/>
      <c r="F82" s="418"/>
      <c r="G82" s="418"/>
      <c r="H82" s="225"/>
      <c r="N82"/>
      <c r="O82"/>
      <c r="P82"/>
    </row>
    <row r="83" spans="1:16">
      <c r="A83" s="1489"/>
      <c r="B83" s="456"/>
      <c r="C83" s="456"/>
      <c r="D83" s="456"/>
      <c r="E83" s="1505"/>
      <c r="N83"/>
      <c r="O83"/>
      <c r="P83"/>
    </row>
    <row r="84" spans="1:16">
      <c r="A84" s="422"/>
      <c r="B84" s="1195" t="s">
        <v>896</v>
      </c>
      <c r="C84" s="1186"/>
      <c r="D84" s="1187"/>
      <c r="E84" s="271"/>
      <c r="F84" s="1187"/>
      <c r="G84" s="1186"/>
      <c r="H84" s="1189"/>
      <c r="N84"/>
      <c r="O84"/>
      <c r="P84"/>
    </row>
    <row r="85" spans="1:16">
      <c r="A85" s="422" t="s">
        <v>897</v>
      </c>
      <c r="B85" s="1195"/>
      <c r="C85" s="1188" t="s">
        <v>898</v>
      </c>
      <c r="D85" s="1248" t="str">
        <f>'1A - ADIT Summary'!D177</f>
        <v>Projected Activity</v>
      </c>
      <c r="E85" s="515" t="str">
        <f>"(Note "&amp;B356&amp;")"</f>
        <v>(Note V)</v>
      </c>
      <c r="F85" s="1227" t="str">
        <f>"Attachment 1A - ADIT Summary, Line "&amp;'1A - ADIT Summary'!B38&amp;""</f>
        <v>Attachment 1A - ADIT Summary, Line 23</v>
      </c>
      <c r="G85" s="1186"/>
      <c r="H85" s="1680">
        <f>IF('1A - ADIT Summary'!$D$177="True-Up Adjustment", '1A - ADIT Summary'!R38,'1A - ADIT Summary'!L38)</f>
        <v>12252097.771618281</v>
      </c>
      <c r="J85" s="1187"/>
      <c r="N85"/>
      <c r="O85"/>
      <c r="P85"/>
    </row>
    <row r="86" spans="1:16">
      <c r="A86" s="422" t="s">
        <v>899</v>
      </c>
      <c r="B86" s="1195"/>
      <c r="C86" s="1188" t="s">
        <v>900</v>
      </c>
      <c r="D86" s="1248" t="str">
        <f>D85</f>
        <v>Projected Activity</v>
      </c>
      <c r="E86" s="515" t="str">
        <f>"(Note "&amp;B356&amp;")"</f>
        <v>(Note V)</v>
      </c>
      <c r="F86" s="1227" t="str">
        <f>"Attachment 1A - ADIT Summary, Line "&amp;'1A - ADIT Summary'!B71&amp;""</f>
        <v>Attachment 1A - ADIT Summary, Line 46</v>
      </c>
      <c r="G86" s="1186"/>
      <c r="H86" s="1680">
        <f>IF('1A - ADIT Summary'!$D$177="True-Up Adjustment", '1A - ADIT Summary'!R71,'1A - ADIT Summary'!L71)</f>
        <v>0</v>
      </c>
      <c r="J86" s="1187"/>
      <c r="N86"/>
      <c r="O86"/>
      <c r="P86"/>
    </row>
    <row r="87" spans="1:16">
      <c r="A87" s="422" t="s">
        <v>901</v>
      </c>
      <c r="B87" s="1195"/>
      <c r="C87" s="1188" t="s">
        <v>1207</v>
      </c>
      <c r="D87" s="1248" t="str">
        <f>D86</f>
        <v>Projected Activity</v>
      </c>
      <c r="E87" s="515" t="str">
        <f>"(Note "&amp;B356&amp;")"</f>
        <v>(Note V)</v>
      </c>
      <c r="F87" s="1227" t="str">
        <f>"Attachment 1A - ADIT Summary, Line "&amp;'1A - ADIT Summary'!B104&amp;""</f>
        <v>Attachment 1A - ADIT Summary, Line 69</v>
      </c>
      <c r="G87" s="1186"/>
      <c r="H87" s="1680">
        <f>IF('1A - ADIT Summary'!$D$177="True-Up Adjustment", '1A - ADIT Summary'!R104,'1A - ADIT Summary'!L104)</f>
        <v>-265041233.90190917</v>
      </c>
      <c r="J87" s="1187"/>
      <c r="N87"/>
      <c r="O87"/>
      <c r="P87"/>
    </row>
    <row r="88" spans="1:16">
      <c r="A88" s="422" t="s">
        <v>902</v>
      </c>
      <c r="B88" s="1196"/>
      <c r="C88" s="1188" t="s">
        <v>903</v>
      </c>
      <c r="D88" s="1248" t="str">
        <f>D87</f>
        <v>Projected Activity</v>
      </c>
      <c r="E88" s="515" t="str">
        <f>"(Note "&amp;B356&amp;")"</f>
        <v>(Note V)</v>
      </c>
      <c r="F88" s="1227" t="str">
        <f>"Attachment 1A - ADIT Summary, Line "&amp;'1A - ADIT Summary'!B137&amp;""</f>
        <v>Attachment 1A - ADIT Summary, Line 92</v>
      </c>
      <c r="G88" s="1186"/>
      <c r="H88" s="1680">
        <f>IF('1A - ADIT Summary'!$D$177="True-Up Adjustment", '1A - ADIT Summary'!R137,'1A - ADIT Summary'!L137)</f>
        <v>-2777700.0743937725</v>
      </c>
      <c r="J88" s="1187"/>
      <c r="N88"/>
      <c r="O88"/>
      <c r="P88"/>
    </row>
    <row r="89" spans="1:16">
      <c r="A89" s="422" t="s">
        <v>1208</v>
      </c>
      <c r="B89" s="1187"/>
      <c r="C89" s="1192" t="s">
        <v>904</v>
      </c>
      <c r="D89" s="1248" t="str">
        <f>D88</f>
        <v>Projected Activity</v>
      </c>
      <c r="E89" s="482" t="str">
        <f>"(Note "&amp;B354&amp;")"</f>
        <v>(Note U)</v>
      </c>
      <c r="F89" s="1231" t="str">
        <f>"Attachment 1A - ADIT Summary, Line "&amp;'1A - ADIT Summary'!B170&amp;""</f>
        <v>Attachment 1A - ADIT Summary, Line 115</v>
      </c>
      <c r="G89" s="1191"/>
      <c r="H89" s="1681">
        <f>IF('1A - ADIT Summary'!$D$177="True-Up Adjustment", '1A - ADIT Summary'!R170,'1A - ADIT Summary'!L170)</f>
        <v>0</v>
      </c>
      <c r="J89" s="1187"/>
      <c r="N89"/>
      <c r="O89"/>
      <c r="P89"/>
    </row>
    <row r="90" spans="1:16">
      <c r="A90" s="422" t="s">
        <v>1209</v>
      </c>
      <c r="B90" s="1187"/>
      <c r="C90" s="1197" t="s">
        <v>318</v>
      </c>
      <c r="D90" s="1194"/>
      <c r="E90" s="436"/>
      <c r="F90" s="1227" t="str">
        <f>"(Line "&amp;A85&amp;" + "&amp;A86&amp;" + "&amp;A87&amp;" + "&amp;A88&amp;" + "&amp;A89&amp;")"</f>
        <v>(Line 40a + 40b + 40c + 40d + 40e)</v>
      </c>
      <c r="G90" s="1194"/>
      <c r="H90" s="1200">
        <f>SUM(H85:H89)</f>
        <v>-255566836.20468467</v>
      </c>
      <c r="J90" s="1187"/>
      <c r="N90"/>
      <c r="O90"/>
      <c r="P90"/>
    </row>
    <row r="91" spans="1:16">
      <c r="A91" s="422"/>
      <c r="B91" s="1187"/>
      <c r="C91" s="1196"/>
      <c r="D91" s="1193"/>
      <c r="E91" s="1505"/>
      <c r="F91" s="1193"/>
      <c r="G91" s="1198"/>
      <c r="H91" s="1199"/>
      <c r="J91" s="1187"/>
      <c r="N91"/>
      <c r="O91"/>
      <c r="P91"/>
    </row>
    <row r="92" spans="1:16">
      <c r="A92" s="228"/>
      <c r="B92" s="1187" t="s">
        <v>1744</v>
      </c>
      <c r="C92" s="1195"/>
      <c r="D92" s="1193"/>
      <c r="E92" s="1505"/>
      <c r="F92" s="1221"/>
      <c r="G92" s="1193"/>
      <c r="H92" s="1203"/>
      <c r="J92" s="1187"/>
      <c r="N92"/>
      <c r="O92"/>
      <c r="P92"/>
    </row>
    <row r="93" spans="1:16">
      <c r="A93" s="228" t="s">
        <v>1210</v>
      </c>
      <c r="B93" s="1187"/>
      <c r="C93" s="1195" t="s">
        <v>1211</v>
      </c>
      <c r="D93" s="1193" t="s">
        <v>1206</v>
      </c>
      <c r="E93" s="515" t="str">
        <f>"(Note "&amp;B366&amp;")"</f>
        <v>(Note W)</v>
      </c>
      <c r="F93" s="1227" t="str">
        <f>"Attachment 1D - ADIT Rate Base Adjustment, Line "&amp;'1D - ADIT Rate Base Adjustment'!B117&amp;""</f>
        <v>Attachment 1D - ADIT Rate Base Adjustment, Line 73</v>
      </c>
      <c r="G93" s="1193"/>
      <c r="H93" s="1204">
        <f>IF('1D - ADIT Rate Base Adjustment'!D237="True-Up Adjustment",'1D - ADIT Rate Base Adjustment'!N117,'1D - ADIT Rate Base Adjustment'!H117)</f>
        <v>-75983462.495385483</v>
      </c>
      <c r="J93" s="1187"/>
      <c r="N93"/>
      <c r="O93"/>
      <c r="P93"/>
    </row>
    <row r="94" spans="1:16">
      <c r="A94" s="228" t="s">
        <v>1212</v>
      </c>
      <c r="B94" s="1187"/>
      <c r="C94" s="1201" t="s">
        <v>1213</v>
      </c>
      <c r="D94" s="1202" t="s">
        <v>1206</v>
      </c>
      <c r="E94" s="482" t="str">
        <f>"(Note "&amp;B366&amp;")"</f>
        <v>(Note W)</v>
      </c>
      <c r="F94" s="1231" t="str">
        <f>"Attachment 1D - ADIT Rate Base Adjustment, Line "&amp;'1D - ADIT Rate Base Adjustment'!B230&amp;""</f>
        <v>Attachment 1D - ADIT Rate Base Adjustment, Line 146</v>
      </c>
      <c r="G94" s="1202"/>
      <c r="H94" s="1205">
        <f>IF('1D - ADIT Rate Base Adjustment'!D237="True-Up Adjustment",'1D - ADIT Rate Base Adjustment'!N230,'1D - ADIT Rate Base Adjustment'!H230)</f>
        <v>0</v>
      </c>
      <c r="J94" s="1187"/>
      <c r="N94"/>
      <c r="O94"/>
      <c r="P94"/>
    </row>
    <row r="95" spans="1:16">
      <c r="A95" s="228">
        <v>42</v>
      </c>
      <c r="B95" s="1187"/>
      <c r="C95" s="1195" t="s">
        <v>1214</v>
      </c>
      <c r="D95" s="1193"/>
      <c r="E95" s="1505"/>
      <c r="F95" s="1227" t="str">
        <f>"(Line "&amp;A93&amp;" + "&amp;A94&amp;")"</f>
        <v>(Line 41a + 41b)</v>
      </c>
      <c r="G95" s="1193"/>
      <c r="H95" s="1203">
        <f>H93+H94</f>
        <v>-75983462.495385483</v>
      </c>
      <c r="J95" s="1187"/>
      <c r="N95"/>
      <c r="O95"/>
      <c r="P95"/>
    </row>
    <row r="96" spans="1:16">
      <c r="A96" s="228"/>
      <c r="B96" s="1187"/>
      <c r="C96" s="1195"/>
      <c r="D96" s="1193"/>
      <c r="E96" s="1505"/>
      <c r="F96" s="1190"/>
      <c r="G96" s="1193"/>
      <c r="H96" s="1203"/>
      <c r="J96" s="1187"/>
      <c r="N96"/>
      <c r="O96"/>
      <c r="P96"/>
    </row>
    <row r="97" spans="1:16">
      <c r="A97" s="228">
        <v>43</v>
      </c>
      <c r="B97" s="1187"/>
      <c r="C97" s="1197" t="s">
        <v>1215</v>
      </c>
      <c r="D97" s="1194"/>
      <c r="E97" s="436"/>
      <c r="F97" s="1227" t="str">
        <f>"(Line "&amp;A90&amp;" + "&amp;A95&amp;")"</f>
        <v>(Line 40f + 42)</v>
      </c>
      <c r="G97" s="1194"/>
      <c r="H97" s="1206">
        <f>H90+H95</f>
        <v>-331550298.70007014</v>
      </c>
      <c r="J97" s="1187"/>
      <c r="N97"/>
      <c r="O97"/>
      <c r="P97"/>
    </row>
    <row r="98" spans="1:16">
      <c r="A98" s="455"/>
      <c r="B98" s="456"/>
      <c r="C98" s="456"/>
      <c r="D98" s="456"/>
      <c r="E98" s="1505"/>
      <c r="N98"/>
      <c r="O98"/>
      <c r="P98"/>
    </row>
    <row r="99" spans="1:16">
      <c r="A99" s="228" t="s">
        <v>319</v>
      </c>
      <c r="B99" s="457" t="s">
        <v>320</v>
      </c>
      <c r="D99" s="419"/>
      <c r="E99" s="515" t="s">
        <v>321</v>
      </c>
      <c r="F99" s="235" t="s">
        <v>889</v>
      </c>
      <c r="G99" s="419"/>
      <c r="H99" s="463">
        <f>+'9 - Rate Base'!C47</f>
        <v>0</v>
      </c>
      <c r="I99" s="462"/>
      <c r="N99"/>
      <c r="O99"/>
      <c r="P99"/>
    </row>
    <row r="100" spans="1:16" ht="15" customHeight="1">
      <c r="A100" s="228"/>
      <c r="B100" s="168"/>
      <c r="D100" s="419"/>
      <c r="E100" s="515"/>
      <c r="F100" s="235"/>
      <c r="G100" s="461"/>
      <c r="H100" s="462"/>
      <c r="I100" s="462"/>
      <c r="N100"/>
      <c r="O100"/>
      <c r="P100"/>
    </row>
    <row r="101" spans="1:16" s="221" customFormat="1">
      <c r="A101" s="228"/>
      <c r="B101" s="221" t="s">
        <v>323</v>
      </c>
      <c r="C101" s="458"/>
      <c r="D101" s="419"/>
      <c r="E101" s="1505"/>
      <c r="F101" s="235"/>
      <c r="G101" s="419"/>
      <c r="H101" s="462"/>
      <c r="I101" s="462"/>
      <c r="K101"/>
      <c r="L101"/>
      <c r="M101"/>
      <c r="N101"/>
      <c r="O101"/>
      <c r="P101"/>
    </row>
    <row r="102" spans="1:16">
      <c r="A102" s="422">
        <v>44</v>
      </c>
      <c r="B102" s="221"/>
      <c r="C102" s="457" t="s">
        <v>1038</v>
      </c>
      <c r="D102" s="419"/>
      <c r="E102" s="1505" t="s">
        <v>317</v>
      </c>
      <c r="F102" s="924" t="s">
        <v>322</v>
      </c>
      <c r="G102" s="461"/>
      <c r="H102" s="1199">
        <f>+'5 - Cost Support 1'!AC123</f>
        <v>-5840703.7387591992</v>
      </c>
      <c r="I102" s="462"/>
      <c r="N102"/>
      <c r="O102"/>
      <c r="P102"/>
    </row>
    <row r="103" spans="1:16">
      <c r="A103" s="228"/>
      <c r="B103" s="464"/>
      <c r="C103" s="255"/>
      <c r="D103" s="255"/>
      <c r="E103" s="1505"/>
      <c r="F103" s="465"/>
      <c r="G103" s="315"/>
      <c r="N103"/>
      <c r="O103"/>
      <c r="P103"/>
    </row>
    <row r="104" spans="1:16">
      <c r="A104" s="228"/>
      <c r="B104" s="229" t="s">
        <v>111</v>
      </c>
      <c r="C104" s="229"/>
      <c r="D104" s="255"/>
      <c r="E104" s="1505"/>
      <c r="F104" s="466"/>
      <c r="G104" s="467"/>
      <c r="N104"/>
      <c r="O104"/>
      <c r="P104"/>
    </row>
    <row r="105" spans="1:16">
      <c r="A105" s="228">
        <v>45</v>
      </c>
      <c r="B105" s="468"/>
      <c r="C105" s="469" t="s">
        <v>113</v>
      </c>
      <c r="D105" s="452"/>
      <c r="E105" s="482" t="str">
        <f>"(Note "&amp;B$326&amp;")"</f>
        <v>(Note A)</v>
      </c>
      <c r="F105" s="469" t="s">
        <v>790</v>
      </c>
      <c r="G105" s="470"/>
      <c r="H105" s="462">
        <f>+'9 - Rate Base'!G47</f>
        <v>6705535.5434512179</v>
      </c>
      <c r="I105" s="462"/>
      <c r="J105" s="437"/>
      <c r="N105"/>
      <c r="O105"/>
      <c r="P105"/>
    </row>
    <row r="106" spans="1:16">
      <c r="A106" s="236">
        <v>46</v>
      </c>
      <c r="B106" s="464"/>
      <c r="C106" s="221" t="s">
        <v>324</v>
      </c>
      <c r="D106" s="260"/>
      <c r="E106" s="436"/>
      <c r="F106" s="235" t="s">
        <v>824</v>
      </c>
      <c r="G106" s="309"/>
      <c r="H106" s="471">
        <f>+H105</f>
        <v>6705535.5434512179</v>
      </c>
      <c r="I106" s="462"/>
      <c r="J106" s="437"/>
      <c r="N106"/>
      <c r="O106"/>
      <c r="P106"/>
    </row>
    <row r="107" spans="1:16">
      <c r="A107" s="228"/>
      <c r="B107" s="464"/>
      <c r="C107" s="255"/>
      <c r="E107" s="1505"/>
      <c r="F107" s="315"/>
      <c r="G107" s="315"/>
      <c r="N107"/>
      <c r="O107"/>
      <c r="P107"/>
    </row>
    <row r="108" spans="1:16">
      <c r="A108" s="228"/>
      <c r="B108" s="229" t="s">
        <v>58</v>
      </c>
      <c r="C108" s="221"/>
      <c r="D108" s="221"/>
      <c r="E108" s="1515"/>
      <c r="F108" s="470"/>
      <c r="G108" s="467"/>
      <c r="H108" s="472"/>
      <c r="I108" s="983"/>
      <c r="N108"/>
      <c r="O108"/>
      <c r="P108"/>
    </row>
    <row r="109" spans="1:16">
      <c r="A109" s="422">
        <v>47</v>
      </c>
      <c r="B109" s="221"/>
      <c r="C109" s="221" t="s">
        <v>325</v>
      </c>
      <c r="D109" s="255"/>
      <c r="E109" s="515" t="str">
        <f>"(Note "&amp;B$326&amp;")"</f>
        <v>(Note A)</v>
      </c>
      <c r="F109" s="229" t="s">
        <v>791</v>
      </c>
      <c r="H109" s="473">
        <f>+'9 - Rate Base'!F47</f>
        <v>0</v>
      </c>
      <c r="I109" s="319"/>
      <c r="J109" s="437"/>
      <c r="N109"/>
      <c r="O109"/>
      <c r="P109"/>
    </row>
    <row r="110" spans="1:16" s="221" customFormat="1">
      <c r="A110" s="228">
        <v>48</v>
      </c>
      <c r="B110" s="464"/>
      <c r="C110" s="469" t="s">
        <v>305</v>
      </c>
      <c r="D110" s="305"/>
      <c r="E110" s="445"/>
      <c r="F110" s="241" t="str">
        <f>"(Line "&amp;A$16&amp;")"</f>
        <v>(Line 5)</v>
      </c>
      <c r="G110" s="475"/>
      <c r="H110" s="302">
        <f>+H16</f>
        <v>0.13888944064369446</v>
      </c>
      <c r="I110" s="302"/>
      <c r="K110"/>
      <c r="L110"/>
      <c r="M110"/>
      <c r="N110"/>
      <c r="O110"/>
      <c r="P110"/>
    </row>
    <row r="111" spans="1:16">
      <c r="A111" s="228">
        <v>49</v>
      </c>
      <c r="B111" s="464"/>
      <c r="C111" s="229" t="s">
        <v>326</v>
      </c>
      <c r="D111" s="255"/>
      <c r="E111" s="1505"/>
      <c r="F111" s="234" t="str">
        <f>"(Line "&amp;A109&amp;" * "&amp;A110&amp;")"</f>
        <v>(Line 47 * 48)</v>
      </c>
      <c r="G111" s="467"/>
      <c r="H111" s="471">
        <f>+H109*H110</f>
        <v>0</v>
      </c>
      <c r="I111" s="462"/>
      <c r="N111"/>
      <c r="O111"/>
      <c r="P111"/>
    </row>
    <row r="112" spans="1:16">
      <c r="A112" s="228">
        <v>50</v>
      </c>
      <c r="B112" s="464"/>
      <c r="C112" s="229" t="s">
        <v>327</v>
      </c>
      <c r="D112" s="255"/>
      <c r="E112" s="482" t="s">
        <v>1216</v>
      </c>
      <c r="F112" s="469" t="s">
        <v>1176</v>
      </c>
      <c r="G112" s="467"/>
      <c r="H112" s="473">
        <f>+'9 - Rate Base'!E47</f>
        <v>2968938.0236148783</v>
      </c>
      <c r="I112" s="319"/>
      <c r="N112"/>
      <c r="O112"/>
      <c r="P112"/>
    </row>
    <row r="113" spans="1:16" ht="18" customHeight="1">
      <c r="A113" s="228">
        <v>51</v>
      </c>
      <c r="B113" s="464"/>
      <c r="C113" s="433" t="s">
        <v>328</v>
      </c>
      <c r="D113" s="260"/>
      <c r="E113" s="436"/>
      <c r="F113" s="234" t="str">
        <f>"(Line "&amp;A111&amp;" + "&amp;A112&amp;")"</f>
        <v>(Line 49 + 50)</v>
      </c>
      <c r="G113" s="309"/>
      <c r="H113" s="476">
        <f>SUM(H111:H112)</f>
        <v>2968938.0236148783</v>
      </c>
      <c r="I113" s="540"/>
      <c r="N113"/>
      <c r="O113"/>
      <c r="P113"/>
    </row>
    <row r="114" spans="1:16">
      <c r="A114" s="228"/>
      <c r="B114" s="464"/>
      <c r="C114" s="229"/>
      <c r="E114" s="1505"/>
      <c r="F114" s="467"/>
      <c r="G114" s="467"/>
      <c r="N114"/>
      <c r="O114"/>
      <c r="P114"/>
    </row>
    <row r="115" spans="1:16">
      <c r="A115" s="228"/>
      <c r="B115" s="229" t="s">
        <v>329</v>
      </c>
      <c r="C115" s="221"/>
      <c r="E115" s="1505"/>
      <c r="F115" s="467"/>
      <c r="G115" s="467"/>
      <c r="N115"/>
      <c r="O115"/>
      <c r="P115"/>
    </row>
    <row r="116" spans="1:16">
      <c r="A116" s="228">
        <v>52</v>
      </c>
      <c r="B116" s="464"/>
      <c r="C116" s="229" t="s">
        <v>330</v>
      </c>
      <c r="D116" s="227"/>
      <c r="E116" s="1505"/>
      <c r="F116" s="234" t="str">
        <f>"(Line "&amp;A$167&amp;")"</f>
        <v>(Line 85)</v>
      </c>
      <c r="G116" s="467"/>
      <c r="H116" s="477">
        <f>+H167</f>
        <v>35450417.602287307</v>
      </c>
      <c r="I116" s="477"/>
      <c r="J116" s="437"/>
      <c r="N116"/>
      <c r="O116"/>
      <c r="P116"/>
    </row>
    <row r="117" spans="1:16">
      <c r="A117" s="228">
        <v>53</v>
      </c>
      <c r="B117" s="464"/>
      <c r="C117" s="254" t="s">
        <v>331</v>
      </c>
      <c r="D117" s="227"/>
      <c r="E117" s="1505"/>
      <c r="F117" s="272" t="s">
        <v>332</v>
      </c>
      <c r="H117" s="478">
        <v>0.125</v>
      </c>
      <c r="I117" s="984"/>
      <c r="N117"/>
      <c r="O117"/>
      <c r="P117"/>
    </row>
    <row r="118" spans="1:16" s="312" customFormat="1">
      <c r="A118" s="228">
        <v>54</v>
      </c>
      <c r="B118" s="464"/>
      <c r="C118" s="459" t="s">
        <v>333</v>
      </c>
      <c r="D118" s="262"/>
      <c r="E118" s="436"/>
      <c r="F118" s="234" t="str">
        <f>"(Line "&amp;A116&amp;" * "&amp;A117&amp;")"</f>
        <v>(Line 52 * 53)</v>
      </c>
      <c r="G118" s="434"/>
      <c r="H118" s="479">
        <f>+H116*H117</f>
        <v>4431302.2002859134</v>
      </c>
      <c r="I118" s="465"/>
      <c r="J118" s="168"/>
      <c r="K118"/>
      <c r="L118"/>
      <c r="M118"/>
      <c r="N118"/>
      <c r="O118"/>
      <c r="P118"/>
    </row>
    <row r="119" spans="1:16" s="312" customFormat="1">
      <c r="A119" s="228"/>
      <c r="B119" s="464"/>
      <c r="C119" s="457"/>
      <c r="D119" s="242"/>
      <c r="E119" s="1505"/>
      <c r="F119" s="234"/>
      <c r="G119" s="461"/>
      <c r="H119" s="315"/>
      <c r="I119" s="465"/>
      <c r="K119"/>
      <c r="L119"/>
      <c r="M119"/>
      <c r="N119"/>
      <c r="O119"/>
      <c r="P119"/>
    </row>
    <row r="120" spans="1:16" s="312" customFormat="1">
      <c r="A120" s="168"/>
      <c r="B120" s="457" t="s">
        <v>118</v>
      </c>
      <c r="C120" s="168"/>
      <c r="D120" s="242"/>
      <c r="E120" s="1248"/>
      <c r="F120" s="234"/>
      <c r="G120" s="461"/>
      <c r="H120" s="315"/>
      <c r="I120" s="465"/>
      <c r="K120"/>
      <c r="L120"/>
      <c r="M120"/>
      <c r="N120"/>
      <c r="O120"/>
      <c r="P120"/>
    </row>
    <row r="121" spans="1:16">
      <c r="A121" s="228">
        <v>55</v>
      </c>
      <c r="B121" s="168"/>
      <c r="C121" s="168" t="s">
        <v>334</v>
      </c>
      <c r="D121" s="168"/>
      <c r="E121" s="515" t="str">
        <f>"(Note "&amp;B$343&amp;")"</f>
        <v>(Note N)</v>
      </c>
      <c r="F121" s="168" t="s">
        <v>335</v>
      </c>
      <c r="H121" s="480">
        <f>+'5 - Cost Support 1'!G147</f>
        <v>0</v>
      </c>
      <c r="N121"/>
      <c r="O121"/>
      <c r="P121"/>
    </row>
    <row r="122" spans="1:16">
      <c r="A122" s="220">
        <v>56</v>
      </c>
      <c r="B122" s="168"/>
      <c r="C122" s="481" t="s">
        <v>336</v>
      </c>
      <c r="D122" s="481"/>
      <c r="E122" s="482" t="str">
        <f>+E121</f>
        <v>(Note N)</v>
      </c>
      <c r="F122" s="483" t="str">
        <f>+F121</f>
        <v>From PJM</v>
      </c>
      <c r="H122" s="484">
        <f>+'5 - Cost Support 1'!G152</f>
        <v>0</v>
      </c>
      <c r="I122" s="419"/>
      <c r="N122"/>
      <c r="O122"/>
      <c r="P122"/>
    </row>
    <row r="123" spans="1:16">
      <c r="A123" s="220">
        <v>57</v>
      </c>
      <c r="B123" s="168"/>
      <c r="C123" s="168" t="s">
        <v>337</v>
      </c>
      <c r="D123" s="168"/>
      <c r="E123" s="1505"/>
      <c r="F123" s="234" t="str">
        <f>"(Line "&amp;A121&amp;" - "&amp;A122&amp;")"</f>
        <v>(Line 55 - 56)</v>
      </c>
      <c r="H123" s="168">
        <f>+H121-H122</f>
        <v>0</v>
      </c>
      <c r="N123"/>
      <c r="O123"/>
      <c r="P123"/>
    </row>
    <row r="124" spans="1:16">
      <c r="A124" s="220"/>
      <c r="B124" s="168"/>
      <c r="C124" s="168"/>
      <c r="D124" s="168"/>
      <c r="E124" s="1505"/>
      <c r="N124"/>
      <c r="O124"/>
      <c r="P124"/>
    </row>
    <row r="125" spans="1:16" ht="16" thickBot="1">
      <c r="A125" s="220">
        <v>58</v>
      </c>
      <c r="B125" s="283" t="s">
        <v>338</v>
      </c>
      <c r="C125" s="283"/>
      <c r="D125" s="283"/>
      <c r="E125" s="438"/>
      <c r="F125" s="451" t="str">
        <f>"(Line "&amp;A97&amp;" + "&amp;A99&amp;" + "&amp;A102&amp;" + "&amp;A106&amp;" + "&amp;A113&amp;" + "&amp;A118&amp;" - "&amp;A123&amp;")"</f>
        <v>(Line 43 + 43a + 44 + 46 + 51 + 54 - 57)</v>
      </c>
      <c r="G125" s="485"/>
      <c r="H125" s="451">
        <f>SUM(H97,H99,H102,H106,H113,H118)-H123</f>
        <v>-323285226.67147738</v>
      </c>
      <c r="I125" s="540"/>
      <c r="J125" s="437"/>
      <c r="N125"/>
      <c r="O125"/>
      <c r="P125"/>
    </row>
    <row r="126" spans="1:16" ht="16" thickTop="1">
      <c r="A126" s="220"/>
      <c r="B126" s="168"/>
      <c r="C126" s="168"/>
      <c r="D126" s="168"/>
      <c r="E126" s="1505"/>
      <c r="N126"/>
      <c r="O126"/>
      <c r="P126"/>
    </row>
    <row r="127" spans="1:16" ht="16" thickBot="1">
      <c r="A127" s="236">
        <v>59</v>
      </c>
      <c r="B127" s="283" t="s">
        <v>339</v>
      </c>
      <c r="C127" s="283"/>
      <c r="D127" s="283"/>
      <c r="E127" s="438"/>
      <c r="F127" s="429" t="str">
        <f>"(Line "&amp;A80&amp;" + "&amp;A125&amp;")"</f>
        <v>(Line 39 + 58)</v>
      </c>
      <c r="G127" s="283"/>
      <c r="H127" s="451">
        <f>+H80+H125</f>
        <v>1018977930.5480115</v>
      </c>
      <c r="I127" s="540"/>
      <c r="J127" s="437"/>
      <c r="N127"/>
      <c r="O127"/>
      <c r="P127"/>
    </row>
    <row r="128" spans="1:16" ht="16" thickTop="1">
      <c r="B128" s="168"/>
      <c r="C128" s="168"/>
      <c r="D128" s="168"/>
      <c r="E128" s="1505"/>
      <c r="N128"/>
      <c r="O128"/>
      <c r="P128"/>
    </row>
    <row r="129" spans="1:16" s="221" customFormat="1">
      <c r="A129" s="486" t="s">
        <v>340</v>
      </c>
      <c r="B129" s="487"/>
      <c r="C129" s="488"/>
      <c r="D129" s="290"/>
      <c r="E129" s="1513"/>
      <c r="F129" s="225"/>
      <c r="G129" s="225"/>
      <c r="H129" s="292"/>
      <c r="I129" s="420"/>
      <c r="K129"/>
      <c r="L129"/>
      <c r="M129"/>
      <c r="N129"/>
      <c r="O129"/>
      <c r="P129"/>
    </row>
    <row r="130" spans="1:16" s="221" customFormat="1">
      <c r="A130" s="255"/>
      <c r="B130" s="255"/>
      <c r="C130" s="255"/>
      <c r="D130" s="255"/>
      <c r="E130" s="1514"/>
      <c r="H130" s="420"/>
      <c r="I130" s="420"/>
      <c r="K130"/>
      <c r="L130"/>
      <c r="M130"/>
      <c r="N130"/>
      <c r="O130"/>
      <c r="P130"/>
    </row>
    <row r="131" spans="1:16">
      <c r="A131" s="236"/>
      <c r="B131" s="259" t="s">
        <v>148</v>
      </c>
      <c r="D131" s="243"/>
      <c r="E131" s="294"/>
      <c r="G131" s="243"/>
      <c r="H131" s="243"/>
      <c r="I131" s="244"/>
      <c r="N131"/>
      <c r="O131"/>
      <c r="P131"/>
    </row>
    <row r="132" spans="1:16">
      <c r="A132" s="236">
        <v>60</v>
      </c>
      <c r="B132" s="236"/>
      <c r="C132" s="259" t="s">
        <v>148</v>
      </c>
      <c r="D132" s="255"/>
      <c r="E132" s="1505"/>
      <c r="F132" s="244" t="s">
        <v>1039</v>
      </c>
      <c r="G132" s="228"/>
      <c r="H132" s="435">
        <f>+'11A - O&amp;M'!G38</f>
        <v>22134005</v>
      </c>
      <c r="I132" s="244"/>
      <c r="N132"/>
      <c r="O132"/>
      <c r="P132"/>
    </row>
    <row r="133" spans="1:16">
      <c r="A133" s="236">
        <v>61</v>
      </c>
      <c r="B133" s="236"/>
      <c r="C133" s="259" t="s">
        <v>341</v>
      </c>
      <c r="D133" s="255"/>
      <c r="E133" s="1505"/>
      <c r="F133" s="244" t="s">
        <v>322</v>
      </c>
      <c r="G133" s="228"/>
      <c r="H133" s="244">
        <f>'5 - Cost Support 1'!G160</f>
        <v>0</v>
      </c>
      <c r="I133" s="244"/>
      <c r="N133"/>
      <c r="O133"/>
      <c r="P133"/>
    </row>
    <row r="134" spans="1:16">
      <c r="A134" s="236">
        <v>62</v>
      </c>
      <c r="B134" s="236"/>
      <c r="C134" s="259" t="s">
        <v>342</v>
      </c>
      <c r="D134" s="255"/>
      <c r="E134" s="1505"/>
      <c r="F134" s="244" t="s">
        <v>322</v>
      </c>
      <c r="G134" s="228"/>
      <c r="H134" s="244">
        <f>'5 - Cost Support 1'!J161</f>
        <v>0</v>
      </c>
      <c r="I134" s="244"/>
      <c r="N134"/>
      <c r="O134"/>
      <c r="P134"/>
    </row>
    <row r="135" spans="1:16">
      <c r="A135" s="228">
        <v>63</v>
      </c>
      <c r="B135" s="236"/>
      <c r="C135" s="259" t="s">
        <v>343</v>
      </c>
      <c r="D135" s="255"/>
      <c r="E135" s="1505"/>
      <c r="F135" s="244" t="s">
        <v>344</v>
      </c>
      <c r="G135" s="255"/>
      <c r="H135" s="435">
        <v>0</v>
      </c>
      <c r="I135" s="244"/>
      <c r="N135"/>
      <c r="O135"/>
      <c r="P135"/>
    </row>
    <row r="136" spans="1:16">
      <c r="A136" s="228" t="s">
        <v>759</v>
      </c>
      <c r="B136" s="228"/>
      <c r="C136" s="259" t="s">
        <v>760</v>
      </c>
      <c r="D136" s="255"/>
      <c r="E136" s="1505"/>
      <c r="F136" s="244" t="s">
        <v>907</v>
      </c>
      <c r="G136" s="255"/>
      <c r="H136" s="435">
        <f>+'10 - Merger Costs'!G7</f>
        <v>0</v>
      </c>
      <c r="I136" s="244"/>
      <c r="N136"/>
      <c r="O136"/>
      <c r="P136"/>
    </row>
    <row r="137" spans="1:16">
      <c r="A137" s="228">
        <v>64</v>
      </c>
      <c r="B137" s="228"/>
      <c r="C137" s="259" t="s">
        <v>345</v>
      </c>
      <c r="D137" s="255"/>
      <c r="E137" s="515" t="str">
        <f>"(Note "&amp;B$346&amp;")"</f>
        <v>(Note O)</v>
      </c>
      <c r="F137" s="244" t="s">
        <v>346</v>
      </c>
      <c r="G137" s="255"/>
      <c r="H137" s="435">
        <v>0</v>
      </c>
      <c r="I137" s="244"/>
      <c r="J137" s="489"/>
      <c r="N137"/>
      <c r="O137"/>
      <c r="P137"/>
    </row>
    <row r="138" spans="1:16">
      <c r="A138" s="228">
        <v>65</v>
      </c>
      <c r="B138" s="236"/>
      <c r="C138" s="259" t="s">
        <v>347</v>
      </c>
      <c r="D138" s="244"/>
      <c r="E138" s="482" t="str">
        <f>"(Note "&amp;B$326&amp;")"</f>
        <v>(Note A)</v>
      </c>
      <c r="F138" s="250" t="s">
        <v>348</v>
      </c>
      <c r="G138" s="255"/>
      <c r="H138" s="446">
        <v>0</v>
      </c>
      <c r="I138" s="235"/>
      <c r="N138"/>
      <c r="O138"/>
      <c r="P138"/>
    </row>
    <row r="139" spans="1:16">
      <c r="A139" s="228">
        <v>66</v>
      </c>
      <c r="B139" s="255"/>
      <c r="C139" s="257" t="s">
        <v>148</v>
      </c>
      <c r="D139" s="256"/>
      <c r="E139" s="436"/>
      <c r="F139" s="235" t="str">
        <f>"(Lines "&amp;A132&amp;" - "&amp;A133&amp;" + "&amp;A134&amp;" - "&amp;A135&amp;" - "&amp;A136&amp;" + "&amp;A137&amp;" + "&amp;A138&amp;")"</f>
        <v>(Lines 60 - 61 + 62 - 63 - 63a + 64 + 65)</v>
      </c>
      <c r="G139" s="433"/>
      <c r="H139" s="258">
        <f>+H132-H133+H134-H135-H136+H137+H138</f>
        <v>22134005</v>
      </c>
      <c r="I139" s="235"/>
      <c r="N139"/>
      <c r="O139"/>
      <c r="P139"/>
    </row>
    <row r="140" spans="1:16">
      <c r="A140" s="228"/>
      <c r="B140" s="228"/>
      <c r="C140" s="259"/>
      <c r="D140" s="255"/>
      <c r="E140" s="294"/>
      <c r="F140" s="255"/>
      <c r="G140" s="255"/>
      <c r="H140" s="432"/>
      <c r="I140" s="980"/>
      <c r="N140"/>
      <c r="O140"/>
      <c r="P140"/>
    </row>
    <row r="141" spans="1:16">
      <c r="A141" s="228"/>
      <c r="B141" s="259" t="s">
        <v>59</v>
      </c>
      <c r="C141" s="255"/>
      <c r="D141" s="255"/>
      <c r="E141" s="294"/>
      <c r="F141" s="255"/>
      <c r="G141" s="255"/>
      <c r="H141" s="432"/>
      <c r="I141" s="980"/>
      <c r="N141"/>
      <c r="O141"/>
      <c r="P141"/>
    </row>
    <row r="142" spans="1:16">
      <c r="A142" s="228">
        <v>67</v>
      </c>
      <c r="B142" s="228"/>
      <c r="C142" s="259" t="s">
        <v>349</v>
      </c>
      <c r="D142" s="255"/>
      <c r="E142" s="515" t="str">
        <f>"(Note "&amp;B$326&amp;")"</f>
        <v>(Note A)</v>
      </c>
      <c r="F142" s="243" t="s">
        <v>292</v>
      </c>
      <c r="G142" s="255"/>
      <c r="H142" s="435">
        <v>0</v>
      </c>
      <c r="I142" s="244"/>
      <c r="N142"/>
      <c r="O142"/>
      <c r="P142"/>
    </row>
    <row r="143" spans="1:16">
      <c r="A143" s="228">
        <v>68</v>
      </c>
      <c r="B143" s="228"/>
      <c r="C143" s="259" t="s">
        <v>149</v>
      </c>
      <c r="D143" s="255"/>
      <c r="E143" s="1505"/>
      <c r="F143" s="244" t="s">
        <v>1040</v>
      </c>
      <c r="G143" s="255"/>
      <c r="H143" s="435">
        <f>+'11B - A&amp;G'!E24</f>
        <v>95550952</v>
      </c>
      <c r="I143" s="244"/>
      <c r="N143"/>
      <c r="O143"/>
      <c r="P143"/>
    </row>
    <row r="144" spans="1:16">
      <c r="A144" s="228" t="s">
        <v>350</v>
      </c>
      <c r="B144" s="228"/>
      <c r="C144" s="259" t="s">
        <v>351</v>
      </c>
      <c r="D144" s="255"/>
      <c r="E144" s="515" t="s">
        <v>352</v>
      </c>
      <c r="F144" s="244" t="s">
        <v>322</v>
      </c>
      <c r="G144" s="490"/>
      <c r="H144" s="435">
        <f>+'5 - Cost Support 1'!I227</f>
        <v>-473130.4</v>
      </c>
      <c r="I144" s="244"/>
      <c r="N144"/>
      <c r="O144"/>
      <c r="P144"/>
    </row>
    <row r="145" spans="1:16">
      <c r="A145" s="228" t="s">
        <v>761</v>
      </c>
      <c r="B145" s="228"/>
      <c r="C145" s="259" t="s">
        <v>762</v>
      </c>
      <c r="D145" s="255"/>
      <c r="E145" s="1505"/>
      <c r="F145" s="244" t="s">
        <v>908</v>
      </c>
      <c r="G145" s="255"/>
      <c r="H145" s="435">
        <f>+'10 - Merger Costs'!C8</f>
        <v>-21209.119999999995</v>
      </c>
      <c r="I145" s="244"/>
      <c r="J145" s="1248"/>
      <c r="N145"/>
      <c r="O145"/>
      <c r="P145"/>
    </row>
    <row r="146" spans="1:16">
      <c r="A146" s="228" t="s">
        <v>1198</v>
      </c>
      <c r="B146" s="228"/>
      <c r="C146" s="259" t="s">
        <v>1199</v>
      </c>
      <c r="D146" s="255"/>
      <c r="E146" s="1505"/>
      <c r="F146" s="244" t="s">
        <v>322</v>
      </c>
      <c r="G146" s="255"/>
      <c r="H146" s="435">
        <f>+'5 - Cost Support 1'!K209+'5 - Cost Support 1'!I209+'5 - Cost Support 1'!J209</f>
        <v>396336.66486999998</v>
      </c>
      <c r="I146" s="244"/>
      <c r="J146" s="1248"/>
      <c r="N146"/>
      <c r="O146"/>
      <c r="P146"/>
    </row>
    <row r="147" spans="1:16">
      <c r="A147" s="228">
        <v>69</v>
      </c>
      <c r="B147" s="228"/>
      <c r="C147" s="259" t="s">
        <v>353</v>
      </c>
      <c r="D147" s="244"/>
      <c r="E147" s="1505"/>
      <c r="F147" s="259" t="s">
        <v>354</v>
      </c>
      <c r="G147" s="232"/>
      <c r="H147" s="435">
        <f>+'11B - A&amp;G'!E14</f>
        <v>595673</v>
      </c>
      <c r="I147" s="244"/>
      <c r="J147" s="1248"/>
      <c r="N147"/>
      <c r="O147"/>
      <c r="P147"/>
    </row>
    <row r="148" spans="1:16">
      <c r="A148" s="228">
        <v>70</v>
      </c>
      <c r="B148" s="228"/>
      <c r="C148" s="259" t="s">
        <v>355</v>
      </c>
      <c r="D148" s="244"/>
      <c r="E148" s="515" t="str">
        <f>"(Note "&amp;B$334&amp;")"</f>
        <v>(Note E)</v>
      </c>
      <c r="F148" s="259" t="s">
        <v>68</v>
      </c>
      <c r="G148" s="232"/>
      <c r="H148" s="435">
        <f>+'11B - A&amp;G'!E18</f>
        <v>1551388</v>
      </c>
      <c r="I148" s="244"/>
      <c r="J148" s="1248"/>
      <c r="N148"/>
      <c r="O148"/>
      <c r="P148"/>
    </row>
    <row r="149" spans="1:16">
      <c r="A149" s="228">
        <v>71</v>
      </c>
      <c r="B149" s="228"/>
      <c r="C149" s="259" t="s">
        <v>356</v>
      </c>
      <c r="D149" s="244"/>
      <c r="E149" s="1505"/>
      <c r="F149" s="259" t="s">
        <v>357</v>
      </c>
      <c r="G149" s="232"/>
      <c r="H149" s="435">
        <f>+'11B - A&amp;G'!E20</f>
        <v>458332</v>
      </c>
      <c r="I149" s="244"/>
      <c r="J149" s="1248"/>
      <c r="N149"/>
      <c r="O149"/>
      <c r="P149"/>
    </row>
    <row r="150" spans="1:16">
      <c r="A150" s="228">
        <v>72</v>
      </c>
      <c r="B150" s="228"/>
      <c r="C150" s="259" t="s">
        <v>358</v>
      </c>
      <c r="D150" s="244"/>
      <c r="E150" s="1505"/>
      <c r="F150" s="259" t="s">
        <v>359</v>
      </c>
      <c r="G150" s="232"/>
      <c r="H150" s="435">
        <v>0</v>
      </c>
      <c r="I150" s="244"/>
      <c r="J150" s="1248"/>
      <c r="N150"/>
      <c r="O150"/>
      <c r="P150"/>
    </row>
    <row r="151" spans="1:16">
      <c r="A151" s="228">
        <v>73</v>
      </c>
      <c r="B151" s="228"/>
      <c r="C151" s="259" t="s">
        <v>360</v>
      </c>
      <c r="D151" s="168"/>
      <c r="E151" s="515" t="str">
        <f>"(Note "&amp;B$333&amp;")"</f>
        <v>(Note D)</v>
      </c>
      <c r="F151" s="250" t="s">
        <v>361</v>
      </c>
      <c r="G151" s="255"/>
      <c r="H151" s="435">
        <f>+'11B - A&amp;G'!I21</f>
        <v>266334</v>
      </c>
      <c r="I151" s="244"/>
      <c r="J151" s="1248"/>
      <c r="N151"/>
      <c r="O151"/>
      <c r="P151"/>
    </row>
    <row r="152" spans="1:16">
      <c r="A152" s="228">
        <v>74</v>
      </c>
      <c r="B152" s="228"/>
      <c r="C152" s="257" t="s">
        <v>362</v>
      </c>
      <c r="D152" s="256"/>
      <c r="E152" s="426"/>
      <c r="F152" s="234" t="str">
        <f>"(Lines "&amp;A142&amp;" + "&amp;A143&amp;") -  Sum ("&amp;A145&amp;" to "&amp;A151&amp;")"</f>
        <v>(Lines 67 + 68) -  Sum (68b to 73)</v>
      </c>
      <c r="G152" s="260"/>
      <c r="H152" s="263">
        <f>H142+H143-SUM(H145:H151)</f>
        <v>92304097.455129996</v>
      </c>
      <c r="I152" s="235"/>
      <c r="J152" s="1248"/>
      <c r="N152"/>
      <c r="O152"/>
      <c r="P152"/>
    </row>
    <row r="153" spans="1:16">
      <c r="A153" s="228">
        <v>75</v>
      </c>
      <c r="B153" s="228"/>
      <c r="C153" s="1689" t="s">
        <v>305</v>
      </c>
      <c r="D153" s="254"/>
      <c r="E153" s="1505"/>
      <c r="F153" s="491" t="s">
        <v>821</v>
      </c>
      <c r="G153" s="467"/>
      <c r="H153" s="472">
        <f>+H16</f>
        <v>0.13888944064369446</v>
      </c>
      <c r="I153" s="983"/>
      <c r="J153" s="1248"/>
      <c r="N153"/>
      <c r="O153"/>
      <c r="P153"/>
    </row>
    <row r="154" spans="1:16">
      <c r="A154" s="228">
        <v>76</v>
      </c>
      <c r="B154" s="228"/>
      <c r="C154" s="257" t="s">
        <v>363</v>
      </c>
      <c r="D154" s="256"/>
      <c r="E154" s="426"/>
      <c r="F154" s="234" t="s">
        <v>829</v>
      </c>
      <c r="G154" s="260"/>
      <c r="H154" s="263">
        <f>+H153*H152</f>
        <v>12820064.464664066</v>
      </c>
      <c r="I154" s="235"/>
      <c r="J154" s="1248"/>
      <c r="N154"/>
      <c r="O154"/>
      <c r="P154"/>
    </row>
    <row r="155" spans="1:16">
      <c r="A155" s="228"/>
      <c r="B155" s="228"/>
      <c r="C155" s="265"/>
      <c r="D155" s="311"/>
      <c r="E155" s="294"/>
      <c r="F155" s="231"/>
      <c r="G155" s="231"/>
      <c r="H155" s="234"/>
      <c r="I155" s="235"/>
      <c r="N155"/>
      <c r="O155"/>
      <c r="P155"/>
    </row>
    <row r="156" spans="1:16">
      <c r="A156" s="228"/>
      <c r="B156" s="259" t="s">
        <v>65</v>
      </c>
      <c r="C156" s="221"/>
      <c r="D156" s="311"/>
      <c r="E156" s="294"/>
      <c r="F156" s="231"/>
      <c r="G156" s="231"/>
      <c r="H156" s="234"/>
      <c r="I156" s="235"/>
      <c r="N156"/>
      <c r="O156"/>
      <c r="P156"/>
    </row>
    <row r="157" spans="1:16">
      <c r="A157" s="228">
        <v>77</v>
      </c>
      <c r="B157" s="464"/>
      <c r="C157" s="229" t="s">
        <v>66</v>
      </c>
      <c r="D157" s="492"/>
      <c r="E157" s="515" t="str">
        <f>"(Note "&amp;B$336&amp;")"</f>
        <v>(Note G)</v>
      </c>
      <c r="F157" s="229" t="s">
        <v>68</v>
      </c>
      <c r="G157" s="221"/>
      <c r="H157" s="473">
        <f>+'11B - A&amp;G'!J18</f>
        <v>265541</v>
      </c>
      <c r="I157" s="319"/>
      <c r="N157"/>
      <c r="O157"/>
      <c r="P157"/>
    </row>
    <row r="158" spans="1:16">
      <c r="A158" s="236">
        <v>78</v>
      </c>
      <c r="B158" s="464"/>
      <c r="C158" s="469" t="s">
        <v>364</v>
      </c>
      <c r="D158" s="493"/>
      <c r="E158" s="482" t="str">
        <f>"(Note "&amp;B$340&amp;")"</f>
        <v>(Note K)</v>
      </c>
      <c r="F158" s="469" t="s">
        <v>357</v>
      </c>
      <c r="G158" s="221"/>
      <c r="H158" s="494">
        <f>'5 - Cost Support 1'!H58</f>
        <v>0</v>
      </c>
      <c r="I158" s="462"/>
      <c r="N158"/>
      <c r="O158"/>
      <c r="P158"/>
    </row>
    <row r="159" spans="1:16">
      <c r="A159" s="236">
        <v>79</v>
      </c>
      <c r="B159" s="464"/>
      <c r="C159" s="229" t="s">
        <v>365</v>
      </c>
      <c r="D159" s="255"/>
      <c r="E159" s="1515"/>
      <c r="F159" s="234" t="s">
        <v>831</v>
      </c>
      <c r="G159" s="221"/>
      <c r="H159" s="319">
        <f>+H158+H157</f>
        <v>265541</v>
      </c>
      <c r="I159" s="319"/>
      <c r="N159"/>
      <c r="O159"/>
      <c r="P159"/>
    </row>
    <row r="160" spans="1:16">
      <c r="A160" s="228"/>
      <c r="B160" s="464"/>
      <c r="C160" s="229"/>
      <c r="D160" s="255"/>
      <c r="E160" s="1515"/>
      <c r="F160" s="229"/>
      <c r="G160" s="221"/>
      <c r="H160" s="470"/>
      <c r="I160" s="470"/>
      <c r="N160"/>
      <c r="O160"/>
      <c r="P160"/>
    </row>
    <row r="161" spans="1:16">
      <c r="A161" s="236">
        <v>80</v>
      </c>
      <c r="B161" s="464"/>
      <c r="C161" s="229" t="s">
        <v>366</v>
      </c>
      <c r="D161" s="255"/>
      <c r="E161" s="1505"/>
      <c r="F161" s="229" t="s">
        <v>354</v>
      </c>
      <c r="G161" s="221"/>
      <c r="H161" s="473">
        <f>H147</f>
        <v>595673</v>
      </c>
      <c r="I161" s="319"/>
      <c r="N161"/>
      <c r="O161"/>
      <c r="P161"/>
    </row>
    <row r="162" spans="1:16" ht="16" thickBot="1">
      <c r="A162" s="236">
        <v>81</v>
      </c>
      <c r="B162" s="464"/>
      <c r="C162" s="229" t="s">
        <v>364</v>
      </c>
      <c r="D162" s="255"/>
      <c r="E162" s="515" t="str">
        <f>"(Note "&amp;B$335&amp;")"</f>
        <v>(Note F)</v>
      </c>
      <c r="F162" s="469" t="s">
        <v>357</v>
      </c>
      <c r="G162" s="221"/>
      <c r="H162" s="473">
        <f>+'5 - Cost Support 1'!H71</f>
        <v>0</v>
      </c>
      <c r="I162" s="319"/>
      <c r="N162"/>
      <c r="O162"/>
      <c r="P162"/>
    </row>
    <row r="163" spans="1:16">
      <c r="A163" s="228">
        <v>82</v>
      </c>
      <c r="B163" s="464"/>
      <c r="C163" s="459" t="s">
        <v>44</v>
      </c>
      <c r="D163" s="256"/>
      <c r="E163" s="436"/>
      <c r="F163" s="234" t="s">
        <v>832</v>
      </c>
      <c r="G163" s="433"/>
      <c r="H163" s="495">
        <f>+H161+H162</f>
        <v>595673</v>
      </c>
      <c r="I163" s="462"/>
      <c r="N163"/>
      <c r="O163"/>
      <c r="P163"/>
    </row>
    <row r="164" spans="1:16">
      <c r="A164" s="236">
        <v>83</v>
      </c>
      <c r="B164" s="228"/>
      <c r="C164" s="1195" t="s">
        <v>193</v>
      </c>
      <c r="D164" s="254"/>
      <c r="E164" s="1505"/>
      <c r="F164" s="241" t="s">
        <v>823</v>
      </c>
      <c r="G164" s="467"/>
      <c r="H164" s="496">
        <f>+H40</f>
        <v>0.3874728880161436</v>
      </c>
      <c r="I164" s="302"/>
      <c r="N164"/>
      <c r="O164"/>
      <c r="P164"/>
    </row>
    <row r="165" spans="1:16">
      <c r="A165" s="228">
        <v>84</v>
      </c>
      <c r="B165" s="228"/>
      <c r="C165" s="257" t="s">
        <v>367</v>
      </c>
      <c r="D165" s="256"/>
      <c r="E165" s="426"/>
      <c r="F165" s="234" t="s">
        <v>833</v>
      </c>
      <c r="G165" s="260"/>
      <c r="H165" s="460">
        <f>+H164*H163</f>
        <v>230807.1376232403</v>
      </c>
      <c r="I165" s="462"/>
      <c r="N165"/>
      <c r="O165"/>
      <c r="P165"/>
    </row>
    <row r="166" spans="1:16">
      <c r="A166" s="236"/>
      <c r="B166" s="236"/>
      <c r="C166" s="259"/>
      <c r="D166" s="255"/>
      <c r="E166" s="294"/>
      <c r="F166" s="232"/>
      <c r="G166" s="232"/>
      <c r="H166" s="234"/>
      <c r="I166" s="235"/>
      <c r="N166"/>
      <c r="O166"/>
      <c r="P166"/>
    </row>
    <row r="167" spans="1:16" ht="16" thickBot="1">
      <c r="A167" s="236">
        <v>85</v>
      </c>
      <c r="B167" s="236"/>
      <c r="C167" s="427" t="s">
        <v>368</v>
      </c>
      <c r="D167" s="428"/>
      <c r="E167" s="497"/>
      <c r="F167" s="429" t="s">
        <v>834</v>
      </c>
      <c r="G167" s="430"/>
      <c r="H167" s="429">
        <f>+H139+H154+H159+H165</f>
        <v>35450417.602287307</v>
      </c>
      <c r="I167" s="235"/>
      <c r="N167"/>
      <c r="O167"/>
      <c r="P167"/>
    </row>
    <row r="168" spans="1:16" ht="16" thickTop="1">
      <c r="A168" s="236"/>
      <c r="B168" s="236"/>
      <c r="C168" s="265"/>
      <c r="D168" s="311"/>
      <c r="E168" s="294"/>
      <c r="F168" s="234"/>
      <c r="G168" s="231"/>
      <c r="H168" s="234"/>
      <c r="I168" s="235"/>
      <c r="N168"/>
      <c r="O168"/>
      <c r="P168"/>
    </row>
    <row r="169" spans="1:16">
      <c r="A169" s="237"/>
      <c r="B169" s="236"/>
      <c r="C169" s="259"/>
      <c r="D169" s="255"/>
      <c r="E169" s="294"/>
      <c r="F169" s="232"/>
      <c r="G169" s="232"/>
      <c r="H169" s="432"/>
      <c r="I169" s="980"/>
      <c r="N169"/>
      <c r="O169"/>
      <c r="P169"/>
    </row>
    <row r="170" spans="1:16">
      <c r="A170" s="486" t="s">
        <v>369</v>
      </c>
      <c r="B170" s="487"/>
      <c r="C170" s="488"/>
      <c r="D170" s="290"/>
      <c r="E170" s="1513"/>
      <c r="F170" s="225"/>
      <c r="G170" s="225"/>
      <c r="H170" s="292"/>
      <c r="I170" s="420"/>
      <c r="N170"/>
      <c r="O170"/>
      <c r="P170"/>
    </row>
    <row r="171" spans="1:16">
      <c r="A171" s="259"/>
      <c r="B171" s="236"/>
      <c r="C171" s="259"/>
      <c r="D171" s="255"/>
      <c r="E171" s="294"/>
      <c r="F171" s="232"/>
      <c r="G171" s="232"/>
      <c r="H171" s="432"/>
      <c r="I171" s="980"/>
      <c r="N171"/>
      <c r="O171"/>
      <c r="P171"/>
    </row>
    <row r="172" spans="1:16">
      <c r="A172" s="220"/>
      <c r="B172" s="237" t="s">
        <v>60</v>
      </c>
      <c r="C172" s="168"/>
      <c r="E172" s="1505"/>
      <c r="F172" s="271"/>
      <c r="G172" s="271"/>
      <c r="H172" s="498"/>
      <c r="I172" s="985"/>
      <c r="N172"/>
      <c r="O172"/>
      <c r="P172"/>
    </row>
    <row r="173" spans="1:16">
      <c r="A173" s="236">
        <v>86</v>
      </c>
      <c r="B173" s="447"/>
      <c r="C173" s="229" t="s">
        <v>370</v>
      </c>
      <c r="E173" s="1505"/>
      <c r="F173" s="229" t="s">
        <v>891</v>
      </c>
      <c r="H173" s="473">
        <f>+'5 - Cost Support 1'!I217</f>
        <v>40075721</v>
      </c>
      <c r="I173" s="319"/>
      <c r="N173"/>
      <c r="O173"/>
      <c r="P173"/>
    </row>
    <row r="174" spans="1:16">
      <c r="A174" s="236"/>
      <c r="B174" s="447"/>
      <c r="C174" s="229"/>
      <c r="E174" s="1505"/>
      <c r="F174" s="237"/>
      <c r="H174" s="477"/>
      <c r="I174" s="477"/>
      <c r="N174"/>
      <c r="O174"/>
      <c r="P174"/>
    </row>
    <row r="175" spans="1:16">
      <c r="A175" s="236">
        <v>87</v>
      </c>
      <c r="B175" s="447"/>
      <c r="C175" s="457" t="s">
        <v>150</v>
      </c>
      <c r="D175" s="231"/>
      <c r="E175" s="1505"/>
      <c r="F175" s="457" t="s">
        <v>892</v>
      </c>
      <c r="H175" s="473">
        <f>+'5 - Cost Support 1'!G218</f>
        <v>10652154</v>
      </c>
      <c r="I175" s="319"/>
      <c r="N175"/>
      <c r="O175"/>
      <c r="P175"/>
    </row>
    <row r="176" spans="1:16">
      <c r="A176" s="236" t="s">
        <v>807</v>
      </c>
      <c r="B176" s="464"/>
      <c r="C176" s="259" t="s">
        <v>762</v>
      </c>
      <c r="D176" s="255"/>
      <c r="E176" s="1505"/>
      <c r="F176" s="457" t="s">
        <v>890</v>
      </c>
      <c r="H176" s="463">
        <f>+'10 - Merger Costs'!C14</f>
        <v>23717.8359716667</v>
      </c>
      <c r="I176" s="462"/>
      <c r="J176" s="1248"/>
      <c r="N176"/>
      <c r="O176"/>
      <c r="P176"/>
    </row>
    <row r="177" spans="1:16">
      <c r="A177" s="236">
        <v>88</v>
      </c>
      <c r="B177" s="447"/>
      <c r="C177" s="457" t="s">
        <v>371</v>
      </c>
      <c r="D177" s="231"/>
      <c r="E177" s="515" t="str">
        <f>"(Note "&amp;B$326&amp;")"</f>
        <v>(Note A)</v>
      </c>
      <c r="F177" s="457" t="s">
        <v>893</v>
      </c>
      <c r="H177" s="463">
        <f>+'5 - Cost Support 1'!G219</f>
        <v>7420351</v>
      </c>
      <c r="I177" s="462"/>
      <c r="J177" s="1248"/>
      <c r="N177"/>
      <c r="O177"/>
      <c r="P177"/>
    </row>
    <row r="178" spans="1:16">
      <c r="A178" s="236" t="s">
        <v>808</v>
      </c>
      <c r="B178" s="464"/>
      <c r="C178" s="541" t="s">
        <v>762</v>
      </c>
      <c r="D178" s="491"/>
      <c r="E178" s="482"/>
      <c r="F178" s="469" t="s">
        <v>1009</v>
      </c>
      <c r="G178" s="481"/>
      <c r="H178" s="494">
        <f>+'10 - Merger Costs'!C15</f>
        <v>172037.55602833297</v>
      </c>
      <c r="I178" s="462"/>
      <c r="J178" s="1248"/>
      <c r="N178"/>
      <c r="O178"/>
      <c r="P178"/>
    </row>
    <row r="179" spans="1:16">
      <c r="A179" s="236">
        <v>89</v>
      </c>
      <c r="B179" s="447"/>
      <c r="C179" s="266" t="s">
        <v>44</v>
      </c>
      <c r="D179" s="231"/>
      <c r="E179" s="1505"/>
      <c r="F179" s="235" t="str">
        <f>"(Line "&amp;87&amp;" - "&amp;A176&amp;" + "&amp;88&amp;" - "&amp;A178&amp;")"</f>
        <v>(Line 87 - 87a + 88 - 88a)</v>
      </c>
      <c r="H179" s="460">
        <f>H175-H176+H177-H178</f>
        <v>17876749.607999999</v>
      </c>
      <c r="I179" s="462"/>
      <c r="J179" s="1248"/>
      <c r="N179"/>
      <c r="O179"/>
      <c r="P179"/>
    </row>
    <row r="180" spans="1:16">
      <c r="A180" s="236">
        <v>90</v>
      </c>
      <c r="B180" s="447"/>
      <c r="C180" s="1690" t="s">
        <v>305</v>
      </c>
      <c r="D180" s="305"/>
      <c r="E180" s="445"/>
      <c r="F180" s="491" t="str">
        <f>"(Line "&amp;A$16&amp;")"</f>
        <v>(Line 5)</v>
      </c>
      <c r="G180" s="475"/>
      <c r="H180" s="499">
        <f>+H16</f>
        <v>0.13888944064369446</v>
      </c>
      <c r="I180" s="986"/>
      <c r="J180" s="1248"/>
      <c r="N180"/>
      <c r="O180"/>
      <c r="P180"/>
    </row>
    <row r="181" spans="1:16">
      <c r="A181" s="236">
        <v>91</v>
      </c>
      <c r="B181" s="447"/>
      <c r="C181" s="237" t="s">
        <v>372</v>
      </c>
      <c r="E181" s="1505"/>
      <c r="F181" s="234" t="str">
        <f>"(Line "&amp;A179&amp;" * "&amp;A180&amp;")"</f>
        <v>(Line 89 * 90)</v>
      </c>
      <c r="G181" s="467"/>
      <c r="H181" s="460">
        <f>+H179*H180</f>
        <v>2482891.7535825041</v>
      </c>
      <c r="I181" s="462"/>
      <c r="J181" s="1248"/>
      <c r="N181"/>
      <c r="O181"/>
      <c r="P181"/>
    </row>
    <row r="182" spans="1:16">
      <c r="A182" s="228"/>
      <c r="B182" s="464"/>
      <c r="C182" s="229"/>
      <c r="D182" s="255"/>
      <c r="E182" s="1505"/>
      <c r="F182" s="229"/>
      <c r="G182" s="467"/>
      <c r="H182" s="500"/>
      <c r="I182" s="477"/>
      <c r="N182"/>
      <c r="O182"/>
      <c r="P182"/>
    </row>
    <row r="183" spans="1:16">
      <c r="A183" s="236">
        <v>92</v>
      </c>
      <c r="B183" s="464"/>
      <c r="C183" s="229" t="s">
        <v>373</v>
      </c>
      <c r="D183" s="255"/>
      <c r="E183" s="515" t="str">
        <f>"(Note "&amp;B$326&amp;")"</f>
        <v>(Note A)</v>
      </c>
      <c r="F183" s="229" t="s">
        <v>894</v>
      </c>
      <c r="H183" s="501">
        <f>+'5 - Cost Support 1'!I220</f>
        <v>0</v>
      </c>
      <c r="I183" s="477"/>
      <c r="N183"/>
      <c r="O183"/>
      <c r="P183"/>
    </row>
    <row r="184" spans="1:16">
      <c r="A184" s="228">
        <v>93</v>
      </c>
      <c r="B184" s="464"/>
      <c r="C184" s="469" t="s">
        <v>374</v>
      </c>
      <c r="D184" s="491"/>
      <c r="E184" s="482" t="str">
        <f>"(Note "&amp;B$326&amp;")"</f>
        <v>(Note A)</v>
      </c>
      <c r="F184" s="469" t="s">
        <v>895</v>
      </c>
      <c r="G184" s="481"/>
      <c r="H184" s="502">
        <f>+'5 - Cost Support 1'!I221</f>
        <v>0</v>
      </c>
      <c r="I184" s="465"/>
      <c r="N184"/>
      <c r="O184"/>
      <c r="P184"/>
    </row>
    <row r="185" spans="1:16">
      <c r="A185" s="228">
        <v>94</v>
      </c>
      <c r="B185" s="464"/>
      <c r="C185" s="229" t="s">
        <v>44</v>
      </c>
      <c r="D185" s="255"/>
      <c r="E185" s="1505"/>
      <c r="F185" s="234" t="str">
        <f>"(Line "&amp;A183&amp;" + "&amp;A184&amp;")"</f>
        <v>(Line 92 + 93)</v>
      </c>
      <c r="H185" s="477">
        <f>+H184+H183</f>
        <v>0</v>
      </c>
      <c r="I185" s="477"/>
      <c r="N185"/>
      <c r="O185"/>
      <c r="P185"/>
    </row>
    <row r="186" spans="1:16">
      <c r="A186" s="236">
        <v>95</v>
      </c>
      <c r="B186" s="464"/>
      <c r="C186" s="1690" t="s">
        <v>305</v>
      </c>
      <c r="D186" s="305"/>
      <c r="E186" s="445"/>
      <c r="F186" s="491" t="str">
        <f>"(Line "&amp;A$16&amp;")"</f>
        <v>(Line 5)</v>
      </c>
      <c r="G186" s="475"/>
      <c r="H186" s="499">
        <f>+H16</f>
        <v>0.13888944064369446</v>
      </c>
      <c r="I186" s="986"/>
      <c r="N186"/>
      <c r="O186"/>
      <c r="P186"/>
    </row>
    <row r="187" spans="1:16">
      <c r="A187" s="236">
        <v>96</v>
      </c>
      <c r="B187" s="464"/>
      <c r="C187" s="237" t="s">
        <v>375</v>
      </c>
      <c r="D187" s="255"/>
      <c r="E187" s="1505"/>
      <c r="F187" s="234" t="str">
        <f>"(Line "&amp;A185&amp;" * "&amp;A186&amp;")"</f>
        <v>(Line 94 * 95)</v>
      </c>
      <c r="G187" s="467"/>
      <c r="H187" s="315">
        <f>+H186*H185</f>
        <v>0</v>
      </c>
      <c r="I187" s="465"/>
      <c r="N187"/>
      <c r="O187"/>
      <c r="P187"/>
    </row>
    <row r="188" spans="1:16">
      <c r="A188" s="228"/>
      <c r="B188" s="464"/>
      <c r="C188" s="168"/>
      <c r="D188" s="255"/>
      <c r="E188" s="1505"/>
      <c r="F188" s="229"/>
      <c r="G188" s="467"/>
      <c r="H188" s="315"/>
      <c r="I188" s="465"/>
      <c r="N188"/>
      <c r="O188"/>
      <c r="P188"/>
    </row>
    <row r="189" spans="1:16">
      <c r="A189" s="503"/>
      <c r="B189" s="504"/>
      <c r="C189" s="229"/>
      <c r="D189" s="255"/>
      <c r="E189" s="1505"/>
      <c r="F189" s="229"/>
      <c r="G189" s="467"/>
      <c r="H189" s="472"/>
      <c r="I189" s="983"/>
      <c r="N189"/>
      <c r="O189"/>
      <c r="P189"/>
    </row>
    <row r="190" spans="1:16" s="312" customFormat="1" ht="16" thickBot="1">
      <c r="A190" s="236">
        <v>97</v>
      </c>
      <c r="B190" s="505" t="s">
        <v>376</v>
      </c>
      <c r="C190" s="506"/>
      <c r="D190" s="430"/>
      <c r="E190" s="438"/>
      <c r="F190" s="429" t="str">
        <f>"(Line "&amp;A173&amp;" + "&amp;A181&amp;" + "&amp;A187&amp;")"</f>
        <v>(Line 86 + 91 + 96)</v>
      </c>
      <c r="G190" s="507"/>
      <c r="H190" s="508">
        <f>+H173+H181+H187</f>
        <v>42558612.753582507</v>
      </c>
      <c r="I190" s="462"/>
      <c r="J190" s="168"/>
      <c r="K190"/>
      <c r="L190"/>
      <c r="M190"/>
      <c r="N190"/>
      <c r="O190"/>
      <c r="P190"/>
    </row>
    <row r="191" spans="1:16" ht="16" thickTop="1">
      <c r="E191" s="1505"/>
      <c r="N191"/>
      <c r="O191"/>
      <c r="P191"/>
    </row>
    <row r="192" spans="1:16">
      <c r="A192" s="486" t="s">
        <v>377</v>
      </c>
      <c r="B192" s="487"/>
      <c r="C192" s="488"/>
      <c r="D192" s="290"/>
      <c r="E192" s="1516"/>
      <c r="F192" s="225"/>
      <c r="G192" s="225"/>
      <c r="H192" s="292"/>
      <c r="I192" s="420"/>
      <c r="N192"/>
      <c r="O192"/>
      <c r="P192"/>
    </row>
    <row r="193" spans="1:16">
      <c r="A193" s="455"/>
      <c r="B193" s="236"/>
      <c r="C193" s="259"/>
      <c r="D193" s="255"/>
      <c r="E193" s="294"/>
      <c r="F193" s="232"/>
      <c r="G193" s="232"/>
      <c r="H193" s="432"/>
      <c r="I193" s="980"/>
      <c r="N193"/>
      <c r="O193"/>
      <c r="P193"/>
    </row>
    <row r="194" spans="1:16">
      <c r="A194" s="228">
        <v>98</v>
      </c>
      <c r="B194" s="229" t="s">
        <v>378</v>
      </c>
      <c r="C194" s="509"/>
      <c r="E194" s="515"/>
      <c r="F194" s="221" t="s">
        <v>379</v>
      </c>
      <c r="G194" s="221"/>
      <c r="H194" s="510">
        <f>+'2 - Other Tax'!G36</f>
        <v>1232318.6481298045</v>
      </c>
      <c r="I194" s="510"/>
      <c r="N194"/>
      <c r="O194"/>
      <c r="P194"/>
    </row>
    <row r="195" spans="1:16">
      <c r="A195" s="422"/>
      <c r="B195" s="255"/>
      <c r="E195" s="1505"/>
      <c r="F195" s="237"/>
      <c r="G195" s="221"/>
      <c r="N195"/>
      <c r="O195"/>
      <c r="P195"/>
    </row>
    <row r="196" spans="1:16" ht="16" thickBot="1">
      <c r="A196" s="228">
        <v>99</v>
      </c>
      <c r="B196" s="427" t="s">
        <v>380</v>
      </c>
      <c r="C196" s="427"/>
      <c r="D196" s="430"/>
      <c r="E196" s="438"/>
      <c r="F196" s="429" t="str">
        <f>"(Line "&amp;A194&amp;")"</f>
        <v>(Line 98)</v>
      </c>
      <c r="G196" s="283"/>
      <c r="H196" s="451">
        <f>+H194</f>
        <v>1232318.6481298045</v>
      </c>
      <c r="I196" s="540"/>
      <c r="N196"/>
      <c r="O196"/>
      <c r="P196"/>
    </row>
    <row r="197" spans="1:16" ht="16" thickTop="1">
      <c r="A197" s="220"/>
      <c r="E197" s="1505"/>
      <c r="N197"/>
      <c r="O197"/>
      <c r="P197"/>
    </row>
    <row r="198" spans="1:16">
      <c r="A198" s="486" t="s">
        <v>381</v>
      </c>
      <c r="B198" s="487"/>
      <c r="C198" s="488"/>
      <c r="D198" s="290"/>
      <c r="E198" s="1513"/>
      <c r="F198" s="225"/>
      <c r="G198" s="225"/>
      <c r="H198" s="292"/>
      <c r="I198" s="420"/>
      <c r="N198"/>
      <c r="O198"/>
      <c r="P198"/>
    </row>
    <row r="199" spans="1:16">
      <c r="A199" s="237"/>
      <c r="B199" s="236"/>
      <c r="C199" s="259"/>
      <c r="D199" s="255"/>
      <c r="E199" s="294"/>
      <c r="F199" s="232"/>
      <c r="G199" s="232"/>
      <c r="H199" s="432"/>
      <c r="I199" s="980"/>
      <c r="N199"/>
      <c r="O199"/>
      <c r="P199"/>
    </row>
    <row r="200" spans="1:16">
      <c r="A200" s="228"/>
      <c r="B200" s="234" t="s">
        <v>2</v>
      </c>
      <c r="D200" s="231"/>
      <c r="E200" s="294"/>
      <c r="G200" s="234"/>
      <c r="N200"/>
      <c r="O200"/>
      <c r="P200"/>
    </row>
    <row r="201" spans="1:16">
      <c r="A201" s="228">
        <v>100</v>
      </c>
      <c r="B201" s="234"/>
      <c r="C201" s="232" t="s">
        <v>2</v>
      </c>
      <c r="D201" s="231"/>
      <c r="E201" s="294"/>
      <c r="F201" s="234" t="s">
        <v>382</v>
      </c>
      <c r="G201" s="234"/>
      <c r="H201" s="446">
        <f>56869086+1254461+692425+1781557</f>
        <v>60597529</v>
      </c>
      <c r="I201" s="235"/>
      <c r="N201"/>
      <c r="O201"/>
      <c r="P201"/>
    </row>
    <row r="202" spans="1:16">
      <c r="A202" s="228">
        <v>101</v>
      </c>
      <c r="B202" s="228"/>
      <c r="C202" s="511" t="s">
        <v>383</v>
      </c>
      <c r="D202" s="491"/>
      <c r="E202" s="1517" t="s">
        <v>835</v>
      </c>
      <c r="F202" s="250" t="s">
        <v>384</v>
      </c>
      <c r="G202" s="241"/>
      <c r="H202" s="494">
        <v>1781557</v>
      </c>
      <c r="I202" s="462"/>
      <c r="N202"/>
      <c r="O202"/>
      <c r="P202"/>
    </row>
    <row r="203" spans="1:16">
      <c r="A203" s="236">
        <v>102</v>
      </c>
      <c r="B203" s="236"/>
      <c r="C203" s="234" t="s">
        <v>2</v>
      </c>
      <c r="D203" s="231"/>
      <c r="E203" s="1505"/>
      <c r="F203" s="235" t="s">
        <v>385</v>
      </c>
      <c r="G203" s="234"/>
      <c r="H203" s="234">
        <f>+H201-H202</f>
        <v>58815972</v>
      </c>
      <c r="I203" s="235"/>
      <c r="N203"/>
      <c r="O203"/>
      <c r="P203"/>
    </row>
    <row r="204" spans="1:16">
      <c r="A204" s="236"/>
      <c r="B204" s="236"/>
      <c r="C204" s="243"/>
      <c r="E204" s="1505"/>
      <c r="F204" s="255"/>
      <c r="G204" s="243"/>
      <c r="H204" s="243"/>
      <c r="I204" s="244"/>
      <c r="N204"/>
      <c r="O204"/>
      <c r="P204"/>
    </row>
    <row r="205" spans="1:16">
      <c r="A205" s="236">
        <v>103</v>
      </c>
      <c r="B205" s="243" t="s">
        <v>386</v>
      </c>
      <c r="E205" s="294" t="s">
        <v>387</v>
      </c>
      <c r="F205" s="244" t="s">
        <v>388</v>
      </c>
      <c r="G205" s="243"/>
      <c r="H205" s="513">
        <v>0</v>
      </c>
      <c r="I205" s="987"/>
      <c r="N205"/>
      <c r="O205"/>
      <c r="P205"/>
    </row>
    <row r="206" spans="1:16">
      <c r="A206" s="236"/>
      <c r="B206" s="236"/>
      <c r="C206" s="247"/>
      <c r="E206" s="294"/>
      <c r="F206" s="244"/>
      <c r="G206" s="243"/>
      <c r="H206" s="243"/>
      <c r="I206" s="244"/>
      <c r="N206"/>
      <c r="O206"/>
      <c r="P206"/>
    </row>
    <row r="207" spans="1:16">
      <c r="A207" s="236"/>
      <c r="B207" s="247" t="s">
        <v>389</v>
      </c>
      <c r="E207" s="294"/>
      <c r="F207" s="244"/>
      <c r="G207" s="243"/>
      <c r="H207" s="243"/>
      <c r="I207" s="244"/>
      <c r="N207"/>
      <c r="O207"/>
      <c r="P207"/>
    </row>
    <row r="208" spans="1:16">
      <c r="A208" s="236">
        <v>104</v>
      </c>
      <c r="B208" s="236"/>
      <c r="C208" s="243" t="s">
        <v>390</v>
      </c>
      <c r="D208" s="243"/>
      <c r="E208" s="515"/>
      <c r="F208" s="244" t="s">
        <v>391</v>
      </c>
      <c r="G208" s="243"/>
      <c r="H208" s="424">
        <v>1335242524.1938462</v>
      </c>
      <c r="I208" s="979"/>
      <c r="N208"/>
      <c r="O208"/>
      <c r="P208"/>
    </row>
    <row r="209" spans="1:16">
      <c r="A209" s="228">
        <v>105</v>
      </c>
      <c r="B209" s="228"/>
      <c r="C209" s="244" t="s">
        <v>392</v>
      </c>
      <c r="D209" s="244"/>
      <c r="E209" s="294" t="s">
        <v>192</v>
      </c>
      <c r="F209" s="311" t="str">
        <f>"(Line "&amp;A221&amp;")"</f>
        <v>(Line 114)</v>
      </c>
      <c r="G209" s="243"/>
      <c r="H209" s="244">
        <f>-H221</f>
        <v>0</v>
      </c>
      <c r="I209" s="244"/>
      <c r="N209"/>
      <c r="O209"/>
      <c r="P209"/>
    </row>
    <row r="210" spans="1:16">
      <c r="A210" s="236">
        <v>106</v>
      </c>
      <c r="B210" s="228"/>
      <c r="C210" s="235" t="s">
        <v>393</v>
      </c>
      <c r="D210" s="235"/>
      <c r="E210" s="294" t="s">
        <v>192</v>
      </c>
      <c r="F210" s="235" t="s">
        <v>394</v>
      </c>
      <c r="G210" s="234"/>
      <c r="H210" s="446">
        <v>0</v>
      </c>
      <c r="I210" s="235"/>
      <c r="N210"/>
      <c r="O210"/>
      <c r="P210"/>
    </row>
    <row r="211" spans="1:16">
      <c r="A211" s="1040" t="s">
        <v>1177</v>
      </c>
      <c r="B211" s="1040"/>
      <c r="C211" s="1093" t="s">
        <v>1178</v>
      </c>
      <c r="D211" s="1093"/>
      <c r="E211" s="1094" t="s">
        <v>192</v>
      </c>
      <c r="F211" s="1093" t="s">
        <v>1179</v>
      </c>
      <c r="G211" s="241"/>
      <c r="H211" s="514">
        <v>0</v>
      </c>
      <c r="I211" s="235"/>
      <c r="N211"/>
      <c r="O211"/>
      <c r="P211"/>
    </row>
    <row r="212" spans="1:16">
      <c r="A212" s="236">
        <v>107</v>
      </c>
      <c r="B212" s="228"/>
      <c r="C212" s="235" t="s">
        <v>389</v>
      </c>
      <c r="D212" s="235"/>
      <c r="E212" s="515" t="s">
        <v>1217</v>
      </c>
      <c r="F212" s="234" t="s">
        <v>1180</v>
      </c>
      <c r="G212" s="253"/>
      <c r="H212" s="243">
        <f>SUM(H208:H211)</f>
        <v>1335242524.1938462</v>
      </c>
      <c r="I212" s="244"/>
      <c r="N212"/>
      <c r="O212"/>
      <c r="P212"/>
    </row>
    <row r="213" spans="1:16">
      <c r="A213" s="236"/>
      <c r="B213" s="236"/>
      <c r="C213" s="247"/>
      <c r="E213" s="294"/>
      <c r="F213" s="243"/>
      <c r="G213" s="232"/>
      <c r="H213" s="243"/>
      <c r="I213" s="244"/>
      <c r="N213"/>
      <c r="O213"/>
      <c r="P213"/>
    </row>
    <row r="214" spans="1:16">
      <c r="A214" s="236"/>
      <c r="B214" s="247" t="s">
        <v>3</v>
      </c>
      <c r="E214" s="294"/>
      <c r="F214" s="243"/>
      <c r="G214" s="232"/>
      <c r="H214" s="243"/>
      <c r="I214" s="244"/>
      <c r="N214"/>
      <c r="O214"/>
      <c r="P214"/>
    </row>
    <row r="215" spans="1:16">
      <c r="A215" s="236">
        <v>108</v>
      </c>
      <c r="B215" s="236"/>
      <c r="C215" s="247" t="s">
        <v>395</v>
      </c>
      <c r="E215" s="515"/>
      <c r="F215" s="247" t="s">
        <v>396</v>
      </c>
      <c r="G215" s="232"/>
      <c r="H215" s="435">
        <v>1360378012.9061537</v>
      </c>
      <c r="I215" s="244"/>
      <c r="N215"/>
      <c r="O215"/>
      <c r="P215"/>
    </row>
    <row r="216" spans="1:16">
      <c r="A216" s="228">
        <v>109</v>
      </c>
      <c r="B216" s="236"/>
      <c r="C216" s="247" t="s">
        <v>397</v>
      </c>
      <c r="E216" s="294" t="str">
        <f>+E210</f>
        <v>enter negative</v>
      </c>
      <c r="F216" s="259" t="s">
        <v>398</v>
      </c>
      <c r="G216" s="232"/>
      <c r="H216" s="435">
        <v>-3693784.3984615402</v>
      </c>
      <c r="I216" s="244"/>
      <c r="N216"/>
      <c r="O216"/>
      <c r="P216"/>
    </row>
    <row r="217" spans="1:16">
      <c r="A217" s="228">
        <v>110</v>
      </c>
      <c r="B217" s="236"/>
      <c r="C217" s="247" t="s">
        <v>399</v>
      </c>
      <c r="E217" s="1505" t="s">
        <v>400</v>
      </c>
      <c r="F217" s="265" t="s">
        <v>401</v>
      </c>
      <c r="G217" s="232"/>
      <c r="H217" s="435">
        <v>0</v>
      </c>
      <c r="I217" s="244"/>
      <c r="N217"/>
      <c r="O217"/>
      <c r="P217"/>
    </row>
    <row r="218" spans="1:16">
      <c r="A218" s="228">
        <v>111</v>
      </c>
      <c r="B218" s="228"/>
      <c r="C218" s="259" t="s">
        <v>402</v>
      </c>
      <c r="D218" s="255"/>
      <c r="E218" s="294" t="str">
        <f>IF(H218&gt;0,"enter positive","enter negative")</f>
        <v>enter positive</v>
      </c>
      <c r="F218" s="1227" t="str">
        <f>"Attachment 1B - ADIT EOY, Line "&amp;'1B - ADIT EOY'!B22&amp;""</f>
        <v>Attachment 1B - ADIT EOY, Line 7</v>
      </c>
      <c r="G218" s="255"/>
      <c r="H218" s="1243">
        <f>-'1B - ADIT EOY'!E22</f>
        <v>1038322</v>
      </c>
      <c r="I218" s="244"/>
      <c r="J218" s="1187"/>
      <c r="N218"/>
      <c r="O218"/>
      <c r="P218"/>
    </row>
    <row r="219" spans="1:16">
      <c r="A219" s="228">
        <v>112</v>
      </c>
      <c r="B219" s="228"/>
      <c r="C219" s="221" t="s">
        <v>403</v>
      </c>
      <c r="D219" s="512" t="s">
        <v>835</v>
      </c>
      <c r="E219" s="1094" t="s">
        <v>192</v>
      </c>
      <c r="F219" s="250" t="str">
        <f>+F202</f>
        <v>Attachment 8</v>
      </c>
      <c r="G219" s="232"/>
      <c r="H219" s="435">
        <v>-19516859.059999995</v>
      </c>
      <c r="I219" s="244"/>
      <c r="N219"/>
      <c r="O219"/>
      <c r="P219"/>
    </row>
    <row r="220" spans="1:16">
      <c r="A220" s="228">
        <v>113</v>
      </c>
      <c r="B220" s="228"/>
      <c r="C220" s="257" t="s">
        <v>404</v>
      </c>
      <c r="D220" s="256"/>
      <c r="E220" s="515" t="s">
        <v>1041</v>
      </c>
      <c r="F220" s="235" t="str">
        <f>"(Sum Lines "&amp;A215&amp;" to "&amp;A219&amp;")"</f>
        <v>(Sum Lines 108 to 112)</v>
      </c>
      <c r="G220" s="256"/>
      <c r="H220" s="258">
        <f>SUM(H215:H219)</f>
        <v>1338205691.4476922</v>
      </c>
      <c r="I220" s="235"/>
      <c r="N220"/>
      <c r="O220"/>
      <c r="P220"/>
    </row>
    <row r="221" spans="1:16">
      <c r="A221" s="236">
        <v>114</v>
      </c>
      <c r="B221" s="236"/>
      <c r="C221" s="247" t="s">
        <v>405</v>
      </c>
      <c r="E221" s="515" t="s">
        <v>1175</v>
      </c>
      <c r="F221" s="259" t="s">
        <v>406</v>
      </c>
      <c r="G221" s="232"/>
      <c r="H221" s="435">
        <v>0</v>
      </c>
      <c r="I221" s="244"/>
      <c r="N221"/>
      <c r="O221"/>
      <c r="P221"/>
    </row>
    <row r="222" spans="1:16">
      <c r="A222" s="236">
        <v>115</v>
      </c>
      <c r="B222" s="236"/>
      <c r="C222" s="247" t="s">
        <v>389</v>
      </c>
      <c r="E222" s="1505"/>
      <c r="F222" s="241" t="str">
        <f>"(Line "&amp;A212&amp;")"</f>
        <v>(Line 107)</v>
      </c>
      <c r="G222" s="232"/>
      <c r="H222" s="234">
        <f>H212</f>
        <v>1335242524.1938462</v>
      </c>
      <c r="I222" s="235"/>
      <c r="N222"/>
      <c r="O222"/>
      <c r="P222"/>
    </row>
    <row r="223" spans="1:16">
      <c r="A223" s="236">
        <v>116</v>
      </c>
      <c r="B223" s="236"/>
      <c r="C223" s="257" t="s">
        <v>407</v>
      </c>
      <c r="D223" s="260"/>
      <c r="E223" s="436"/>
      <c r="F223" s="234" t="str">
        <f>"(Sum Lines "&amp;A220&amp;" to "&amp;A222&amp;")"</f>
        <v>(Sum Lines 113 to 115)</v>
      </c>
      <c r="G223" s="263"/>
      <c r="H223" s="263">
        <f>H222+H221+H220</f>
        <v>2673448215.6415386</v>
      </c>
      <c r="I223" s="235"/>
      <c r="N223"/>
      <c r="O223"/>
      <c r="P223"/>
    </row>
    <row r="224" spans="1:16">
      <c r="A224" s="236"/>
      <c r="B224" s="236"/>
      <c r="C224" s="247"/>
      <c r="E224" s="1505"/>
      <c r="G224" s="243"/>
      <c r="H224" s="294"/>
      <c r="I224" s="264"/>
      <c r="N224"/>
      <c r="O224"/>
      <c r="P224"/>
    </row>
    <row r="225" spans="1:16">
      <c r="A225" s="228">
        <v>117</v>
      </c>
      <c r="B225" s="236"/>
      <c r="C225" s="266" t="s">
        <v>408</v>
      </c>
      <c r="D225" s="265" t="s">
        <v>404</v>
      </c>
      <c r="E225" s="1096" t="s">
        <v>1181</v>
      </c>
      <c r="F225" s="1238" t="str">
        <f>"(Line "&amp;A220&amp;" / "&amp;A223&amp;")"</f>
        <v>(Line 113 / 116)</v>
      </c>
      <c r="G225" s="1238"/>
      <c r="H225" s="1095">
        <v>0.5</v>
      </c>
      <c r="I225" s="988"/>
      <c r="N225"/>
      <c r="O225"/>
      <c r="P225"/>
    </row>
    <row r="226" spans="1:16">
      <c r="A226" s="228">
        <v>118</v>
      </c>
      <c r="B226" s="236"/>
      <c r="C226" s="266" t="s">
        <v>409</v>
      </c>
      <c r="D226" s="247" t="s">
        <v>405</v>
      </c>
      <c r="E226" s="1096" t="s">
        <v>1181</v>
      </c>
      <c r="F226" s="1238" t="str">
        <f>"(Line "&amp;A221&amp;" / "&amp;A223&amp;")"</f>
        <v>(Line 114 / 116)</v>
      </c>
      <c r="G226" s="1238"/>
      <c r="H226" s="1095">
        <v>0</v>
      </c>
      <c r="I226" s="988"/>
      <c r="N226"/>
      <c r="O226"/>
      <c r="P226"/>
    </row>
    <row r="227" spans="1:16">
      <c r="A227" s="228">
        <v>119</v>
      </c>
      <c r="B227" s="236"/>
      <c r="C227" s="266" t="s">
        <v>410</v>
      </c>
      <c r="D227" s="247" t="s">
        <v>389</v>
      </c>
      <c r="E227" s="1096" t="s">
        <v>1181</v>
      </c>
      <c r="F227" s="1238" t="str">
        <f>"(Line "&amp;A222&amp;" / "&amp;A223&amp;")"</f>
        <v>(Line 115 / 116)</v>
      </c>
      <c r="G227" s="1238"/>
      <c r="H227" s="1095">
        <v>0.5</v>
      </c>
      <c r="I227" s="988"/>
      <c r="N227"/>
      <c r="O227"/>
      <c r="P227"/>
    </row>
    <row r="228" spans="1:16">
      <c r="A228" s="228"/>
      <c r="B228" s="236"/>
      <c r="C228" s="246"/>
      <c r="E228" s="1505"/>
      <c r="F228" s="243"/>
      <c r="G228" s="243"/>
      <c r="H228" s="912"/>
      <c r="I228" s="989"/>
      <c r="N228"/>
      <c r="O228"/>
      <c r="P228"/>
    </row>
    <row r="229" spans="1:16">
      <c r="A229" s="228">
        <v>120</v>
      </c>
      <c r="B229" s="236"/>
      <c r="C229" s="246" t="s">
        <v>411</v>
      </c>
      <c r="D229" s="265" t="s">
        <v>404</v>
      </c>
      <c r="E229" s="1247"/>
      <c r="F229" s="234" t="str">
        <f>"(Line "&amp;A203&amp;" / "&amp;A220&amp;")"</f>
        <v>(Line 102 / 113)</v>
      </c>
      <c r="G229" s="243"/>
      <c r="H229" s="270">
        <f>IF(H220&gt;0,H203/H220,0)</f>
        <v>4.3951368893351474E-2</v>
      </c>
      <c r="I229" s="267"/>
      <c r="N229"/>
      <c r="O229"/>
      <c r="P229"/>
    </row>
    <row r="230" spans="1:16">
      <c r="A230" s="228">
        <v>121</v>
      </c>
      <c r="B230" s="236"/>
      <c r="C230" s="246" t="s">
        <v>412</v>
      </c>
      <c r="D230" s="247" t="s">
        <v>405</v>
      </c>
      <c r="E230" s="1505"/>
      <c r="F230" s="234" t="str">
        <f>"(Line "&amp;A205&amp;" / "&amp;A221&amp;")"</f>
        <v>(Line 103 / 114)</v>
      </c>
      <c r="G230" s="243"/>
      <c r="H230" s="270">
        <f>IF(H221&gt;0,H205/H221,0)</f>
        <v>0</v>
      </c>
      <c r="I230" s="267"/>
      <c r="N230"/>
      <c r="O230"/>
      <c r="P230"/>
    </row>
    <row r="231" spans="1:16">
      <c r="A231" s="228">
        <v>122</v>
      </c>
      <c r="B231" s="236"/>
      <c r="C231" s="246" t="s">
        <v>413</v>
      </c>
      <c r="D231" s="247" t="s">
        <v>389</v>
      </c>
      <c r="E231" s="515" t="str">
        <f>"(Note "&amp;B$339&amp;")"</f>
        <v>(Note J)</v>
      </c>
      <c r="F231" s="244" t="s">
        <v>414</v>
      </c>
      <c r="G231" s="243"/>
      <c r="H231" s="516">
        <v>0.105</v>
      </c>
      <c r="I231" s="267"/>
      <c r="N231"/>
      <c r="O231"/>
      <c r="P231"/>
    </row>
    <row r="232" spans="1:16">
      <c r="A232" s="228"/>
      <c r="B232" s="236"/>
      <c r="C232" s="246"/>
      <c r="E232" s="1505"/>
      <c r="F232" s="243"/>
      <c r="G232" s="243"/>
      <c r="H232" s="232"/>
      <c r="I232" s="255"/>
      <c r="N232"/>
      <c r="O232"/>
      <c r="P232"/>
    </row>
    <row r="233" spans="1:16">
      <c r="A233" s="228">
        <v>123</v>
      </c>
      <c r="B233" s="236"/>
      <c r="C233" s="266" t="s">
        <v>415</v>
      </c>
      <c r="D233" s="265" t="s">
        <v>416</v>
      </c>
      <c r="E233" s="1505"/>
      <c r="F233" s="234" t="str">
        <f>"(Line "&amp;A225&amp;" * "&amp;A229&amp;")"</f>
        <v>(Line 117 * 120)</v>
      </c>
      <c r="G233" s="269"/>
      <c r="H233" s="270">
        <f>H229*H225</f>
        <v>2.1975684446675737E-2</v>
      </c>
      <c r="I233" s="267"/>
      <c r="N233"/>
      <c r="O233"/>
      <c r="P233"/>
    </row>
    <row r="234" spans="1:16">
      <c r="A234" s="228">
        <v>124</v>
      </c>
      <c r="B234" s="236"/>
      <c r="C234" s="266" t="s">
        <v>417</v>
      </c>
      <c r="D234" s="247" t="s">
        <v>405</v>
      </c>
      <c r="E234" s="1505"/>
      <c r="F234" s="234" t="str">
        <f>"(Line "&amp;A226&amp;" * "&amp;A230&amp;")"</f>
        <v>(Line 118 * 121)</v>
      </c>
      <c r="G234" s="271"/>
      <c r="H234" s="270">
        <f>H230*H226</f>
        <v>0</v>
      </c>
      <c r="I234" s="267"/>
      <c r="N234"/>
      <c r="O234"/>
      <c r="P234"/>
    </row>
    <row r="235" spans="1:16">
      <c r="A235" s="228">
        <v>125</v>
      </c>
      <c r="B235" s="306"/>
      <c r="C235" s="272" t="s">
        <v>418</v>
      </c>
      <c r="D235" s="273" t="s">
        <v>389</v>
      </c>
      <c r="E235" s="445"/>
      <c r="F235" s="241" t="str">
        <f>"(Line "&amp;A227&amp;" * "&amp;A231&amp;")"</f>
        <v>(Line 119 * 122)</v>
      </c>
      <c r="G235" s="274"/>
      <c r="H235" s="275">
        <f>H231*H227</f>
        <v>5.2499999999999998E-2</v>
      </c>
      <c r="I235" s="990"/>
      <c r="N235"/>
      <c r="O235"/>
      <c r="P235"/>
    </row>
    <row r="236" spans="1:16" s="312" customFormat="1">
      <c r="A236" s="236">
        <v>126</v>
      </c>
      <c r="B236" s="453" t="s">
        <v>419</v>
      </c>
      <c r="C236" s="453"/>
      <c r="D236" s="231"/>
      <c r="E236" s="1505"/>
      <c r="F236" s="234" t="str">
        <f>"(Sum Lines "&amp;A233&amp;" to "&amp;A235&amp;")"</f>
        <v>(Sum Lines 123 to 125)</v>
      </c>
      <c r="G236" s="517"/>
      <c r="H236" s="270">
        <f>SUM(H233:H235)</f>
        <v>7.4475684446675738E-2</v>
      </c>
      <c r="I236" s="267"/>
      <c r="J236" s="518"/>
      <c r="K236"/>
      <c r="L236"/>
      <c r="M236"/>
      <c r="N236"/>
      <c r="O236"/>
      <c r="P236"/>
    </row>
    <row r="237" spans="1:16" s="312" customFormat="1">
      <c r="A237" s="236"/>
      <c r="B237" s="236"/>
      <c r="C237" s="453"/>
      <c r="D237" s="231"/>
      <c r="E237" s="1505"/>
      <c r="F237" s="234"/>
      <c r="G237" s="517"/>
      <c r="H237" s="270"/>
      <c r="I237" s="267"/>
      <c r="K237"/>
      <c r="L237"/>
      <c r="M237"/>
      <c r="N237"/>
      <c r="O237"/>
      <c r="P237"/>
    </row>
    <row r="238" spans="1:16" ht="16" thickBot="1">
      <c r="A238" s="236">
        <v>127</v>
      </c>
      <c r="B238" s="519" t="s">
        <v>420</v>
      </c>
      <c r="C238" s="283"/>
      <c r="D238" s="430"/>
      <c r="E238" s="497"/>
      <c r="F238" s="429" t="str">
        <f>"(Line "&amp;A127&amp;" * "&amp;A236&amp;")"</f>
        <v>(Line 59 * 126)</v>
      </c>
      <c r="G238" s="520"/>
      <c r="H238" s="429">
        <f>+H127*H236</f>
        <v>75889078.813620374</v>
      </c>
      <c r="I238" s="235"/>
      <c r="N238"/>
      <c r="O238"/>
      <c r="P238"/>
    </row>
    <row r="239" spans="1:16" ht="16" thickTop="1">
      <c r="A239" s="236"/>
      <c r="B239" s="236"/>
      <c r="C239" s="247"/>
      <c r="E239" s="1505"/>
      <c r="F239" s="243"/>
      <c r="G239" s="243"/>
      <c r="H239" s="270"/>
      <c r="I239" s="267"/>
      <c r="N239"/>
      <c r="O239"/>
      <c r="P239"/>
    </row>
    <row r="240" spans="1:16">
      <c r="A240" s="486" t="s">
        <v>421</v>
      </c>
      <c r="B240" s="487"/>
      <c r="C240" s="488"/>
      <c r="D240" s="290"/>
      <c r="E240" s="1516"/>
      <c r="F240" s="225"/>
      <c r="G240" s="225"/>
      <c r="H240" s="292"/>
      <c r="I240" s="420"/>
      <c r="N240"/>
      <c r="O240"/>
      <c r="P240"/>
    </row>
    <row r="241" spans="1:16">
      <c r="A241" s="229"/>
      <c r="B241" s="236"/>
      <c r="C241" s="259"/>
      <c r="D241" s="255"/>
      <c r="E241" s="294"/>
      <c r="F241" s="232"/>
      <c r="G241" s="232"/>
      <c r="H241" s="432"/>
      <c r="I241" s="980"/>
      <c r="N241"/>
      <c r="O241"/>
      <c r="P241"/>
    </row>
    <row r="242" spans="1:16">
      <c r="A242" s="236" t="s">
        <v>86</v>
      </c>
      <c r="B242" s="521" t="s">
        <v>87</v>
      </c>
      <c r="E242" s="294"/>
      <c r="F242" s="243"/>
      <c r="G242" s="296"/>
      <c r="H242" s="232"/>
      <c r="I242" s="255"/>
      <c r="N242"/>
      <c r="O242"/>
      <c r="P242"/>
    </row>
    <row r="243" spans="1:16">
      <c r="A243" s="236">
        <v>128</v>
      </c>
      <c r="B243" s="236"/>
      <c r="C243" s="232" t="s">
        <v>186</v>
      </c>
      <c r="E243" s="515" t="str">
        <f>"(Note "&amp;B337&amp;")"</f>
        <v>(Note I)</v>
      </c>
      <c r="F243" s="232"/>
      <c r="G243" s="297"/>
      <c r="H243" s="522">
        <v>0.21</v>
      </c>
      <c r="I243" s="298"/>
      <c r="N243"/>
      <c r="O243"/>
      <c r="P243"/>
    </row>
    <row r="244" spans="1:16">
      <c r="A244" s="236">
        <v>129</v>
      </c>
      <c r="B244" s="236"/>
      <c r="C244" s="297" t="s">
        <v>187</v>
      </c>
      <c r="D244" s="299"/>
      <c r="E244" s="515" t="str">
        <f>"(Note "&amp;B$337&amp;")"</f>
        <v>(Note I)</v>
      </c>
      <c r="F244" s="232"/>
      <c r="G244" s="297"/>
      <c r="H244" s="522">
        <f>'5 - Cost Support 1'!F65</f>
        <v>0.09</v>
      </c>
      <c r="I244" s="298"/>
      <c r="N244"/>
      <c r="O244"/>
      <c r="P244"/>
    </row>
    <row r="245" spans="1:16">
      <c r="A245" s="236">
        <v>130</v>
      </c>
      <c r="B245" s="236"/>
      <c r="C245" s="297" t="s">
        <v>481</v>
      </c>
      <c r="D245" s="297" t="s">
        <v>1781</v>
      </c>
      <c r="E245" s="1505"/>
      <c r="F245" s="232"/>
      <c r="G245" s="297"/>
      <c r="H245" s="522">
        <v>0</v>
      </c>
      <c r="I245" s="298"/>
      <c r="N245"/>
      <c r="O245"/>
      <c r="P245"/>
    </row>
    <row r="246" spans="1:16">
      <c r="A246" s="236">
        <v>131</v>
      </c>
      <c r="B246" s="236"/>
      <c r="C246" s="297" t="s">
        <v>188</v>
      </c>
      <c r="D246" s="300" t="s">
        <v>1782</v>
      </c>
      <c r="E246" s="1505"/>
      <c r="F246" s="232"/>
      <c r="G246" s="297"/>
      <c r="H246" s="302">
        <f>IF(H243&gt;0,1-(((1-H244)*(1-H243))/(1-H244*H243*H245)),0)</f>
        <v>0.28109999999999991</v>
      </c>
      <c r="I246" s="302"/>
      <c r="N246"/>
      <c r="O246"/>
      <c r="P246"/>
    </row>
    <row r="247" spans="1:16">
      <c r="A247" s="228" t="s">
        <v>1219</v>
      </c>
      <c r="B247" s="236"/>
      <c r="C247" s="297" t="s">
        <v>190</v>
      </c>
      <c r="D247" s="299"/>
      <c r="E247" s="1505"/>
      <c r="F247" s="232"/>
      <c r="G247" s="297"/>
      <c r="H247" s="298">
        <f>+H246/(1-H246)</f>
        <v>0.39101404924189714</v>
      </c>
      <c r="I247" s="298"/>
      <c r="N247"/>
      <c r="O247"/>
      <c r="P247"/>
    </row>
    <row r="248" spans="1:16" s="1208" customFormat="1">
      <c r="A248" s="228" t="s">
        <v>1220</v>
      </c>
      <c r="B248" s="1210"/>
      <c r="C248" s="1213" t="s">
        <v>1221</v>
      </c>
      <c r="D248" s="1214" t="s">
        <v>1222</v>
      </c>
      <c r="E248" s="1505"/>
      <c r="F248" s="1209"/>
      <c r="G248" s="1211"/>
      <c r="H248" s="1215">
        <f>1*1/(1-H246)</f>
        <v>1.3910140492418972</v>
      </c>
      <c r="I248" s="1212"/>
      <c r="K248"/>
      <c r="L248"/>
      <c r="M248"/>
      <c r="N248" s="1207"/>
      <c r="O248" s="1207"/>
      <c r="P248" s="1207"/>
    </row>
    <row r="249" spans="1:16">
      <c r="A249" s="228"/>
      <c r="B249" s="236"/>
      <c r="E249" s="301"/>
      <c r="F249" s="300"/>
      <c r="G249" s="296"/>
      <c r="H249" s="302"/>
      <c r="I249" s="302"/>
      <c r="N249"/>
      <c r="O249"/>
      <c r="P249"/>
    </row>
    <row r="250" spans="1:16">
      <c r="A250" s="228"/>
      <c r="B250" s="521" t="s">
        <v>191</v>
      </c>
      <c r="C250" s="247"/>
      <c r="E250" s="515" t="str">
        <f>"(Note "&amp;B$354&amp;")"</f>
        <v>(Note U)</v>
      </c>
      <c r="F250" s="243"/>
      <c r="G250" s="296"/>
      <c r="H250" s="523"/>
      <c r="I250" s="303"/>
      <c r="N250"/>
      <c r="O250"/>
      <c r="P250"/>
    </row>
    <row r="251" spans="1:16">
      <c r="A251" s="228">
        <v>133</v>
      </c>
      <c r="B251" s="236"/>
      <c r="C251" s="1217" t="s">
        <v>1224</v>
      </c>
      <c r="E251" s="294" t="s">
        <v>192</v>
      </c>
      <c r="F251" s="1216" t="s">
        <v>1223</v>
      </c>
      <c r="G251" s="296"/>
      <c r="H251" s="1243">
        <f>-+'1B - ADIT EOY'!E313</f>
        <v>-121463.54536589107</v>
      </c>
      <c r="I251" s="244"/>
      <c r="J251" s="1187"/>
      <c r="N251"/>
      <c r="O251"/>
      <c r="P251"/>
    </row>
    <row r="252" spans="1:16">
      <c r="A252" s="228">
        <v>134</v>
      </c>
      <c r="B252" s="236"/>
      <c r="C252" s="1234" t="s">
        <v>1221</v>
      </c>
      <c r="D252" s="1230"/>
      <c r="E252" s="445"/>
      <c r="F252" s="1231" t="str">
        <f>"(Line "&amp;A248&amp;")"</f>
        <v>(Line 132b)</v>
      </c>
      <c r="G252" s="1251"/>
      <c r="H252" s="1252">
        <f>+H248</f>
        <v>1.3910140492418972</v>
      </c>
      <c r="I252" s="303"/>
      <c r="N252"/>
      <c r="O252"/>
      <c r="P252"/>
    </row>
    <row r="253" spans="1:16">
      <c r="A253" s="228">
        <v>135</v>
      </c>
      <c r="B253" s="236"/>
      <c r="C253" s="524" t="s">
        <v>194</v>
      </c>
      <c r="D253" s="256"/>
      <c r="E253" s="515"/>
      <c r="F253" s="1227" t="str">
        <f>"(Line "&amp;A251&amp;" * "&amp;A252&amp;")"</f>
        <v>(Line 133 * 134)</v>
      </c>
      <c r="G253" s="309"/>
      <c r="H253" s="258">
        <f>+H251*H252</f>
        <v>-168957.49807468502</v>
      </c>
      <c r="I253" s="235"/>
      <c r="N253"/>
      <c r="O253"/>
      <c r="P253"/>
    </row>
    <row r="254" spans="1:16">
      <c r="A254" s="228"/>
      <c r="B254" s="236"/>
      <c r="C254" s="266"/>
      <c r="D254" s="311"/>
      <c r="E254" s="515"/>
      <c r="F254" s="1226"/>
      <c r="G254" s="307"/>
      <c r="H254" s="235"/>
      <c r="I254" s="235"/>
      <c r="N254"/>
      <c r="O254"/>
      <c r="P254"/>
    </row>
    <row r="255" spans="1:16" s="1219" customFormat="1">
      <c r="A255" s="228"/>
      <c r="B255" s="1229" t="s">
        <v>1033</v>
      </c>
      <c r="C255" s="1232"/>
      <c r="D255" s="1235"/>
      <c r="E255" s="1515"/>
      <c r="F255" s="1227"/>
      <c r="G255" s="1241"/>
      <c r="H255" s="1242"/>
      <c r="I255" s="1221"/>
      <c r="K255"/>
      <c r="L255"/>
      <c r="M255"/>
      <c r="N255" s="1218"/>
      <c r="O255" s="1218"/>
      <c r="P255" s="1218"/>
    </row>
    <row r="256" spans="1:16" s="1219" customFormat="1">
      <c r="A256" s="228" t="s">
        <v>1034</v>
      </c>
      <c r="B256" s="1229"/>
      <c r="C256" s="1232" t="s">
        <v>1225</v>
      </c>
      <c r="D256" s="1235"/>
      <c r="E256" s="515" t="str">
        <f>"(Note "&amp;B$353&amp;")"</f>
        <v>(Note T)</v>
      </c>
      <c r="F256" s="1227" t="str">
        <f>"Attachment 5, Line "&amp;'5 - Cost Support 1'!A250&amp;""</f>
        <v>Attachment 5, Line 136a</v>
      </c>
      <c r="G256" s="1241"/>
      <c r="H256" s="1243">
        <f>+'5 - Cost Support 1'!L250</f>
        <v>67968.855599999981</v>
      </c>
      <c r="I256" s="1221"/>
      <c r="J256" s="1187"/>
      <c r="K256"/>
      <c r="L256"/>
      <c r="M256"/>
      <c r="N256" s="1218"/>
      <c r="O256" s="1218"/>
      <c r="P256" s="1218"/>
    </row>
    <row r="257" spans="1:16" s="1219" customFormat="1">
      <c r="A257" s="228" t="s">
        <v>1035</v>
      </c>
      <c r="B257" s="1229"/>
      <c r="C257" s="1232" t="s">
        <v>1226</v>
      </c>
      <c r="D257" s="1235"/>
      <c r="E257" s="515" t="str">
        <f>"(Note "&amp;B$353&amp;")"</f>
        <v>(Note T)</v>
      </c>
      <c r="F257" s="1227" t="str">
        <f>"Attachment 5, Line "&amp;'5 - Cost Support 1'!A252&amp;""</f>
        <v>Attachment 5, Line 136b</v>
      </c>
      <c r="G257" s="1241"/>
      <c r="H257" s="1243">
        <f>+'5 - Cost Support 1'!L252</f>
        <v>-13268254.266331796</v>
      </c>
      <c r="I257" s="1221"/>
      <c r="J257" s="1187"/>
      <c r="K257"/>
      <c r="L257"/>
      <c r="M257"/>
      <c r="N257" s="1218"/>
      <c r="O257" s="1218"/>
      <c r="P257" s="1218"/>
    </row>
    <row r="258" spans="1:16" s="1219" customFormat="1">
      <c r="A258" s="228" t="s">
        <v>1036</v>
      </c>
      <c r="B258" s="1229"/>
      <c r="C258" s="1232" t="s">
        <v>1228</v>
      </c>
      <c r="D258" s="1235"/>
      <c r="E258" s="515" t="str">
        <f>"(Note "&amp;B$353&amp;")"</f>
        <v>(Note T)</v>
      </c>
      <c r="F258" s="1227" t="str">
        <f>"Attachment 5, Line "&amp;'5 - Cost Support 1'!A253&amp;""</f>
        <v>Attachment 5, Line 136c</v>
      </c>
      <c r="G258" s="1241"/>
      <c r="H258" s="1243">
        <f>+'5 - Cost Support 1'!L253</f>
        <v>0</v>
      </c>
      <c r="I258" s="1221"/>
      <c r="J258" s="1187"/>
      <c r="K258"/>
      <c r="L258"/>
      <c r="M258"/>
      <c r="N258" s="1218"/>
      <c r="O258" s="1218"/>
      <c r="P258" s="1218"/>
    </row>
    <row r="259" spans="1:16" s="1219" customFormat="1">
      <c r="A259" s="228" t="s">
        <v>1227</v>
      </c>
      <c r="B259" s="1229"/>
      <c r="C259" s="1233" t="s">
        <v>1230</v>
      </c>
      <c r="D259" s="1240"/>
      <c r="E259" s="482" t="str">
        <f>"(Note "&amp;B$353&amp;")"</f>
        <v>(Note T)</v>
      </c>
      <c r="F259" s="1231" t="str">
        <f>"Attachment 5, Line "&amp;'5 - Cost Support 1'!A254&amp;""</f>
        <v>Attachment 5, Line 136d</v>
      </c>
      <c r="G259" s="1244"/>
      <c r="H259" s="1245">
        <f>+'5 - Cost Support 1'!L254</f>
        <v>134274</v>
      </c>
      <c r="I259" s="1221"/>
      <c r="J259" s="1187"/>
      <c r="K259"/>
      <c r="L259"/>
      <c r="M259"/>
      <c r="N259" s="1218"/>
      <c r="O259" s="1218"/>
      <c r="P259" s="1218"/>
    </row>
    <row r="260" spans="1:16" s="1219" customFormat="1">
      <c r="A260" s="228" t="s">
        <v>1229</v>
      </c>
      <c r="B260" s="1229"/>
      <c r="C260" s="1232" t="s">
        <v>1232</v>
      </c>
      <c r="D260" s="1235"/>
      <c r="E260" s="515"/>
      <c r="F260" s="1227" t="str">
        <f>"(Line "&amp;A256&amp;" + "&amp;A257&amp;" + "&amp;A258&amp;" + "&amp;A259&amp;")"</f>
        <v>(Line 136a + 136b + 136c + 136d)</v>
      </c>
      <c r="G260" s="1241"/>
      <c r="H260" s="1238">
        <f>H256+H257+H258+H259</f>
        <v>-13066011.410731796</v>
      </c>
      <c r="I260" s="1221"/>
      <c r="J260" s="1187"/>
      <c r="K260"/>
      <c r="L260"/>
      <c r="M260"/>
      <c r="N260" s="1218"/>
      <c r="O260" s="1218"/>
      <c r="P260" s="1218"/>
    </row>
    <row r="261" spans="1:16" s="1219" customFormat="1">
      <c r="A261" s="228" t="s">
        <v>1231</v>
      </c>
      <c r="B261" s="1228"/>
      <c r="C261" s="1234" t="s">
        <v>1221</v>
      </c>
      <c r="D261" s="1240"/>
      <c r="E261" s="1518"/>
      <c r="F261" s="1231" t="str">
        <f>"(Line "&amp;A248&amp;")"</f>
        <v>(Line 132b)</v>
      </c>
      <c r="G261" s="1244"/>
      <c r="H261" s="1246">
        <f>+H248</f>
        <v>1.3910140492418972</v>
      </c>
      <c r="I261" s="1221"/>
      <c r="J261" s="1187"/>
      <c r="K261"/>
      <c r="L261"/>
      <c r="M261"/>
      <c r="N261" s="1218"/>
      <c r="O261" s="1218"/>
      <c r="P261" s="1218"/>
    </row>
    <row r="262" spans="1:16" s="1219" customFormat="1">
      <c r="A262" s="228" t="s">
        <v>1233</v>
      </c>
      <c r="B262" s="1228"/>
      <c r="C262" s="1232" t="s">
        <v>1033</v>
      </c>
      <c r="D262" s="1235"/>
      <c r="E262" s="1515" t="s">
        <v>86</v>
      </c>
      <c r="F262" s="1227" t="str">
        <f>"(Line "&amp;A260&amp;" * "&amp;A261&amp;")"</f>
        <v>(Line 136e * 136f)</v>
      </c>
      <c r="G262" s="1241"/>
      <c r="H262" s="1239">
        <f>H260*H261</f>
        <v>-18175005.439882871</v>
      </c>
      <c r="I262" s="1221"/>
      <c r="J262" s="1187"/>
      <c r="K262"/>
      <c r="L262"/>
      <c r="M262"/>
      <c r="N262" s="1218"/>
      <c r="O262" s="1218"/>
      <c r="P262" s="1218"/>
    </row>
    <row r="263" spans="1:16" s="1219" customFormat="1">
      <c r="A263" s="228"/>
      <c r="B263" s="1222"/>
      <c r="C263" s="1223"/>
      <c r="D263" s="1225"/>
      <c r="E263" s="515"/>
      <c r="F263" s="1220"/>
      <c r="G263" s="1224"/>
      <c r="H263" s="1221"/>
      <c r="I263" s="1221"/>
      <c r="K263"/>
      <c r="L263"/>
      <c r="M263"/>
      <c r="N263" s="1218"/>
      <c r="O263" s="1218"/>
      <c r="P263" s="1218"/>
    </row>
    <row r="264" spans="1:16">
      <c r="A264" s="236">
        <v>137</v>
      </c>
      <c r="B264" s="168" t="s">
        <v>195</v>
      </c>
      <c r="C264" s="168"/>
      <c r="D264" s="232" t="s">
        <v>196</v>
      </c>
      <c r="E264" s="294"/>
      <c r="F264" s="234" t="str">
        <f>"(Line "&amp;A247&amp;" * "&amp;A238&amp;" * (1-("&amp;A233&amp;" / "&amp;A236&amp;")))"</f>
        <v>(Line 132a * 127 * (1-(123 / 126)))</v>
      </c>
      <c r="G264" s="232"/>
      <c r="H264" s="313">
        <f>+H247*(1-H233/H236)*H238</f>
        <v>20917821.052364599</v>
      </c>
      <c r="I264" s="313"/>
      <c r="J264" s="222"/>
      <c r="N264"/>
      <c r="O264"/>
      <c r="P264"/>
    </row>
    <row r="265" spans="1:16">
      <c r="A265" s="236"/>
      <c r="B265" s="236"/>
      <c r="C265" s="266"/>
      <c r="D265" s="311"/>
      <c r="E265" s="1505"/>
      <c r="F265" s="307"/>
      <c r="G265" s="307"/>
      <c r="H265" s="315"/>
      <c r="I265" s="465"/>
      <c r="N265"/>
      <c r="O265"/>
      <c r="P265"/>
    </row>
    <row r="266" spans="1:16" ht="16" thickBot="1">
      <c r="A266" s="236">
        <v>138</v>
      </c>
      <c r="B266" s="519" t="s">
        <v>197</v>
      </c>
      <c r="C266" s="519"/>
      <c r="D266" s="430"/>
      <c r="E266" s="438"/>
      <c r="F266" s="451" t="str">
        <f>"(Line "&amp;A253&amp;" + "&amp;A262&amp;" +"&amp;A264&amp;")"</f>
        <v>(Line 135 + 136g +137)</v>
      </c>
      <c r="G266" s="525"/>
      <c r="H266" s="1498">
        <f>+H264+H262+H253</f>
        <v>2573858.114407043</v>
      </c>
      <c r="I266" s="976"/>
      <c r="N266"/>
      <c r="O266"/>
      <c r="P266"/>
    </row>
    <row r="267" spans="1:16" ht="16" thickTop="1">
      <c r="A267" s="236"/>
      <c r="B267" s="236"/>
      <c r="C267" s="300"/>
      <c r="E267" s="1505"/>
      <c r="F267" s="319"/>
      <c r="G267" s="320"/>
      <c r="H267" s="321"/>
      <c r="I267" s="321"/>
      <c r="N267"/>
      <c r="O267"/>
      <c r="P267"/>
    </row>
    <row r="268" spans="1:16">
      <c r="A268" s="486" t="s">
        <v>422</v>
      </c>
      <c r="B268" s="487"/>
      <c r="C268" s="488"/>
      <c r="D268" s="290"/>
      <c r="E268" s="1513"/>
      <c r="F268" s="225"/>
      <c r="G268" s="225"/>
      <c r="H268" s="292"/>
      <c r="I268" s="420"/>
      <c r="N268"/>
      <c r="O268"/>
      <c r="P268"/>
    </row>
    <row r="269" spans="1:16">
      <c r="A269" s="220"/>
      <c r="B269" s="168"/>
      <c r="C269" s="168"/>
      <c r="D269" s="168"/>
      <c r="E269" s="1505"/>
      <c r="N269"/>
      <c r="O269"/>
      <c r="P269"/>
    </row>
    <row r="270" spans="1:16">
      <c r="A270" s="220"/>
      <c r="B270" s="168" t="s">
        <v>423</v>
      </c>
      <c r="C270" s="461"/>
      <c r="D270" s="461"/>
      <c r="E270" s="1505"/>
      <c r="N270"/>
      <c r="O270"/>
      <c r="P270"/>
    </row>
    <row r="271" spans="1:16">
      <c r="A271" s="220">
        <v>139</v>
      </c>
      <c r="B271" s="168"/>
      <c r="C271" s="461" t="s">
        <v>424</v>
      </c>
      <c r="D271" s="461"/>
      <c r="E271" s="1505"/>
      <c r="F271" s="234" t="str">
        <f>"(Line "&amp;A80&amp;")"</f>
        <v>(Line 39)</v>
      </c>
      <c r="H271" s="437">
        <f>+H80</f>
        <v>1342263157.2194889</v>
      </c>
      <c r="I271" s="439"/>
      <c r="N271"/>
      <c r="O271"/>
      <c r="P271"/>
    </row>
    <row r="272" spans="1:16">
      <c r="A272" s="236">
        <v>140</v>
      </c>
      <c r="B272" s="168"/>
      <c r="C272" s="461" t="s">
        <v>425</v>
      </c>
      <c r="D272" s="461"/>
      <c r="E272" s="1505"/>
      <c r="F272" s="241" t="str">
        <f>"(Line "&amp;A125&amp;")"</f>
        <v>(Line 58)</v>
      </c>
      <c r="H272" s="437">
        <f>+H125</f>
        <v>-323285226.67147738</v>
      </c>
      <c r="I272" s="439"/>
      <c r="N272"/>
      <c r="O272"/>
      <c r="P272"/>
    </row>
    <row r="273" spans="1:17">
      <c r="A273" s="236">
        <v>141</v>
      </c>
      <c r="B273" s="236"/>
      <c r="C273" s="434" t="s">
        <v>339</v>
      </c>
      <c r="D273" s="256"/>
      <c r="E273" s="426"/>
      <c r="F273" s="234" t="str">
        <f>"(Line "&amp;A127&amp;")"</f>
        <v>(Line 59)</v>
      </c>
      <c r="G273" s="260"/>
      <c r="H273" s="476">
        <f>+H127</f>
        <v>1018977930.5480115</v>
      </c>
      <c r="I273" s="540"/>
      <c r="N273"/>
      <c r="O273"/>
      <c r="P273"/>
    </row>
    <row r="274" spans="1:17">
      <c r="A274" s="236"/>
      <c r="B274" s="236"/>
      <c r="C274" s="265"/>
      <c r="D274" s="311"/>
      <c r="E274" s="294"/>
      <c r="F274" s="232"/>
      <c r="G274" s="232"/>
      <c r="H274" s="437"/>
      <c r="I274" s="439"/>
      <c r="N274"/>
      <c r="O274"/>
      <c r="P274"/>
    </row>
    <row r="275" spans="1:17">
      <c r="A275" s="236">
        <v>142</v>
      </c>
      <c r="C275" s="265" t="s">
        <v>340</v>
      </c>
      <c r="D275" s="231"/>
      <c r="E275" s="1505"/>
      <c r="F275" s="234" t="str">
        <f>"(Line "&amp;A167&amp;")"</f>
        <v>(Line 85)</v>
      </c>
      <c r="H275" s="437">
        <f>+H167</f>
        <v>35450417.602287307</v>
      </c>
      <c r="I275" s="439"/>
      <c r="N275"/>
      <c r="O275"/>
      <c r="P275"/>
    </row>
    <row r="276" spans="1:17">
      <c r="A276" s="236">
        <v>143</v>
      </c>
      <c r="C276" s="266" t="s">
        <v>426</v>
      </c>
      <c r="D276" s="231"/>
      <c r="E276" s="1505"/>
      <c r="F276" s="234" t="str">
        <f>"(Line "&amp;A190&amp;")"</f>
        <v>(Line 97)</v>
      </c>
      <c r="H276" s="437">
        <f>+H190</f>
        <v>42558612.753582507</v>
      </c>
      <c r="I276" s="439"/>
      <c r="N276"/>
      <c r="O276"/>
      <c r="P276"/>
    </row>
    <row r="277" spans="1:17">
      <c r="A277" s="236">
        <v>144</v>
      </c>
      <c r="B277" s="236"/>
      <c r="C277" s="265" t="s">
        <v>378</v>
      </c>
      <c r="D277" s="311"/>
      <c r="E277" s="294"/>
      <c r="F277" s="234" t="str">
        <f>"(Line "&amp;A196&amp;")"</f>
        <v>(Line 99)</v>
      </c>
      <c r="G277" s="232"/>
      <c r="H277" s="437">
        <f>+H196</f>
        <v>1232318.6481298045</v>
      </c>
      <c r="I277" s="439"/>
      <c r="N277"/>
      <c r="O277"/>
      <c r="P277"/>
      <c r="Q277" s="461"/>
    </row>
    <row r="278" spans="1:17">
      <c r="A278" s="236">
        <v>145</v>
      </c>
      <c r="B278" s="236"/>
      <c r="C278" s="521" t="s">
        <v>427</v>
      </c>
      <c r="D278" s="311"/>
      <c r="E278" s="294"/>
      <c r="F278" s="234" t="str">
        <f>"(Line "&amp;A238&amp;")"</f>
        <v>(Line 127)</v>
      </c>
      <c r="G278" s="232"/>
      <c r="H278" s="437">
        <f>+H238</f>
        <v>75889078.813620374</v>
      </c>
      <c r="I278" s="439"/>
      <c r="N278"/>
      <c r="O278"/>
      <c r="P278"/>
    </row>
    <row r="279" spans="1:17">
      <c r="A279" s="236">
        <v>146</v>
      </c>
      <c r="B279" s="236"/>
      <c r="C279" s="521" t="s">
        <v>428</v>
      </c>
      <c r="D279" s="311"/>
      <c r="E279" s="294"/>
      <c r="F279" s="234" t="str">
        <f>"(Line "&amp;A266&amp;")"</f>
        <v>(Line 138)</v>
      </c>
      <c r="G279" s="232"/>
      <c r="H279" s="437">
        <f>+H266</f>
        <v>2573858.114407043</v>
      </c>
      <c r="I279" s="439"/>
      <c r="N279"/>
      <c r="O279"/>
      <c r="P279"/>
    </row>
    <row r="280" spans="1:17" ht="16" thickBot="1">
      <c r="A280" s="236"/>
      <c r="B280" s="236"/>
      <c r="C280" s="521"/>
      <c r="D280" s="311"/>
      <c r="E280" s="294"/>
      <c r="F280" s="232"/>
      <c r="G280" s="232"/>
      <c r="H280" s="437"/>
      <c r="I280" s="439"/>
      <c r="N280"/>
      <c r="O280"/>
      <c r="P280"/>
    </row>
    <row r="281" spans="1:17" ht="18" thickBot="1">
      <c r="A281" s="526">
        <v>147</v>
      </c>
      <c r="B281" s="527"/>
      <c r="C281" s="528" t="s">
        <v>429</v>
      </c>
      <c r="D281" s="529"/>
      <c r="E281" s="530"/>
      <c r="F281" s="531" t="str">
        <f>"(Sum Lines "&amp;A275&amp;" to "&amp;A279&amp;")"</f>
        <v>(Sum Lines 142 to 146)</v>
      </c>
      <c r="G281" s="532"/>
      <c r="H281" s="533">
        <f>SUM(H279,H278,H277,H276,H275)</f>
        <v>157704285.93202704</v>
      </c>
      <c r="I281" s="540"/>
      <c r="J281" s="534"/>
      <c r="N281"/>
      <c r="O281"/>
      <c r="P281"/>
    </row>
    <row r="282" spans="1:17" ht="17.5">
      <c r="A282" s="535"/>
      <c r="B282" s="535"/>
      <c r="C282" s="536"/>
      <c r="D282" s="537"/>
      <c r="E282" s="1519"/>
      <c r="F282" s="234"/>
      <c r="G282" s="538"/>
      <c r="H282" s="539"/>
      <c r="I282" s="540"/>
      <c r="N282"/>
      <c r="O282"/>
      <c r="P282"/>
    </row>
    <row r="283" spans="1:17" ht="17.5">
      <c r="A283" s="535"/>
      <c r="B283" s="266" t="s">
        <v>94</v>
      </c>
      <c r="C283" s="536"/>
      <c r="D283" s="537"/>
      <c r="E283" s="1519"/>
      <c r="F283" s="234"/>
      <c r="G283" s="538"/>
      <c r="H283" s="539"/>
      <c r="I283" s="540"/>
      <c r="N283"/>
      <c r="O283"/>
      <c r="P283"/>
    </row>
    <row r="284" spans="1:17" ht="17.5">
      <c r="A284" s="314">
        <v>148</v>
      </c>
      <c r="B284" s="314"/>
      <c r="C284" s="265" t="s">
        <v>300</v>
      </c>
      <c r="D284" s="537"/>
      <c r="E284" s="1519"/>
      <c r="F284" s="234" t="str">
        <f>"(Line "&amp;A45&amp;")"</f>
        <v>(Line 19)</v>
      </c>
      <c r="G284" s="538"/>
      <c r="H284" s="540">
        <f>+H45</f>
        <v>1597562320.5284615</v>
      </c>
      <c r="I284" s="540"/>
      <c r="N284"/>
      <c r="O284"/>
      <c r="P284"/>
    </row>
    <row r="285" spans="1:17" ht="17.5">
      <c r="A285" s="314">
        <v>149</v>
      </c>
      <c r="B285" s="314"/>
      <c r="C285" s="541" t="s">
        <v>430</v>
      </c>
      <c r="D285" s="542"/>
      <c r="E285" s="482" t="str">
        <f>"(Note "&amp;B$342&amp;")"</f>
        <v>(Note M)</v>
      </c>
      <c r="F285" s="250" t="s">
        <v>322</v>
      </c>
      <c r="G285" s="538"/>
      <c r="H285" s="543">
        <f>+'5 - Cost Support 1'!G80</f>
        <v>0</v>
      </c>
      <c r="I285" s="540"/>
      <c r="N285"/>
      <c r="O285"/>
      <c r="P285"/>
    </row>
    <row r="286" spans="1:17" ht="17.5">
      <c r="A286" s="314">
        <v>150</v>
      </c>
      <c r="B286" s="314"/>
      <c r="C286" s="265" t="s">
        <v>431</v>
      </c>
      <c r="D286" s="537"/>
      <c r="E286" s="1519"/>
      <c r="F286" s="235" t="str">
        <f>"(Line "&amp;A284&amp;" - "&amp;A285&amp;")"</f>
        <v>(Line 148 - 149)</v>
      </c>
      <c r="G286" s="538"/>
      <c r="H286" s="540">
        <f>+H284-H285</f>
        <v>1597562320.5284615</v>
      </c>
      <c r="I286" s="540"/>
      <c r="N286"/>
      <c r="O286"/>
      <c r="P286"/>
    </row>
    <row r="287" spans="1:17" ht="17.5">
      <c r="A287" s="314">
        <v>151</v>
      </c>
      <c r="B287" s="314"/>
      <c r="C287" s="265" t="s">
        <v>432</v>
      </c>
      <c r="D287" s="537"/>
      <c r="E287" s="1519"/>
      <c r="F287" s="235" t="str">
        <f>"(Line "&amp;A286&amp;" / "&amp;A284&amp;")"</f>
        <v>(Line 150 / 148)</v>
      </c>
      <c r="G287" s="538"/>
      <c r="H287" s="544">
        <f>+H286/H284</f>
        <v>1</v>
      </c>
      <c r="I287" s="544"/>
      <c r="N287"/>
      <c r="O287"/>
      <c r="P287"/>
    </row>
    <row r="288" spans="1:17" ht="17.5">
      <c r="A288" s="314">
        <v>152</v>
      </c>
      <c r="B288" s="314"/>
      <c r="C288" s="541" t="s">
        <v>429</v>
      </c>
      <c r="D288" s="542"/>
      <c r="E288" s="545"/>
      <c r="F288" s="250" t="str">
        <f>"(Line "&amp;A281&amp;")"</f>
        <v>(Line 147)</v>
      </c>
      <c r="G288" s="538"/>
      <c r="H288" s="543">
        <f>+H281</f>
        <v>157704285.93202704</v>
      </c>
      <c r="I288" s="540"/>
      <c r="N288"/>
      <c r="O288"/>
      <c r="P288"/>
    </row>
    <row r="289" spans="1:16" ht="17.5">
      <c r="A289" s="314">
        <v>153</v>
      </c>
      <c r="B289" s="314"/>
      <c r="C289" s="265" t="s">
        <v>433</v>
      </c>
      <c r="D289" s="537"/>
      <c r="E289" s="1519"/>
      <c r="F289" s="235" t="str">
        <f>"(Line "&amp;A287&amp;" * "&amp;A288&amp;")"</f>
        <v>(Line 151 * 152)</v>
      </c>
      <c r="G289" s="538"/>
      <c r="H289" s="540">
        <f>+H288*H287</f>
        <v>157704285.93202704</v>
      </c>
      <c r="I289" s="540"/>
      <c r="N289"/>
      <c r="O289"/>
      <c r="P289"/>
    </row>
    <row r="290" spans="1:16">
      <c r="A290" s="455"/>
      <c r="B290" s="236"/>
      <c r="C290" s="265"/>
      <c r="D290" s="311"/>
      <c r="E290" s="294"/>
      <c r="F290" s="232"/>
      <c r="G290" s="232"/>
      <c r="H290" s="432"/>
      <c r="I290" s="980"/>
      <c r="N290"/>
      <c r="O290"/>
      <c r="P290"/>
    </row>
    <row r="291" spans="1:16">
      <c r="A291" s="455"/>
      <c r="B291" s="237" t="s">
        <v>434</v>
      </c>
      <c r="C291" s="265"/>
      <c r="D291" s="311"/>
      <c r="E291" s="294"/>
      <c r="F291" s="232"/>
      <c r="G291" s="232"/>
      <c r="H291" s="432"/>
      <c r="I291" s="980"/>
      <c r="N291"/>
      <c r="O291"/>
      <c r="P291"/>
    </row>
    <row r="292" spans="1:16">
      <c r="A292" s="228">
        <v>154</v>
      </c>
      <c r="B292" s="168"/>
      <c r="C292" s="237" t="s">
        <v>435</v>
      </c>
      <c r="D292" s="311"/>
      <c r="E292" s="294"/>
      <c r="F292" s="232" t="s">
        <v>436</v>
      </c>
      <c r="G292" s="232"/>
      <c r="H292" s="313">
        <f>+'3 - Revenue Credits'!G25</f>
        <v>4406382.4812927144</v>
      </c>
      <c r="I292" s="313"/>
      <c r="N292"/>
      <c r="O292"/>
      <c r="P292"/>
    </row>
    <row r="293" spans="1:16">
      <c r="A293" s="228">
        <v>155</v>
      </c>
      <c r="B293" s="168"/>
      <c r="C293" s="237" t="s">
        <v>437</v>
      </c>
      <c r="D293" s="311"/>
      <c r="E293" s="515" t="str">
        <f>"(Note "&amp;B$343&amp;")"</f>
        <v>(Note N)</v>
      </c>
      <c r="F293" s="232" t="s">
        <v>346</v>
      </c>
      <c r="G293" s="232"/>
      <c r="H293" s="546">
        <f>+'5 - Cost Support 1'!G167</f>
        <v>0</v>
      </c>
      <c r="I293" s="313"/>
      <c r="N293"/>
      <c r="O293"/>
      <c r="P293"/>
    </row>
    <row r="294" spans="1:16" ht="16" thickBot="1">
      <c r="A294" s="236"/>
      <c r="B294" s="236"/>
      <c r="C294" s="419"/>
      <c r="D294" s="419"/>
      <c r="E294" s="1505"/>
      <c r="F294" s="232"/>
      <c r="G294" s="232"/>
      <c r="H294" s="432"/>
      <c r="I294" s="980"/>
      <c r="N294"/>
      <c r="O294"/>
      <c r="P294"/>
    </row>
    <row r="295" spans="1:16" s="312" customFormat="1" ht="18" thickBot="1">
      <c r="A295" s="526">
        <v>156</v>
      </c>
      <c r="B295" s="547"/>
      <c r="C295" s="548" t="s">
        <v>438</v>
      </c>
      <c r="D295" s="549"/>
      <c r="E295" s="550"/>
      <c r="F295" s="531" t="str">
        <f>"(Line "&amp;A289&amp;" - "&amp;A292&amp;" + "&amp;A293&amp;")"</f>
        <v>(Line 153 - 154 + 155)</v>
      </c>
      <c r="G295" s="532"/>
      <c r="H295" s="533">
        <f>+H289-H292+H293</f>
        <v>153297903.45073432</v>
      </c>
      <c r="I295" s="540"/>
      <c r="K295"/>
      <c r="L295"/>
      <c r="M295"/>
      <c r="N295"/>
      <c r="O295"/>
      <c r="P295"/>
    </row>
    <row r="296" spans="1:16">
      <c r="A296" s="455"/>
      <c r="B296" s="236"/>
      <c r="C296" s="419"/>
      <c r="D296" s="419"/>
      <c r="E296" s="1505"/>
      <c r="F296" s="232"/>
      <c r="G296" s="232"/>
      <c r="H296" s="432"/>
      <c r="I296" s="980"/>
      <c r="N296"/>
      <c r="O296"/>
      <c r="P296"/>
    </row>
    <row r="297" spans="1:16">
      <c r="A297" s="228"/>
      <c r="B297" s="419" t="s">
        <v>439</v>
      </c>
      <c r="C297" s="221"/>
      <c r="D297" s="419"/>
      <c r="E297" s="1505"/>
      <c r="F297" s="232"/>
      <c r="G297" s="232"/>
      <c r="H297" s="432"/>
      <c r="I297" s="980"/>
      <c r="N297"/>
      <c r="O297"/>
      <c r="P297"/>
    </row>
    <row r="298" spans="1:16">
      <c r="A298" s="228">
        <v>157</v>
      </c>
      <c r="B298" s="228"/>
      <c r="C298" s="419" t="s">
        <v>438</v>
      </c>
      <c r="D298" s="419"/>
      <c r="E298" s="1505"/>
      <c r="F298" s="232" t="str">
        <f>"(Line "&amp;A295&amp;")"</f>
        <v>(Line 156)</v>
      </c>
      <c r="G298" s="232"/>
      <c r="H298" s="551">
        <f>+H295</f>
        <v>153297903.45073432</v>
      </c>
      <c r="I298" s="313"/>
      <c r="N298"/>
      <c r="O298"/>
      <c r="P298"/>
    </row>
    <row r="299" spans="1:16">
      <c r="A299" s="228">
        <v>158</v>
      </c>
      <c r="B299" s="228"/>
      <c r="C299" s="419" t="s">
        <v>440</v>
      </c>
      <c r="D299" s="419"/>
      <c r="E299" s="1505"/>
      <c r="F299" s="232" t="str">
        <f>"(Line "&amp;A45&amp;" - "&amp;A65&amp;")"</f>
        <v>(Line 19 - 30)</v>
      </c>
      <c r="G299" s="232"/>
      <c r="H299" s="551">
        <f>+H45-H65</f>
        <v>1319690532.1561537</v>
      </c>
      <c r="I299" s="313"/>
      <c r="N299"/>
      <c r="O299"/>
      <c r="P299"/>
    </row>
    <row r="300" spans="1:16">
      <c r="A300" s="228">
        <v>159</v>
      </c>
      <c r="B300" s="228"/>
      <c r="C300" s="419" t="s">
        <v>441</v>
      </c>
      <c r="D300" s="419"/>
      <c r="E300" s="1505"/>
      <c r="F300" s="232" t="str">
        <f>"(Line "&amp;A298&amp;" / "&amp;A299&amp;")"</f>
        <v>(Line 157 / 158)</v>
      </c>
      <c r="G300" s="232"/>
      <c r="H300" s="432">
        <f>+H298/H299</f>
        <v>0.1161620089827205</v>
      </c>
      <c r="I300" s="980"/>
      <c r="N300"/>
      <c r="O300"/>
      <c r="P300"/>
    </row>
    <row r="301" spans="1:16">
      <c r="A301" s="228">
        <v>160</v>
      </c>
      <c r="B301" s="228"/>
      <c r="C301" s="419" t="s">
        <v>442</v>
      </c>
      <c r="D301" s="419"/>
      <c r="E301" s="1505"/>
      <c r="F301" s="232" t="str">
        <f>"(Line "&amp;A298&amp;" - "&amp;A173&amp;") / "&amp;A299</f>
        <v>(Line 157 - 86) / 158</v>
      </c>
      <c r="G301" s="232"/>
      <c r="H301" s="432">
        <f>(H298-H173)/H299</f>
        <v>8.5794494763668724E-2</v>
      </c>
      <c r="I301" s="980"/>
      <c r="N301"/>
      <c r="O301"/>
      <c r="P301"/>
    </row>
    <row r="302" spans="1:16">
      <c r="A302" s="228">
        <v>161</v>
      </c>
      <c r="B302" s="228"/>
      <c r="C302" s="419" t="s">
        <v>443</v>
      </c>
      <c r="D302" s="419"/>
      <c r="E302" s="1505"/>
      <c r="F302" s="255" t="str">
        <f>"(Line "&amp;A298&amp;" - "&amp;A173&amp;" - "&amp;A238&amp;" - "&amp;A266&amp;") / "&amp;A299</f>
        <v>(Line 157 - 86 - 127 - 138) / 158</v>
      </c>
      <c r="G302" s="232"/>
      <c r="H302" s="432">
        <f>(H298-H173-H238-H266)/H299</f>
        <v>2.6338936800521035E-2</v>
      </c>
      <c r="I302" s="980"/>
      <c r="N302"/>
      <c r="O302"/>
      <c r="P302"/>
    </row>
    <row r="303" spans="1:16">
      <c r="A303" s="228"/>
      <c r="B303" s="228"/>
      <c r="C303" s="419"/>
      <c r="D303" s="419"/>
      <c r="E303" s="1505"/>
      <c r="F303" s="232"/>
      <c r="G303" s="232"/>
      <c r="H303" s="432"/>
      <c r="I303" s="980"/>
      <c r="N303"/>
      <c r="O303"/>
      <c r="P303"/>
    </row>
    <row r="304" spans="1:16">
      <c r="A304" s="228"/>
      <c r="B304" s="228"/>
      <c r="C304" s="419"/>
      <c r="D304" s="419"/>
      <c r="E304" s="1505"/>
      <c r="F304" s="232"/>
      <c r="G304" s="232"/>
      <c r="H304" s="552"/>
      <c r="I304" s="991"/>
      <c r="N304"/>
      <c r="O304"/>
      <c r="P304"/>
    </row>
    <row r="305" spans="1:186">
      <c r="A305" s="228"/>
      <c r="B305" s="419" t="s">
        <v>444</v>
      </c>
      <c r="C305" s="419"/>
      <c r="D305" s="419"/>
      <c r="E305" s="1505"/>
      <c r="F305" s="232"/>
      <c r="G305" s="232"/>
      <c r="H305" s="432"/>
      <c r="I305" s="980"/>
      <c r="N305"/>
      <c r="O305"/>
      <c r="P305"/>
    </row>
    <row r="306" spans="1:186">
      <c r="A306" s="228">
        <v>162</v>
      </c>
      <c r="B306" s="228"/>
      <c r="C306" s="419" t="s">
        <v>445</v>
      </c>
      <c r="D306" s="419"/>
      <c r="E306" s="1505"/>
      <c r="F306" s="255" t="str">
        <f>"(Line "&amp;A295&amp;" - "&amp;A278&amp;" - "&amp;A279&amp;")"</f>
        <v>(Line 156 - 145 - 146)</v>
      </c>
      <c r="G306" s="232"/>
      <c r="H306" s="551">
        <f>+H295-H278-H279</f>
        <v>74834966.522706896</v>
      </c>
      <c r="I306" s="313"/>
      <c r="N306"/>
      <c r="O306"/>
      <c r="P306"/>
    </row>
    <row r="307" spans="1:186">
      <c r="A307" s="228">
        <v>163</v>
      </c>
      <c r="B307" s="228"/>
      <c r="C307" s="419" t="s">
        <v>446</v>
      </c>
      <c r="D307" s="419"/>
      <c r="E307" s="1505"/>
      <c r="F307" s="255" t="s">
        <v>447</v>
      </c>
      <c r="G307" s="232"/>
      <c r="H307" s="313">
        <f>+'4 - 100 Basis Pt ROE'!I9</f>
        <v>85550000.014325991</v>
      </c>
      <c r="I307" s="313"/>
      <c r="N307"/>
      <c r="O307"/>
      <c r="P307"/>
    </row>
    <row r="308" spans="1:186">
      <c r="A308" s="228">
        <v>164</v>
      </c>
      <c r="B308" s="228"/>
      <c r="C308" s="419" t="s">
        <v>448</v>
      </c>
      <c r="D308" s="419"/>
      <c r="E308" s="1505"/>
      <c r="F308" s="255" t="str">
        <f>"(Line "&amp;A306&amp;" + "&amp;A307&amp;")"</f>
        <v>(Line 162 + 163)</v>
      </c>
      <c r="G308" s="232"/>
      <c r="H308" s="551">
        <f>+H307+H306</f>
        <v>160384966.5370329</v>
      </c>
      <c r="I308" s="313"/>
      <c r="N308"/>
      <c r="O308"/>
      <c r="P308"/>
    </row>
    <row r="309" spans="1:186">
      <c r="A309" s="228">
        <v>165</v>
      </c>
      <c r="B309" s="228"/>
      <c r="C309" s="419" t="s">
        <v>440</v>
      </c>
      <c r="D309" s="419"/>
      <c r="E309" s="1505"/>
      <c r="F309" s="232" t="str">
        <f>"(Line "&amp;A45&amp;" - "&amp;A65&amp;")"</f>
        <v>(Line 19 - 30)</v>
      </c>
      <c r="G309" s="232"/>
      <c r="H309" s="551">
        <f>+H299</f>
        <v>1319690532.1561537</v>
      </c>
      <c r="I309" s="313"/>
      <c r="N309"/>
      <c r="O309"/>
      <c r="P309"/>
    </row>
    <row r="310" spans="1:186">
      <c r="A310" s="228">
        <v>166</v>
      </c>
      <c r="B310" s="228"/>
      <c r="C310" s="419" t="s">
        <v>449</v>
      </c>
      <c r="D310" s="419"/>
      <c r="E310" s="1505"/>
      <c r="F310" s="232" t="str">
        <f>"(Line "&amp;A308&amp;" / "&amp;A309&amp;")"</f>
        <v>(Line 164 / 165)</v>
      </c>
      <c r="G310" s="232"/>
      <c r="H310" s="432">
        <f>+H308/H309</f>
        <v>0.12153225519849012</v>
      </c>
      <c r="I310" s="980"/>
      <c r="N310"/>
      <c r="O310"/>
      <c r="P310"/>
    </row>
    <row r="311" spans="1:186">
      <c r="A311" s="228">
        <v>167</v>
      </c>
      <c r="B311" s="228"/>
      <c r="C311" s="419" t="s">
        <v>450</v>
      </c>
      <c r="D311" s="419"/>
      <c r="E311" s="1505"/>
      <c r="F311" s="232" t="str">
        <f>"(Line "&amp;A308&amp;" - "&amp;A173&amp;") / "&amp;A309</f>
        <v>(Line 164 - 86) / 165</v>
      </c>
      <c r="G311" s="232"/>
      <c r="H311" s="432">
        <f>(H308-H173)/H309</f>
        <v>9.1164740979438344E-2</v>
      </c>
      <c r="I311" s="980"/>
      <c r="N311"/>
      <c r="O311"/>
      <c r="P311"/>
    </row>
    <row r="312" spans="1:186">
      <c r="A312" s="228"/>
      <c r="B312" s="228"/>
      <c r="C312" s="419"/>
      <c r="D312" s="419"/>
      <c r="E312" s="553"/>
      <c r="F312" s="232"/>
      <c r="G312" s="232"/>
      <c r="H312" s="432"/>
      <c r="I312" s="980"/>
      <c r="N312"/>
      <c r="O312"/>
      <c r="P312"/>
    </row>
    <row r="313" spans="1:186">
      <c r="A313" s="228">
        <v>168</v>
      </c>
      <c r="B313" s="228"/>
      <c r="C313" s="419" t="s">
        <v>438</v>
      </c>
      <c r="D313" s="419"/>
      <c r="E313" s="1505"/>
      <c r="F313" s="232" t="str">
        <f>"(Line "&amp;A295&amp;")"</f>
        <v>(Line 156)</v>
      </c>
      <c r="G313" s="232"/>
      <c r="H313" s="551">
        <f>+H295</f>
        <v>153297903.45073432</v>
      </c>
      <c r="I313" s="313"/>
      <c r="J313" s="554"/>
      <c r="N313"/>
      <c r="O313"/>
      <c r="P313"/>
    </row>
    <row r="314" spans="1:186">
      <c r="A314" s="228">
        <v>169</v>
      </c>
      <c r="B314" s="228"/>
      <c r="C314" s="419" t="s">
        <v>451</v>
      </c>
      <c r="D314" s="419"/>
      <c r="E314" s="294"/>
      <c r="F314" s="254" t="s">
        <v>792</v>
      </c>
      <c r="G314" s="1226"/>
      <c r="H314" s="313"/>
      <c r="I314" s="313"/>
      <c r="J314" s="554"/>
      <c r="N314"/>
      <c r="O314"/>
      <c r="P314"/>
    </row>
    <row r="315" spans="1:186">
      <c r="A315" s="228">
        <v>170</v>
      </c>
      <c r="B315" s="228"/>
      <c r="C315" s="419" t="s">
        <v>452</v>
      </c>
      <c r="D315" s="419"/>
      <c r="E315" s="294"/>
      <c r="F315" s="254" t="s">
        <v>909</v>
      </c>
      <c r="G315" s="1226"/>
      <c r="H315" s="313">
        <f>+'7 - Cap Add WS'!AX61-'7 - Cap Add WS'!AY60</f>
        <v>295767.41890576854</v>
      </c>
      <c r="I315" s="313"/>
      <c r="J315" s="221"/>
      <c r="N315"/>
      <c r="O315"/>
      <c r="P315"/>
    </row>
    <row r="316" spans="1:186">
      <c r="A316" s="228">
        <v>171</v>
      </c>
      <c r="B316" s="228"/>
      <c r="C316" s="311" t="s">
        <v>453</v>
      </c>
      <c r="D316" s="555"/>
      <c r="E316" s="515"/>
      <c r="F316" s="1235" t="s">
        <v>454</v>
      </c>
      <c r="G316" s="1226"/>
      <c r="H316" s="556">
        <f>+'5 - Cost Support 1'!G176</f>
        <v>0</v>
      </c>
      <c r="I316" s="556"/>
      <c r="J316" s="221"/>
      <c r="N316"/>
      <c r="O316"/>
      <c r="P316"/>
      <c r="GD316" s="168">
        <v>171</v>
      </c>
    </row>
    <row r="317" spans="1:186">
      <c r="A317" s="228">
        <v>172</v>
      </c>
      <c r="B317" s="228"/>
      <c r="C317" s="419" t="s">
        <v>455</v>
      </c>
      <c r="D317" s="555"/>
      <c r="E317" s="1505"/>
      <c r="F317" s="1226" t="str">
        <f>"(Line "&amp;A313&amp;" + "&amp;A314&amp;" + "&amp;170&amp;" + "&amp;A316&amp;")"</f>
        <v>(Line 168 + 169 + 170 + 171)</v>
      </c>
      <c r="G317" s="1226"/>
      <c r="H317" s="551">
        <f>SUM(H313:H316)</f>
        <v>153593670.86964008</v>
      </c>
      <c r="I317" s="313"/>
      <c r="J317" s="554"/>
      <c r="N317"/>
      <c r="O317"/>
      <c r="P317"/>
    </row>
    <row r="318" spans="1:186">
      <c r="A318" s="228"/>
      <c r="B318" s="236"/>
      <c r="C318" s="419"/>
      <c r="D318" s="419"/>
      <c r="E318" s="1505"/>
      <c r="F318" s="1226"/>
      <c r="G318" s="1226"/>
      <c r="H318" s="557"/>
      <c r="I318" s="847"/>
      <c r="J318" s="221"/>
      <c r="N318"/>
      <c r="O318"/>
      <c r="P318"/>
    </row>
    <row r="319" spans="1:186">
      <c r="A319" s="228"/>
      <c r="B319" s="237" t="s">
        <v>129</v>
      </c>
      <c r="C319" s="419"/>
      <c r="D319" s="419"/>
      <c r="E319" s="1505"/>
      <c r="F319" s="1226"/>
      <c r="G319" s="1226"/>
      <c r="H319" s="432"/>
      <c r="I319" s="980"/>
      <c r="N319"/>
      <c r="O319"/>
      <c r="P319"/>
    </row>
    <row r="320" spans="1:186">
      <c r="A320" s="228">
        <v>173</v>
      </c>
      <c r="B320" s="236"/>
      <c r="C320" s="232" t="s">
        <v>456</v>
      </c>
      <c r="D320" s="558"/>
      <c r="E320" s="515" t="str">
        <f>"(Note "&amp;B$341&amp;")"</f>
        <v>(Note L)</v>
      </c>
      <c r="F320" s="1193" t="s">
        <v>346</v>
      </c>
      <c r="G320" s="1193"/>
      <c r="H320" s="1499">
        <f>+'5 - Cost Support 1'!G184</f>
        <v>2737.3</v>
      </c>
      <c r="I320" s="992"/>
      <c r="J320" s="221"/>
      <c r="N320"/>
      <c r="O320"/>
      <c r="P320"/>
    </row>
    <row r="321" spans="1:16">
      <c r="A321" s="228">
        <v>174</v>
      </c>
      <c r="B321" s="236"/>
      <c r="C321" s="232" t="s">
        <v>457</v>
      </c>
      <c r="D321" s="559"/>
      <c r="E321" s="560"/>
      <c r="F321" s="1227" t="str">
        <f>"(Line "&amp;A317&amp;" / "&amp;A320&amp;")"</f>
        <v>(Line 172 / 173)</v>
      </c>
      <c r="G321" s="1490"/>
      <c r="H321" s="1500">
        <f>+H317/H320</f>
        <v>56111.376491301671</v>
      </c>
      <c r="I321" s="993"/>
      <c r="N321"/>
      <c r="O321"/>
      <c r="P321"/>
    </row>
    <row r="322" spans="1:16" ht="16" thickBot="1">
      <c r="A322" s="236"/>
      <c r="B322" s="236"/>
      <c r="C322" s="558"/>
      <c r="D322" s="558"/>
      <c r="E322" s="563"/>
      <c r="F322" s="561"/>
      <c r="G322" s="561"/>
      <c r="H322" s="562"/>
      <c r="I322" s="993"/>
      <c r="N322"/>
      <c r="O322"/>
      <c r="P322"/>
    </row>
    <row r="323" spans="1:16" s="461" customFormat="1" ht="18" thickBot="1">
      <c r="A323" s="526">
        <v>175</v>
      </c>
      <c r="B323" s="527"/>
      <c r="C323" s="548" t="s">
        <v>458</v>
      </c>
      <c r="D323" s="527"/>
      <c r="E323" s="527"/>
      <c r="F323" s="527" t="s">
        <v>851</v>
      </c>
      <c r="G323" s="527"/>
      <c r="H323" s="564">
        <f>+H321</f>
        <v>56111.376491301671</v>
      </c>
      <c r="I323" s="994"/>
      <c r="K323"/>
      <c r="L323"/>
      <c r="M323"/>
      <c r="N323"/>
      <c r="O323"/>
      <c r="P323"/>
    </row>
    <row r="324" spans="1:16" s="461" customFormat="1">
      <c r="A324" s="565"/>
      <c r="B324" s="304"/>
      <c r="C324" s="566"/>
      <c r="D324" s="566"/>
      <c r="E324" s="567"/>
      <c r="F324" s="561"/>
      <c r="G324" s="561"/>
      <c r="H324" s="568"/>
      <c r="I324" s="995"/>
      <c r="K324"/>
      <c r="L324"/>
      <c r="M324"/>
      <c r="N324"/>
      <c r="O324"/>
      <c r="P324"/>
    </row>
    <row r="325" spans="1:16" s="461" customFormat="1" ht="18">
      <c r="A325" s="569"/>
      <c r="B325" s="310" t="s">
        <v>278</v>
      </c>
      <c r="C325" s="566"/>
      <c r="D325" s="566"/>
      <c r="E325" s="567"/>
      <c r="F325" s="561"/>
      <c r="G325" s="561"/>
      <c r="H325" s="568"/>
      <c r="I325" s="995"/>
      <c r="K325"/>
      <c r="L325"/>
      <c r="M325"/>
      <c r="N325"/>
      <c r="O325"/>
      <c r="P325"/>
    </row>
    <row r="326" spans="1:16" s="461" customFormat="1">
      <c r="A326" s="570"/>
      <c r="B326" s="1505" t="s">
        <v>9</v>
      </c>
      <c r="C326" s="1248" t="s">
        <v>459</v>
      </c>
      <c r="D326" s="1248"/>
      <c r="E326" s="1507"/>
      <c r="F326" s="1508"/>
      <c r="G326" s="1490"/>
      <c r="H326" s="1491"/>
      <c r="I326" s="995"/>
      <c r="K326"/>
      <c r="L326"/>
      <c r="M326"/>
      <c r="N326"/>
      <c r="O326"/>
      <c r="P326"/>
    </row>
    <row r="327" spans="1:16" s="461" customFormat="1">
      <c r="A327" s="571"/>
      <c r="B327" s="1505" t="s">
        <v>10</v>
      </c>
      <c r="C327" s="227" t="s">
        <v>460</v>
      </c>
      <c r="D327" s="1248"/>
      <c r="E327" s="1507"/>
      <c r="F327" s="1508"/>
      <c r="G327" s="1490"/>
      <c r="H327" s="1491"/>
      <c r="I327" s="995"/>
      <c r="K327"/>
      <c r="L327"/>
      <c r="M327"/>
      <c r="N327"/>
      <c r="O327"/>
      <c r="P327"/>
    </row>
    <row r="328" spans="1:16" s="461" customFormat="1">
      <c r="A328" s="571"/>
      <c r="B328" s="1505"/>
      <c r="C328" s="227" t="s">
        <v>461</v>
      </c>
      <c r="D328" s="1248"/>
      <c r="E328" s="1507"/>
      <c r="F328" s="1508"/>
      <c r="G328" s="1490"/>
      <c r="H328" s="572"/>
      <c r="I328" s="978"/>
      <c r="K328"/>
      <c r="L328"/>
      <c r="M328"/>
      <c r="N328"/>
      <c r="O328"/>
      <c r="P328"/>
    </row>
    <row r="329" spans="1:16" s="461" customFormat="1">
      <c r="A329" s="571"/>
      <c r="B329" s="1505"/>
      <c r="C329" s="227" t="s">
        <v>906</v>
      </c>
      <c r="D329" s="1248"/>
      <c r="E329" s="1507"/>
      <c r="F329" s="1508"/>
      <c r="G329" s="1490"/>
      <c r="H329" s="1491"/>
      <c r="I329" s="995"/>
      <c r="K329"/>
      <c r="L329"/>
      <c r="M329"/>
      <c r="N329"/>
      <c r="O329"/>
      <c r="P329"/>
    </row>
    <row r="330" spans="1:16" s="461" customFormat="1">
      <c r="A330" s="571"/>
      <c r="B330" s="1505"/>
      <c r="C330" s="227" t="s">
        <v>462</v>
      </c>
      <c r="D330" s="1248"/>
      <c r="E330" s="1507"/>
      <c r="F330" s="1508"/>
      <c r="G330" s="1490"/>
      <c r="H330" s="1491"/>
      <c r="I330" s="995"/>
      <c r="K330"/>
      <c r="L330"/>
      <c r="M330"/>
      <c r="N330"/>
      <c r="O330"/>
      <c r="P330"/>
    </row>
    <row r="331" spans="1:16" s="461" customFormat="1">
      <c r="A331" s="571"/>
      <c r="B331" s="1505"/>
      <c r="C331" s="227" t="s">
        <v>463</v>
      </c>
      <c r="D331" s="1248"/>
      <c r="E331" s="1507"/>
      <c r="F331" s="1508"/>
      <c r="G331" s="1490"/>
      <c r="H331" s="1491"/>
      <c r="I331" s="995"/>
      <c r="K331"/>
      <c r="L331"/>
      <c r="M331"/>
      <c r="N331"/>
      <c r="O331"/>
      <c r="P331"/>
    </row>
    <row r="332" spans="1:16" s="461" customFormat="1">
      <c r="A332" s="571"/>
      <c r="B332" s="1505" t="s">
        <v>11</v>
      </c>
      <c r="C332" s="227" t="s">
        <v>464</v>
      </c>
      <c r="D332" s="1248"/>
      <c r="E332" s="1507"/>
      <c r="F332" s="1508"/>
      <c r="G332" s="1490"/>
      <c r="H332" s="1491"/>
      <c r="I332" s="995"/>
      <c r="K332"/>
      <c r="L332"/>
      <c r="M332"/>
      <c r="N332"/>
      <c r="O332"/>
      <c r="P332"/>
    </row>
    <row r="333" spans="1:16" s="461" customFormat="1">
      <c r="A333" s="571"/>
      <c r="B333" s="1505" t="s">
        <v>14</v>
      </c>
      <c r="C333" s="1248" t="s">
        <v>465</v>
      </c>
      <c r="D333" s="1248"/>
      <c r="E333" s="1507"/>
      <c r="F333" s="1508"/>
      <c r="G333" s="1490"/>
      <c r="H333" s="1491"/>
      <c r="I333" s="995"/>
      <c r="K333"/>
      <c r="L333"/>
      <c r="M333"/>
      <c r="N333"/>
      <c r="O333"/>
      <c r="P333"/>
    </row>
    <row r="334" spans="1:16" s="461" customFormat="1">
      <c r="A334" s="571"/>
      <c r="B334" s="1505" t="s">
        <v>138</v>
      </c>
      <c r="C334" s="1248" t="s">
        <v>466</v>
      </c>
      <c r="D334" s="1248"/>
      <c r="E334" s="1507"/>
      <c r="F334" s="1508"/>
      <c r="G334" s="1490"/>
      <c r="H334" s="1491"/>
      <c r="I334" s="995"/>
      <c r="K334"/>
      <c r="L334"/>
      <c r="M334"/>
      <c r="N334"/>
      <c r="O334"/>
      <c r="P334"/>
    </row>
    <row r="335" spans="1:16" s="461" customFormat="1">
      <c r="A335" s="571"/>
      <c r="B335" s="1505" t="s">
        <v>139</v>
      </c>
      <c r="C335" s="1248" t="s">
        <v>467</v>
      </c>
      <c r="D335" s="1248"/>
      <c r="E335" s="1507"/>
      <c r="F335" s="1508"/>
      <c r="G335" s="1490"/>
      <c r="H335" s="1491"/>
      <c r="I335" s="995"/>
      <c r="K335"/>
      <c r="L335"/>
      <c r="M335"/>
      <c r="N335"/>
      <c r="O335"/>
      <c r="P335"/>
    </row>
    <row r="336" spans="1:16" s="461" customFormat="1">
      <c r="A336" s="571"/>
      <c r="B336" s="1505" t="s">
        <v>140</v>
      </c>
      <c r="C336" s="1248" t="s">
        <v>468</v>
      </c>
      <c r="D336" s="1248"/>
      <c r="E336" s="1507"/>
      <c r="F336" s="1508"/>
      <c r="G336" s="1490"/>
      <c r="H336" s="1491"/>
      <c r="I336" s="995"/>
      <c r="K336"/>
      <c r="L336"/>
      <c r="M336"/>
      <c r="N336"/>
      <c r="O336"/>
      <c r="P336"/>
    </row>
    <row r="337" spans="1:16" s="461" customFormat="1" ht="15.75" customHeight="1">
      <c r="A337" s="571"/>
      <c r="B337" s="1505" t="s">
        <v>469</v>
      </c>
      <c r="C337" s="1729" t="s">
        <v>1507</v>
      </c>
      <c r="D337" s="1729"/>
      <c r="E337" s="1729"/>
      <c r="F337" s="1729"/>
      <c r="G337" s="1490"/>
      <c r="H337" s="1491"/>
      <c r="I337" s="995"/>
      <c r="K337"/>
      <c r="L337"/>
      <c r="M337"/>
      <c r="N337"/>
      <c r="O337"/>
      <c r="P337"/>
    </row>
    <row r="338" spans="1:16" s="461" customFormat="1">
      <c r="A338" s="571"/>
      <c r="B338" s="1505"/>
      <c r="C338" s="1729"/>
      <c r="D338" s="1729"/>
      <c r="E338" s="1729"/>
      <c r="F338" s="1729"/>
      <c r="G338" s="1490"/>
      <c r="H338" s="1491"/>
      <c r="I338" s="995"/>
      <c r="K338"/>
      <c r="L338"/>
      <c r="M338"/>
      <c r="N338"/>
      <c r="O338"/>
      <c r="P338"/>
    </row>
    <row r="339" spans="1:16" s="461" customFormat="1" ht="15.75" customHeight="1">
      <c r="A339" s="571"/>
      <c r="B339" s="1506" t="s">
        <v>470</v>
      </c>
      <c r="C339" s="1731" t="s">
        <v>17</v>
      </c>
      <c r="D339" s="1732"/>
      <c r="E339" s="1732"/>
      <c r="F339" s="1732"/>
      <c r="G339" s="1490"/>
      <c r="H339" s="1491"/>
      <c r="I339" s="995"/>
      <c r="K339"/>
      <c r="L339"/>
      <c r="M339"/>
      <c r="N339"/>
      <c r="O339"/>
      <c r="P339"/>
    </row>
    <row r="340" spans="1:16" s="461" customFormat="1">
      <c r="A340" s="571"/>
      <c r="B340" s="1505" t="s">
        <v>471</v>
      </c>
      <c r="C340" s="1248" t="s">
        <v>472</v>
      </c>
      <c r="D340" s="1248"/>
      <c r="E340" s="1507"/>
      <c r="F340" s="1508"/>
      <c r="G340" s="1490"/>
      <c r="H340" s="1491"/>
      <c r="I340" s="995"/>
      <c r="K340"/>
      <c r="L340"/>
      <c r="M340"/>
      <c r="N340"/>
      <c r="O340"/>
      <c r="P340"/>
    </row>
    <row r="341" spans="1:16">
      <c r="A341" s="573"/>
      <c r="B341" s="1505" t="s">
        <v>473</v>
      </c>
      <c r="C341" s="1248" t="s">
        <v>474</v>
      </c>
      <c r="D341" s="1248"/>
      <c r="E341" s="1507"/>
      <c r="F341" s="1508"/>
      <c r="G341" s="1490"/>
      <c r="H341" s="1491"/>
      <c r="I341" s="995"/>
      <c r="N341"/>
      <c r="O341"/>
      <c r="P341"/>
    </row>
    <row r="342" spans="1:16">
      <c r="A342" s="573"/>
      <c r="B342" s="1505" t="s">
        <v>475</v>
      </c>
      <c r="C342" s="1248" t="s">
        <v>476</v>
      </c>
      <c r="D342" s="1248"/>
      <c r="E342" s="1507"/>
      <c r="F342" s="1508"/>
      <c r="G342" s="1490"/>
      <c r="H342" s="1491"/>
      <c r="I342" s="995"/>
      <c r="N342"/>
      <c r="O342"/>
      <c r="P342"/>
    </row>
    <row r="343" spans="1:16">
      <c r="A343" s="573"/>
      <c r="B343" s="1505" t="s">
        <v>477</v>
      </c>
      <c r="C343" s="1509" t="s">
        <v>478</v>
      </c>
      <c r="D343" s="1248"/>
      <c r="E343" s="1507"/>
      <c r="F343" s="1508"/>
      <c r="G343" s="1490"/>
      <c r="H343" s="1491"/>
      <c r="I343" s="995"/>
      <c r="N343"/>
      <c r="O343"/>
      <c r="P343"/>
    </row>
    <row r="344" spans="1:16">
      <c r="A344" s="573"/>
      <c r="B344" s="1505"/>
      <c r="C344" s="1509" t="s">
        <v>479</v>
      </c>
      <c r="D344" s="1248"/>
      <c r="E344" s="1507"/>
      <c r="F344" s="1508"/>
      <c r="G344" s="1490"/>
      <c r="H344" s="1491"/>
      <c r="I344" s="995"/>
      <c r="N344"/>
      <c r="O344"/>
      <c r="P344"/>
    </row>
    <row r="345" spans="1:16">
      <c r="A345" s="573"/>
      <c r="B345" s="1505"/>
      <c r="C345" s="1509" t="str">
        <f>"  Interest on the Network Credits as booked each year is added to the revenue requirement to make the Transmisision Owner whole on Line "&amp;A293&amp;"."</f>
        <v xml:space="preserve">  Interest on the Network Credits as booked each year is added to the revenue requirement to make the Transmisision Owner whole on Line 155.</v>
      </c>
      <c r="D345" s="1248"/>
      <c r="E345" s="1507"/>
      <c r="F345" s="1508"/>
      <c r="G345" s="1490"/>
      <c r="H345" s="1491"/>
      <c r="I345" s="995"/>
      <c r="N345"/>
      <c r="O345"/>
      <c r="P345"/>
    </row>
    <row r="346" spans="1:16">
      <c r="A346" s="573"/>
      <c r="B346" s="1505" t="s">
        <v>480</v>
      </c>
      <c r="C346" s="1509"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46" s="1248"/>
      <c r="E346" s="1507"/>
      <c r="F346" s="1508"/>
      <c r="G346" s="1490"/>
      <c r="H346" s="1491"/>
      <c r="I346" s="995"/>
      <c r="N346"/>
      <c r="O346"/>
      <c r="P346"/>
    </row>
    <row r="347" spans="1:16" s="461" customFormat="1">
      <c r="A347" s="574"/>
      <c r="B347" s="1505"/>
      <c r="C347" s="1509" t="str">
        <f>"  If they are booked to Acct 565, they are included in on line "&amp;A137&amp;""</f>
        <v xml:space="preserve">  If they are booked to Acct 565, they are included in on line 64</v>
      </c>
      <c r="D347" s="1248"/>
      <c r="E347" s="1507"/>
      <c r="F347" s="1508"/>
      <c r="G347" s="575"/>
      <c r="H347" s="575"/>
      <c r="I347" s="996"/>
      <c r="K347"/>
      <c r="L347"/>
      <c r="M347"/>
      <c r="N347"/>
      <c r="O347"/>
      <c r="P347"/>
    </row>
    <row r="348" spans="1:16" ht="17.5">
      <c r="A348" s="88"/>
      <c r="B348" s="1505" t="s">
        <v>481</v>
      </c>
      <c r="C348" s="1509" t="s">
        <v>482</v>
      </c>
      <c r="D348" s="1510"/>
      <c r="E348" s="1510"/>
      <c r="F348" s="1510"/>
      <c r="G348" s="1490"/>
      <c r="H348" s="1491"/>
      <c r="I348" s="995"/>
      <c r="N348"/>
      <c r="O348"/>
      <c r="P348"/>
    </row>
    <row r="349" spans="1:16">
      <c r="A349" s="314"/>
      <c r="B349" s="1505" t="s">
        <v>483</v>
      </c>
      <c r="C349" s="1632" t="s">
        <v>1627</v>
      </c>
      <c r="D349" s="1248"/>
      <c r="E349" s="1507"/>
      <c r="F349" s="1508"/>
      <c r="G349" s="1490"/>
      <c r="H349" s="1491"/>
      <c r="I349" s="995"/>
      <c r="N349"/>
      <c r="O349"/>
      <c r="P349"/>
    </row>
    <row r="350" spans="1:16">
      <c r="A350" s="314"/>
      <c r="B350" s="1505" t="s">
        <v>484</v>
      </c>
      <c r="C350" s="1248" t="s">
        <v>485</v>
      </c>
      <c r="D350" s="1248"/>
      <c r="E350" s="1507"/>
      <c r="F350" s="1508"/>
      <c r="G350" s="1490"/>
      <c r="H350" s="1491"/>
      <c r="I350" s="995"/>
      <c r="N350"/>
      <c r="O350"/>
      <c r="P350"/>
    </row>
    <row r="351" spans="1:16">
      <c r="A351" s="314"/>
      <c r="B351" s="1511"/>
      <c r="C351" s="1248" t="s">
        <v>486</v>
      </c>
      <c r="D351" s="1248"/>
      <c r="E351" s="1507"/>
      <c r="F351" s="1508"/>
      <c r="G351" s="1490"/>
      <c r="H351" s="1491"/>
      <c r="I351" s="995"/>
      <c r="N351"/>
      <c r="O351"/>
      <c r="P351"/>
    </row>
    <row r="352" spans="1:16" s="1248" customFormat="1">
      <c r="A352" s="1249"/>
      <c r="B352" s="1505" t="s">
        <v>487</v>
      </c>
      <c r="C352" s="1248" t="s">
        <v>488</v>
      </c>
      <c r="E352" s="1507"/>
      <c r="F352" s="1508"/>
      <c r="G352" s="1490"/>
      <c r="H352" s="1491"/>
      <c r="I352" s="995"/>
      <c r="K352"/>
      <c r="L352"/>
      <c r="M352"/>
      <c r="N352" s="1247"/>
      <c r="O352" s="1247"/>
      <c r="P352" s="1247"/>
    </row>
    <row r="353" spans="1:16">
      <c r="A353" s="314"/>
      <c r="B353" s="1505" t="s">
        <v>188</v>
      </c>
      <c r="C353" s="1248" t="s">
        <v>1234</v>
      </c>
      <c r="D353" s="1248"/>
      <c r="E353" s="1507"/>
      <c r="F353" s="1508"/>
      <c r="G353" s="1490"/>
      <c r="H353" s="1491"/>
      <c r="I353" s="995"/>
      <c r="N353"/>
      <c r="O353"/>
      <c r="P353"/>
    </row>
    <row r="354" spans="1:16" s="1248" customFormat="1" ht="15.75" customHeight="1">
      <c r="A354" s="1249"/>
      <c r="B354" s="1505" t="s">
        <v>905</v>
      </c>
      <c r="C354" s="1729" t="s">
        <v>1745</v>
      </c>
      <c r="D354" s="1729"/>
      <c r="E354" s="1729"/>
      <c r="F354" s="1729"/>
      <c r="G354" s="1490"/>
      <c r="H354" s="1491"/>
      <c r="I354" s="995"/>
      <c r="K354"/>
      <c r="L354"/>
      <c r="M354"/>
      <c r="N354" s="1247"/>
      <c r="O354" s="1247"/>
      <c r="P354" s="1247"/>
    </row>
    <row r="355" spans="1:16" ht="15.75" customHeight="1">
      <c r="A355" s="314"/>
      <c r="B355" s="1505"/>
      <c r="C355" s="1729"/>
      <c r="D355" s="1729"/>
      <c r="E355" s="1729"/>
      <c r="F355" s="1729"/>
      <c r="G355" s="1490"/>
      <c r="H355" s="1491"/>
      <c r="I355" s="995"/>
      <c r="N355"/>
      <c r="O355"/>
      <c r="P355"/>
    </row>
    <row r="356" spans="1:16" s="1248" customFormat="1">
      <c r="A356" s="1249"/>
      <c r="B356" s="1506" t="s">
        <v>1042</v>
      </c>
      <c r="C356" s="1728" t="s">
        <v>1235</v>
      </c>
      <c r="D356" s="1728"/>
      <c r="E356" s="1728"/>
      <c r="F356" s="1728"/>
      <c r="G356" s="1490"/>
      <c r="H356" s="1491"/>
      <c r="I356" s="995"/>
      <c r="K356"/>
      <c r="L356"/>
      <c r="M356"/>
      <c r="N356" s="1247"/>
      <c r="O356" s="1247"/>
      <c r="P356" s="1247"/>
    </row>
    <row r="357" spans="1:16" s="1248" customFormat="1">
      <c r="A357" s="1249"/>
      <c r="B357" s="1506"/>
      <c r="C357" s="1728"/>
      <c r="D357" s="1728"/>
      <c r="E357" s="1728"/>
      <c r="F357" s="1728"/>
      <c r="G357" s="1490"/>
      <c r="H357" s="1491"/>
      <c r="I357" s="995"/>
      <c r="K357"/>
      <c r="L357"/>
      <c r="M357"/>
      <c r="N357" s="1247"/>
      <c r="O357" s="1247"/>
      <c r="P357" s="1247"/>
    </row>
    <row r="358" spans="1:16" s="1248" customFormat="1">
      <c r="A358" s="1249"/>
      <c r="B358" s="1506"/>
      <c r="C358" s="1728"/>
      <c r="D358" s="1728"/>
      <c r="E358" s="1728"/>
      <c r="F358" s="1728"/>
      <c r="G358" s="1490"/>
      <c r="H358" s="1491"/>
      <c r="I358" s="995"/>
      <c r="K358"/>
      <c r="L358"/>
      <c r="M358"/>
      <c r="N358" s="1247"/>
      <c r="O358" s="1247"/>
      <c r="P358" s="1247"/>
    </row>
    <row r="359" spans="1:16" s="1248" customFormat="1">
      <c r="A359" s="1249"/>
      <c r="B359" s="1506"/>
      <c r="C359" s="1728"/>
      <c r="D359" s="1728"/>
      <c r="E359" s="1728"/>
      <c r="F359" s="1728"/>
      <c r="G359" s="1490"/>
      <c r="H359" s="1491"/>
      <c r="I359" s="995"/>
      <c r="K359"/>
      <c r="L359"/>
      <c r="M359"/>
      <c r="N359" s="1247"/>
      <c r="O359" s="1247"/>
      <c r="P359" s="1247"/>
    </row>
    <row r="360" spans="1:16" s="1248" customFormat="1">
      <c r="A360" s="1249"/>
      <c r="B360" s="1506"/>
      <c r="C360" s="1728"/>
      <c r="D360" s="1728"/>
      <c r="E360" s="1728"/>
      <c r="F360" s="1728"/>
      <c r="G360" s="1490"/>
      <c r="H360" s="1491"/>
      <c r="I360" s="995"/>
      <c r="K360"/>
      <c r="L360"/>
      <c r="M360"/>
      <c r="N360" s="1247"/>
      <c r="O360" s="1247"/>
      <c r="P360" s="1247"/>
    </row>
    <row r="361" spans="1:16" s="1248" customFormat="1">
      <c r="A361" s="1249"/>
      <c r="B361" s="1506"/>
      <c r="C361" s="1728"/>
      <c r="D361" s="1728"/>
      <c r="E361" s="1728"/>
      <c r="F361" s="1728"/>
      <c r="G361" s="1490"/>
      <c r="H361" s="1491"/>
      <c r="I361" s="995"/>
      <c r="K361"/>
      <c r="L361"/>
      <c r="M361"/>
      <c r="N361" s="1247"/>
      <c r="O361" s="1247"/>
      <c r="P361" s="1247"/>
    </row>
    <row r="362" spans="1:16" s="1248" customFormat="1">
      <c r="A362" s="1249"/>
      <c r="B362" s="1506"/>
      <c r="C362" s="1728"/>
      <c r="D362" s="1728"/>
      <c r="E362" s="1728"/>
      <c r="F362" s="1728"/>
      <c r="G362" s="1490"/>
      <c r="H362" s="1491"/>
      <c r="I362" s="995"/>
      <c r="K362"/>
      <c r="L362"/>
      <c r="M362"/>
      <c r="N362" s="1247"/>
      <c r="O362" s="1247"/>
      <c r="P362" s="1247"/>
    </row>
    <row r="363" spans="1:16" s="1248" customFormat="1">
      <c r="A363" s="1249"/>
      <c r="B363" s="1506"/>
      <c r="C363" s="1728"/>
      <c r="D363" s="1728"/>
      <c r="E363" s="1728"/>
      <c r="F363" s="1728"/>
      <c r="G363" s="1490"/>
      <c r="H363" s="1491"/>
      <c r="I363" s="995"/>
      <c r="K363"/>
      <c r="L363"/>
      <c r="M363"/>
      <c r="N363" s="1247"/>
      <c r="O363" s="1247"/>
      <c r="P363" s="1247"/>
    </row>
    <row r="364" spans="1:16" s="1248" customFormat="1">
      <c r="A364" s="1249"/>
      <c r="B364" s="1506"/>
      <c r="C364" s="1728"/>
      <c r="D364" s="1728"/>
      <c r="E364" s="1728"/>
      <c r="F364" s="1728"/>
      <c r="G364" s="1490"/>
      <c r="H364" s="1491"/>
      <c r="I364" s="995"/>
      <c r="K364"/>
      <c r="L364"/>
      <c r="M364"/>
      <c r="N364" s="1247"/>
      <c r="O364" s="1247"/>
      <c r="P364" s="1247"/>
    </row>
    <row r="365" spans="1:16" ht="15.75" customHeight="1">
      <c r="A365" s="314"/>
      <c r="B365" s="1506"/>
      <c r="C365" s="1728"/>
      <c r="D365" s="1728"/>
      <c r="E365" s="1728"/>
      <c r="F365" s="1728"/>
      <c r="G365" s="1490"/>
      <c r="H365" s="1491"/>
      <c r="I365" s="995"/>
      <c r="N365"/>
      <c r="O365"/>
      <c r="P365"/>
    </row>
    <row r="366" spans="1:16" s="1248" customFormat="1" ht="15.75" customHeight="1">
      <c r="A366" s="1249"/>
      <c r="B366" s="1506" t="s">
        <v>1043</v>
      </c>
      <c r="C366" s="1729" t="s">
        <v>1236</v>
      </c>
      <c r="D366" s="1729"/>
      <c r="E366" s="1729"/>
      <c r="F366" s="1729"/>
      <c r="G366" s="1490"/>
      <c r="H366" s="1491"/>
      <c r="I366" s="995"/>
      <c r="K366"/>
      <c r="L366"/>
      <c r="M366"/>
      <c r="N366" s="1247"/>
      <c r="O366" s="1247"/>
      <c r="P366" s="1247"/>
    </row>
    <row r="367" spans="1:16" s="1248" customFormat="1">
      <c r="A367" s="1249"/>
      <c r="B367" s="1506"/>
      <c r="C367" s="1729"/>
      <c r="D367" s="1729"/>
      <c r="E367" s="1729"/>
      <c r="F367" s="1729"/>
      <c r="G367" s="1490"/>
      <c r="H367" s="1491"/>
      <c r="I367" s="995"/>
      <c r="K367"/>
      <c r="L367"/>
      <c r="M367"/>
      <c r="N367" s="1247"/>
      <c r="O367" s="1247"/>
      <c r="P367" s="1247"/>
    </row>
    <row r="368" spans="1:16" s="1248" customFormat="1">
      <c r="A368" s="1249"/>
      <c r="B368" s="1506"/>
      <c r="C368" s="1729"/>
      <c r="D368" s="1729"/>
      <c r="E368" s="1729"/>
      <c r="F368" s="1729"/>
      <c r="G368" s="1490"/>
      <c r="H368" s="1491"/>
      <c r="I368" s="995"/>
      <c r="K368"/>
      <c r="L368"/>
      <c r="M368"/>
      <c r="N368" s="1247"/>
      <c r="O368" s="1247"/>
      <c r="P368" s="1247"/>
    </row>
    <row r="369" spans="1:9">
      <c r="A369" s="314"/>
      <c r="B369" s="1506"/>
      <c r="C369" s="1729"/>
      <c r="D369" s="1729"/>
      <c r="E369" s="1729"/>
      <c r="F369" s="1729"/>
      <c r="G369" s="1490"/>
      <c r="H369" s="1491"/>
      <c r="I369" s="995"/>
    </row>
    <row r="370" spans="1:9" ht="34.5" customHeight="1">
      <c r="A370" s="314"/>
      <c r="B370" s="1506" t="s">
        <v>1044</v>
      </c>
      <c r="C370" s="1730" t="s">
        <v>1601</v>
      </c>
      <c r="D370" s="1730"/>
      <c r="E370" s="1730"/>
      <c r="F370" s="1730"/>
      <c r="G370" s="1490"/>
      <c r="H370" s="1491"/>
      <c r="I370" s="995"/>
    </row>
    <row r="371" spans="1:9" ht="33" customHeight="1">
      <c r="A371" s="314"/>
      <c r="B371" s="1506" t="s">
        <v>1182</v>
      </c>
      <c r="C371" s="1730" t="s">
        <v>1602</v>
      </c>
      <c r="D371" s="1730"/>
      <c r="E371" s="1730"/>
      <c r="F371" s="1730"/>
      <c r="G371" s="1490"/>
      <c r="H371" s="1491"/>
      <c r="I371" s="995"/>
    </row>
    <row r="372" spans="1:9" ht="33.75" customHeight="1">
      <c r="A372" s="314"/>
      <c r="B372" s="1506" t="s">
        <v>1237</v>
      </c>
      <c r="C372" s="1730" t="s">
        <v>1603</v>
      </c>
      <c r="D372" s="1730"/>
      <c r="E372" s="1730"/>
      <c r="F372" s="1730"/>
      <c r="G372" s="1490"/>
      <c r="H372" s="1491"/>
      <c r="I372" s="995"/>
    </row>
    <row r="373" spans="1:9" ht="15.75" customHeight="1">
      <c r="A373" s="237"/>
      <c r="B373" s="1506" t="s">
        <v>1238</v>
      </c>
      <c r="C373" s="1728" t="s">
        <v>1604</v>
      </c>
      <c r="D373" s="1728"/>
      <c r="E373" s="1728"/>
      <c r="F373" s="1728"/>
      <c r="G373" s="1226"/>
      <c r="H373" s="295"/>
      <c r="I373" s="997"/>
    </row>
    <row r="374" spans="1:9">
      <c r="A374" s="576" t="s">
        <v>489</v>
      </c>
      <c r="B374" s="577"/>
      <c r="C374" s="225"/>
      <c r="D374" s="290"/>
      <c r="E374" s="578"/>
      <c r="F374" s="290"/>
      <c r="G374" s="290"/>
      <c r="H374" s="225"/>
    </row>
    <row r="375" spans="1:9">
      <c r="A375" s="237"/>
      <c r="B375" s="1228"/>
      <c r="C375" s="1248"/>
      <c r="D375" s="1248"/>
      <c r="E375" s="1307"/>
      <c r="F375" s="1248"/>
      <c r="G375" s="1248"/>
      <c r="H375" s="1248"/>
    </row>
    <row r="376" spans="1:9">
      <c r="B376" s="1226"/>
      <c r="C376" s="1226"/>
      <c r="D376" s="1226"/>
      <c r="E376" s="1307"/>
      <c r="F376" s="1248"/>
      <c r="G376" s="1248"/>
      <c r="H376" s="579"/>
      <c r="I376" s="949"/>
    </row>
    <row r="377" spans="1:9">
      <c r="B377" s="1226"/>
      <c r="C377" s="1226"/>
      <c r="D377" s="1226"/>
      <c r="E377" s="1307"/>
      <c r="F377" s="1248"/>
      <c r="G377" s="1248"/>
      <c r="H377" s="580"/>
      <c r="I377" s="998"/>
    </row>
    <row r="378" spans="1:9">
      <c r="H378" s="581"/>
      <c r="I378" s="999"/>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3:F373"/>
    <mergeCell ref="C337:F338"/>
    <mergeCell ref="C370:F370"/>
    <mergeCell ref="C372:F372"/>
    <mergeCell ref="C371:F371"/>
    <mergeCell ref="C339:F339"/>
    <mergeCell ref="C354:F355"/>
    <mergeCell ref="C356:F365"/>
    <mergeCell ref="C366:F369"/>
  </mergeCells>
  <pageMargins left="0.5" right="0.5" top="0.5" bottom="0.5" header="0.5" footer="0.5"/>
  <pageSetup scale="37" fitToHeight="3" orientation="portrait" r:id="rId2"/>
  <rowBreaks count="3" manualBreakCount="3">
    <brk id="118" max="7" man="1"/>
    <brk id="238" max="7" man="1"/>
    <brk id="32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topLeftCell="A104" zoomScale="75" zoomScaleNormal="75" workbookViewId="0">
      <selection activeCell="J140" sqref="J140:L140"/>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78" t="s">
        <v>1551</v>
      </c>
      <c r="B1" s="1778"/>
      <c r="C1" s="1778"/>
      <c r="D1" s="1778"/>
      <c r="E1" s="1778"/>
      <c r="F1" s="1778"/>
      <c r="G1" s="1778"/>
      <c r="H1" s="1779"/>
      <c r="I1" s="1779"/>
    </row>
    <row r="2" spans="1:9" ht="18">
      <c r="A2" s="1"/>
      <c r="B2" s="9"/>
      <c r="C2" s="9"/>
      <c r="D2" s="9"/>
      <c r="E2" s="9"/>
      <c r="F2" s="9"/>
      <c r="G2" s="9"/>
    </row>
    <row r="3" spans="1:9" ht="18">
      <c r="A3" s="1782" t="s">
        <v>178</v>
      </c>
      <c r="B3" s="1782"/>
      <c r="C3" s="1782"/>
      <c r="D3" s="1782"/>
      <c r="E3" s="1782"/>
      <c r="F3" s="1782"/>
      <c r="G3" s="1782"/>
      <c r="H3" s="1779"/>
      <c r="I3" s="1779"/>
    </row>
    <row r="5" spans="1:9" s="168" customFormat="1" ht="15.5">
      <c r="B5" s="1"/>
    </row>
    <row r="6" spans="1:9" s="168" customFormat="1" ht="15.5"/>
    <row r="7" spans="1:9" s="168" customFormat="1" ht="15.5"/>
    <row r="8" spans="1:9" s="168" customFormat="1" ht="15.5">
      <c r="C8" s="168" t="s">
        <v>179</v>
      </c>
    </row>
    <row r="9" spans="1:9" s="168" customFormat="1" ht="15.5">
      <c r="A9" s="220" t="s">
        <v>9</v>
      </c>
      <c r="B9" s="220"/>
      <c r="D9" s="168" t="s">
        <v>180</v>
      </c>
      <c r="G9" s="221" t="s">
        <v>181</v>
      </c>
      <c r="I9" s="222">
        <f>+I56+I84</f>
        <v>85550000.014325991</v>
      </c>
    </row>
    <row r="10" spans="1:9" s="168" customFormat="1" ht="15.5">
      <c r="A10" s="220"/>
      <c r="B10" s="220"/>
    </row>
    <row r="11" spans="1:9" s="168" customFormat="1" ht="15.5">
      <c r="A11" s="220" t="s">
        <v>10</v>
      </c>
      <c r="B11" s="220"/>
      <c r="D11" s="168" t="s">
        <v>852</v>
      </c>
      <c r="I11" s="223">
        <v>0.01</v>
      </c>
    </row>
    <row r="12" spans="1:9" s="168" customFormat="1" ht="15.5">
      <c r="A12" s="220"/>
      <c r="B12" s="220"/>
      <c r="I12" s="223"/>
    </row>
    <row r="13" spans="1:9" s="221" customFormat="1" ht="15.5">
      <c r="A13" s="220"/>
      <c r="B13" s="220"/>
      <c r="C13" s="168"/>
      <c r="D13" s="168"/>
      <c r="E13" s="168"/>
      <c r="F13" s="168"/>
      <c r="G13" s="168"/>
      <c r="H13" s="168"/>
    </row>
    <row r="14" spans="1:9" s="221" customFormat="1" ht="15.5">
      <c r="A14" s="224" t="s">
        <v>182</v>
      </c>
      <c r="B14" s="225"/>
      <c r="C14" s="225"/>
      <c r="D14" s="225"/>
      <c r="E14" s="225"/>
      <c r="F14" s="225"/>
      <c r="G14" s="225"/>
      <c r="H14" s="225"/>
      <c r="I14" s="225"/>
    </row>
    <row r="15" spans="1:9" s="168" customFormat="1" ht="15.5">
      <c r="I15" s="226"/>
    </row>
    <row r="16" spans="1:9" s="168" customFormat="1" ht="15.5">
      <c r="A16" s="220">
        <v>59</v>
      </c>
      <c r="C16" s="227" t="s">
        <v>339</v>
      </c>
      <c r="D16" s="227"/>
      <c r="F16" s="227"/>
      <c r="G16" s="246" t="s">
        <v>826</v>
      </c>
      <c r="H16" s="227"/>
      <c r="I16" s="222">
        <f>+'ATT H-1A'!H127</f>
        <v>1018977930.5480115</v>
      </c>
    </row>
    <row r="17" spans="1:9" s="168" customFormat="1" ht="15.5">
      <c r="G17" s="227"/>
      <c r="I17" s="226"/>
    </row>
    <row r="18" spans="1:9" s="168" customFormat="1" ht="15.5">
      <c r="G18" s="227"/>
    </row>
    <row r="19" spans="1:9" s="168" customFormat="1" ht="15.5">
      <c r="A19" s="228"/>
      <c r="B19" s="227"/>
      <c r="C19" s="249" t="s">
        <v>2</v>
      </c>
      <c r="D19" s="230"/>
      <c r="E19" s="231"/>
      <c r="F19" s="232"/>
      <c r="G19" s="233"/>
      <c r="H19" s="234"/>
    </row>
    <row r="20" spans="1:9" s="168" customFormat="1" ht="15.5">
      <c r="A20" s="228">
        <v>100</v>
      </c>
      <c r="B20" s="227"/>
      <c r="C20" s="227"/>
      <c r="D20" s="1227" t="s">
        <v>2</v>
      </c>
      <c r="E20" s="231"/>
      <c r="F20" s="232"/>
      <c r="G20" s="233" t="s">
        <v>382</v>
      </c>
      <c r="H20" s="234"/>
      <c r="I20" s="235">
        <f>+'ATT H-1A'!H201</f>
        <v>60597529</v>
      </c>
    </row>
    <row r="21" spans="1:9" s="168" customFormat="1" ht="15.5">
      <c r="A21" s="236">
        <v>101</v>
      </c>
      <c r="B21" s="227"/>
      <c r="C21" s="227"/>
      <c r="D21" s="237" t="s">
        <v>383</v>
      </c>
      <c r="E21" s="241" t="s">
        <v>835</v>
      </c>
      <c r="F21" s="239"/>
      <c r="G21" s="240" t="s">
        <v>384</v>
      </c>
      <c r="H21" s="241"/>
      <c r="I21" s="1190">
        <f>+'ATT H-1A'!H202</f>
        <v>1781557</v>
      </c>
    </row>
    <row r="22" spans="1:9" s="168" customFormat="1" ht="15.5">
      <c r="A22" s="236">
        <v>102</v>
      </c>
      <c r="B22" s="227"/>
      <c r="C22" s="227"/>
      <c r="D22" s="246" t="s">
        <v>2</v>
      </c>
      <c r="E22" s="231"/>
      <c r="F22" s="230"/>
      <c r="G22" s="233" t="s">
        <v>385</v>
      </c>
      <c r="H22" s="234"/>
      <c r="I22" s="235">
        <f>+I20-I21</f>
        <v>58815972</v>
      </c>
    </row>
    <row r="23" spans="1:9" s="168" customFormat="1" ht="15.5">
      <c r="A23" s="236"/>
      <c r="B23" s="227"/>
      <c r="C23" s="237"/>
      <c r="D23" s="237"/>
      <c r="E23" s="232"/>
      <c r="F23" s="243"/>
      <c r="G23" s="227"/>
      <c r="H23" s="243"/>
      <c r="I23" s="244"/>
    </row>
    <row r="24" spans="1:9" s="168" customFormat="1" ht="15.5">
      <c r="A24" s="236">
        <v>103</v>
      </c>
      <c r="B24" s="227"/>
      <c r="C24" s="246" t="s">
        <v>386</v>
      </c>
      <c r="D24" s="245"/>
      <c r="F24" s="243" t="s">
        <v>387</v>
      </c>
      <c r="G24" s="246" t="s">
        <v>388</v>
      </c>
      <c r="H24" s="243"/>
      <c r="I24" s="235">
        <f>+'ATT H-1A'!H205</f>
        <v>0</v>
      </c>
    </row>
    <row r="25" spans="1:9" s="168" customFormat="1" ht="15.5">
      <c r="A25" s="236"/>
      <c r="B25" s="227"/>
      <c r="C25" s="237"/>
      <c r="D25" s="237"/>
      <c r="E25" s="232"/>
      <c r="F25" s="247"/>
      <c r="G25" s="246"/>
      <c r="H25" s="243"/>
      <c r="I25" s="244"/>
    </row>
    <row r="26" spans="1:9" s="168" customFormat="1" ht="15.5">
      <c r="A26" s="236"/>
      <c r="B26" s="227"/>
      <c r="C26" s="237" t="s">
        <v>389</v>
      </c>
      <c r="D26" s="248"/>
      <c r="E26" s="232"/>
      <c r="F26" s="232"/>
      <c r="G26" s="246"/>
      <c r="H26" s="243"/>
      <c r="I26" s="244"/>
    </row>
    <row r="27" spans="1:9" s="168" customFormat="1" ht="15.5">
      <c r="A27" s="236">
        <v>104</v>
      </c>
      <c r="B27" s="227"/>
      <c r="C27" s="227"/>
      <c r="D27" s="246" t="s">
        <v>390</v>
      </c>
      <c r="E27" s="243"/>
      <c r="F27" s="243"/>
      <c r="G27" s="246" t="s">
        <v>391</v>
      </c>
      <c r="H27" s="243"/>
      <c r="I27" s="235">
        <f>+'ATT H-1A'!H208</f>
        <v>1335242524.1938462</v>
      </c>
    </row>
    <row r="28" spans="1:9" s="168" customFormat="1" ht="15.5">
      <c r="A28" s="228">
        <v>105</v>
      </c>
      <c r="B28" s="227"/>
      <c r="C28" s="227"/>
      <c r="D28" s="249" t="s">
        <v>392</v>
      </c>
      <c r="F28" s="244" t="s">
        <v>192</v>
      </c>
      <c r="G28" s="249" t="s">
        <v>836</v>
      </c>
      <c r="H28" s="243"/>
      <c r="I28" s="244">
        <f>-I39</f>
        <v>0</v>
      </c>
    </row>
    <row r="29" spans="1:9" s="168" customFormat="1" ht="15.5">
      <c r="A29" s="236">
        <v>106</v>
      </c>
      <c r="B29" s="227"/>
      <c r="C29" s="227"/>
      <c r="D29" s="249" t="s">
        <v>393</v>
      </c>
      <c r="F29" s="250" t="s">
        <v>192</v>
      </c>
      <c r="G29" s="251" t="s">
        <v>394</v>
      </c>
      <c r="H29" s="241"/>
      <c r="I29" s="250">
        <f>+'ATT H-1A'!H210</f>
        <v>0</v>
      </c>
    </row>
    <row r="30" spans="1:9" s="168" customFormat="1" ht="15.5">
      <c r="A30" s="236">
        <v>107</v>
      </c>
      <c r="B30" s="227"/>
      <c r="C30" s="227"/>
      <c r="D30" s="249" t="s">
        <v>389</v>
      </c>
      <c r="F30" s="235"/>
      <c r="G30" s="586" t="s">
        <v>837</v>
      </c>
      <c r="H30" s="253"/>
      <c r="I30" s="244">
        <f>SUM(I27:I29)</f>
        <v>1335242524.1938462</v>
      </c>
    </row>
    <row r="31" spans="1:9" s="168" customFormat="1" ht="15.5">
      <c r="A31" s="236"/>
      <c r="B31" s="227"/>
      <c r="C31" s="237"/>
      <c r="D31" s="237"/>
      <c r="F31" s="232"/>
      <c r="G31" s="246"/>
      <c r="H31" s="232"/>
      <c r="I31" s="244"/>
    </row>
    <row r="32" spans="1:9" s="168" customFormat="1" ht="15.5">
      <c r="A32" s="236"/>
      <c r="B32" s="227"/>
      <c r="C32" s="237" t="s">
        <v>3</v>
      </c>
      <c r="D32" s="248"/>
      <c r="F32" s="232"/>
      <c r="G32" s="246"/>
      <c r="H32" s="232"/>
      <c r="I32" s="244"/>
    </row>
    <row r="33" spans="1:9" s="168" customFormat="1" ht="15.5">
      <c r="A33" s="236">
        <v>108</v>
      </c>
      <c r="B33" s="227"/>
      <c r="C33" s="227"/>
      <c r="D33" s="237" t="s">
        <v>395</v>
      </c>
      <c r="F33" s="232"/>
      <c r="G33" s="237" t="s">
        <v>396</v>
      </c>
      <c r="H33" s="232"/>
      <c r="I33" s="235">
        <f>+'ATT H-1A'!H215</f>
        <v>1360378012.9061537</v>
      </c>
    </row>
    <row r="34" spans="1:9" s="168" customFormat="1" ht="15.5">
      <c r="A34" s="228">
        <v>109</v>
      </c>
      <c r="B34" s="227"/>
      <c r="C34" s="227"/>
      <c r="D34" s="237" t="s">
        <v>397</v>
      </c>
      <c r="F34" s="243" t="s">
        <v>192</v>
      </c>
      <c r="G34" s="246" t="s">
        <v>398</v>
      </c>
      <c r="H34" s="232"/>
      <c r="I34" s="235">
        <f>+'ATT H-1A'!H216</f>
        <v>-3693784.3984615402</v>
      </c>
    </row>
    <row r="35" spans="1:9" s="168" customFormat="1" ht="15.5">
      <c r="A35" s="228">
        <v>110</v>
      </c>
      <c r="B35" s="254"/>
      <c r="C35" s="254"/>
      <c r="D35" s="229" t="s">
        <v>399</v>
      </c>
      <c r="F35" s="255" t="s">
        <v>400</v>
      </c>
      <c r="G35" s="229" t="s">
        <v>401</v>
      </c>
      <c r="H35" s="255"/>
      <c r="I35" s="235">
        <f>+'ATT H-1A'!H217</f>
        <v>0</v>
      </c>
    </row>
    <row r="36" spans="1:9" s="168" customFormat="1" ht="15.5">
      <c r="A36" s="228">
        <v>111</v>
      </c>
      <c r="B36" s="254"/>
      <c r="C36" s="254"/>
      <c r="D36" s="229" t="s">
        <v>402</v>
      </c>
      <c r="F36" s="244" t="s">
        <v>192</v>
      </c>
      <c r="G36" s="227" t="s">
        <v>1218</v>
      </c>
      <c r="H36" s="255"/>
      <c r="I36" s="235">
        <f>+'ATT H-1A'!H218</f>
        <v>1038322</v>
      </c>
    </row>
    <row r="37" spans="1:9" s="168" customFormat="1" ht="15.5">
      <c r="A37" s="228">
        <v>112</v>
      </c>
      <c r="B37" s="254"/>
      <c r="C37" s="254"/>
      <c r="D37" s="229" t="s">
        <v>403</v>
      </c>
      <c r="F37" s="244" t="s">
        <v>192</v>
      </c>
      <c r="G37" s="249" t="s">
        <v>384</v>
      </c>
      <c r="H37" s="255"/>
      <c r="I37" s="235">
        <f>+'ATT H-1A'!H219</f>
        <v>-19516859.059999995</v>
      </c>
    </row>
    <row r="38" spans="1:9" s="168" customFormat="1" ht="15.5">
      <c r="A38" s="228">
        <v>113</v>
      </c>
      <c r="B38" s="254"/>
      <c r="C38" s="254"/>
      <c r="D38" s="229" t="s">
        <v>404</v>
      </c>
      <c r="E38" s="256"/>
      <c r="F38" s="257"/>
      <c r="G38" s="587" t="s">
        <v>838</v>
      </c>
      <c r="H38" s="256"/>
      <c r="I38" s="258">
        <f>SUM(I33:I37)</f>
        <v>1338205691.4476922</v>
      </c>
    </row>
    <row r="39" spans="1:9" s="168" customFormat="1" ht="15.5">
      <c r="A39" s="228">
        <v>114</v>
      </c>
      <c r="B39" s="254"/>
      <c r="C39" s="254"/>
      <c r="D39" s="229" t="s">
        <v>405</v>
      </c>
      <c r="E39" s="255"/>
      <c r="F39" s="259"/>
      <c r="G39" s="229" t="s">
        <v>406</v>
      </c>
      <c r="H39" s="255"/>
      <c r="I39" s="235">
        <f>+'ATT H-1A'!H221</f>
        <v>0</v>
      </c>
    </row>
    <row r="40" spans="1:9" s="168" customFormat="1" ht="15.5">
      <c r="A40" s="236">
        <v>115</v>
      </c>
      <c r="B40" s="227"/>
      <c r="C40" s="227"/>
      <c r="D40" s="237" t="s">
        <v>389</v>
      </c>
      <c r="E40" s="232"/>
      <c r="F40" s="247"/>
      <c r="G40" s="246" t="s">
        <v>839</v>
      </c>
      <c r="H40" s="232"/>
      <c r="I40" s="235">
        <f>I30</f>
        <v>1335242524.1938462</v>
      </c>
    </row>
    <row r="41" spans="1:9" s="168" customFormat="1" ht="15.5">
      <c r="A41" s="236">
        <v>116</v>
      </c>
      <c r="B41" s="227"/>
      <c r="C41" s="227"/>
      <c r="D41" s="237" t="s">
        <v>407</v>
      </c>
      <c r="E41" s="260"/>
      <c r="F41" s="261"/>
      <c r="G41" s="588" t="s">
        <v>840</v>
      </c>
      <c r="H41" s="263"/>
      <c r="I41" s="258">
        <f>I40+I39+I38</f>
        <v>2673448215.6415386</v>
      </c>
    </row>
    <row r="42" spans="1:9" s="168" customFormat="1" ht="15.5">
      <c r="A42" s="236"/>
      <c r="B42" s="227"/>
      <c r="C42" s="227"/>
      <c r="D42" s="237"/>
      <c r="E42" s="232"/>
      <c r="F42" s="247"/>
      <c r="G42" s="227"/>
      <c r="H42" s="243"/>
      <c r="I42" s="264"/>
    </row>
    <row r="43" spans="1:9" s="168" customFormat="1" ht="15.5">
      <c r="A43" s="228">
        <v>117</v>
      </c>
      <c r="B43" s="227"/>
      <c r="C43" s="227"/>
      <c r="D43" s="237" t="s">
        <v>408</v>
      </c>
      <c r="E43" s="265"/>
      <c r="F43" s="266" t="s">
        <v>404</v>
      </c>
      <c r="G43" s="246" t="s">
        <v>1628</v>
      </c>
      <c r="H43" s="1238"/>
      <c r="I43" s="1095">
        <v>0.5</v>
      </c>
    </row>
    <row r="44" spans="1:9" s="168" customFormat="1" ht="15.5">
      <c r="A44" s="228">
        <v>118</v>
      </c>
      <c r="B44" s="227"/>
      <c r="C44" s="227"/>
      <c r="D44" s="237" t="s">
        <v>409</v>
      </c>
      <c r="E44" s="247"/>
      <c r="F44" s="266" t="s">
        <v>405</v>
      </c>
      <c r="G44" s="246" t="s">
        <v>1629</v>
      </c>
      <c r="H44" s="1238"/>
      <c r="I44" s="1095">
        <v>0</v>
      </c>
    </row>
    <row r="45" spans="1:9" s="168" customFormat="1" ht="15.5">
      <c r="A45" s="228">
        <v>119</v>
      </c>
      <c r="B45" s="227"/>
      <c r="C45" s="227"/>
      <c r="D45" s="237" t="s">
        <v>410</v>
      </c>
      <c r="E45" s="247"/>
      <c r="F45" s="266" t="s">
        <v>389</v>
      </c>
      <c r="G45" s="246" t="s">
        <v>1630</v>
      </c>
      <c r="H45" s="1238"/>
      <c r="I45" s="1095">
        <v>0.5</v>
      </c>
    </row>
    <row r="46" spans="1:9" s="168" customFormat="1" ht="15.5">
      <c r="A46" s="228"/>
      <c r="B46" s="227"/>
      <c r="C46" s="227"/>
      <c r="D46" s="237"/>
      <c r="E46" s="232"/>
      <c r="F46" s="246"/>
      <c r="G46" s="227"/>
      <c r="H46" s="243"/>
      <c r="I46" s="264"/>
    </row>
    <row r="47" spans="1:9" s="168" customFormat="1" ht="15.5">
      <c r="A47" s="228">
        <v>120</v>
      </c>
      <c r="B47" s="227"/>
      <c r="C47" s="227"/>
      <c r="D47" s="246" t="s">
        <v>411</v>
      </c>
      <c r="E47" s="265"/>
      <c r="F47" s="246" t="s">
        <v>404</v>
      </c>
      <c r="G47" s="246" t="s">
        <v>841</v>
      </c>
      <c r="H47" s="243"/>
      <c r="I47" s="267">
        <f>IF(I38&gt;0,I22/I38,0)</f>
        <v>4.3951368893351474E-2</v>
      </c>
    </row>
    <row r="48" spans="1:9" s="168" customFormat="1" ht="15.5">
      <c r="A48" s="228">
        <v>121</v>
      </c>
      <c r="B48" s="227"/>
      <c r="C48" s="227"/>
      <c r="D48" s="246" t="s">
        <v>412</v>
      </c>
      <c r="E48" s="247"/>
      <c r="F48" s="246" t="s">
        <v>405</v>
      </c>
      <c r="G48" s="246" t="s">
        <v>842</v>
      </c>
      <c r="H48" s="243"/>
      <c r="I48" s="267">
        <f>IF(I39&gt;0,I24/I39,0)</f>
        <v>0</v>
      </c>
    </row>
    <row r="49" spans="1:9" s="168" customFormat="1" ht="15.5">
      <c r="A49" s="228">
        <v>122</v>
      </c>
      <c r="B49" s="227"/>
      <c r="C49" s="227"/>
      <c r="D49" s="246" t="s">
        <v>413</v>
      </c>
      <c r="E49" s="247" t="s">
        <v>183</v>
      </c>
      <c r="F49" s="246" t="s">
        <v>389</v>
      </c>
      <c r="G49" s="227" t="s">
        <v>184</v>
      </c>
      <c r="H49" s="243"/>
      <c r="I49" s="268">
        <f>+'ATT H-1A'!H231+0.01</f>
        <v>0.11499999999999999</v>
      </c>
    </row>
    <row r="50" spans="1:9" s="168" customFormat="1" ht="15.5">
      <c r="A50" s="228"/>
      <c r="B50" s="227"/>
      <c r="C50" s="227"/>
      <c r="D50" s="237"/>
      <c r="E50" s="232"/>
      <c r="F50" s="246"/>
      <c r="G50" s="227"/>
      <c r="H50" s="243"/>
      <c r="I50" s="232"/>
    </row>
    <row r="51" spans="1:9" s="168" customFormat="1" ht="15.5">
      <c r="A51" s="228">
        <v>123</v>
      </c>
      <c r="B51" s="227"/>
      <c r="C51" s="227"/>
      <c r="D51" s="237" t="s">
        <v>415</v>
      </c>
      <c r="E51" s="265"/>
      <c r="F51" s="266" t="s">
        <v>416</v>
      </c>
      <c r="G51" s="246" t="s">
        <v>843</v>
      </c>
      <c r="H51" s="269"/>
      <c r="I51" s="270">
        <f>I47*I43</f>
        <v>2.1975684446675737E-2</v>
      </c>
    </row>
    <row r="52" spans="1:9" s="168" customFormat="1" ht="15.5">
      <c r="A52" s="228">
        <v>124</v>
      </c>
      <c r="B52" s="227"/>
      <c r="C52" s="227"/>
      <c r="D52" s="237" t="s">
        <v>417</v>
      </c>
      <c r="E52" s="247"/>
      <c r="F52" s="266" t="s">
        <v>405</v>
      </c>
      <c r="G52" s="246" t="s">
        <v>844</v>
      </c>
      <c r="H52" s="271"/>
      <c r="I52" s="270">
        <f>I48*I44</f>
        <v>0</v>
      </c>
    </row>
    <row r="53" spans="1:9" s="168" customFormat="1" ht="15.5">
      <c r="A53" s="228">
        <v>125</v>
      </c>
      <c r="B53" s="227"/>
      <c r="C53" s="227"/>
      <c r="D53" s="272" t="s">
        <v>418</v>
      </c>
      <c r="E53" s="273"/>
      <c r="F53" s="272" t="s">
        <v>389</v>
      </c>
      <c r="G53" s="240" t="s">
        <v>845</v>
      </c>
      <c r="H53" s="274"/>
      <c r="I53" s="275">
        <f>I49*I45</f>
        <v>5.7499999999999996E-2</v>
      </c>
    </row>
    <row r="54" spans="1:9" s="168" customFormat="1" ht="15.5">
      <c r="A54" s="236">
        <v>126</v>
      </c>
      <c r="B54" s="227"/>
      <c r="C54" s="227" t="s">
        <v>419</v>
      </c>
      <c r="D54" s="227"/>
      <c r="E54" s="276"/>
      <c r="F54" s="277"/>
      <c r="G54" s="589" t="s">
        <v>846</v>
      </c>
      <c r="H54" s="279"/>
      <c r="I54" s="280">
        <f>SUM(I51:I53)</f>
        <v>7.9475684446675729E-2</v>
      </c>
    </row>
    <row r="55" spans="1:9" s="168" customFormat="1" ht="15.5">
      <c r="A55" s="281"/>
      <c r="B55" s="227"/>
      <c r="C55" s="227"/>
      <c r="D55" s="227"/>
      <c r="E55" s="276"/>
      <c r="F55" s="277"/>
      <c r="G55" s="278"/>
      <c r="H55" s="279"/>
      <c r="I55" s="280"/>
    </row>
    <row r="56" spans="1:9" s="168" customFormat="1" ht="16" thickBot="1">
      <c r="A56" s="236">
        <v>127</v>
      </c>
      <c r="B56" s="227"/>
      <c r="C56" s="227" t="s">
        <v>420</v>
      </c>
      <c r="D56" s="227"/>
      <c r="E56" s="282"/>
      <c r="F56" s="283"/>
      <c r="G56" s="284" t="s">
        <v>847</v>
      </c>
      <c r="H56" s="285"/>
      <c r="I56" s="286">
        <f>+I54*I16</f>
        <v>80983968.46636042</v>
      </c>
    </row>
    <row r="57" spans="1:9" s="168" customFormat="1" ht="16" thickTop="1">
      <c r="A57" s="236"/>
      <c r="B57" s="236"/>
      <c r="C57" s="236"/>
      <c r="D57" s="247"/>
      <c r="E57" s="232"/>
      <c r="F57" s="220"/>
      <c r="G57" s="243"/>
      <c r="H57" s="243"/>
      <c r="I57" s="270"/>
    </row>
    <row r="58" spans="1:9" s="168" customFormat="1" ht="15.5">
      <c r="A58" s="287" t="s">
        <v>185</v>
      </c>
      <c r="B58" s="287"/>
      <c r="C58" s="288"/>
      <c r="D58" s="289"/>
      <c r="E58" s="290"/>
      <c r="F58" s="291"/>
      <c r="G58" s="225"/>
      <c r="H58" s="225"/>
      <c r="I58" s="292"/>
    </row>
    <row r="59" spans="1:9" s="168" customFormat="1" ht="15.5">
      <c r="A59" s="229"/>
      <c r="B59" s="229"/>
      <c r="C59" s="236"/>
      <c r="D59" s="293"/>
      <c r="E59" s="255"/>
      <c r="F59" s="294"/>
      <c r="G59" s="232"/>
      <c r="H59" s="232"/>
      <c r="I59" s="295"/>
    </row>
    <row r="60" spans="1:9" s="168" customFormat="1" ht="15.5">
      <c r="A60" s="1228" t="s">
        <v>86</v>
      </c>
      <c r="B60" s="1228"/>
      <c r="C60" s="521" t="s">
        <v>87</v>
      </c>
      <c r="D60" s="1226"/>
      <c r="E60" s="1226"/>
      <c r="F60" s="294"/>
      <c r="G60" s="1189"/>
      <c r="H60" s="296"/>
      <c r="I60" s="1226"/>
    </row>
    <row r="61" spans="1:9" s="168" customFormat="1" ht="15.5">
      <c r="A61" s="228">
        <f>'ATT H-1A'!A243</f>
        <v>128</v>
      </c>
      <c r="B61" s="1307"/>
      <c r="C61" s="1228"/>
      <c r="D61" s="1226" t="s">
        <v>186</v>
      </c>
      <c r="E61" s="1226"/>
      <c r="F61" s="515" t="s">
        <v>1746</v>
      </c>
      <c r="G61" s="1238"/>
      <c r="H61" s="1213"/>
      <c r="I61" s="1494">
        <f>+'ATT H-1A'!H243</f>
        <v>0.21</v>
      </c>
    </row>
    <row r="62" spans="1:9" s="168" customFormat="1" ht="15.5">
      <c r="A62" s="228">
        <f>'ATT H-1A'!A244</f>
        <v>129</v>
      </c>
      <c r="B62" s="1307"/>
      <c r="C62" s="1228"/>
      <c r="D62" s="1213" t="s">
        <v>187</v>
      </c>
      <c r="E62" s="1214"/>
      <c r="F62" s="515" t="s">
        <v>1746</v>
      </c>
      <c r="G62" s="1238"/>
      <c r="H62" s="1213"/>
      <c r="I62" s="1494">
        <f>+'ATT H-1A'!H244</f>
        <v>0.09</v>
      </c>
    </row>
    <row r="63" spans="1:9" s="168" customFormat="1" ht="15.5">
      <c r="A63" s="228">
        <f>'ATT H-1A'!A245</f>
        <v>130</v>
      </c>
      <c r="B63" s="1307"/>
      <c r="C63" s="1228"/>
      <c r="D63" s="1213" t="s">
        <v>481</v>
      </c>
      <c r="E63" s="1211" t="s">
        <v>1781</v>
      </c>
      <c r="F63" s="1307"/>
      <c r="G63" s="1238"/>
      <c r="H63" s="1213"/>
      <c r="I63" s="1494">
        <f>+'ATT H-1A'!H245</f>
        <v>0</v>
      </c>
    </row>
    <row r="64" spans="1:9" s="168" customFormat="1" ht="15.5">
      <c r="A64" s="228">
        <f>'ATT H-1A'!A246</f>
        <v>131</v>
      </c>
      <c r="B64" s="1307"/>
      <c r="C64" s="1228"/>
      <c r="D64" s="1213" t="s">
        <v>188</v>
      </c>
      <c r="E64" s="300" t="s">
        <v>189</v>
      </c>
      <c r="F64" s="1307"/>
      <c r="G64" s="1248"/>
      <c r="H64" s="1213"/>
      <c r="I64" s="1494">
        <f>+'ATT H-1A'!H246</f>
        <v>0.28109999999999991</v>
      </c>
    </row>
    <row r="65" spans="1:9" s="168" customFormat="1" ht="15.5">
      <c r="A65" s="228" t="str">
        <f>'ATT H-1A'!A247</f>
        <v>132a</v>
      </c>
      <c r="B65" s="1307"/>
      <c r="C65" s="1228"/>
      <c r="D65" s="1213" t="s">
        <v>190</v>
      </c>
      <c r="E65" s="1214"/>
      <c r="F65" s="1307"/>
      <c r="G65" s="1226"/>
      <c r="H65" s="1213"/>
      <c r="I65" s="1494">
        <f>+'ATT H-1A'!H247</f>
        <v>0.39101404924189714</v>
      </c>
    </row>
    <row r="66" spans="1:9" s="1248" customFormat="1" ht="15.5">
      <c r="A66" s="228" t="str">
        <f>'ATT H-1A'!A248</f>
        <v>132b</v>
      </c>
      <c r="B66" s="1307"/>
      <c r="D66" s="1248" t="s">
        <v>1221</v>
      </c>
      <c r="E66" s="1250" t="s">
        <v>1222</v>
      </c>
      <c r="F66" s="1307"/>
      <c r="I66" s="1215">
        <f>1*1/(1-I64)</f>
        <v>1.3910140492418972</v>
      </c>
    </row>
    <row r="67" spans="1:9" s="168" customFormat="1" ht="15.5">
      <c r="A67" s="228"/>
      <c r="B67" s="1228"/>
      <c r="C67" s="1228"/>
      <c r="D67" s="1226"/>
      <c r="E67" s="1226"/>
      <c r="F67" s="301"/>
      <c r="G67" s="300"/>
      <c r="H67" s="296"/>
      <c r="I67" s="302"/>
    </row>
    <row r="68" spans="1:9" s="168" customFormat="1" ht="15.5">
      <c r="A68" s="228"/>
      <c r="B68" s="1228"/>
      <c r="C68" s="521" t="s">
        <v>191</v>
      </c>
      <c r="D68" s="247"/>
      <c r="E68" s="1226"/>
      <c r="F68" s="515" t="s">
        <v>1747</v>
      </c>
      <c r="G68" s="1189"/>
      <c r="H68" s="296"/>
      <c r="I68" s="303"/>
    </row>
    <row r="69" spans="1:9" s="168" customFormat="1" ht="15.5">
      <c r="A69" s="228">
        <f>'ATT H-1A'!A251</f>
        <v>133</v>
      </c>
      <c r="B69" s="1307"/>
      <c r="C69" s="1228"/>
      <c r="D69" s="1248" t="s">
        <v>1244</v>
      </c>
      <c r="E69" s="1226"/>
      <c r="F69" s="264" t="s">
        <v>192</v>
      </c>
      <c r="G69" s="227" t="s">
        <v>1239</v>
      </c>
      <c r="H69" s="296"/>
      <c r="I69" s="439">
        <f>+'ATT H-1A'!H251</f>
        <v>-121463.54536589107</v>
      </c>
    </row>
    <row r="70" spans="1:9" s="168" customFormat="1" ht="15.5">
      <c r="A70" s="228">
        <f>'ATT H-1A'!A252</f>
        <v>134</v>
      </c>
      <c r="B70" s="1307"/>
      <c r="C70" s="1228"/>
      <c r="D70" s="1248" t="s">
        <v>1245</v>
      </c>
      <c r="E70" s="1230"/>
      <c r="F70" s="306"/>
      <c r="G70" s="1231" t="str">
        <f>"(Line "&amp;A66&amp;")"</f>
        <v>(Line 132b)</v>
      </c>
      <c r="H70" s="1251"/>
      <c r="I70" s="1215">
        <f>+I66</f>
        <v>1.3910140492418972</v>
      </c>
    </row>
    <row r="71" spans="1:9" s="168" customFormat="1" ht="15.5">
      <c r="A71" s="228">
        <f>'ATT H-1A'!A253</f>
        <v>135</v>
      </c>
      <c r="B71" s="1307"/>
      <c r="C71" s="1228"/>
      <c r="D71" s="524" t="s">
        <v>194</v>
      </c>
      <c r="E71" s="256"/>
      <c r="F71" s="308"/>
      <c r="G71" s="1227" t="str">
        <f>"(Line "&amp;A69&amp;" * "&amp;A70&amp;")"</f>
        <v>(Line 133 * 134)</v>
      </c>
      <c r="H71" s="1495"/>
      <c r="I71" s="1239">
        <f>+I69*I70</f>
        <v>-168957.49807468502</v>
      </c>
    </row>
    <row r="72" spans="1:9" s="168" customFormat="1" ht="15.5">
      <c r="A72" s="228"/>
      <c r="B72" s="1228"/>
      <c r="C72" s="1228"/>
      <c r="D72" s="310"/>
      <c r="E72" s="1235"/>
      <c r="F72" s="1236"/>
      <c r="G72" s="1237"/>
      <c r="H72" s="1241"/>
      <c r="I72" s="1242"/>
    </row>
    <row r="73" spans="1:9" s="168" customFormat="1" ht="15.5">
      <c r="A73" s="1187"/>
      <c r="B73" s="248"/>
      <c r="C73" s="227" t="s">
        <v>1033</v>
      </c>
      <c r="D73" s="310"/>
      <c r="E73" s="1235"/>
      <c r="F73" s="1236"/>
      <c r="G73" s="1237"/>
      <c r="H73" s="1241"/>
      <c r="I73" s="1242"/>
    </row>
    <row r="74" spans="1:9" s="1248" customFormat="1" ht="15.5">
      <c r="A74" s="228" t="str">
        <f>'ATT H-1A'!A256</f>
        <v>136a</v>
      </c>
      <c r="C74" s="227"/>
      <c r="D74" s="1232" t="s">
        <v>1225</v>
      </c>
      <c r="F74" s="515" t="s">
        <v>1748</v>
      </c>
      <c r="G74" s="1238" t="str">
        <f>'ATT H-1A'!F256</f>
        <v>Attachment 5, Line 136a</v>
      </c>
      <c r="H74" s="1241"/>
      <c r="I74" s="1199">
        <f>'ATT H-1A'!H256</f>
        <v>67968.855599999981</v>
      </c>
    </row>
    <row r="75" spans="1:9" s="1248" customFormat="1" ht="15.5">
      <c r="A75" s="228" t="str">
        <f>'ATT H-1A'!A257</f>
        <v>136b</v>
      </c>
      <c r="C75" s="227"/>
      <c r="D75" s="1232" t="s">
        <v>1226</v>
      </c>
      <c r="F75" s="515" t="s">
        <v>1748</v>
      </c>
      <c r="G75" s="1238" t="str">
        <f>'ATT H-1A'!F257</f>
        <v>Attachment 5, Line 136b</v>
      </c>
      <c r="H75" s="1241"/>
      <c r="I75" s="1199">
        <f>'ATT H-1A'!H257</f>
        <v>-13268254.266331796</v>
      </c>
    </row>
    <row r="76" spans="1:9" s="1248" customFormat="1" ht="15.5">
      <c r="A76" s="228" t="str">
        <f>'ATT H-1A'!A258</f>
        <v>136c</v>
      </c>
      <c r="C76" s="227"/>
      <c r="D76" s="1232" t="s">
        <v>1228</v>
      </c>
      <c r="F76" s="515" t="s">
        <v>1748</v>
      </c>
      <c r="G76" s="1238" t="str">
        <f>'ATT H-1A'!F258</f>
        <v>Attachment 5, Line 136c</v>
      </c>
      <c r="H76" s="1241"/>
      <c r="I76" s="1199">
        <f>'ATT H-1A'!H258</f>
        <v>0</v>
      </c>
    </row>
    <row r="77" spans="1:9" s="168" customFormat="1" ht="15.5">
      <c r="A77" s="228" t="str">
        <f>'ATT H-1A'!A259</f>
        <v>136d</v>
      </c>
      <c r="B77" s="1248"/>
      <c r="C77" s="227"/>
      <c r="D77" s="1233" t="s">
        <v>1230</v>
      </c>
      <c r="E77" s="481"/>
      <c r="F77" s="482" t="s">
        <v>1748</v>
      </c>
      <c r="G77" s="1093" t="str">
        <f>'ATT H-1A'!F259</f>
        <v>Attachment 5, Line 136d</v>
      </c>
      <c r="H77" s="1244"/>
      <c r="I77" s="1497">
        <f>'ATT H-1A'!H259</f>
        <v>134274</v>
      </c>
    </row>
    <row r="78" spans="1:9" s="1248" customFormat="1" ht="15.5">
      <c r="A78" s="228" t="str">
        <f>'ATT H-1A'!A260</f>
        <v>136e</v>
      </c>
      <c r="C78" s="227"/>
      <c r="D78" s="1232" t="s">
        <v>1232</v>
      </c>
      <c r="F78" s="515"/>
      <c r="G78" s="1227" t="str">
        <f>"(Line "&amp;A74&amp;" + "&amp;A75&amp;" + "&amp;A76&amp;" + "&amp;A77&amp;")"</f>
        <v>(Line 136a + 136b + 136c + 136d)</v>
      </c>
      <c r="H78" s="1241"/>
      <c r="I78" s="244">
        <f>SUM(I74:I77)</f>
        <v>-13066011.410731796</v>
      </c>
    </row>
    <row r="79" spans="1:9" s="168" customFormat="1" ht="15.5">
      <c r="A79" s="228" t="str">
        <f>'ATT H-1A'!A261</f>
        <v>136f</v>
      </c>
      <c r="B79" s="1228"/>
      <c r="C79" s="1248"/>
      <c r="D79" s="1234" t="s">
        <v>1245</v>
      </c>
      <c r="E79" s="1240"/>
      <c r="F79" s="474"/>
      <c r="G79" s="1231" t="str">
        <f>"(Line "&amp;A66&amp;")"</f>
        <v>(Line 132b)</v>
      </c>
      <c r="H79" s="1244"/>
      <c r="I79" s="1215">
        <f>I66</f>
        <v>1.3910140492418972</v>
      </c>
    </row>
    <row r="80" spans="1:9" s="168" customFormat="1" ht="15.5">
      <c r="A80" s="228" t="str">
        <f>'ATT H-1A'!A262</f>
        <v>136g</v>
      </c>
      <c r="B80" s="1228"/>
      <c r="C80" s="1248"/>
      <c r="D80" s="1232" t="s">
        <v>1033</v>
      </c>
      <c r="E80" s="1235" t="s">
        <v>86</v>
      </c>
      <c r="F80" s="1248"/>
      <c r="G80" s="1227" t="str">
        <f>"(Line "&amp;A78&amp;" * "&amp;A79&amp;")"</f>
        <v>(Line 136e * 136f)</v>
      </c>
      <c r="H80" s="1241"/>
      <c r="I80" s="1239">
        <f>+I78*I79</f>
        <v>-18175005.439882871</v>
      </c>
    </row>
    <row r="81" spans="1:9" s="168" customFormat="1" ht="15.5">
      <c r="A81" s="1228"/>
      <c r="B81" s="1228"/>
      <c r="C81" s="1228"/>
      <c r="D81" s="1226"/>
      <c r="E81" s="1226"/>
      <c r="F81" s="301"/>
      <c r="G81" s="300"/>
      <c r="H81" s="296"/>
      <c r="I81" s="1492"/>
    </row>
    <row r="82" spans="1:9" s="168" customFormat="1" ht="15.5">
      <c r="A82" s="228">
        <f>'ATT H-1A'!A264</f>
        <v>137</v>
      </c>
      <c r="B82" s="1307"/>
      <c r="C82" s="1248" t="s">
        <v>195</v>
      </c>
      <c r="D82" s="1248"/>
      <c r="E82" s="1226" t="s">
        <v>196</v>
      </c>
      <c r="F82" s="294"/>
      <c r="G82" s="1227" t="str">
        <f>"(Line "&amp;A65&amp;" * "&amp;A56&amp;" * (1-("&amp;A51&amp;" / "&amp;A54&amp;")))"</f>
        <v>(Line 132a * 127 * (1-(123 / 126)))</v>
      </c>
      <c r="H82" s="1226"/>
      <c r="I82" s="1493">
        <f>+I65*(1-I51/I54)*I56</f>
        <v>22909994.485923126</v>
      </c>
    </row>
    <row r="83" spans="1:9" s="168" customFormat="1" ht="15.5">
      <c r="A83" s="1228"/>
      <c r="B83" s="1228"/>
      <c r="C83" s="1228"/>
      <c r="D83" s="1232"/>
      <c r="E83" s="1235"/>
      <c r="F83" s="1249"/>
      <c r="G83" s="1238"/>
      <c r="H83" s="1241"/>
      <c r="I83" s="1496"/>
    </row>
    <row r="84" spans="1:9" s="168" customFormat="1" ht="16" thickBot="1">
      <c r="A84" s="228">
        <f>'ATT H-1A'!A266</f>
        <v>138</v>
      </c>
      <c r="B84" s="1307"/>
      <c r="C84" s="519" t="s">
        <v>197</v>
      </c>
      <c r="D84" s="316"/>
      <c r="E84" s="282"/>
      <c r="F84" s="317"/>
      <c r="G84" s="451" t="str">
        <f>"(Line "&amp;A71&amp;" + "&amp;A80&amp;" +"&amp;A82&amp;")"</f>
        <v>(Line 135 + 136g +137)</v>
      </c>
      <c r="H84" s="318"/>
      <c r="I84" s="1498">
        <f>+I82+I71+I80</f>
        <v>4566031.5479655713</v>
      </c>
    </row>
    <row r="85" spans="1:9" s="168" customFormat="1" ht="16" thickTop="1">
      <c r="A85" s="236"/>
      <c r="B85" s="236"/>
      <c r="C85" s="236"/>
      <c r="D85" s="300"/>
      <c r="E85" s="232"/>
      <c r="F85" s="220"/>
      <c r="G85" s="319"/>
      <c r="H85" s="320"/>
      <c r="I85" s="321"/>
    </row>
    <row r="86" spans="1:9" s="168" customFormat="1" ht="15.5"/>
    <row r="313" spans="1:6" ht="15.5">
      <c r="C313" s="8"/>
    </row>
    <row r="315" spans="1:6">
      <c r="A315" s="45"/>
      <c r="B315" s="45"/>
      <c r="C315" s="45"/>
      <c r="D315" s="45"/>
      <c r="E315" s="45"/>
      <c r="F315" s="45"/>
    </row>
    <row r="316" spans="1:6">
      <c r="A316" s="45"/>
      <c r="B316" s="45"/>
      <c r="C316" s="45"/>
      <c r="D316" s="45"/>
      <c r="E316" s="45"/>
      <c r="F316" s="45"/>
    </row>
    <row r="317" spans="1:6">
      <c r="A317" s="45"/>
      <c r="B317" s="45"/>
      <c r="C317" s="45"/>
      <c r="D317" s="45"/>
      <c r="E317" s="45"/>
      <c r="F317" s="45"/>
    </row>
    <row r="318" spans="1:6">
      <c r="A318" s="45"/>
      <c r="B318" s="45"/>
      <c r="C318" s="45"/>
      <c r="D318" s="45"/>
      <c r="E318" s="45"/>
      <c r="F318" s="45"/>
    </row>
    <row r="319" spans="1:6">
      <c r="A319" s="45"/>
      <c r="B319" s="45"/>
      <c r="C319" s="45"/>
      <c r="D319" s="45"/>
      <c r="E319" s="45"/>
      <c r="F319" s="45"/>
    </row>
    <row r="320" spans="1:6">
      <c r="A320" s="45"/>
      <c r="B320" s="45"/>
      <c r="C320" s="45"/>
      <c r="D320" s="45"/>
      <c r="E320" s="45"/>
      <c r="F320" s="45"/>
    </row>
    <row r="321" spans="1:6">
      <c r="A321" s="45"/>
      <c r="B321" s="45"/>
      <c r="C321" s="45"/>
      <c r="D321" s="45"/>
      <c r="E321" s="45"/>
      <c r="F321" s="45"/>
    </row>
    <row r="322" spans="1:6">
      <c r="A322" s="45"/>
      <c r="B322" s="45"/>
      <c r="C322" s="45"/>
      <c r="D322" s="45"/>
      <c r="E322" s="45"/>
      <c r="F322" s="45"/>
    </row>
    <row r="323" spans="1:6">
      <c r="A323" s="45"/>
      <c r="B323" s="45"/>
      <c r="C323" s="45"/>
      <c r="D323" s="45"/>
      <c r="E323" s="45"/>
      <c r="F323" s="4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290"/>
  <sheetViews>
    <sheetView topLeftCell="A197" zoomScale="82" zoomScaleNormal="82" zoomScaleSheetLayoutView="35" workbookViewId="0">
      <selection activeCell="E197" sqref="E197"/>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6.81640625" customWidth="1"/>
    <col min="22" max="22" width="15.179687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17" ht="21" customHeight="1">
      <c r="A1" s="46"/>
      <c r="B1" s="47"/>
      <c r="D1" s="48"/>
      <c r="E1" s="49"/>
      <c r="F1" s="50"/>
      <c r="G1" s="51" t="s">
        <v>1551</v>
      </c>
      <c r="H1" s="43"/>
      <c r="I1" s="43"/>
      <c r="J1" s="43"/>
      <c r="K1" s="43"/>
      <c r="L1" s="43"/>
      <c r="M1" s="43"/>
      <c r="N1" s="43"/>
      <c r="O1" s="43"/>
      <c r="P1" s="43"/>
      <c r="Q1" s="43"/>
    </row>
    <row r="2" spans="1:17" ht="21" customHeight="1">
      <c r="A2" s="52"/>
      <c r="B2" s="47"/>
      <c r="D2" s="48"/>
      <c r="E2" s="49"/>
      <c r="F2" s="50"/>
      <c r="H2" s="43"/>
      <c r="I2" s="43"/>
      <c r="J2" s="43"/>
      <c r="K2" s="43"/>
      <c r="L2" s="43"/>
      <c r="M2" s="43"/>
      <c r="N2" s="43"/>
      <c r="O2" s="43"/>
      <c r="P2" s="43"/>
      <c r="Q2" s="53"/>
    </row>
    <row r="3" spans="1:17" ht="21" customHeight="1">
      <c r="A3" s="52"/>
      <c r="B3" s="47"/>
      <c r="D3" s="48"/>
      <c r="E3" s="49"/>
      <c r="F3" s="50"/>
      <c r="G3" s="54" t="s">
        <v>48</v>
      </c>
      <c r="H3" s="43"/>
      <c r="I3" s="43"/>
      <c r="J3" s="43"/>
      <c r="K3" s="43"/>
      <c r="L3" s="43"/>
      <c r="M3" s="43"/>
      <c r="N3" s="43"/>
      <c r="O3" s="43"/>
      <c r="P3" s="43"/>
      <c r="Q3" s="53"/>
    </row>
    <row r="4" spans="1:17" ht="20.5" thickBot="1">
      <c r="A4" s="55" t="s">
        <v>49</v>
      </c>
      <c r="B4" s="47"/>
      <c r="D4" s="48"/>
      <c r="E4" s="49"/>
      <c r="F4" s="50"/>
      <c r="G4" s="43"/>
      <c r="H4" s="43"/>
      <c r="I4" s="43"/>
      <c r="J4" s="43"/>
      <c r="K4" s="43"/>
      <c r="L4" s="43"/>
      <c r="M4" s="43"/>
      <c r="N4" s="43"/>
      <c r="O4" s="43"/>
      <c r="P4" s="43"/>
      <c r="Q4" s="43"/>
    </row>
    <row r="5" spans="1:17" ht="39" customHeight="1">
      <c r="A5" s="1788" t="s">
        <v>50</v>
      </c>
      <c r="B5" s="1789"/>
      <c r="C5" s="1789"/>
      <c r="D5" s="1789"/>
      <c r="E5" s="1789"/>
      <c r="F5" s="1790"/>
      <c r="G5" s="56" t="s">
        <v>51</v>
      </c>
      <c r="H5" s="57" t="s">
        <v>52</v>
      </c>
      <c r="I5" s="57" t="s">
        <v>53</v>
      </c>
      <c r="J5" s="1793" t="s">
        <v>18</v>
      </c>
      <c r="K5" s="1823"/>
      <c r="L5" s="1823"/>
      <c r="M5" s="1823"/>
      <c r="N5" s="1823"/>
      <c r="O5" s="1823"/>
      <c r="P5" s="1823"/>
      <c r="Q5" s="1824"/>
    </row>
    <row r="6" spans="1:17" ht="15.5">
      <c r="A6" s="58"/>
      <c r="B6" s="59" t="s">
        <v>54</v>
      </c>
      <c r="C6" s="48"/>
      <c r="D6" s="60"/>
      <c r="E6" s="61"/>
      <c r="F6" s="62"/>
      <c r="G6" s="21"/>
      <c r="H6" s="20"/>
      <c r="I6" s="20"/>
      <c r="J6" s="1851"/>
      <c r="K6" s="1836"/>
      <c r="L6" s="1836"/>
      <c r="M6" s="1836"/>
      <c r="N6" s="1836"/>
      <c r="O6" s="1836"/>
      <c r="P6" s="1836"/>
      <c r="Q6" s="1837"/>
    </row>
    <row r="7" spans="1:17" ht="15.5">
      <c r="A7" s="63">
        <v>10</v>
      </c>
      <c r="B7" s="60"/>
      <c r="C7" s="64" t="s">
        <v>146</v>
      </c>
      <c r="D7" s="48"/>
      <c r="E7" s="65" t="s">
        <v>814</v>
      </c>
      <c r="F7" s="71" t="s">
        <v>985</v>
      </c>
      <c r="G7" s="1033">
        <f>+'9 - Rate Base'!I23</f>
        <v>29627601.469999999</v>
      </c>
      <c r="H7" s="1181">
        <f>+G7</f>
        <v>29627601.469999999</v>
      </c>
      <c r="I7" s="68">
        <v>0</v>
      </c>
      <c r="J7" s="1852" t="s">
        <v>55</v>
      </c>
      <c r="K7" s="1853"/>
      <c r="L7" s="1853"/>
      <c r="M7" s="1853"/>
      <c r="N7" s="1853"/>
      <c r="O7" s="1853"/>
      <c r="P7" s="1853"/>
      <c r="Q7" s="1798"/>
    </row>
    <row r="8" spans="1:17" ht="15.5">
      <c r="A8" s="63">
        <v>11</v>
      </c>
      <c r="B8" s="60"/>
      <c r="C8" s="64" t="s">
        <v>291</v>
      </c>
      <c r="D8" s="48"/>
      <c r="E8" s="65" t="s">
        <v>814</v>
      </c>
      <c r="F8" s="71" t="s">
        <v>986</v>
      </c>
      <c r="G8" s="69">
        <v>0</v>
      </c>
      <c r="H8" s="68">
        <v>0</v>
      </c>
      <c r="I8" s="68">
        <v>0</v>
      </c>
      <c r="J8" s="1852"/>
      <c r="K8" s="1853"/>
      <c r="L8" s="1853"/>
      <c r="M8" s="1853"/>
      <c r="N8" s="1853"/>
      <c r="O8" s="1853"/>
      <c r="P8" s="1853"/>
      <c r="Q8" s="1798"/>
    </row>
    <row r="9" spans="1:17" ht="15.5">
      <c r="A9" s="63">
        <v>12</v>
      </c>
      <c r="B9" s="48"/>
      <c r="C9" s="64" t="s">
        <v>293</v>
      </c>
      <c r="D9" s="48"/>
      <c r="E9" s="65" t="s">
        <v>814</v>
      </c>
      <c r="F9" s="71" t="s">
        <v>987</v>
      </c>
      <c r="G9" s="69">
        <v>0</v>
      </c>
      <c r="H9" s="68">
        <v>0</v>
      </c>
      <c r="I9" s="68">
        <v>0</v>
      </c>
      <c r="J9" s="1852"/>
      <c r="K9" s="1853"/>
      <c r="L9" s="1853"/>
      <c r="M9" s="1853"/>
      <c r="N9" s="1853"/>
      <c r="O9" s="1853"/>
      <c r="P9" s="1853"/>
      <c r="Q9" s="1798"/>
    </row>
    <row r="10" spans="1:17" ht="15.5">
      <c r="A10" s="58"/>
      <c r="B10" s="59" t="s">
        <v>56</v>
      </c>
      <c r="C10" s="48"/>
      <c r="D10" s="48"/>
      <c r="E10" s="70"/>
      <c r="F10" s="71"/>
      <c r="G10" s="21"/>
      <c r="H10" s="20"/>
      <c r="I10" s="20"/>
      <c r="J10" s="72"/>
      <c r="K10" s="73"/>
      <c r="L10" s="73"/>
      <c r="M10" s="73"/>
      <c r="N10" s="73"/>
      <c r="O10" s="73"/>
      <c r="P10" s="73"/>
      <c r="Q10" s="74"/>
    </row>
    <row r="11" spans="1:17" ht="15.5">
      <c r="A11" s="63">
        <v>24</v>
      </c>
      <c r="B11" s="47"/>
      <c r="C11" s="64" t="s">
        <v>303</v>
      </c>
      <c r="D11" s="48"/>
      <c r="E11" s="65" t="s">
        <v>820</v>
      </c>
      <c r="F11" s="71" t="s">
        <v>988</v>
      </c>
      <c r="G11" s="69">
        <v>0</v>
      </c>
      <c r="H11" s="68">
        <v>0</v>
      </c>
      <c r="I11" s="68">
        <v>0</v>
      </c>
      <c r="J11" s="1852"/>
      <c r="K11" s="1853"/>
      <c r="L11" s="1853"/>
      <c r="M11" s="1853"/>
      <c r="N11" s="1853"/>
      <c r="O11" s="1853"/>
      <c r="P11" s="1853"/>
      <c r="Q11" s="1798"/>
    </row>
    <row r="12" spans="1:17" ht="15.5">
      <c r="A12" s="75"/>
      <c r="B12" s="76" t="s">
        <v>57</v>
      </c>
      <c r="C12" s="77"/>
      <c r="D12" s="78"/>
      <c r="E12" s="79"/>
      <c r="F12" s="80"/>
      <c r="G12" s="21"/>
      <c r="H12" s="20"/>
      <c r="I12" s="20"/>
      <c r="J12" s="72"/>
      <c r="K12" s="73"/>
      <c r="L12" s="73"/>
      <c r="M12" s="73"/>
      <c r="N12" s="73"/>
      <c r="O12" s="73"/>
      <c r="P12" s="73"/>
      <c r="Q12" s="74"/>
    </row>
    <row r="13" spans="1:17" ht="15.5">
      <c r="A13" s="63">
        <v>41</v>
      </c>
      <c r="B13" s="78"/>
      <c r="C13" s="64" t="s">
        <v>316</v>
      </c>
      <c r="D13" s="81"/>
      <c r="E13" s="65" t="s">
        <v>822</v>
      </c>
      <c r="F13" s="71" t="s">
        <v>983</v>
      </c>
      <c r="G13" s="82">
        <f>-'1B - ADIT EOY'!E283</f>
        <v>2708204</v>
      </c>
      <c r="H13" s="67">
        <f>+G13</f>
        <v>2708204</v>
      </c>
      <c r="I13" s="68">
        <v>0</v>
      </c>
      <c r="J13" s="1852" t="s">
        <v>55</v>
      </c>
      <c r="K13" s="1853"/>
      <c r="L13" s="1853"/>
      <c r="M13" s="1853"/>
      <c r="N13" s="1853"/>
      <c r="O13" s="1853"/>
      <c r="P13" s="1853"/>
      <c r="Q13" s="1798"/>
    </row>
    <row r="14" spans="1:17" ht="15.5">
      <c r="A14" s="63"/>
      <c r="B14" s="76" t="s">
        <v>58</v>
      </c>
      <c r="C14" s="83"/>
      <c r="D14" s="78"/>
      <c r="E14" s="84"/>
      <c r="F14" s="85"/>
      <c r="G14" s="21"/>
      <c r="H14" s="20"/>
      <c r="I14" s="20"/>
      <c r="J14" s="72"/>
      <c r="K14" s="73"/>
      <c r="L14" s="73"/>
      <c r="M14" s="73"/>
      <c r="N14" s="73"/>
      <c r="O14" s="73"/>
      <c r="P14" s="73"/>
      <c r="Q14" s="74"/>
    </row>
    <row r="15" spans="1:17" ht="15.75" customHeight="1">
      <c r="A15" s="75">
        <v>47</v>
      </c>
      <c r="B15" s="78"/>
      <c r="C15" s="83" t="s">
        <v>325</v>
      </c>
      <c r="D15" s="86"/>
      <c r="E15" s="84" t="s">
        <v>814</v>
      </c>
      <c r="F15" s="87" t="s">
        <v>989</v>
      </c>
      <c r="G15" s="66">
        <v>0</v>
      </c>
      <c r="H15" s="67">
        <v>0</v>
      </c>
      <c r="I15" s="68">
        <v>0</v>
      </c>
      <c r="J15" s="1852" t="s">
        <v>55</v>
      </c>
      <c r="K15" s="1853"/>
      <c r="L15" s="1853"/>
      <c r="M15" s="1853"/>
      <c r="N15" s="1853"/>
      <c r="O15" s="1853"/>
      <c r="P15" s="1853"/>
      <c r="Q15" s="1798"/>
    </row>
    <row r="16" spans="1:17" ht="15.5">
      <c r="A16" s="63"/>
      <c r="B16" s="59" t="s">
        <v>59</v>
      </c>
      <c r="C16" s="83"/>
      <c r="D16" s="86"/>
      <c r="E16" s="70"/>
      <c r="F16" s="87"/>
      <c r="G16" s="21"/>
      <c r="H16" s="20"/>
      <c r="I16" s="20"/>
      <c r="J16" s="72"/>
      <c r="K16" s="73"/>
      <c r="L16" s="73"/>
      <c r="M16" s="73"/>
      <c r="N16" s="73"/>
      <c r="O16" s="73"/>
      <c r="P16" s="73"/>
      <c r="Q16" s="74"/>
    </row>
    <row r="17" spans="1:17" ht="15.5">
      <c r="A17" s="63">
        <v>65</v>
      </c>
      <c r="B17" s="59"/>
      <c r="C17" s="64" t="s">
        <v>347</v>
      </c>
      <c r="D17" s="86"/>
      <c r="E17" s="65" t="s">
        <v>814</v>
      </c>
      <c r="F17" s="71" t="s">
        <v>348</v>
      </c>
      <c r="G17" s="18"/>
      <c r="H17" s="20"/>
      <c r="I17" s="20"/>
      <c r="J17" s="1164"/>
      <c r="K17" s="1165"/>
      <c r="L17" s="1165"/>
      <c r="M17" s="1165"/>
      <c r="N17" s="1165"/>
      <c r="O17" s="1165"/>
      <c r="P17" s="1165"/>
      <c r="Q17" s="74"/>
    </row>
    <row r="18" spans="1:17" ht="16" thickBot="1">
      <c r="A18" s="93">
        <v>67</v>
      </c>
      <c r="B18" s="119"/>
      <c r="C18" s="95" t="s">
        <v>349</v>
      </c>
      <c r="D18" s="96"/>
      <c r="E18" s="97" t="s">
        <v>814</v>
      </c>
      <c r="F18" s="1166" t="s">
        <v>292</v>
      </c>
      <c r="G18" s="98">
        <v>0</v>
      </c>
      <c r="H18" s="99">
        <v>0</v>
      </c>
      <c r="I18" s="99">
        <v>0</v>
      </c>
      <c r="J18" s="1854"/>
      <c r="K18" s="1855"/>
      <c r="L18" s="1855"/>
      <c r="M18" s="1855"/>
      <c r="N18" s="1855"/>
      <c r="O18" s="1855"/>
      <c r="P18" s="1855"/>
      <c r="Q18" s="1856"/>
    </row>
    <row r="19" spans="1:17">
      <c r="G19" s="43"/>
      <c r="H19" s="43"/>
      <c r="I19" s="43"/>
      <c r="J19" s="43"/>
      <c r="K19" s="43"/>
      <c r="L19" s="43"/>
      <c r="M19" s="43"/>
      <c r="N19" s="43"/>
      <c r="O19" s="43"/>
      <c r="P19" s="43"/>
      <c r="Q19" s="43"/>
    </row>
    <row r="20" spans="1:17">
      <c r="G20" s="43"/>
      <c r="H20" s="43"/>
      <c r="I20" s="43"/>
      <c r="J20" s="43"/>
      <c r="K20" s="43"/>
      <c r="L20" s="43"/>
      <c r="M20" s="43"/>
      <c r="N20" s="43"/>
      <c r="O20" s="43"/>
      <c r="P20" s="43"/>
      <c r="Q20" s="43"/>
    </row>
    <row r="21" spans="1:17" ht="20.5" thickBot="1">
      <c r="A21" s="55" t="s">
        <v>61</v>
      </c>
      <c r="G21" s="43"/>
      <c r="H21" s="43"/>
      <c r="I21" s="43"/>
      <c r="J21" s="43"/>
      <c r="K21" s="43"/>
      <c r="L21" s="43"/>
      <c r="M21" s="43"/>
      <c r="N21" s="43"/>
      <c r="O21" s="43"/>
      <c r="P21" s="43"/>
      <c r="Q21" s="43"/>
    </row>
    <row r="22" spans="1:17" ht="50.25" customHeight="1">
      <c r="A22" s="1788" t="s">
        <v>50</v>
      </c>
      <c r="B22" s="1789"/>
      <c r="C22" s="1789"/>
      <c r="D22" s="1789"/>
      <c r="E22" s="1789"/>
      <c r="F22" s="1790"/>
      <c r="G22" s="57" t="s">
        <v>51</v>
      </c>
      <c r="H22" s="57" t="s">
        <v>62</v>
      </c>
      <c r="I22" s="57" t="s">
        <v>63</v>
      </c>
      <c r="J22" s="1793" t="s">
        <v>18</v>
      </c>
      <c r="K22" s="1823"/>
      <c r="L22" s="1823"/>
      <c r="M22" s="1823"/>
      <c r="N22" s="1823"/>
      <c r="O22" s="1823"/>
      <c r="P22" s="1823"/>
      <c r="Q22" s="1824"/>
    </row>
    <row r="23" spans="1:17" ht="33.75" customHeight="1">
      <c r="A23" s="63">
        <v>28</v>
      </c>
      <c r="B23" s="88"/>
      <c r="C23" s="76" t="s">
        <v>307</v>
      </c>
      <c r="D23" s="100"/>
      <c r="E23" s="65" t="s">
        <v>67</v>
      </c>
      <c r="F23" s="109" t="s">
        <v>990</v>
      </c>
      <c r="G23" s="1185">
        <v>13262694</v>
      </c>
      <c r="H23" s="1181">
        <v>782029</v>
      </c>
      <c r="I23" s="1181">
        <f>+G23-H23</f>
        <v>12480665</v>
      </c>
      <c r="J23" s="1836" t="s">
        <v>64</v>
      </c>
      <c r="K23" s="1836"/>
      <c r="L23" s="1836"/>
      <c r="M23" s="1836"/>
      <c r="N23" s="1836"/>
      <c r="O23" s="1836"/>
      <c r="P23" s="1836"/>
      <c r="Q23" s="1837"/>
    </row>
    <row r="24" spans="1:17" ht="15.75" customHeight="1">
      <c r="A24" s="63"/>
      <c r="B24" s="59" t="s">
        <v>65</v>
      </c>
      <c r="C24" s="78"/>
      <c r="D24" s="86"/>
      <c r="E24" s="102"/>
      <c r="F24" s="80"/>
      <c r="G24" s="31"/>
      <c r="H24" s="31"/>
      <c r="I24" s="31"/>
      <c r="J24" s="1828"/>
      <c r="K24" s="1836"/>
      <c r="L24" s="1836"/>
      <c r="M24" s="1836"/>
      <c r="N24" s="1836"/>
      <c r="O24" s="1836"/>
      <c r="P24" s="1836"/>
      <c r="Q24" s="1837"/>
    </row>
    <row r="25" spans="1:17" ht="15.5">
      <c r="A25" s="63"/>
      <c r="B25" s="92"/>
      <c r="C25" s="64"/>
      <c r="D25" s="86"/>
      <c r="E25" s="65"/>
      <c r="F25" s="101"/>
      <c r="G25" s="20"/>
      <c r="H25" s="103"/>
      <c r="I25" s="20"/>
      <c r="J25" s="20">
        <v>1</v>
      </c>
      <c r="K25" s="20"/>
      <c r="L25" s="20"/>
      <c r="M25" s="20"/>
      <c r="N25" s="20"/>
      <c r="O25" s="20"/>
      <c r="P25" s="20"/>
      <c r="Q25" s="22"/>
    </row>
    <row r="26" spans="1:17" ht="15.5">
      <c r="A26" s="63"/>
      <c r="B26" s="92"/>
      <c r="C26" s="64"/>
      <c r="D26" s="86"/>
      <c r="E26" s="65"/>
      <c r="F26" s="101"/>
      <c r="G26" s="20"/>
      <c r="H26" s="40"/>
      <c r="I26" s="20"/>
      <c r="J26" s="20">
        <v>2</v>
      </c>
      <c r="K26" s="20"/>
      <c r="L26" s="20"/>
      <c r="M26" s="20"/>
      <c r="N26" s="20"/>
      <c r="O26" s="20"/>
      <c r="P26" s="20"/>
      <c r="Q26" s="22"/>
    </row>
    <row r="27" spans="1:17" ht="15.5">
      <c r="A27" s="63"/>
      <c r="B27" s="92"/>
      <c r="C27" s="64"/>
      <c r="D27" s="86"/>
      <c r="E27" s="65"/>
      <c r="F27" s="101"/>
      <c r="G27" s="20"/>
      <c r="H27" s="40"/>
      <c r="I27" s="20"/>
      <c r="J27" s="20">
        <v>3</v>
      </c>
      <c r="K27" s="20"/>
      <c r="L27" s="20"/>
      <c r="M27" s="20"/>
      <c r="N27" s="20"/>
      <c r="O27" s="20"/>
      <c r="P27" s="20"/>
      <c r="Q27" s="22"/>
    </row>
    <row r="28" spans="1:17" ht="15.5">
      <c r="A28" s="63"/>
      <c r="B28" s="92"/>
      <c r="C28" s="64"/>
      <c r="D28" s="86"/>
      <c r="E28" s="65"/>
      <c r="F28" s="101"/>
      <c r="G28" s="20"/>
      <c r="H28" s="40"/>
      <c r="I28" s="20"/>
      <c r="J28" s="20">
        <v>4</v>
      </c>
      <c r="K28" s="20"/>
      <c r="L28" s="20"/>
      <c r="M28" s="20"/>
      <c r="N28" s="20"/>
      <c r="O28" s="20"/>
      <c r="P28" s="20"/>
      <c r="Q28" s="22"/>
    </row>
    <row r="29" spans="1:17" ht="15" thickBot="1">
      <c r="A29" s="104"/>
      <c r="B29" s="105"/>
      <c r="C29" s="105"/>
      <c r="D29" s="106"/>
      <c r="E29" s="105"/>
      <c r="F29" s="107"/>
      <c r="G29" s="38"/>
      <c r="H29" s="108"/>
      <c r="I29" s="38"/>
      <c r="J29" s="38">
        <v>5</v>
      </c>
      <c r="K29" s="38"/>
      <c r="L29" s="38"/>
      <c r="M29" s="38"/>
      <c r="N29" s="38"/>
      <c r="O29" s="38"/>
      <c r="P29" s="38"/>
      <c r="Q29" s="39"/>
    </row>
    <row r="30" spans="1:17" ht="20">
      <c r="A30" s="55" t="s">
        <v>69</v>
      </c>
      <c r="G30" s="43"/>
      <c r="H30" s="43"/>
      <c r="I30" s="43"/>
      <c r="J30" s="43"/>
      <c r="K30" s="43"/>
      <c r="L30" s="43"/>
      <c r="M30" s="43"/>
      <c r="N30" s="43"/>
      <c r="O30" s="43"/>
      <c r="P30" s="43"/>
      <c r="Q30" s="43"/>
    </row>
    <row r="31" spans="1:17" ht="61.5" customHeight="1">
      <c r="A31" s="1788" t="s">
        <v>50</v>
      </c>
      <c r="B31" s="1789"/>
      <c r="C31" s="1789"/>
      <c r="D31" s="1789"/>
      <c r="E31" s="1789"/>
      <c r="F31" s="1790"/>
      <c r="G31" s="57" t="s">
        <v>51</v>
      </c>
      <c r="H31" s="57" t="s">
        <v>70</v>
      </c>
      <c r="I31" s="57" t="s">
        <v>71</v>
      </c>
      <c r="J31" s="1793" t="s">
        <v>18</v>
      </c>
      <c r="K31" s="1823"/>
      <c r="L31" s="1823"/>
      <c r="M31" s="1823"/>
      <c r="N31" s="1823"/>
      <c r="O31" s="1823"/>
      <c r="P31" s="1823"/>
      <c r="Q31" s="1824"/>
    </row>
    <row r="32" spans="1:17" ht="15.5">
      <c r="A32" s="58"/>
      <c r="B32" s="59" t="s">
        <v>54</v>
      </c>
      <c r="C32" s="77"/>
      <c r="D32" s="60"/>
      <c r="E32" s="61"/>
      <c r="F32" s="62"/>
      <c r="G32" s="20"/>
      <c r="H32" s="20"/>
      <c r="I32" s="20"/>
      <c r="J32" s="1828"/>
      <c r="K32" s="1836"/>
      <c r="L32" s="1836"/>
      <c r="M32" s="1836"/>
      <c r="N32" s="1836"/>
      <c r="O32" s="1836"/>
      <c r="P32" s="1836"/>
      <c r="Q32" s="1837"/>
    </row>
    <row r="33" spans="1:19" ht="15.75" customHeight="1">
      <c r="A33" s="63">
        <v>6</v>
      </c>
      <c r="B33" s="60"/>
      <c r="C33" s="64" t="s">
        <v>144</v>
      </c>
      <c r="D33" s="48"/>
      <c r="E33" s="65" t="s">
        <v>321</v>
      </c>
      <c r="F33" s="101" t="s">
        <v>984</v>
      </c>
      <c r="G33" s="1033">
        <f>+'9A - Gross Plant &amp; ARO'!C23</f>
        <v>4554735038.4099998</v>
      </c>
      <c r="H33" s="23">
        <v>0</v>
      </c>
      <c r="I33" s="68">
        <v>0</v>
      </c>
      <c r="J33" s="1836"/>
      <c r="K33" s="1836"/>
      <c r="L33" s="1836"/>
      <c r="M33" s="1836"/>
      <c r="N33" s="1836"/>
      <c r="O33" s="1836"/>
      <c r="P33" s="1836"/>
      <c r="Q33" s="1837"/>
    </row>
    <row r="34" spans="1:19" ht="15.5">
      <c r="A34" s="58"/>
      <c r="B34" s="59" t="s">
        <v>56</v>
      </c>
      <c r="C34" s="77"/>
      <c r="D34" s="48"/>
      <c r="E34" s="70"/>
      <c r="F34" s="109"/>
      <c r="G34" s="1183"/>
      <c r="H34" s="20"/>
      <c r="I34" s="20"/>
      <c r="J34" s="1836"/>
      <c r="K34" s="1836"/>
      <c r="L34" s="1836"/>
      <c r="M34" s="1836"/>
      <c r="N34" s="1836"/>
      <c r="O34" s="1836"/>
      <c r="P34" s="1836"/>
      <c r="Q34" s="1837"/>
    </row>
    <row r="35" spans="1:19" ht="15.5">
      <c r="A35" s="63">
        <v>19</v>
      </c>
      <c r="B35" s="47"/>
      <c r="C35" s="64" t="s">
        <v>300</v>
      </c>
      <c r="D35" s="48"/>
      <c r="E35" s="65" t="s">
        <v>321</v>
      </c>
      <c r="F35" s="109" t="s">
        <v>991</v>
      </c>
      <c r="G35" s="1033">
        <f>+'9 - Rate Base'!C23</f>
        <v>1668224393</v>
      </c>
      <c r="H35" s="23">
        <v>0</v>
      </c>
      <c r="I35" s="23">
        <v>0</v>
      </c>
      <c r="J35" s="1836" t="s">
        <v>72</v>
      </c>
      <c r="K35" s="1836"/>
      <c r="L35" s="1836"/>
      <c r="M35" s="1836"/>
      <c r="N35" s="1836"/>
      <c r="O35" s="1836"/>
      <c r="P35" s="1836"/>
      <c r="Q35" s="1837"/>
    </row>
    <row r="36" spans="1:19" ht="15.5">
      <c r="A36" s="58">
        <v>24</v>
      </c>
      <c r="B36" s="60"/>
      <c r="C36" s="77" t="s">
        <v>303</v>
      </c>
      <c r="D36" s="60"/>
      <c r="E36" s="90" t="s">
        <v>820</v>
      </c>
      <c r="F36" s="113" t="s">
        <v>788</v>
      </c>
      <c r="G36" s="180">
        <v>0</v>
      </c>
      <c r="H36" s="23">
        <v>0</v>
      </c>
      <c r="I36" s="23">
        <v>0</v>
      </c>
      <c r="J36" s="1836"/>
      <c r="K36" s="1836"/>
      <c r="L36" s="1836"/>
      <c r="M36" s="1836"/>
      <c r="N36" s="1836"/>
      <c r="O36" s="1836"/>
      <c r="P36" s="1836"/>
      <c r="Q36" s="1837"/>
    </row>
    <row r="37" spans="1:19" ht="15.5">
      <c r="A37" s="63"/>
      <c r="B37" s="59" t="s">
        <v>73</v>
      </c>
      <c r="C37" s="76"/>
      <c r="D37" s="111"/>
      <c r="E37" s="112"/>
      <c r="F37" s="113"/>
      <c r="G37" s="31"/>
      <c r="H37" s="20"/>
      <c r="I37" s="20"/>
      <c r="J37" s="20"/>
      <c r="K37" s="20"/>
      <c r="L37" s="20"/>
      <c r="M37" s="20"/>
      <c r="N37" s="20"/>
      <c r="O37" s="20"/>
      <c r="P37" s="20"/>
      <c r="Q37" s="22"/>
    </row>
    <row r="38" spans="1:19" ht="16" thickBot="1">
      <c r="A38" s="93">
        <v>30</v>
      </c>
      <c r="B38" s="114"/>
      <c r="C38" s="95" t="s">
        <v>309</v>
      </c>
      <c r="D38" s="115"/>
      <c r="E38" s="97" t="s">
        <v>321</v>
      </c>
      <c r="F38" s="582" t="s">
        <v>992</v>
      </c>
      <c r="G38" s="1184">
        <f>+'9 - Rate Base'!F23</f>
        <v>284525424</v>
      </c>
      <c r="H38" s="117">
        <v>0</v>
      </c>
      <c r="I38" s="117">
        <v>0</v>
      </c>
      <c r="J38" s="1819" t="s">
        <v>72</v>
      </c>
      <c r="K38" s="1819"/>
      <c r="L38" s="1819"/>
      <c r="M38" s="1819"/>
      <c r="N38" s="1819"/>
      <c r="O38" s="1819"/>
      <c r="P38" s="1819"/>
      <c r="Q38" s="1820"/>
    </row>
    <row r="39" spans="1:19">
      <c r="G39" s="43"/>
      <c r="H39" s="43"/>
      <c r="I39" s="43"/>
      <c r="J39" s="43"/>
      <c r="K39" s="43"/>
      <c r="L39" s="43"/>
      <c r="M39" s="43"/>
      <c r="N39" s="43"/>
      <c r="O39" s="43"/>
      <c r="P39" s="43"/>
      <c r="Q39" s="43"/>
    </row>
    <row r="40" spans="1:19">
      <c r="G40" s="43"/>
      <c r="H40" s="43"/>
      <c r="I40" s="43"/>
      <c r="J40" s="43"/>
      <c r="K40" s="43"/>
      <c r="L40" s="43"/>
      <c r="M40" s="43"/>
      <c r="N40" s="43"/>
      <c r="O40" s="43"/>
      <c r="P40" s="43"/>
      <c r="Q40" s="43"/>
    </row>
    <row r="41" spans="1:19" ht="20.5" thickBot="1">
      <c r="A41" s="55" t="s">
        <v>74</v>
      </c>
      <c r="G41" s="43"/>
      <c r="H41" s="43"/>
      <c r="I41" s="43"/>
      <c r="J41" s="43"/>
      <c r="K41" s="43"/>
      <c r="L41" s="43"/>
      <c r="M41" s="43"/>
      <c r="N41" s="43"/>
      <c r="O41" s="43"/>
      <c r="P41" s="43"/>
      <c r="Q41" s="43"/>
      <c r="S41" s="965"/>
    </row>
    <row r="42" spans="1:19" ht="18">
      <c r="A42" s="1788" t="s">
        <v>50</v>
      </c>
      <c r="B42" s="1789"/>
      <c r="C42" s="1789"/>
      <c r="D42" s="1789"/>
      <c r="E42" s="1789"/>
      <c r="F42" s="1790"/>
      <c r="G42" s="57" t="s">
        <v>51</v>
      </c>
      <c r="H42" s="57" t="s">
        <v>75</v>
      </c>
      <c r="I42" s="57"/>
      <c r="J42" s="1793" t="s">
        <v>18</v>
      </c>
      <c r="K42" s="1823"/>
      <c r="L42" s="1823"/>
      <c r="M42" s="1823"/>
      <c r="N42" s="1823"/>
      <c r="O42" s="1823"/>
      <c r="P42" s="1823"/>
      <c r="Q42" s="1824"/>
    </row>
    <row r="43" spans="1:19" ht="15.5">
      <c r="A43" s="63"/>
      <c r="B43" s="59" t="s">
        <v>59</v>
      </c>
      <c r="C43" s="86"/>
      <c r="D43" s="86"/>
      <c r="E43" s="118"/>
      <c r="F43" s="87"/>
      <c r="G43" s="20"/>
      <c r="H43" s="20"/>
      <c r="I43" s="20"/>
      <c r="J43" s="1828"/>
      <c r="K43" s="1836"/>
      <c r="L43" s="1836"/>
      <c r="M43" s="1836"/>
      <c r="N43" s="1836"/>
      <c r="O43" s="1836"/>
      <c r="P43" s="1836"/>
      <c r="Q43" s="1837"/>
    </row>
    <row r="44" spans="1:19" ht="15.5">
      <c r="A44" s="93">
        <v>73</v>
      </c>
      <c r="B44" s="119"/>
      <c r="C44" s="95" t="s">
        <v>360</v>
      </c>
      <c r="D44" s="120"/>
      <c r="E44" s="97" t="s">
        <v>828</v>
      </c>
      <c r="F44" s="582" t="s">
        <v>361</v>
      </c>
      <c r="G44" s="1179">
        <f>224463+41871</f>
        <v>266334</v>
      </c>
      <c r="H44" s="1167">
        <f>+G44</f>
        <v>266334</v>
      </c>
      <c r="I44" s="117"/>
      <c r="J44" s="1819" t="s">
        <v>72</v>
      </c>
      <c r="K44" s="1819"/>
      <c r="L44" s="1819"/>
      <c r="M44" s="1819"/>
      <c r="N44" s="1819"/>
      <c r="O44" s="1819"/>
      <c r="P44" s="1819"/>
      <c r="Q44" s="1820"/>
    </row>
    <row r="45" spans="1:19">
      <c r="G45" s="43"/>
      <c r="H45" s="43"/>
      <c r="I45" s="43"/>
      <c r="J45" s="43"/>
      <c r="K45" s="43"/>
      <c r="L45" s="43"/>
      <c r="M45" s="43"/>
      <c r="N45" s="43"/>
      <c r="O45" s="43"/>
      <c r="P45" s="43"/>
      <c r="Q45" s="43"/>
    </row>
    <row r="46" spans="1:19">
      <c r="G46" s="43"/>
      <c r="H46" s="43"/>
      <c r="I46" s="43"/>
      <c r="J46" s="43"/>
      <c r="K46" s="43"/>
      <c r="L46" s="43"/>
      <c r="M46" s="43"/>
      <c r="N46" s="43"/>
      <c r="O46" s="43"/>
      <c r="P46" s="43"/>
      <c r="Q46" s="43"/>
    </row>
    <row r="47" spans="1:19" ht="20.5" thickBot="1">
      <c r="A47" s="55" t="s">
        <v>76</v>
      </c>
      <c r="G47" s="43"/>
      <c r="H47" s="43"/>
      <c r="I47" s="43"/>
      <c r="J47" s="43"/>
      <c r="K47" s="43"/>
      <c r="L47" s="43"/>
      <c r="M47" s="43"/>
      <c r="N47" s="43"/>
      <c r="O47" s="43"/>
      <c r="P47" s="43"/>
      <c r="Q47" s="43"/>
    </row>
    <row r="48" spans="1:19" ht="51" customHeight="1">
      <c r="A48" s="1788" t="s">
        <v>50</v>
      </c>
      <c r="B48" s="1789"/>
      <c r="C48" s="1789"/>
      <c r="D48" s="1789"/>
      <c r="E48" s="1789"/>
      <c r="F48" s="1790"/>
      <c r="G48" s="57" t="s">
        <v>51</v>
      </c>
      <c r="H48" s="57" t="s">
        <v>62</v>
      </c>
      <c r="I48" s="57" t="s">
        <v>63</v>
      </c>
      <c r="J48" s="1793" t="s">
        <v>18</v>
      </c>
      <c r="K48" s="1823"/>
      <c r="L48" s="1823"/>
      <c r="M48" s="1823"/>
      <c r="N48" s="1823"/>
      <c r="O48" s="1823"/>
      <c r="P48" s="1823"/>
      <c r="Q48" s="1824"/>
    </row>
    <row r="49" spans="1:17" ht="15.5">
      <c r="A49" s="63"/>
      <c r="B49" s="59" t="s">
        <v>59</v>
      </c>
      <c r="C49" s="86"/>
      <c r="D49" s="86"/>
      <c r="E49" s="118"/>
      <c r="F49" s="87"/>
      <c r="G49" s="20"/>
      <c r="H49" s="20"/>
      <c r="I49" s="20"/>
      <c r="J49" s="20"/>
      <c r="K49" s="20"/>
      <c r="L49" s="20"/>
      <c r="M49" s="20"/>
      <c r="N49" s="20"/>
      <c r="O49" s="20"/>
      <c r="P49" s="20"/>
      <c r="Q49" s="22"/>
    </row>
    <row r="50" spans="1:17" ht="15.5">
      <c r="A50" s="63">
        <v>70</v>
      </c>
      <c r="B50" s="88"/>
      <c r="C50" s="64" t="s">
        <v>355</v>
      </c>
      <c r="D50" s="111"/>
      <c r="E50" s="65" t="s">
        <v>827</v>
      </c>
      <c r="F50" s="101" t="s">
        <v>68</v>
      </c>
      <c r="G50" s="1033">
        <v>1551388</v>
      </c>
      <c r="H50" s="1168">
        <v>265541</v>
      </c>
      <c r="I50" s="1181">
        <f>+G50-H50</f>
        <v>1285847</v>
      </c>
      <c r="J50" s="121" t="s">
        <v>490</v>
      </c>
      <c r="K50" s="122"/>
      <c r="L50" s="122"/>
      <c r="M50" s="122"/>
      <c r="N50" s="122"/>
      <c r="O50" s="122"/>
      <c r="P50" s="122"/>
      <c r="Q50" s="123"/>
    </row>
    <row r="51" spans="1:17" ht="15.5">
      <c r="A51" s="63"/>
      <c r="B51" s="59" t="s">
        <v>65</v>
      </c>
      <c r="C51" s="83"/>
      <c r="D51" s="86"/>
      <c r="E51" s="112"/>
      <c r="F51" s="110"/>
      <c r="G51" s="40"/>
      <c r="H51" s="40"/>
      <c r="I51" s="40"/>
      <c r="J51" s="20"/>
      <c r="K51" s="20"/>
      <c r="L51" s="20"/>
      <c r="M51" s="20"/>
      <c r="N51" s="20"/>
      <c r="O51" s="20"/>
      <c r="P51" s="20"/>
      <c r="Q51" s="22"/>
    </row>
    <row r="52" spans="1:17" ht="16" thickBot="1">
      <c r="A52" s="93">
        <v>77</v>
      </c>
      <c r="B52" s="94"/>
      <c r="C52" s="95" t="s">
        <v>66</v>
      </c>
      <c r="D52" s="124"/>
      <c r="E52" s="97" t="s">
        <v>830</v>
      </c>
      <c r="F52" s="116" t="s">
        <v>68</v>
      </c>
      <c r="G52" s="1179">
        <v>1551388</v>
      </c>
      <c r="H52" s="1167">
        <v>265541</v>
      </c>
      <c r="I52" s="1182">
        <v>6560485.8399999999</v>
      </c>
      <c r="J52" s="1845" t="s">
        <v>490</v>
      </c>
      <c r="K52" s="1845"/>
      <c r="L52" s="1845"/>
      <c r="M52" s="1845"/>
      <c r="N52" s="1845"/>
      <c r="O52" s="1845"/>
      <c r="P52" s="1845"/>
      <c r="Q52" s="1846"/>
    </row>
    <row r="53" spans="1:17">
      <c r="G53" s="1012"/>
      <c r="H53" s="1012"/>
      <c r="I53" s="1012"/>
      <c r="J53" s="43"/>
      <c r="K53" s="43"/>
      <c r="L53" s="43"/>
      <c r="M53" s="43"/>
      <c r="N53" s="43"/>
      <c r="O53" s="43"/>
      <c r="P53" s="43"/>
      <c r="Q53" s="43"/>
    </row>
    <row r="54" spans="1:17">
      <c r="G54" s="43"/>
      <c r="H54" s="43"/>
      <c r="I54" s="43"/>
      <c r="J54" s="43"/>
      <c r="K54" s="43"/>
      <c r="L54" s="43"/>
      <c r="M54" s="43"/>
      <c r="N54" s="43"/>
      <c r="O54" s="43"/>
      <c r="P54" s="43"/>
      <c r="Q54" s="43"/>
    </row>
    <row r="55" spans="1:17" ht="20.5" thickBot="1">
      <c r="A55" s="55" t="s">
        <v>77</v>
      </c>
      <c r="G55" s="43"/>
      <c r="H55" s="43"/>
      <c r="I55" s="43"/>
      <c r="J55" s="43"/>
      <c r="K55" s="43"/>
      <c r="L55" s="43"/>
      <c r="M55" s="43"/>
      <c r="N55" s="43"/>
      <c r="O55" s="43"/>
      <c r="P55" s="43"/>
      <c r="Q55" s="43"/>
    </row>
    <row r="56" spans="1:17" ht="42" customHeight="1">
      <c r="A56" s="1788" t="s">
        <v>50</v>
      </c>
      <c r="B56" s="1789"/>
      <c r="C56" s="1789"/>
      <c r="D56" s="1789"/>
      <c r="E56" s="1789"/>
      <c r="F56" s="1790"/>
      <c r="G56" s="57" t="s">
        <v>51</v>
      </c>
      <c r="H56" s="57" t="s">
        <v>78</v>
      </c>
      <c r="I56" s="57" t="s">
        <v>79</v>
      </c>
      <c r="J56" s="1793" t="s">
        <v>18</v>
      </c>
      <c r="K56" s="1823"/>
      <c r="L56" s="1823"/>
      <c r="M56" s="1823"/>
      <c r="N56" s="1823"/>
      <c r="O56" s="1823"/>
      <c r="P56" s="1823"/>
      <c r="Q56" s="1824"/>
    </row>
    <row r="57" spans="1:17" ht="15.5">
      <c r="A57" s="63"/>
      <c r="B57" s="59" t="s">
        <v>65</v>
      </c>
      <c r="C57" s="78"/>
      <c r="D57" s="86"/>
      <c r="E57" s="102"/>
      <c r="F57" s="80"/>
      <c r="G57" s="20"/>
      <c r="H57" s="20"/>
      <c r="I57" s="20"/>
      <c r="J57" s="20"/>
      <c r="K57" s="20"/>
      <c r="L57" s="20"/>
      <c r="M57" s="20"/>
      <c r="N57" s="20"/>
      <c r="O57" s="20"/>
      <c r="P57" s="20"/>
      <c r="Q57" s="22"/>
    </row>
    <row r="58" spans="1:17" ht="16" thickBot="1">
      <c r="A58" s="125">
        <v>81</v>
      </c>
      <c r="B58" s="94"/>
      <c r="C58" s="126" t="s">
        <v>364</v>
      </c>
      <c r="D58" s="96"/>
      <c r="E58" s="127" t="s">
        <v>639</v>
      </c>
      <c r="F58" s="128" t="s">
        <v>357</v>
      </c>
      <c r="G58" s="1179">
        <v>458332</v>
      </c>
      <c r="H58" s="1180">
        <v>0</v>
      </c>
      <c r="I58" s="1167">
        <f>+G58</f>
        <v>458332</v>
      </c>
      <c r="J58" s="1843" t="s">
        <v>80</v>
      </c>
      <c r="K58" s="1843"/>
      <c r="L58" s="1843"/>
      <c r="M58" s="1843"/>
      <c r="N58" s="1843"/>
      <c r="O58" s="1843"/>
      <c r="P58" s="1843"/>
      <c r="Q58" s="1844"/>
    </row>
    <row r="59" spans="1:17" ht="15.5">
      <c r="A59" s="47"/>
      <c r="B59" s="92"/>
      <c r="C59" s="64"/>
      <c r="D59" s="86"/>
      <c r="E59" s="84"/>
      <c r="F59" s="64"/>
      <c r="G59" s="103"/>
      <c r="H59" s="103"/>
      <c r="I59" s="103"/>
      <c r="J59" s="129"/>
      <c r="K59" s="130"/>
      <c r="L59" s="130"/>
      <c r="M59" s="130"/>
      <c r="N59" s="130"/>
      <c r="O59" s="130"/>
      <c r="P59" s="130"/>
      <c r="Q59" s="130"/>
    </row>
    <row r="60" spans="1:17">
      <c r="G60" s="43"/>
      <c r="H60" s="43"/>
      <c r="I60" s="43"/>
      <c r="J60" s="43"/>
      <c r="K60" s="43"/>
      <c r="L60" s="43"/>
      <c r="M60" s="43"/>
      <c r="N60" s="43"/>
      <c r="O60" s="43"/>
      <c r="P60" s="43"/>
      <c r="Q60" s="43"/>
    </row>
    <row r="61" spans="1:17" ht="20.5" thickBot="1">
      <c r="A61" s="55" t="s">
        <v>1509</v>
      </c>
      <c r="G61" s="43"/>
      <c r="H61" s="43"/>
      <c r="I61" s="43"/>
      <c r="J61" s="43"/>
      <c r="K61" s="43"/>
      <c r="L61" s="43"/>
      <c r="M61" s="43"/>
      <c r="N61" s="43"/>
      <c r="O61" s="43"/>
      <c r="P61" s="43"/>
      <c r="Q61" s="43"/>
    </row>
    <row r="62" spans="1:17" ht="18">
      <c r="A62" s="1788" t="s">
        <v>50</v>
      </c>
      <c r="B62" s="1789"/>
      <c r="C62" s="1789"/>
      <c r="D62" s="1789"/>
      <c r="E62" s="1789"/>
      <c r="F62" s="1790"/>
      <c r="G62" s="57" t="s">
        <v>81</v>
      </c>
      <c r="H62" s="57" t="s">
        <v>82</v>
      </c>
      <c r="I62" s="57" t="s">
        <v>83</v>
      </c>
      <c r="J62" s="57" t="s">
        <v>84</v>
      </c>
      <c r="K62" s="57" t="s">
        <v>85</v>
      </c>
      <c r="L62" s="1793" t="s">
        <v>18</v>
      </c>
      <c r="M62" s="1823"/>
      <c r="N62" s="1823"/>
      <c r="O62" s="1823"/>
      <c r="P62" s="1823"/>
      <c r="Q62" s="1824"/>
    </row>
    <row r="63" spans="1:17" ht="15.5">
      <c r="A63" s="91" t="s">
        <v>86</v>
      </c>
      <c r="B63" s="131" t="s">
        <v>87</v>
      </c>
      <c r="C63" s="48"/>
      <c r="D63" s="48"/>
      <c r="E63" s="102"/>
      <c r="F63" s="132"/>
      <c r="G63" s="20"/>
      <c r="H63" s="20"/>
      <c r="I63" s="20"/>
      <c r="J63" s="20"/>
      <c r="K63" s="20"/>
      <c r="L63" s="20"/>
      <c r="M63" s="20"/>
      <c r="N63" s="20"/>
      <c r="O63" s="20"/>
      <c r="P63" s="20"/>
      <c r="Q63" s="22"/>
    </row>
    <row r="64" spans="1:17" ht="15.5">
      <c r="A64" s="91"/>
      <c r="B64" s="131"/>
      <c r="C64" s="48"/>
      <c r="D64" s="48"/>
      <c r="E64" s="102"/>
      <c r="F64" s="132"/>
      <c r="G64" s="145" t="s">
        <v>1597</v>
      </c>
      <c r="H64" s="1623" t="s">
        <v>1598</v>
      </c>
      <c r="I64" s="103"/>
      <c r="J64" s="103"/>
      <c r="K64" s="103"/>
      <c r="L64" s="1828" t="s">
        <v>88</v>
      </c>
      <c r="M64" s="1839"/>
      <c r="N64" s="1839"/>
      <c r="O64" s="1839"/>
      <c r="P64" s="1839"/>
      <c r="Q64" s="1840"/>
    </row>
    <row r="65" spans="1:20" ht="16.5" customHeight="1" thickBot="1">
      <c r="A65" s="125">
        <v>129</v>
      </c>
      <c r="B65" s="114"/>
      <c r="C65" s="126" t="s">
        <v>187</v>
      </c>
      <c r="D65" s="133"/>
      <c r="E65" s="127" t="s">
        <v>848</v>
      </c>
      <c r="F65" s="134">
        <f>+G65</f>
        <v>0.09</v>
      </c>
      <c r="G65" s="1624">
        <v>0.09</v>
      </c>
      <c r="H65" s="1625"/>
      <c r="I65" s="117"/>
      <c r="J65" s="117"/>
      <c r="K65" s="117"/>
      <c r="L65" s="1841" t="s">
        <v>1599</v>
      </c>
      <c r="M65" s="1841"/>
      <c r="N65" s="1841"/>
      <c r="O65" s="1841"/>
      <c r="P65" s="1841"/>
      <c r="Q65" s="1842"/>
      <c r="S65" s="180"/>
      <c r="T65" s="121"/>
    </row>
    <row r="66" spans="1:20">
      <c r="G66" s="43"/>
      <c r="H66" s="43"/>
      <c r="I66" s="43"/>
      <c r="J66" s="43"/>
      <c r="K66" s="43"/>
      <c r="L66" s="43"/>
      <c r="M66" s="43"/>
      <c r="N66" s="43"/>
      <c r="O66" s="43"/>
      <c r="P66" s="43"/>
      <c r="Q66" s="43"/>
    </row>
    <row r="67" spans="1:20">
      <c r="G67" s="43"/>
      <c r="H67" s="43"/>
      <c r="I67" s="43"/>
      <c r="J67" s="43"/>
      <c r="K67" s="43"/>
      <c r="L67" s="43"/>
      <c r="M67" s="43"/>
      <c r="N67" s="43"/>
      <c r="O67" s="43"/>
      <c r="P67" s="43"/>
      <c r="Q67" s="43"/>
    </row>
    <row r="68" spans="1:20" ht="20.5" thickBot="1">
      <c r="A68" s="55" t="s">
        <v>89</v>
      </c>
      <c r="G68" s="43"/>
      <c r="H68" s="43"/>
      <c r="I68" s="43"/>
      <c r="J68" s="43"/>
      <c r="K68" s="43"/>
      <c r="L68" s="43"/>
      <c r="M68" s="43"/>
      <c r="N68" s="43"/>
      <c r="O68" s="43"/>
      <c r="P68" s="43"/>
      <c r="Q68" s="43"/>
    </row>
    <row r="69" spans="1:20" ht="27">
      <c r="A69" s="1788" t="s">
        <v>50</v>
      </c>
      <c r="B69" s="1789"/>
      <c r="C69" s="1789"/>
      <c r="D69" s="1789"/>
      <c r="E69" s="1789"/>
      <c r="F69" s="1790"/>
      <c r="G69" s="57" t="s">
        <v>51</v>
      </c>
      <c r="H69" s="57" t="s">
        <v>90</v>
      </c>
      <c r="I69" s="57" t="s">
        <v>91</v>
      </c>
      <c r="J69" s="1793" t="s">
        <v>18</v>
      </c>
      <c r="K69" s="1823"/>
      <c r="L69" s="1823"/>
      <c r="M69" s="1823"/>
      <c r="N69" s="1823"/>
      <c r="O69" s="1823"/>
      <c r="P69" s="1823"/>
      <c r="Q69" s="1824"/>
    </row>
    <row r="70" spans="1:20" ht="15.5">
      <c r="A70" s="63"/>
      <c r="B70" s="59" t="s">
        <v>65</v>
      </c>
      <c r="C70" s="78"/>
      <c r="D70" s="86"/>
      <c r="E70" s="102"/>
      <c r="F70" s="80"/>
      <c r="G70" s="20"/>
      <c r="H70" s="20"/>
      <c r="I70" s="20"/>
      <c r="J70" s="20"/>
      <c r="K70" s="20"/>
      <c r="L70" s="20"/>
      <c r="M70" s="20"/>
      <c r="N70" s="20"/>
      <c r="O70" s="20"/>
      <c r="P70" s="20"/>
      <c r="Q70" s="22"/>
    </row>
    <row r="71" spans="1:20" ht="16" thickBot="1">
      <c r="A71" s="125">
        <v>78</v>
      </c>
      <c r="B71" s="94"/>
      <c r="C71" s="126" t="s">
        <v>364</v>
      </c>
      <c r="D71" s="135"/>
      <c r="E71" s="127" t="s">
        <v>637</v>
      </c>
      <c r="F71" s="128" t="s">
        <v>357</v>
      </c>
      <c r="G71" s="1179">
        <v>458332</v>
      </c>
      <c r="H71" s="1180">
        <v>0</v>
      </c>
      <c r="I71" s="1167">
        <f>+G71</f>
        <v>458332</v>
      </c>
      <c r="J71" s="1857" t="s">
        <v>80</v>
      </c>
      <c r="K71" s="1819"/>
      <c r="L71" s="1819"/>
      <c r="M71" s="1819"/>
      <c r="N71" s="1819"/>
      <c r="O71" s="1819"/>
      <c r="P71" s="1819"/>
      <c r="Q71" s="1820"/>
    </row>
    <row r="72" spans="1:20">
      <c r="G72" s="43"/>
      <c r="H72" s="43"/>
      <c r="I72" s="43"/>
      <c r="J72" s="43"/>
      <c r="K72" s="43"/>
      <c r="L72" s="43"/>
      <c r="M72" s="43"/>
      <c r="N72" s="43"/>
      <c r="O72" s="43"/>
      <c r="P72" s="43"/>
      <c r="Q72" s="43"/>
    </row>
    <row r="73" spans="1:20">
      <c r="G73" s="43"/>
      <c r="H73" s="43"/>
      <c r="I73" s="43"/>
      <c r="J73" s="43"/>
      <c r="K73" s="43"/>
      <c r="L73" s="43"/>
      <c r="M73" s="43"/>
      <c r="N73" s="43"/>
      <c r="O73" s="43"/>
      <c r="P73" s="43"/>
      <c r="Q73" s="43"/>
    </row>
    <row r="74" spans="1:20" ht="20.5" thickBot="1">
      <c r="A74" s="55" t="s">
        <v>92</v>
      </c>
      <c r="G74" s="43"/>
      <c r="H74" s="43"/>
      <c r="I74" s="43"/>
      <c r="J74" s="43"/>
      <c r="K74" s="43"/>
      <c r="L74" s="43"/>
      <c r="M74" s="43"/>
      <c r="N74" s="43"/>
      <c r="O74" s="43"/>
      <c r="P74" s="43"/>
      <c r="Q74" s="43"/>
    </row>
    <row r="75" spans="1:20" ht="27">
      <c r="A75" s="1788" t="s">
        <v>50</v>
      </c>
      <c r="B75" s="1789"/>
      <c r="C75" s="1789"/>
      <c r="D75" s="1789"/>
      <c r="E75" s="1789"/>
      <c r="F75" s="1789"/>
      <c r="G75" s="56" t="s">
        <v>430</v>
      </c>
      <c r="H75" s="1793" t="s">
        <v>93</v>
      </c>
      <c r="I75" s="1816"/>
      <c r="J75" s="1816"/>
      <c r="K75" s="1816"/>
      <c r="L75" s="1816"/>
      <c r="M75" s="1816"/>
      <c r="N75" s="1816"/>
      <c r="O75" s="1816"/>
      <c r="P75" s="1816"/>
      <c r="Q75" s="1817"/>
      <c r="R75" s="136"/>
    </row>
    <row r="76" spans="1:20" ht="18">
      <c r="A76" s="137"/>
      <c r="B76" s="138" t="s">
        <v>94</v>
      </c>
      <c r="C76" s="139"/>
      <c r="D76" s="140"/>
      <c r="E76" s="141"/>
      <c r="F76" s="142"/>
      <c r="G76" s="21"/>
      <c r="H76" s="20"/>
      <c r="I76" s="20"/>
      <c r="J76" s="20"/>
      <c r="K76" s="20"/>
      <c r="L76" s="20"/>
      <c r="M76" s="20"/>
      <c r="N76" s="20"/>
      <c r="O76" s="20"/>
      <c r="P76" s="20"/>
      <c r="Q76" s="22"/>
    </row>
    <row r="77" spans="1:20" ht="18">
      <c r="A77" s="63">
        <v>149</v>
      </c>
      <c r="B77" s="88"/>
      <c r="C77" s="64" t="s">
        <v>430</v>
      </c>
      <c r="D77" s="140"/>
      <c r="E77" s="65" t="s">
        <v>849</v>
      </c>
      <c r="F77" s="583" t="s">
        <v>322</v>
      </c>
      <c r="G77" s="143">
        <v>0</v>
      </c>
      <c r="H77" s="1828" t="s">
        <v>95</v>
      </c>
      <c r="I77" s="1836"/>
      <c r="J77" s="1836"/>
      <c r="K77" s="1836"/>
      <c r="L77" s="1836"/>
      <c r="M77" s="1836"/>
      <c r="N77" s="1836"/>
      <c r="O77" s="1836"/>
      <c r="P77" s="1836"/>
      <c r="Q77" s="1837"/>
    </row>
    <row r="78" spans="1:20" ht="18">
      <c r="A78" s="63"/>
      <c r="B78" s="88"/>
      <c r="C78" s="144"/>
      <c r="D78" s="140"/>
      <c r="E78" s="70"/>
      <c r="F78" s="111"/>
      <c r="G78" s="21"/>
      <c r="H78" s="20"/>
      <c r="I78" s="20"/>
      <c r="J78" s="20"/>
      <c r="K78" s="20"/>
      <c r="L78" s="20"/>
      <c r="M78" s="20"/>
      <c r="N78" s="20"/>
      <c r="O78" s="103"/>
      <c r="P78" s="20"/>
      <c r="Q78" s="22"/>
    </row>
    <row r="79" spans="1:20" ht="18">
      <c r="A79" s="63"/>
      <c r="B79" s="88"/>
      <c r="C79" s="144" t="s">
        <v>96</v>
      </c>
      <c r="D79" s="140"/>
      <c r="E79" s="70"/>
      <c r="F79" s="111"/>
      <c r="G79" s="145" t="s">
        <v>97</v>
      </c>
      <c r="H79" s="1828" t="s">
        <v>80</v>
      </c>
      <c r="I79" s="1836"/>
      <c r="J79" s="1836"/>
      <c r="K79" s="1836"/>
      <c r="L79" s="1836"/>
      <c r="M79" s="1836"/>
      <c r="N79" s="1836"/>
      <c r="O79" s="1836"/>
      <c r="P79" s="1836"/>
      <c r="Q79" s="1837"/>
    </row>
    <row r="80" spans="1:20" ht="18">
      <c r="A80" s="63"/>
      <c r="B80" s="88">
        <v>1</v>
      </c>
      <c r="C80" s="144" t="s">
        <v>98</v>
      </c>
      <c r="D80" s="140"/>
      <c r="E80" s="70"/>
      <c r="F80" s="111"/>
      <c r="G80" s="146"/>
      <c r="H80" s="1828"/>
      <c r="I80" s="1836"/>
      <c r="J80" s="1836"/>
      <c r="K80" s="1836"/>
      <c r="L80" s="1836"/>
      <c r="M80" s="1836"/>
      <c r="N80" s="1836"/>
      <c r="O80" s="1836"/>
      <c r="P80" s="1836"/>
      <c r="Q80" s="1837"/>
    </row>
    <row r="81" spans="1:40" ht="18">
      <c r="A81" s="63"/>
      <c r="B81" s="88"/>
      <c r="C81" s="144" t="s">
        <v>99</v>
      </c>
      <c r="D81" s="140"/>
      <c r="E81" s="70"/>
      <c r="F81" s="111"/>
      <c r="G81" s="146"/>
      <c r="H81" s="129"/>
      <c r="I81" s="130"/>
      <c r="J81" s="130"/>
      <c r="K81" s="130"/>
      <c r="L81" s="130"/>
      <c r="M81" s="130"/>
      <c r="N81" s="130"/>
      <c r="O81" s="130"/>
      <c r="P81" s="130"/>
      <c r="Q81" s="147"/>
    </row>
    <row r="82" spans="1:40" ht="18">
      <c r="A82" s="63"/>
      <c r="B82" s="88">
        <v>2</v>
      </c>
      <c r="C82" s="144" t="s">
        <v>100</v>
      </c>
      <c r="D82" s="140"/>
      <c r="E82" s="70"/>
      <c r="F82" s="111"/>
      <c r="G82" s="145" t="s">
        <v>101</v>
      </c>
      <c r="H82" s="1828"/>
      <c r="I82" s="1836"/>
      <c r="J82" s="1836"/>
      <c r="K82" s="1836"/>
      <c r="L82" s="1836"/>
      <c r="M82" s="1836"/>
      <c r="N82" s="1836"/>
      <c r="O82" s="1836"/>
      <c r="P82" s="1836"/>
      <c r="Q82" s="1837"/>
    </row>
    <row r="83" spans="1:40" ht="18">
      <c r="A83" s="63"/>
      <c r="B83" s="88"/>
      <c r="C83" s="144" t="s">
        <v>102</v>
      </c>
      <c r="D83" s="148" t="s">
        <v>103</v>
      </c>
      <c r="E83" s="70"/>
      <c r="F83" s="111"/>
      <c r="G83" s="145" t="s">
        <v>97</v>
      </c>
      <c r="H83" s="1828"/>
      <c r="I83" s="1836"/>
      <c r="J83" s="1836"/>
      <c r="K83" s="1836"/>
      <c r="L83" s="1836"/>
      <c r="M83" s="1836"/>
      <c r="N83" s="1836"/>
      <c r="O83" s="1836"/>
      <c r="P83" s="1836"/>
      <c r="Q83" s="1837"/>
    </row>
    <row r="84" spans="1:40" ht="15.5">
      <c r="A84" s="149"/>
      <c r="B84" s="150" t="s">
        <v>9</v>
      </c>
      <c r="C84" s="144" t="s">
        <v>104</v>
      </c>
      <c r="D84" s="151">
        <v>1000000</v>
      </c>
      <c r="E84" s="45"/>
      <c r="F84" s="45"/>
      <c r="G84" s="146"/>
      <c r="H84" s="1828"/>
      <c r="I84" s="1836"/>
      <c r="J84" s="1836"/>
      <c r="K84" s="1836"/>
      <c r="L84" s="1836"/>
      <c r="M84" s="1836"/>
      <c r="N84" s="1836"/>
      <c r="O84" s="1836"/>
      <c r="P84" s="1836"/>
      <c r="Q84" s="1837"/>
    </row>
    <row r="85" spans="1:40" ht="15.5">
      <c r="A85" s="149"/>
      <c r="B85" s="150" t="s">
        <v>10</v>
      </c>
      <c r="C85" s="144" t="s">
        <v>105</v>
      </c>
      <c r="D85" s="151">
        <v>500000</v>
      </c>
      <c r="E85" s="45"/>
      <c r="F85" s="45"/>
      <c r="G85" s="146"/>
      <c r="H85" s="1828"/>
      <c r="I85" s="1836"/>
      <c r="J85" s="1836"/>
      <c r="K85" s="1836"/>
      <c r="L85" s="1836"/>
      <c r="M85" s="1836"/>
      <c r="N85" s="1836"/>
      <c r="O85" s="1836"/>
      <c r="P85" s="1836"/>
      <c r="Q85" s="1837"/>
    </row>
    <row r="86" spans="1:40" ht="15.5">
      <c r="A86" s="149"/>
      <c r="B86" s="150" t="s">
        <v>11</v>
      </c>
      <c r="C86" s="144" t="s">
        <v>106</v>
      </c>
      <c r="D86" s="151">
        <v>400000</v>
      </c>
      <c r="E86" s="45"/>
      <c r="F86" s="45"/>
      <c r="G86" s="146"/>
      <c r="H86" s="1828"/>
      <c r="I86" s="1836"/>
      <c r="J86" s="1836"/>
      <c r="K86" s="1836"/>
      <c r="L86" s="1836"/>
      <c r="M86" s="1836"/>
      <c r="N86" s="1836"/>
      <c r="O86" s="1836"/>
      <c r="P86" s="1836"/>
      <c r="Q86" s="1837"/>
    </row>
    <row r="87" spans="1:40" ht="15.5">
      <c r="A87" s="149"/>
      <c r="B87" s="150" t="s">
        <v>14</v>
      </c>
      <c r="C87" s="144" t="s">
        <v>107</v>
      </c>
      <c r="D87" s="151">
        <v>444444.44444444444</v>
      </c>
      <c r="E87" s="45"/>
      <c r="F87" s="45"/>
      <c r="G87" s="146"/>
      <c r="H87" s="1828"/>
      <c r="I87" s="1836"/>
      <c r="J87" s="1836"/>
      <c r="K87" s="1836"/>
      <c r="L87" s="1836"/>
      <c r="M87" s="1836"/>
      <c r="N87" s="1836"/>
      <c r="O87" s="1836"/>
      <c r="P87" s="1836"/>
      <c r="Q87" s="1837"/>
    </row>
    <row r="88" spans="1:40" ht="15" thickBot="1">
      <c r="A88" s="104"/>
      <c r="B88" s="105"/>
      <c r="C88" s="105"/>
      <c r="D88" s="105"/>
      <c r="E88" s="105"/>
      <c r="F88" s="105"/>
      <c r="G88" s="33"/>
      <c r="H88" s="38"/>
      <c r="I88" s="38"/>
      <c r="J88" s="38"/>
      <c r="K88" s="152" t="s">
        <v>108</v>
      </c>
      <c r="L88" s="38"/>
      <c r="M88" s="38"/>
      <c r="N88" s="38"/>
      <c r="O88" s="38"/>
      <c r="P88" s="38"/>
      <c r="Q88" s="39"/>
    </row>
    <row r="89" spans="1:40">
      <c r="A89" s="153"/>
      <c r="B89" s="153"/>
      <c r="C89" s="153"/>
      <c r="D89" s="153"/>
      <c r="E89" s="153"/>
      <c r="F89" s="153"/>
      <c r="G89" s="20"/>
      <c r="H89" s="20"/>
      <c r="I89" s="20"/>
      <c r="J89" s="20"/>
      <c r="K89" s="154"/>
      <c r="L89" s="20"/>
      <c r="M89" s="20"/>
      <c r="N89" s="20"/>
      <c r="O89" s="20"/>
      <c r="P89" s="20"/>
      <c r="Q89" s="20"/>
    </row>
    <row r="90" spans="1:40">
      <c r="A90" s="153"/>
      <c r="B90" s="153"/>
      <c r="C90" s="153"/>
      <c r="D90" s="153"/>
      <c r="E90" s="153"/>
      <c r="F90" s="153"/>
      <c r="G90" s="20"/>
      <c r="H90" s="20"/>
      <c r="I90" s="20"/>
      <c r="J90" s="20"/>
      <c r="K90" s="154"/>
      <c r="L90" s="20"/>
      <c r="M90" s="20"/>
      <c r="N90" s="20"/>
      <c r="O90" s="20"/>
      <c r="P90" s="20"/>
      <c r="Q90" s="20"/>
    </row>
    <row r="91" spans="1:40" ht="15.5">
      <c r="A91" s="88"/>
      <c r="B91" s="88"/>
      <c r="C91" s="88"/>
      <c r="D91" s="88"/>
      <c r="E91" s="65"/>
      <c r="F91" s="88"/>
      <c r="G91" s="20"/>
      <c r="H91" s="20"/>
      <c r="I91" s="20"/>
      <c r="J91" s="20"/>
      <c r="K91" s="154"/>
      <c r="L91" s="20"/>
      <c r="M91" s="20"/>
      <c r="N91" s="20"/>
      <c r="O91" s="20"/>
      <c r="P91" s="20"/>
      <c r="Q91" s="20"/>
    </row>
    <row r="92" spans="1:40" s="5" customFormat="1" ht="20.5" thickBot="1">
      <c r="A92" s="1627" t="s">
        <v>111</v>
      </c>
      <c r="G92" s="1012"/>
      <c r="H92" s="1012"/>
      <c r="I92" s="1012"/>
      <c r="J92" s="1012"/>
      <c r="K92" s="1012"/>
      <c r="L92" s="1012"/>
      <c r="M92" s="1012"/>
      <c r="N92" s="1012"/>
      <c r="O92" s="1012"/>
      <c r="P92" s="1012"/>
      <c r="Q92" s="1012"/>
    </row>
    <row r="93" spans="1:40" s="5" customFormat="1" ht="18" customHeight="1">
      <c r="A93" s="1830" t="s">
        <v>50</v>
      </c>
      <c r="B93" s="1808"/>
      <c r="C93" s="1808"/>
      <c r="D93" s="1808"/>
      <c r="E93" s="1808"/>
      <c r="F93" s="1809"/>
      <c r="G93" s="1013"/>
      <c r="H93" s="1014"/>
      <c r="I93" s="1015"/>
      <c r="J93" s="1015"/>
      <c r="K93" s="1015"/>
      <c r="L93" s="1015"/>
      <c r="M93" s="1015"/>
      <c r="N93" s="1015"/>
      <c r="O93" s="1015"/>
      <c r="P93" s="1015"/>
      <c r="Q93" s="1015"/>
      <c r="R93" s="1016"/>
      <c r="S93" s="1016"/>
      <c r="T93" s="1016"/>
      <c r="U93" s="1017"/>
      <c r="V93" s="1018" t="s">
        <v>112</v>
      </c>
      <c r="W93" s="1016"/>
      <c r="X93" s="1016"/>
      <c r="Y93" s="1016"/>
      <c r="Z93" s="1016"/>
      <c r="AA93" s="1016"/>
      <c r="AB93" s="1016"/>
      <c r="AC93" s="1016"/>
      <c r="AD93" s="1016"/>
      <c r="AE93" s="1016"/>
      <c r="AF93" s="1016"/>
      <c r="AG93" s="1016"/>
      <c r="AH93" s="1016"/>
      <c r="AI93" s="1016"/>
      <c r="AJ93" s="1016"/>
      <c r="AK93" s="1016"/>
      <c r="AL93" s="1016"/>
      <c r="AM93" s="1016"/>
      <c r="AN93" s="1017"/>
    </row>
    <row r="94" spans="1:40" s="5" customFormat="1" ht="15.5">
      <c r="A94" s="156">
        <v>45</v>
      </c>
      <c r="B94" s="1019" t="s">
        <v>111</v>
      </c>
      <c r="C94" s="1020"/>
      <c r="D94" s="1019"/>
      <c r="E94" s="1021"/>
      <c r="F94" s="1022"/>
      <c r="G94" s="18"/>
      <c r="H94" s="1023"/>
      <c r="I94" s="1012"/>
      <c r="J94" s="1012"/>
      <c r="K94" s="1012"/>
      <c r="L94" s="1012"/>
      <c r="M94" s="1012"/>
      <c r="N94" s="1012"/>
      <c r="O94" s="1012"/>
      <c r="P94" s="1012"/>
      <c r="Q94" s="1012"/>
      <c r="U94" s="1024"/>
      <c r="V94" s="149"/>
      <c r="AN94" s="1024"/>
    </row>
    <row r="95" spans="1:40" s="5" customFormat="1" ht="26.5">
      <c r="A95" s="75"/>
      <c r="B95" s="1025"/>
      <c r="D95" s="1019"/>
      <c r="F95" s="1026"/>
      <c r="G95" s="1027" t="s">
        <v>524</v>
      </c>
      <c r="H95" s="969" t="s">
        <v>525</v>
      </c>
      <c r="I95" s="969" t="s">
        <v>526</v>
      </c>
      <c r="J95" s="969" t="s">
        <v>527</v>
      </c>
      <c r="K95" s="969" t="s">
        <v>171</v>
      </c>
      <c r="L95" s="969" t="s">
        <v>172</v>
      </c>
      <c r="M95" s="969" t="s">
        <v>173</v>
      </c>
      <c r="N95" s="969" t="s">
        <v>528</v>
      </c>
      <c r="O95" s="969" t="s">
        <v>529</v>
      </c>
      <c r="P95" s="969" t="s">
        <v>530</v>
      </c>
      <c r="Q95" s="969" t="s">
        <v>531</v>
      </c>
      <c r="R95" s="969" t="s">
        <v>532</v>
      </c>
      <c r="S95" s="1028" t="s">
        <v>1070</v>
      </c>
      <c r="T95" s="1028" t="s">
        <v>236</v>
      </c>
      <c r="U95" s="1028" t="s">
        <v>1046</v>
      </c>
      <c r="V95" s="149"/>
      <c r="AN95" s="1024"/>
    </row>
    <row r="96" spans="1:40" s="5" customFormat="1" ht="15.5">
      <c r="A96" s="75"/>
      <c r="B96" s="1025"/>
      <c r="C96" s="44" t="s">
        <v>113</v>
      </c>
      <c r="F96" s="160" t="s">
        <v>1071</v>
      </c>
      <c r="G96" s="1030">
        <v>876784.37999999977</v>
      </c>
      <c r="H96" s="1031">
        <v>1599174.0699999998</v>
      </c>
      <c r="I96" s="1031">
        <v>2356913.86</v>
      </c>
      <c r="J96" s="1031">
        <v>1073166.6799999997</v>
      </c>
      <c r="K96" s="1031">
        <v>1271876.0199999996</v>
      </c>
      <c r="L96" s="1031">
        <v>1217540.4799999967</v>
      </c>
      <c r="M96" s="1031">
        <v>898773.40999999666</v>
      </c>
      <c r="N96" s="1031">
        <v>653414.36999999546</v>
      </c>
      <c r="O96" s="1031">
        <v>1121626.7999999952</v>
      </c>
      <c r="P96" s="1031">
        <v>778318.12999999523</v>
      </c>
      <c r="Q96" s="1031">
        <v>1260962.2499999953</v>
      </c>
      <c r="R96" s="1031">
        <v>938115.7799999956</v>
      </c>
      <c r="S96" s="1031">
        <v>905008.91999999539</v>
      </c>
      <c r="T96" s="1032">
        <f>+'ATT H-1A'!H16</f>
        <v>0.13888944064369446</v>
      </c>
      <c r="U96" s="1029" t="s">
        <v>260</v>
      </c>
      <c r="V96" s="1144" t="s">
        <v>1561</v>
      </c>
      <c r="AN96" s="1024"/>
    </row>
    <row r="97" spans="1:40" s="5" customFormat="1" ht="15.5">
      <c r="A97" s="75"/>
      <c r="B97" s="1025"/>
      <c r="C97" s="344" t="s">
        <v>114</v>
      </c>
      <c r="D97" s="1033"/>
      <c r="F97" s="160"/>
      <c r="G97" s="1030">
        <v>52356362.829999998</v>
      </c>
      <c r="H97" s="1035">
        <v>53589536.329999998</v>
      </c>
      <c r="I97" s="1035">
        <v>52401353.829999998</v>
      </c>
      <c r="J97" s="1035">
        <v>51039955.829999998</v>
      </c>
      <c r="K97" s="1035">
        <v>49794034.829999998</v>
      </c>
      <c r="L97" s="1035">
        <v>48548113.829999998</v>
      </c>
      <c r="M97" s="1035">
        <v>47302192.829999998</v>
      </c>
      <c r="N97" s="1035">
        <v>46056271.829999998</v>
      </c>
      <c r="O97" s="1035">
        <v>44810350.829999998</v>
      </c>
      <c r="P97" s="1035">
        <v>43565214.32</v>
      </c>
      <c r="Q97" s="1035">
        <v>42319293.32</v>
      </c>
      <c r="R97" s="1035">
        <v>41073372.32</v>
      </c>
      <c r="S97" s="1035">
        <v>39827905.420000002</v>
      </c>
      <c r="T97" s="1032">
        <f>+T96</f>
        <v>0.13888944064369446</v>
      </c>
      <c r="U97" s="1029" t="s">
        <v>260</v>
      </c>
      <c r="V97" s="1034" t="s">
        <v>115</v>
      </c>
      <c r="AN97" s="1024"/>
    </row>
    <row r="98" spans="1:40" s="5" customFormat="1" ht="16" thickBot="1">
      <c r="A98" s="1036"/>
      <c r="B98" s="1037"/>
      <c r="C98" s="189" t="s">
        <v>1072</v>
      </c>
      <c r="D98" s="1037"/>
      <c r="E98" s="124"/>
      <c r="F98" s="1037"/>
      <c r="G98" s="1146">
        <f t="shared" ref="G98:S98" si="0">SUMPRODUCT(G96:G96,$T96:$T96)+G97*$T$97</f>
        <v>7393522.0397003442</v>
      </c>
      <c r="H98" s="1147">
        <f t="shared" si="0"/>
        <v>7665129.1173028434</v>
      </c>
      <c r="I98" s="1147">
        <f t="shared" si="0"/>
        <v>7605345.1700817877</v>
      </c>
      <c r="J98" s="1147">
        <f t="shared" si="0"/>
        <v>7237962.4356102217</v>
      </c>
      <c r="K98" s="1147">
        <f t="shared" si="0"/>
        <v>7092515.7939172676</v>
      </c>
      <c r="L98" s="1147">
        <f t="shared" si="0"/>
        <v>6911923.8903833618</v>
      </c>
      <c r="M98" s="1147">
        <f t="shared" si="0"/>
        <v>6694605.2395591997</v>
      </c>
      <c r="N98" s="1147">
        <f t="shared" si="0"/>
        <v>6487482.1889604935</v>
      </c>
      <c r="O98" s="1147">
        <f t="shared" si="0"/>
        <v>6379466.6806893861</v>
      </c>
      <c r="P98" s="1147">
        <f t="shared" si="0"/>
        <v>6158848.4181460142</v>
      </c>
      <c r="Q98" s="1147">
        <f t="shared" si="0"/>
        <v>6052837.319226549</v>
      </c>
      <c r="R98" s="1147">
        <f t="shared" si="0"/>
        <v>5834952.082818225</v>
      </c>
      <c r="S98" s="1147">
        <f t="shared" si="0"/>
        <v>5657371.6884701205</v>
      </c>
      <c r="T98" s="106"/>
      <c r="U98" s="1038"/>
      <c r="V98" s="1039" t="s">
        <v>1073</v>
      </c>
      <c r="W98" s="106"/>
      <c r="X98" s="106"/>
      <c r="Y98" s="106"/>
      <c r="Z98" s="106"/>
      <c r="AA98" s="106"/>
      <c r="AB98" s="106"/>
      <c r="AC98" s="106"/>
      <c r="AD98" s="106"/>
      <c r="AE98" s="106"/>
      <c r="AF98" s="106"/>
      <c r="AG98" s="106"/>
      <c r="AH98" s="106"/>
      <c r="AI98" s="106"/>
      <c r="AJ98" s="106"/>
      <c r="AK98" s="106"/>
      <c r="AL98" s="106"/>
      <c r="AM98" s="106"/>
      <c r="AN98" s="1038"/>
    </row>
    <row r="99" spans="1:40">
      <c r="A99" s="153"/>
      <c r="B99" s="153"/>
      <c r="C99" s="153"/>
      <c r="D99" s="153"/>
      <c r="E99" s="153"/>
      <c r="F99" s="153"/>
      <c r="G99" s="20"/>
      <c r="H99" s="20"/>
      <c r="I99" s="20"/>
      <c r="J99" s="20"/>
      <c r="K99" s="154"/>
      <c r="L99" s="20"/>
      <c r="M99" s="20"/>
      <c r="N99" s="20"/>
      <c r="O99" s="20"/>
      <c r="P99" s="20"/>
      <c r="Q99" s="20"/>
    </row>
    <row r="100" spans="1:40">
      <c r="A100" s="153"/>
      <c r="B100" s="153"/>
      <c r="H100" s="20"/>
      <c r="I100" s="20"/>
      <c r="J100" s="20"/>
      <c r="K100" s="154"/>
      <c r="L100" s="20"/>
      <c r="M100" s="20"/>
      <c r="N100" s="20"/>
      <c r="O100" s="20"/>
      <c r="P100" s="20"/>
      <c r="Q100" s="20"/>
    </row>
    <row r="101" spans="1:40">
      <c r="A101" s="153"/>
      <c r="B101" s="153"/>
      <c r="C101" s="153"/>
      <c r="D101" s="153"/>
      <c r="E101" s="153"/>
      <c r="F101" s="153"/>
      <c r="G101" s="20"/>
      <c r="H101" s="20"/>
      <c r="I101" s="20"/>
      <c r="J101" s="20"/>
      <c r="K101" s="154"/>
      <c r="L101" s="20"/>
      <c r="M101" s="20"/>
      <c r="N101" s="20"/>
      <c r="O101" s="20"/>
      <c r="P101" s="20"/>
      <c r="Q101" s="20"/>
    </row>
    <row r="102" spans="1:40" s="5" customFormat="1" ht="20.5" thickBot="1">
      <c r="A102" s="1627" t="s">
        <v>1037</v>
      </c>
      <c r="G102" s="1012"/>
      <c r="H102" s="1012"/>
      <c r="I102" s="1012"/>
      <c r="J102" s="1012"/>
      <c r="K102" s="1012"/>
      <c r="L102" s="1012"/>
      <c r="M102" s="1012"/>
      <c r="N102" s="1012"/>
      <c r="O102" s="1012"/>
      <c r="P102" s="1012"/>
      <c r="Q102" s="1012"/>
    </row>
    <row r="103" spans="1:40" s="5" customFormat="1" ht="18">
      <c r="A103" s="1830" t="s">
        <v>1074</v>
      </c>
      <c r="B103" s="1808"/>
      <c r="C103" s="1808"/>
      <c r="D103" s="1808"/>
      <c r="E103" s="1808"/>
      <c r="F103" s="1809"/>
      <c r="G103" s="18"/>
      <c r="H103" s="1023"/>
      <c r="I103" s="1012"/>
      <c r="J103" s="1012"/>
      <c r="K103" s="1012"/>
      <c r="L103" s="1012"/>
      <c r="M103" s="1012"/>
      <c r="N103" s="1012"/>
      <c r="O103" s="1012"/>
      <c r="P103" s="1012"/>
      <c r="Q103" s="1012"/>
      <c r="U103" s="1024"/>
      <c r="V103" s="1016"/>
      <c r="W103" s="1016"/>
      <c r="X103" s="1016"/>
      <c r="Y103" s="1041"/>
      <c r="Z103" s="1041"/>
      <c r="AA103" s="1041"/>
      <c r="AB103" s="1041"/>
      <c r="AC103" s="1041"/>
      <c r="AD103" s="1041"/>
      <c r="AE103" s="1041"/>
      <c r="AF103" s="1041"/>
      <c r="AG103" s="1041"/>
      <c r="AH103" s="1042"/>
    </row>
    <row r="104" spans="1:40" s="5" customFormat="1" ht="18">
      <c r="A104" s="156">
        <v>44</v>
      </c>
      <c r="B104" s="1019" t="s">
        <v>1037</v>
      </c>
      <c r="C104" s="1043"/>
      <c r="D104" s="1043"/>
      <c r="E104" s="1043"/>
      <c r="F104" s="1043"/>
      <c r="G104" s="18"/>
      <c r="H104" s="1023"/>
      <c r="I104" s="1012"/>
      <c r="J104" s="1012"/>
      <c r="K104" s="1012"/>
      <c r="L104" s="1012"/>
      <c r="M104" s="1012"/>
      <c r="N104" s="1012"/>
      <c r="O104" s="1012"/>
      <c r="P104" s="1012"/>
      <c r="Q104" s="1012"/>
      <c r="U104" s="1024"/>
      <c r="Y104" s="1012"/>
      <c r="Z104" s="1012"/>
      <c r="AA104" s="1012"/>
      <c r="AB104" s="1012"/>
      <c r="AC104" s="1012"/>
      <c r="AD104" s="1012"/>
      <c r="AE104" s="1012"/>
      <c r="AF104" s="1012"/>
      <c r="AG104" s="1012"/>
      <c r="AH104" s="32"/>
    </row>
    <row r="105" spans="1:40" s="5" customFormat="1" ht="75" customHeight="1">
      <c r="A105" s="149"/>
      <c r="C105" s="1831" t="s">
        <v>1075</v>
      </c>
      <c r="D105" s="1831"/>
      <c r="E105" s="1831"/>
      <c r="F105" s="1832"/>
      <c r="G105" s="1044" t="s">
        <v>524</v>
      </c>
      <c r="H105" s="1045" t="s">
        <v>525</v>
      </c>
      <c r="I105" s="1045" t="s">
        <v>526</v>
      </c>
      <c r="J105" s="1045" t="s">
        <v>527</v>
      </c>
      <c r="K105" s="1045" t="s">
        <v>171</v>
      </c>
      <c r="L105" s="1045" t="s">
        <v>172</v>
      </c>
      <c r="M105" s="1045" t="s">
        <v>173</v>
      </c>
      <c r="N105" s="1045" t="s">
        <v>528</v>
      </c>
      <c r="O105" s="1045" t="s">
        <v>529</v>
      </c>
      <c r="P105" s="1045" t="s">
        <v>530</v>
      </c>
      <c r="Q105" s="1045" t="s">
        <v>531</v>
      </c>
      <c r="R105" s="1045" t="s">
        <v>532</v>
      </c>
      <c r="S105" s="1046" t="s">
        <v>1070</v>
      </c>
      <c r="T105" s="1047" t="s">
        <v>1076</v>
      </c>
      <c r="U105" s="1024"/>
      <c r="V105" s="1048" t="s">
        <v>741</v>
      </c>
      <c r="W105" s="1049" t="s">
        <v>958</v>
      </c>
      <c r="X105" s="1049" t="s">
        <v>1077</v>
      </c>
      <c r="Y105" s="1050" t="s">
        <v>742</v>
      </c>
      <c r="Z105" s="1049" t="s">
        <v>959</v>
      </c>
      <c r="AA105" s="1049" t="s">
        <v>1077</v>
      </c>
      <c r="AB105" s="1051" t="s">
        <v>1078</v>
      </c>
      <c r="AC105" s="1049" t="s">
        <v>743</v>
      </c>
      <c r="AD105" s="1052"/>
      <c r="AE105" s="1052"/>
      <c r="AF105" s="1053"/>
      <c r="AG105" s="1053"/>
      <c r="AH105" s="1054"/>
    </row>
    <row r="106" spans="1:40" s="5" customFormat="1">
      <c r="A106" s="149"/>
      <c r="C106" s="1055" t="s">
        <v>1079</v>
      </c>
      <c r="G106" s="1070">
        <v>-3663624.05</v>
      </c>
      <c r="H106" s="1070">
        <v>-3690119.3999999994</v>
      </c>
      <c r="I106" s="1070">
        <v>-3740352.3999999994</v>
      </c>
      <c r="J106" s="1070">
        <v>-3706107.0399999991</v>
      </c>
      <c r="K106" s="1070">
        <v>-3838960.7599999993</v>
      </c>
      <c r="L106" s="1070">
        <v>-3600460.7599999993</v>
      </c>
      <c r="M106" s="1070">
        <v>-3554960.9299999992</v>
      </c>
      <c r="N106" s="1070">
        <v>-3517029.0199999991</v>
      </c>
      <c r="O106" s="1070">
        <v>-3694223.8599999989</v>
      </c>
      <c r="P106" s="1070">
        <v>-4265679.9299999988</v>
      </c>
      <c r="Q106" s="1070">
        <v>-4435679.8599999994</v>
      </c>
      <c r="R106" s="1070">
        <v>-4435679.8599999994</v>
      </c>
      <c r="S106" s="1070">
        <v>-4423351.99</v>
      </c>
      <c r="T106" s="1071">
        <f>SUM(G106:S106)/13</f>
        <v>-3889709.9892307688</v>
      </c>
      <c r="U106" s="1024"/>
      <c r="V106" s="1056">
        <f>+T106</f>
        <v>-3889709.9892307688</v>
      </c>
      <c r="W106" s="1057">
        <f>+'ATT H-1A'!$H$37</f>
        <v>0.37285862840743444</v>
      </c>
      <c r="X106" s="1058">
        <f>+V106*W106</f>
        <v>-1450311.9314872811</v>
      </c>
      <c r="Y106" s="1056"/>
      <c r="Z106" s="1057">
        <f>+'ATT H-1A'!$H$16</f>
        <v>0.13888944064369446</v>
      </c>
      <c r="AA106" s="1059">
        <f t="shared" ref="AA106:AA119" si="1">+Z106*Y106</f>
        <v>0</v>
      </c>
      <c r="AC106" s="1059">
        <f>X106+AA106+AB106</f>
        <v>-1450311.9314872811</v>
      </c>
      <c r="AF106" s="1012"/>
      <c r="AG106" s="1012"/>
      <c r="AH106" s="32"/>
    </row>
    <row r="107" spans="1:40" s="5" customFormat="1">
      <c r="A107" s="149"/>
      <c r="C107" s="1055" t="s">
        <v>1080</v>
      </c>
      <c r="G107" s="1070">
        <v>-627126.37000000011</v>
      </c>
      <c r="H107" s="1070">
        <v>-615631.02000000014</v>
      </c>
      <c r="I107" s="1070">
        <v>-480398.02000000014</v>
      </c>
      <c r="J107" s="1070">
        <v>-480398.02000000014</v>
      </c>
      <c r="K107" s="1070">
        <v>-447544.30000000016</v>
      </c>
      <c r="L107" s="1070">
        <v>-436044.30000000016</v>
      </c>
      <c r="M107" s="1070">
        <v>-427953.00000000017</v>
      </c>
      <c r="N107" s="1070">
        <v>-415884.91000000015</v>
      </c>
      <c r="O107" s="1070">
        <v>-408295.00000000017</v>
      </c>
      <c r="P107" s="1070">
        <v>-393295.00000000017</v>
      </c>
      <c r="Q107" s="1070">
        <v>-393295.00000000017</v>
      </c>
      <c r="R107" s="1070">
        <v>-393295.00000000017</v>
      </c>
      <c r="S107" s="1070">
        <v>-393295.00000000017</v>
      </c>
      <c r="T107" s="1072">
        <f>SUM(G107:S107)/13</f>
        <v>-454804.22615384625</v>
      </c>
      <c r="U107" s="1060"/>
      <c r="V107" s="1056"/>
      <c r="W107" s="1057">
        <f>+'ATT H-1A'!$H$37</f>
        <v>0.37285862840743444</v>
      </c>
      <c r="X107" s="1058">
        <f>+V107*W107</f>
        <v>0</v>
      </c>
      <c r="Y107" s="1056">
        <f>+T107</f>
        <v>-454804.22615384625</v>
      </c>
      <c r="Z107" s="1057">
        <f>+'ATT H-1A'!$H$16</f>
        <v>0.13888944064369446</v>
      </c>
      <c r="AA107" s="1059">
        <f t="shared" si="1"/>
        <v>-63167.504572896018</v>
      </c>
      <c r="AC107" s="1059">
        <f t="shared" ref="AC107:AC119" si="2">X107+AA107+AB107</f>
        <v>-63167.504572896018</v>
      </c>
      <c r="AF107" s="1012"/>
      <c r="AG107" s="1012"/>
      <c r="AH107" s="32"/>
    </row>
    <row r="108" spans="1:40" s="5" customFormat="1">
      <c r="A108" s="149"/>
      <c r="C108" s="1055" t="s">
        <v>1081</v>
      </c>
      <c r="D108" s="1055"/>
      <c r="G108" s="1070">
        <v>317563.83</v>
      </c>
      <c r="H108" s="1070">
        <v>340811.32</v>
      </c>
      <c r="I108" s="1070">
        <v>334092.02</v>
      </c>
      <c r="J108" s="1070">
        <v>333597.46000000002</v>
      </c>
      <c r="K108" s="1070">
        <v>332525.37</v>
      </c>
      <c r="L108" s="1070">
        <v>332030.81</v>
      </c>
      <c r="M108" s="1070">
        <v>331021.03999999998</v>
      </c>
      <c r="N108" s="1070">
        <v>329926.03999999998</v>
      </c>
      <c r="O108" s="1070">
        <v>329431.48</v>
      </c>
      <c r="P108" s="1070">
        <v>328344.07999999996</v>
      </c>
      <c r="Q108" s="1070">
        <v>324959.09999999998</v>
      </c>
      <c r="R108" s="1070">
        <v>323793.39999999997</v>
      </c>
      <c r="S108" s="1070">
        <v>323259.49</v>
      </c>
      <c r="T108" s="1072">
        <f t="shared" ref="T108:T123" si="3">SUM(G108:S108)/13</f>
        <v>329335.03384615388</v>
      </c>
      <c r="U108" s="1060"/>
      <c r="V108" s="1056"/>
      <c r="W108" s="1057">
        <f>+'ATT H-1A'!$H$37</f>
        <v>0.37285862840743444</v>
      </c>
      <c r="X108" s="1058">
        <f t="shared" ref="X108:X119" si="4">+V108*W108</f>
        <v>0</v>
      </c>
      <c r="Y108" s="1056">
        <f t="shared" ref="Y108:Y121" si="5">+T108</f>
        <v>329335.03384615388</v>
      </c>
      <c r="Z108" s="1057">
        <f>+'ATT H-1A'!$H$16</f>
        <v>0.13888944064369446</v>
      </c>
      <c r="AA108" s="1059">
        <f t="shared" si="1"/>
        <v>45741.158635264495</v>
      </c>
      <c r="AC108" s="1059">
        <f t="shared" si="2"/>
        <v>45741.158635264495</v>
      </c>
      <c r="AF108" s="1012"/>
      <c r="AG108" s="1012"/>
      <c r="AH108" s="32"/>
    </row>
    <row r="109" spans="1:40" s="5" customFormat="1">
      <c r="A109" s="149"/>
      <c r="C109" s="1055" t="s">
        <v>1082</v>
      </c>
      <c r="D109" s="1055"/>
      <c r="G109" s="1070">
        <v>1083710.26</v>
      </c>
      <c r="H109" s="1070">
        <v>1059744.07</v>
      </c>
      <c r="I109" s="1070">
        <v>1044236.1100000001</v>
      </c>
      <c r="J109" s="1070">
        <v>1043094.6700000002</v>
      </c>
      <c r="K109" s="1070">
        <v>1040620.3200000002</v>
      </c>
      <c r="L109" s="1070">
        <v>1039478.8800000002</v>
      </c>
      <c r="M109" s="1070">
        <v>1037148.3500000002</v>
      </c>
      <c r="N109" s="1070">
        <v>1034621.1300000002</v>
      </c>
      <c r="O109" s="1070">
        <v>885095.69000000029</v>
      </c>
      <c r="P109" s="1070">
        <v>882586.01000000024</v>
      </c>
      <c r="Q109" s="1070">
        <v>874773.5700000003</v>
      </c>
      <c r="R109" s="1070">
        <v>872083.17000000027</v>
      </c>
      <c r="S109" s="1070">
        <v>870850.92000000027</v>
      </c>
      <c r="T109" s="1072">
        <f t="shared" si="3"/>
        <v>982157.16538461542</v>
      </c>
      <c r="U109" s="1060"/>
      <c r="V109" s="1056"/>
      <c r="W109" s="1057">
        <f>+'ATT H-1A'!$H$37</f>
        <v>0.37285862840743444</v>
      </c>
      <c r="X109" s="1058">
        <f t="shared" si="4"/>
        <v>0</v>
      </c>
      <c r="Y109" s="1056">
        <f t="shared" si="5"/>
        <v>982157.16538461542</v>
      </c>
      <c r="Z109" s="1057">
        <f>+'ATT H-1A'!$H$16</f>
        <v>0.13888944064369446</v>
      </c>
      <c r="AA109" s="1059">
        <f t="shared" si="1"/>
        <v>136411.25932446576</v>
      </c>
      <c r="AC109" s="1059">
        <f t="shared" si="2"/>
        <v>136411.25932446576</v>
      </c>
      <c r="AF109" s="1012"/>
      <c r="AG109" s="1012"/>
      <c r="AH109" s="32"/>
    </row>
    <row r="110" spans="1:40" s="5" customFormat="1">
      <c r="A110" s="149"/>
      <c r="C110" s="1055" t="s">
        <v>1510</v>
      </c>
      <c r="D110" s="1055"/>
      <c r="G110" s="1070">
        <v>-17158184.370000001</v>
      </c>
      <c r="H110" s="1070">
        <v>-17067322.949999999</v>
      </c>
      <c r="I110" s="1070">
        <v>-16976461.529999997</v>
      </c>
      <c r="J110" s="1070">
        <v>-16887048.109999996</v>
      </c>
      <c r="K110" s="1070">
        <v>-16796669.359999996</v>
      </c>
      <c r="L110" s="1070">
        <v>-16706290.609999996</v>
      </c>
      <c r="M110" s="1070">
        <v>-16615911.859999996</v>
      </c>
      <c r="N110" s="1070">
        <v>-16525533.109999996</v>
      </c>
      <c r="O110" s="1070">
        <v>-16435154.359999996</v>
      </c>
      <c r="P110" s="1070">
        <v>-16344775.609999996</v>
      </c>
      <c r="Q110" s="1070">
        <v>-16254396.859999996</v>
      </c>
      <c r="R110" s="1070">
        <v>-16955079.539999995</v>
      </c>
      <c r="S110" s="1070">
        <v>-16864700.789999995</v>
      </c>
      <c r="T110" s="1072">
        <f t="shared" si="3"/>
        <v>-16737502.23538461</v>
      </c>
      <c r="U110" s="1060"/>
      <c r="V110" s="1056"/>
      <c r="W110" s="1057">
        <f>+'ATT H-1A'!$H$37</f>
        <v>0.37285862840743444</v>
      </c>
      <c r="X110" s="1058"/>
      <c r="Y110" s="1056">
        <f t="shared" si="5"/>
        <v>-16737502.23538461</v>
      </c>
      <c r="Z110" s="1057">
        <f>+'ATT H-1A'!$H$16</f>
        <v>0.13888944064369446</v>
      </c>
      <c r="AA110" s="1059">
        <f t="shared" si="1"/>
        <v>-2324662.3232451542</v>
      </c>
      <c r="AC110" s="1059">
        <f t="shared" si="2"/>
        <v>-2324662.3232451542</v>
      </c>
      <c r="AF110" s="1012"/>
      <c r="AG110" s="1012"/>
      <c r="AH110" s="32"/>
    </row>
    <row r="111" spans="1:40" s="5" customFormat="1">
      <c r="A111" s="149"/>
      <c r="C111" s="1055" t="s">
        <v>1083</v>
      </c>
      <c r="D111" s="1055"/>
      <c r="G111" s="1070">
        <v>-242513.68</v>
      </c>
      <c r="H111" s="1070">
        <v>-242513.68</v>
      </c>
      <c r="I111" s="1070">
        <v>-242513.68</v>
      </c>
      <c r="J111" s="1070">
        <v>-242513.68</v>
      </c>
      <c r="K111" s="1070">
        <v>-242513.68</v>
      </c>
      <c r="L111" s="1070">
        <v>-242513.68</v>
      </c>
      <c r="M111" s="1070">
        <v>-242513.68</v>
      </c>
      <c r="N111" s="1070">
        <v>-242513.68</v>
      </c>
      <c r="O111" s="1070">
        <v>-242513.68</v>
      </c>
      <c r="P111" s="1070">
        <v>-242513.68</v>
      </c>
      <c r="Q111" s="1070">
        <v>-242513.68</v>
      </c>
      <c r="R111" s="1070">
        <v>-242513.68</v>
      </c>
      <c r="S111" s="1070">
        <v>-242513.68</v>
      </c>
      <c r="T111" s="1072">
        <f t="shared" si="3"/>
        <v>-242513.68000000002</v>
      </c>
      <c r="U111" s="1060"/>
      <c r="V111" s="1056"/>
      <c r="W111" s="1057">
        <f>+'ATT H-1A'!$H$37</f>
        <v>0.37285862840743444</v>
      </c>
      <c r="X111" s="1058"/>
      <c r="Y111" s="1056">
        <f t="shared" si="5"/>
        <v>-242513.68000000002</v>
      </c>
      <c r="Z111" s="1057">
        <f>+'ATT H-1A'!$H$16</f>
        <v>0.13888944064369446</v>
      </c>
      <c r="AA111" s="1059">
        <f t="shared" si="1"/>
        <v>-33682.589363643914</v>
      </c>
      <c r="AC111" s="1059">
        <f t="shared" si="2"/>
        <v>-33682.589363643914</v>
      </c>
      <c r="AF111" s="1012"/>
      <c r="AG111" s="1012"/>
      <c r="AH111" s="32"/>
    </row>
    <row r="112" spans="1:40" s="5" customFormat="1">
      <c r="A112" s="149"/>
      <c r="C112" s="1055" t="s">
        <v>1089</v>
      </c>
      <c r="D112" s="1055"/>
      <c r="G112" s="1070">
        <v>-21183.410000000003</v>
      </c>
      <c r="H112" s="1070">
        <v>0</v>
      </c>
      <c r="I112" s="1070">
        <v>0</v>
      </c>
      <c r="J112" s="1070">
        <v>0</v>
      </c>
      <c r="K112" s="1070">
        <v>0</v>
      </c>
      <c r="L112" s="1070">
        <v>0</v>
      </c>
      <c r="M112" s="1070">
        <v>0</v>
      </c>
      <c r="N112" s="1070">
        <v>0</v>
      </c>
      <c r="O112" s="1070">
        <v>0</v>
      </c>
      <c r="P112" s="1070">
        <v>0</v>
      </c>
      <c r="Q112" s="1070">
        <v>0</v>
      </c>
      <c r="R112" s="1070">
        <v>0</v>
      </c>
      <c r="S112" s="1070">
        <v>0</v>
      </c>
      <c r="T112" s="1072">
        <f t="shared" si="3"/>
        <v>-1629.4930769230773</v>
      </c>
      <c r="U112" s="1060"/>
      <c r="V112" s="1056"/>
      <c r="W112" s="1057">
        <f>+'ATT H-1A'!$H$37</f>
        <v>0.37285862840743444</v>
      </c>
      <c r="X112" s="1058">
        <f t="shared" si="4"/>
        <v>0</v>
      </c>
      <c r="Y112" s="1056">
        <f t="shared" si="5"/>
        <v>-1629.4930769230773</v>
      </c>
      <c r="Z112" s="1057">
        <f>+'ATT H-1A'!$H$16</f>
        <v>0.13888944064369446</v>
      </c>
      <c r="AA112" s="1059">
        <f t="shared" si="1"/>
        <v>-226.31938198661879</v>
      </c>
      <c r="AC112" s="1059">
        <f t="shared" si="2"/>
        <v>-226.31938198661879</v>
      </c>
      <c r="AF112" s="1012"/>
      <c r="AG112" s="1012"/>
      <c r="AH112" s="32"/>
    </row>
    <row r="113" spans="1:34" s="5" customFormat="1">
      <c r="A113" s="149"/>
      <c r="C113" s="1055" t="s">
        <v>1093</v>
      </c>
      <c r="D113" s="1055"/>
      <c r="G113" s="1070">
        <v>-6752553.1600000001</v>
      </c>
      <c r="H113" s="1070">
        <v>-6475434.0300000003</v>
      </c>
      <c r="I113" s="1070">
        <v>-6395638.7700000005</v>
      </c>
      <c r="J113" s="1070">
        <v>-6368452.2000000002</v>
      </c>
      <c r="K113" s="1070">
        <v>-6415254.6100000003</v>
      </c>
      <c r="L113" s="1070">
        <v>-6378468.3799999999</v>
      </c>
      <c r="M113" s="1070">
        <v>-6623510.3899999997</v>
      </c>
      <c r="N113" s="1070">
        <v>-6603100.5699999994</v>
      </c>
      <c r="O113" s="1070">
        <v>-6211299.1299999999</v>
      </c>
      <c r="P113" s="1070">
        <v>-6220669.9299999997</v>
      </c>
      <c r="Q113" s="1070">
        <v>-6211613.0899999999</v>
      </c>
      <c r="R113" s="1070">
        <v>-6115442.1200000001</v>
      </c>
      <c r="S113" s="1070">
        <v>-6092450.8200000003</v>
      </c>
      <c r="T113" s="1072">
        <f t="shared" si="3"/>
        <v>-6374145.1692307703</v>
      </c>
      <c r="U113" s="1060"/>
      <c r="V113" s="1056"/>
      <c r="W113" s="1057">
        <f>+'ATT H-1A'!$H$37</f>
        <v>0.37285862840743444</v>
      </c>
      <c r="X113" s="1058">
        <f t="shared" si="4"/>
        <v>0</v>
      </c>
      <c r="Y113" s="1056">
        <f t="shared" si="5"/>
        <v>-6374145.1692307703</v>
      </c>
      <c r="Z113" s="1057">
        <f>+'ATT H-1A'!$H$16</f>
        <v>0.13888944064369446</v>
      </c>
      <c r="AA113" s="1059">
        <f t="shared" si="1"/>
        <v>-885301.45713616884</v>
      </c>
      <c r="AC113" s="1059">
        <f t="shared" si="2"/>
        <v>-885301.45713616884</v>
      </c>
      <c r="AF113" s="1012"/>
      <c r="AG113" s="1012"/>
      <c r="AH113" s="32"/>
    </row>
    <row r="114" spans="1:34" s="5" customFormat="1">
      <c r="A114" s="149"/>
      <c r="C114" s="1055" t="s">
        <v>1094</v>
      </c>
      <c r="D114" s="1055"/>
      <c r="G114" s="1070">
        <v>-972120.84000000008</v>
      </c>
      <c r="H114" s="1070">
        <v>-1041443.7500000001</v>
      </c>
      <c r="I114" s="1070">
        <v>-1006870.0100000001</v>
      </c>
      <c r="J114" s="1070">
        <v>-995090.58000000007</v>
      </c>
      <c r="K114" s="1070">
        <v>-1015369.17</v>
      </c>
      <c r="L114" s="1070">
        <v>-999430.4</v>
      </c>
      <c r="M114" s="1070">
        <v>-1105602.3900000001</v>
      </c>
      <c r="N114" s="1070">
        <v>-1096759.2100000002</v>
      </c>
      <c r="O114" s="1070">
        <v>-1106661.6500000001</v>
      </c>
      <c r="P114" s="1070">
        <v>-1110721.8500000001</v>
      </c>
      <c r="Q114" s="1070">
        <v>-1106797.6900000002</v>
      </c>
      <c r="R114" s="1070">
        <v>-1065128.6600000001</v>
      </c>
      <c r="S114" s="1070">
        <v>-1055166.9600000002</v>
      </c>
      <c r="T114" s="1072">
        <f t="shared" si="3"/>
        <v>-1052089.4738461538</v>
      </c>
      <c r="U114" s="1060"/>
      <c r="V114" s="1056"/>
      <c r="W114" s="1057">
        <f>+'ATT H-1A'!$H$37</f>
        <v>0.37285862840743444</v>
      </c>
      <c r="X114" s="1058">
        <f t="shared" si="4"/>
        <v>0</v>
      </c>
      <c r="Y114" s="1056">
        <f t="shared" si="5"/>
        <v>-1052089.4738461538</v>
      </c>
      <c r="Z114" s="1057">
        <f>+'ATT H-1A'!$H$16</f>
        <v>0.13888944064369446</v>
      </c>
      <c r="AA114" s="1059">
        <f t="shared" si="1"/>
        <v>-146124.11852961112</v>
      </c>
      <c r="AC114" s="1059">
        <f t="shared" si="2"/>
        <v>-146124.11852961112</v>
      </c>
      <c r="AF114" s="1012"/>
      <c r="AG114" s="1012"/>
      <c r="AH114" s="32"/>
    </row>
    <row r="115" spans="1:34" s="5" customFormat="1">
      <c r="A115" s="149"/>
      <c r="C115" s="1055" t="s">
        <v>1084</v>
      </c>
      <c r="D115" s="1055"/>
      <c r="G115" s="1070">
        <v>-355308.39999999997</v>
      </c>
      <c r="H115" s="1070">
        <v>-370108.76999999984</v>
      </c>
      <c r="I115" s="1070">
        <v>-393665.48999999987</v>
      </c>
      <c r="J115" s="1070">
        <v>-408018.84999999986</v>
      </c>
      <c r="K115" s="1070">
        <v>-273054.81999999989</v>
      </c>
      <c r="L115" s="1070">
        <v>-283707.46999999991</v>
      </c>
      <c r="M115" s="1070">
        <v>-297923.83999999991</v>
      </c>
      <c r="N115" s="1070">
        <v>-347309.08999999997</v>
      </c>
      <c r="O115" s="1070">
        <v>-353925.51</v>
      </c>
      <c r="P115" s="1070">
        <v>-358728.86</v>
      </c>
      <c r="Q115" s="1070">
        <v>-371660.67999999993</v>
      </c>
      <c r="R115" s="1070">
        <v>-379453.33999999997</v>
      </c>
      <c r="S115" s="1070">
        <v>-410658.78999999992</v>
      </c>
      <c r="T115" s="1072">
        <f t="shared" si="3"/>
        <v>-354117.22384615376</v>
      </c>
      <c r="U115" s="1060"/>
      <c r="V115" s="1056"/>
      <c r="W115" s="1057">
        <f>+'ATT H-1A'!$H$37</f>
        <v>0.37285862840743444</v>
      </c>
      <c r="X115" s="1058">
        <f t="shared" si="4"/>
        <v>0</v>
      </c>
      <c r="Y115" s="1056">
        <f t="shared" si="5"/>
        <v>-354117.22384615376</v>
      </c>
      <c r="Z115" s="1057">
        <f>+'ATT H-1A'!$H$16</f>
        <v>0.13888944064369446</v>
      </c>
      <c r="AA115" s="1059">
        <f t="shared" si="1"/>
        <v>-49183.143142290239</v>
      </c>
      <c r="AC115" s="1059">
        <f t="shared" si="2"/>
        <v>-49183.143142290239</v>
      </c>
      <c r="AF115" s="1012"/>
      <c r="AG115" s="1012"/>
      <c r="AH115" s="32"/>
    </row>
    <row r="116" spans="1:34" s="5" customFormat="1">
      <c r="A116" s="149"/>
      <c r="C116" s="1055" t="s">
        <v>1260</v>
      </c>
      <c r="D116" s="1055"/>
      <c r="G116" s="1070">
        <v>-474011.53</v>
      </c>
      <c r="H116" s="1070">
        <v>-439474.28</v>
      </c>
      <c r="I116" s="1070">
        <v>-390908.77</v>
      </c>
      <c r="J116" s="1070">
        <v>-357767.01</v>
      </c>
      <c r="K116" s="1070">
        <v>-318092.24</v>
      </c>
      <c r="L116" s="1070">
        <v>-278346.82</v>
      </c>
      <c r="M116" s="1070">
        <v>-238601.41</v>
      </c>
      <c r="N116" s="1070">
        <v>-198849.36</v>
      </c>
      <c r="O116" s="1070">
        <v>-161064.44</v>
      </c>
      <c r="P116" s="1070">
        <v>-123009.01</v>
      </c>
      <c r="Q116" s="1070">
        <v>-85072.82</v>
      </c>
      <c r="R116" s="1070">
        <v>-47798.12</v>
      </c>
      <c r="S116" s="1070">
        <v>-10328.410000000003</v>
      </c>
      <c r="T116" s="1072">
        <f t="shared" si="3"/>
        <v>-240255.70923076922</v>
      </c>
      <c r="U116" s="1060"/>
      <c r="V116" s="1056"/>
      <c r="W116" s="1057">
        <f>+'ATT H-1A'!$H$37</f>
        <v>0.37285862840743444</v>
      </c>
      <c r="X116" s="1058">
        <f t="shared" si="4"/>
        <v>0</v>
      </c>
      <c r="Y116" s="1056">
        <f t="shared" si="5"/>
        <v>-240255.70923076922</v>
      </c>
      <c r="Z116" s="1057">
        <f>+'ATT H-1A'!$H$16</f>
        <v>0.13888944064369446</v>
      </c>
      <c r="AA116" s="1059">
        <f t="shared" si="1"/>
        <v>-33368.98106651564</v>
      </c>
      <c r="AC116" s="1059">
        <f t="shared" si="2"/>
        <v>-33368.98106651564</v>
      </c>
      <c r="AF116" s="1012"/>
      <c r="AG116" s="1012"/>
      <c r="AH116" s="32"/>
    </row>
    <row r="117" spans="1:34" s="5" customFormat="1">
      <c r="A117" s="149"/>
      <c r="C117" s="1055" t="s">
        <v>1085</v>
      </c>
      <c r="D117" s="1055"/>
      <c r="G117" s="1070">
        <v>-6944680.4799999986</v>
      </c>
      <c r="H117" s="1070">
        <v>-7401707.6999999983</v>
      </c>
      <c r="I117" s="1070">
        <v>-931152.65</v>
      </c>
      <c r="J117" s="1070">
        <v>-1324842.5999999999</v>
      </c>
      <c r="K117" s="1070">
        <v>-1753899.72</v>
      </c>
      <c r="L117" s="1070">
        <v>-2153572.91</v>
      </c>
      <c r="M117" s="1070">
        <v>-3510491.9000000004</v>
      </c>
      <c r="N117" s="1070">
        <v>-4074613.14</v>
      </c>
      <c r="O117" s="1070">
        <v>-4592845.2700000005</v>
      </c>
      <c r="P117" s="1070">
        <v>-4956443.57</v>
      </c>
      <c r="Q117" s="1070">
        <v>-5479190.2599999998</v>
      </c>
      <c r="R117" s="1070">
        <v>-6275508.3200000003</v>
      </c>
      <c r="S117" s="1070">
        <v>-8316357.9900000012</v>
      </c>
      <c r="T117" s="1072">
        <f t="shared" si="3"/>
        <v>-4439638.9623076925</v>
      </c>
      <c r="U117" s="1060"/>
      <c r="V117" s="1056"/>
      <c r="W117" s="1057">
        <f>+'ATT H-1A'!$H$37</f>
        <v>0.37285862840743444</v>
      </c>
      <c r="X117" s="1058">
        <f t="shared" si="4"/>
        <v>0</v>
      </c>
      <c r="Y117" s="1056">
        <f t="shared" si="5"/>
        <v>-4439638.9623076925</v>
      </c>
      <c r="Z117" s="1057">
        <f>+'ATT H-1A'!$H$16</f>
        <v>0.13888944064369446</v>
      </c>
      <c r="AA117" s="1059">
        <f t="shared" si="1"/>
        <v>-616618.97213486757</v>
      </c>
      <c r="AC117" s="1059">
        <f t="shared" si="2"/>
        <v>-616618.97213486757</v>
      </c>
      <c r="AF117" s="1012"/>
      <c r="AG117" s="1012"/>
      <c r="AH117" s="32"/>
    </row>
    <row r="118" spans="1:34" s="5" customFormat="1">
      <c r="A118" s="149"/>
      <c r="C118" s="1055" t="s">
        <v>1086</v>
      </c>
      <c r="D118" s="1055"/>
      <c r="G118" s="1070">
        <v>-2717454.9299999997</v>
      </c>
      <c r="H118" s="1070">
        <v>-2602066.34</v>
      </c>
      <c r="I118" s="1070">
        <v>-2595782.1799999997</v>
      </c>
      <c r="J118" s="1070">
        <v>-2395380.7099999995</v>
      </c>
      <c r="K118" s="1070">
        <v>-2440043.7899999996</v>
      </c>
      <c r="L118" s="1070">
        <v>-2305997.9399999995</v>
      </c>
      <c r="M118" s="1070">
        <v>-4110826.0899999994</v>
      </c>
      <c r="N118" s="1070">
        <v>-2673759.54</v>
      </c>
      <c r="O118" s="1070">
        <v>-2730138.62</v>
      </c>
      <c r="P118" s="1070">
        <v>-2679169.4</v>
      </c>
      <c r="Q118" s="1070">
        <v>-2645582.16</v>
      </c>
      <c r="R118" s="1070">
        <v>-2790319.89</v>
      </c>
      <c r="S118" s="1070">
        <v>-3362680.67</v>
      </c>
      <c r="T118" s="1072">
        <f t="shared" si="3"/>
        <v>-2773015.5584615385</v>
      </c>
      <c r="U118" s="1060"/>
      <c r="V118" s="1056"/>
      <c r="W118" s="1057">
        <f>+'ATT H-1A'!$H$37</f>
        <v>0.37285862840743444</v>
      </c>
      <c r="X118" s="1058">
        <f t="shared" si="4"/>
        <v>0</v>
      </c>
      <c r="Y118" s="1056">
        <f t="shared" si="5"/>
        <v>-2773015.5584615385</v>
      </c>
      <c r="Z118" s="1057">
        <f>+'ATT H-1A'!$H$16</f>
        <v>0.13888944064369446</v>
      </c>
      <c r="AA118" s="1059">
        <f t="shared" si="1"/>
        <v>-385142.57981098513</v>
      </c>
      <c r="AC118" s="1059">
        <f t="shared" si="2"/>
        <v>-385142.57981098513</v>
      </c>
      <c r="AF118" s="1012"/>
      <c r="AG118" s="1012"/>
      <c r="AH118" s="32"/>
    </row>
    <row r="119" spans="1:34" s="5" customFormat="1">
      <c r="A119" s="149"/>
      <c r="C119" s="1055" t="s">
        <v>1088</v>
      </c>
      <c r="D119" s="1055"/>
      <c r="G119" s="1070">
        <v>-162942.44</v>
      </c>
      <c r="H119" s="1070">
        <v>-162942.44</v>
      </c>
      <c r="I119" s="1070">
        <v>-162942.44</v>
      </c>
      <c r="J119" s="1070">
        <v>-162942.44</v>
      </c>
      <c r="K119" s="1070">
        <v>-162942.44</v>
      </c>
      <c r="L119" s="1070">
        <v>-162942.44</v>
      </c>
      <c r="M119" s="1070">
        <v>-162942.44</v>
      </c>
      <c r="N119" s="1070">
        <v>-162942.44</v>
      </c>
      <c r="O119" s="1070">
        <v>-162942.44</v>
      </c>
      <c r="P119" s="1070">
        <v>-162942.44</v>
      </c>
      <c r="Q119" s="1070">
        <v>-162942.44</v>
      </c>
      <c r="R119" s="1070">
        <v>-162942.44</v>
      </c>
      <c r="S119" s="1070">
        <v>-162942.44</v>
      </c>
      <c r="T119" s="1072">
        <f t="shared" si="3"/>
        <v>-162942.43999999997</v>
      </c>
      <c r="U119" s="1060"/>
      <c r="V119" s="1056"/>
      <c r="W119" s="1057">
        <f>+'ATT H-1A'!$H$37</f>
        <v>0.37285862840743444</v>
      </c>
      <c r="X119" s="1058">
        <f t="shared" si="4"/>
        <v>0</v>
      </c>
      <c r="Y119" s="1056">
        <f t="shared" si="5"/>
        <v>-162942.43999999997</v>
      </c>
      <c r="Z119" s="1057">
        <f>+'ATT H-1A'!$H$16</f>
        <v>0.13888944064369446</v>
      </c>
      <c r="AA119" s="1059">
        <f t="shared" si="1"/>
        <v>-22630.984348718743</v>
      </c>
      <c r="AC119" s="1059">
        <f t="shared" si="2"/>
        <v>-22630.984348718743</v>
      </c>
      <c r="AF119" s="1012"/>
      <c r="AG119" s="1012"/>
      <c r="AH119" s="32"/>
    </row>
    <row r="120" spans="1:34" s="5" customFormat="1">
      <c r="A120" s="149"/>
      <c r="C120" s="1055" t="s">
        <v>1259</v>
      </c>
      <c r="D120" s="1055"/>
      <c r="G120" s="1070">
        <v>-81888.94</v>
      </c>
      <c r="H120" s="1070">
        <v>-58277.83</v>
      </c>
      <c r="I120" s="1070">
        <v>-59666.720000000001</v>
      </c>
      <c r="J120" s="1070">
        <v>-51055.61</v>
      </c>
      <c r="K120" s="1070">
        <v>-52444.5</v>
      </c>
      <c r="L120" s="1070">
        <v>-53833.39</v>
      </c>
      <c r="M120" s="1070">
        <v>-55222.28</v>
      </c>
      <c r="N120" s="1070">
        <v>-56611.17</v>
      </c>
      <c r="O120" s="1070">
        <v>-58000.06</v>
      </c>
      <c r="P120" s="1070">
        <v>-8000.0599999999977</v>
      </c>
      <c r="Q120" s="1070">
        <v>-8000.0599999999977</v>
      </c>
      <c r="R120" s="1070">
        <v>-8000.0599999999977</v>
      </c>
      <c r="S120" s="1070">
        <v>-8000.0599999999977</v>
      </c>
      <c r="T120" s="1072">
        <f t="shared" si="3"/>
        <v>-43000.05692307694</v>
      </c>
      <c r="U120" s="1060"/>
      <c r="V120" s="1056"/>
      <c r="W120" s="1057">
        <f>+'ATT H-1A'!$H$37</f>
        <v>0.37285862840743444</v>
      </c>
      <c r="X120" s="1058">
        <f t="shared" ref="X120:X121" si="6">+V120*W120</f>
        <v>0</v>
      </c>
      <c r="Y120" s="1056">
        <f t="shared" si="5"/>
        <v>-43000.05692307694</v>
      </c>
      <c r="Z120" s="1057">
        <f>+'ATT H-1A'!$H$16</f>
        <v>0.13888944064369446</v>
      </c>
      <c r="AA120" s="1059">
        <f t="shared" ref="AA120:AA121" si="7">+Z120*Y120</f>
        <v>-5972.2538536931779</v>
      </c>
      <c r="AC120" s="1059">
        <f t="shared" ref="AC120:AC121" si="8">X120+AA120+AB120</f>
        <v>-5972.2538536931779</v>
      </c>
      <c r="AF120" s="1012"/>
      <c r="AG120" s="1012"/>
      <c r="AH120" s="32"/>
    </row>
    <row r="121" spans="1:34" s="5" customFormat="1">
      <c r="A121" s="149"/>
      <c r="C121" s="1055" t="s">
        <v>1791</v>
      </c>
      <c r="D121" s="1055"/>
      <c r="G121" s="1070">
        <v>-38894.839999999997</v>
      </c>
      <c r="H121" s="1070">
        <v>-38583.919999999998</v>
      </c>
      <c r="I121" s="1070">
        <v>-37402.639999999999</v>
      </c>
      <c r="J121" s="1070">
        <v>-34535.159999999996</v>
      </c>
      <c r="K121" s="1070">
        <v>-36666.78</v>
      </c>
      <c r="L121" s="1070">
        <v>-37653.549999999996</v>
      </c>
      <c r="M121" s="1070">
        <v>-41873.39</v>
      </c>
      <c r="N121" s="1070">
        <v>-44862.53</v>
      </c>
      <c r="O121" s="1070">
        <v>-49775.83</v>
      </c>
      <c r="P121" s="1070">
        <v>-52369.25</v>
      </c>
      <c r="Q121" s="1070">
        <v>-56277.98</v>
      </c>
      <c r="R121" s="1070">
        <v>-64485.23</v>
      </c>
      <c r="S121" s="1070">
        <v>-71553.17</v>
      </c>
      <c r="T121" s="1072">
        <f t="shared" si="3"/>
        <v>-46533.405384615384</v>
      </c>
      <c r="U121" s="1060"/>
      <c r="V121" s="1056"/>
      <c r="W121" s="1057">
        <f>+'ATT H-1A'!$H$37</f>
        <v>0.37285862840743444</v>
      </c>
      <c r="X121" s="1058">
        <f t="shared" si="6"/>
        <v>0</v>
      </c>
      <c r="Y121" s="1056">
        <f t="shared" si="5"/>
        <v>-46533.405384615384</v>
      </c>
      <c r="Z121" s="1057">
        <f>+'ATT H-1A'!$H$16</f>
        <v>0.13888944064369446</v>
      </c>
      <c r="AA121" s="1059">
        <f t="shared" si="7"/>
        <v>-6462.998645115511</v>
      </c>
      <c r="AC121" s="1059">
        <f t="shared" si="8"/>
        <v>-6462.998645115511</v>
      </c>
      <c r="AF121" s="1012"/>
      <c r="AG121" s="1012"/>
      <c r="AH121" s="32"/>
    </row>
    <row r="122" spans="1:34" s="5" customFormat="1">
      <c r="A122" s="149"/>
      <c r="C122" s="1055"/>
      <c r="G122" s="1062"/>
      <c r="H122" s="1062"/>
      <c r="I122" s="1062"/>
      <c r="J122" s="1062"/>
      <c r="K122" s="1062"/>
      <c r="L122" s="1062"/>
      <c r="M122" s="1062"/>
      <c r="N122" s="1062"/>
      <c r="O122" s="1062"/>
      <c r="P122" s="1062"/>
      <c r="Q122" s="1062"/>
      <c r="R122" s="1062"/>
      <c r="S122" s="1062"/>
      <c r="T122" s="1073"/>
      <c r="U122" s="1060"/>
      <c r="V122" s="1056"/>
      <c r="W122" s="1061"/>
      <c r="X122" s="1058"/>
      <c r="Y122" s="1056"/>
      <c r="Z122" s="1057"/>
      <c r="AA122" s="1059"/>
      <c r="AC122" s="1059"/>
      <c r="AF122" s="1012"/>
      <c r="AG122" s="1012"/>
      <c r="AH122" s="32"/>
    </row>
    <row r="123" spans="1:34" s="5" customFormat="1" ht="15" thickBot="1">
      <c r="A123" s="149"/>
      <c r="C123" s="655" t="s">
        <v>1090</v>
      </c>
      <c r="G123" s="1063">
        <f t="shared" ref="G123:S123" si="9">SUM(G106:G122)</f>
        <v>-38811213.350000001</v>
      </c>
      <c r="H123" s="1063">
        <f t="shared" si="9"/>
        <v>-38805070.719999999</v>
      </c>
      <c r="I123" s="1063">
        <f t="shared" si="9"/>
        <v>-32035427.169999994</v>
      </c>
      <c r="J123" s="1063">
        <f t="shared" si="9"/>
        <v>-32037459.879999999</v>
      </c>
      <c r="K123" s="1063">
        <f t="shared" si="9"/>
        <v>-32420310.479999997</v>
      </c>
      <c r="L123" s="1063">
        <f t="shared" si="9"/>
        <v>-32267752.959999993</v>
      </c>
      <c r="M123" s="1063">
        <f t="shared" si="9"/>
        <v>-35620164.209999993</v>
      </c>
      <c r="N123" s="1063">
        <f t="shared" si="9"/>
        <v>-34595220.599999994</v>
      </c>
      <c r="O123" s="1063">
        <f t="shared" si="9"/>
        <v>-34992312.679999992</v>
      </c>
      <c r="P123" s="1063">
        <f t="shared" si="9"/>
        <v>-35707388.5</v>
      </c>
      <c r="Q123" s="1063">
        <f t="shared" si="9"/>
        <v>-36253289.909999989</v>
      </c>
      <c r="R123" s="1063">
        <f t="shared" si="9"/>
        <v>-37739769.68999999</v>
      </c>
      <c r="S123" s="1063">
        <f t="shared" si="9"/>
        <v>-40219890.359999999</v>
      </c>
      <c r="T123" s="1074">
        <f t="shared" si="3"/>
        <v>-35500405.423846141</v>
      </c>
      <c r="U123" s="1060"/>
      <c r="V123" s="1064">
        <f>SUM(V106:V122)</f>
        <v>-3889709.9892307688</v>
      </c>
      <c r="W123" s="815"/>
      <c r="X123" s="1064">
        <f>SUM(X106:X122)</f>
        <v>-1450311.9314872811</v>
      </c>
      <c r="Y123" s="1064">
        <f>SUM(Y106:Y122)</f>
        <v>-31610695.434615377</v>
      </c>
      <c r="Z123" s="1065"/>
      <c r="AA123" s="1064">
        <f>SUM(AA106:AA122)</f>
        <v>-4390391.8072719183</v>
      </c>
      <c r="AB123" s="1064">
        <f>SUM(AB106:AB122)</f>
        <v>0</v>
      </c>
      <c r="AC123" s="1064">
        <f>SUM(AC106:AC122)</f>
        <v>-5840703.7387591992</v>
      </c>
      <c r="AD123" s="1055" t="s">
        <v>1764</v>
      </c>
      <c r="AF123" s="1012"/>
      <c r="AG123" s="1012"/>
      <c r="AH123" s="32"/>
    </row>
    <row r="124" spans="1:34" s="5" customFormat="1" ht="15" thickTop="1">
      <c r="A124" s="149"/>
      <c r="C124" s="655"/>
      <c r="G124" s="1066"/>
      <c r="H124" s="1066"/>
      <c r="I124" s="1066"/>
      <c r="J124" s="1066"/>
      <c r="K124" s="1066"/>
      <c r="L124" s="1066"/>
      <c r="M124" s="1066"/>
      <c r="N124" s="1066"/>
      <c r="O124" s="1066"/>
      <c r="P124" s="1066"/>
      <c r="Q124" s="1066"/>
      <c r="R124" s="1066"/>
      <c r="S124" s="1066"/>
      <c r="T124" s="1067"/>
      <c r="U124" s="1068"/>
      <c r="V124" s="1067"/>
      <c r="W124" s="815"/>
      <c r="X124" s="1067"/>
      <c r="Y124" s="1067"/>
      <c r="Z124" s="1065"/>
      <c r="AA124" s="1067"/>
      <c r="AB124" s="1067"/>
      <c r="AC124" s="1067"/>
      <c r="AD124" s="1055"/>
      <c r="AF124" s="1012"/>
      <c r="AG124" s="1012"/>
      <c r="AH124" s="32"/>
    </row>
    <row r="125" spans="1:34" s="5" customFormat="1" ht="15" customHeight="1">
      <c r="A125" s="149"/>
      <c r="C125" s="1833" t="s">
        <v>1091</v>
      </c>
      <c r="D125" s="1833"/>
      <c r="E125" s="1833"/>
      <c r="F125" s="1833"/>
      <c r="G125" s="1833"/>
      <c r="H125" s="1833"/>
      <c r="I125" s="1833"/>
      <c r="J125" s="1833"/>
      <c r="K125" s="1833"/>
      <c r="L125" s="1833"/>
      <c r="M125" s="1833"/>
      <c r="N125" s="1833"/>
      <c r="O125" s="1833"/>
      <c r="P125" s="1833"/>
      <c r="Q125" s="1833"/>
      <c r="R125" s="1833"/>
      <c r="S125" s="1833"/>
      <c r="T125" s="1833"/>
      <c r="U125" s="1068"/>
      <c r="V125" s="1149"/>
      <c r="W125" s="815"/>
      <c r="X125" s="1067"/>
      <c r="Y125" s="1067"/>
      <c r="Z125" s="1065"/>
      <c r="AA125" s="1067"/>
      <c r="AB125" s="1067"/>
      <c r="AC125" s="1067"/>
      <c r="AD125" s="1055"/>
      <c r="AF125" s="1012"/>
      <c r="AG125" s="1012"/>
      <c r="AH125" s="32"/>
    </row>
    <row r="126" spans="1:34" s="5" customFormat="1">
      <c r="A126" s="149"/>
      <c r="C126" s="1833"/>
      <c r="D126" s="1833"/>
      <c r="E126" s="1833"/>
      <c r="F126" s="1833"/>
      <c r="G126" s="1833"/>
      <c r="H126" s="1833"/>
      <c r="I126" s="1833"/>
      <c r="J126" s="1833"/>
      <c r="K126" s="1833"/>
      <c r="L126" s="1833"/>
      <c r="M126" s="1833"/>
      <c r="N126" s="1833"/>
      <c r="O126" s="1833"/>
      <c r="P126" s="1833"/>
      <c r="Q126" s="1833"/>
      <c r="R126" s="1833"/>
      <c r="S126" s="1833"/>
      <c r="T126" s="1833"/>
      <c r="U126" s="1068"/>
      <c r="V126" s="1067"/>
      <c r="W126" s="815"/>
      <c r="X126" s="1067"/>
      <c r="Y126" s="1067"/>
      <c r="Z126" s="1065"/>
      <c r="AA126" s="1067"/>
      <c r="AB126" s="1067"/>
      <c r="AC126" s="1067"/>
      <c r="AD126" s="1055"/>
      <c r="AF126" s="1012"/>
      <c r="AG126" s="1012"/>
      <c r="AH126" s="32"/>
    </row>
    <row r="127" spans="1:34" s="5" customFormat="1">
      <c r="A127" s="149"/>
      <c r="C127" s="1833"/>
      <c r="D127" s="1833"/>
      <c r="E127" s="1833"/>
      <c r="F127" s="1833"/>
      <c r="G127" s="1833"/>
      <c r="H127" s="1833"/>
      <c r="I127" s="1833"/>
      <c r="J127" s="1833"/>
      <c r="K127" s="1833"/>
      <c r="L127" s="1833"/>
      <c r="M127" s="1833"/>
      <c r="N127" s="1833"/>
      <c r="O127" s="1833"/>
      <c r="P127" s="1833"/>
      <c r="Q127" s="1833"/>
      <c r="R127" s="1833"/>
      <c r="S127" s="1833"/>
      <c r="T127" s="1833"/>
      <c r="U127" s="1068"/>
      <c r="V127" s="1067"/>
      <c r="W127" s="815"/>
      <c r="X127" s="1067"/>
      <c r="Y127" s="1067"/>
      <c r="Z127" s="1065"/>
      <c r="AA127" s="1067"/>
      <c r="AB127" s="1067"/>
      <c r="AC127" s="1067"/>
      <c r="AD127" s="1055"/>
      <c r="AF127" s="1012"/>
      <c r="AG127" s="1012"/>
      <c r="AH127" s="32"/>
    </row>
    <row r="128" spans="1:34" s="5" customFormat="1" ht="15" thickBot="1">
      <c r="A128" s="155"/>
      <c r="B128" s="106"/>
      <c r="C128" s="1069"/>
      <c r="D128" s="1069"/>
      <c r="E128" s="1069"/>
      <c r="F128" s="1069"/>
      <c r="G128" s="1069"/>
      <c r="H128" s="1069"/>
      <c r="I128" s="1069"/>
      <c r="J128" s="1069"/>
      <c r="K128" s="1069"/>
      <c r="L128" s="1069"/>
      <c r="M128" s="1069"/>
      <c r="N128" s="1069"/>
      <c r="O128" s="1069"/>
      <c r="P128" s="1069"/>
      <c r="Q128" s="1069"/>
      <c r="R128" s="1069"/>
      <c r="S128" s="1069"/>
      <c r="T128" s="1069"/>
      <c r="U128" s="1069"/>
      <c r="V128" s="1069"/>
      <c r="W128" s="106"/>
      <c r="X128" s="106"/>
      <c r="Y128" s="106"/>
      <c r="Z128" s="106"/>
      <c r="AA128" s="106"/>
      <c r="AB128" s="106"/>
      <c r="AC128" s="106"/>
      <c r="AD128" s="108"/>
      <c r="AE128" s="108"/>
      <c r="AF128" s="108"/>
      <c r="AG128" s="108"/>
      <c r="AH128" s="932"/>
    </row>
    <row r="129" spans="1:17">
      <c r="A129" s="153"/>
      <c r="B129" s="153"/>
      <c r="C129" s="153"/>
      <c r="D129" s="153"/>
      <c r="E129" s="153"/>
      <c r="F129" s="153"/>
      <c r="G129" s="20"/>
      <c r="H129" s="20"/>
      <c r="I129" s="20"/>
      <c r="J129" s="20"/>
      <c r="K129" s="154"/>
      <c r="L129" s="20"/>
      <c r="M129" s="20"/>
      <c r="N129" s="20"/>
      <c r="O129" s="20"/>
      <c r="P129" s="20"/>
      <c r="Q129" s="20"/>
    </row>
    <row r="130" spans="1:17" ht="15" thickBot="1">
      <c r="A130" s="153"/>
      <c r="B130" s="153"/>
      <c r="C130" s="153"/>
      <c r="D130" s="153"/>
      <c r="E130" s="153"/>
      <c r="F130" s="153"/>
      <c r="G130" s="20"/>
      <c r="H130" s="20"/>
      <c r="I130" s="20"/>
      <c r="J130" s="20"/>
      <c r="K130" s="154"/>
      <c r="L130" s="20"/>
      <c r="M130" s="20"/>
      <c r="N130" s="20"/>
      <c r="O130" s="20"/>
      <c r="P130" s="20"/>
      <c r="Q130" s="20"/>
    </row>
    <row r="131" spans="1:17" ht="18">
      <c r="A131" s="1834" t="s">
        <v>1188</v>
      </c>
      <c r="B131" s="1835"/>
      <c r="C131" s="1835"/>
      <c r="D131" s="1835"/>
      <c r="E131" s="1835"/>
      <c r="F131" s="1835"/>
      <c r="G131" s="1158"/>
      <c r="H131" s="1159" t="s">
        <v>236</v>
      </c>
      <c r="I131" s="1159" t="s">
        <v>1046</v>
      </c>
      <c r="J131" s="1253" t="s">
        <v>1247</v>
      </c>
      <c r="K131" s="154"/>
      <c r="L131" s="20"/>
      <c r="M131" s="20"/>
      <c r="N131" s="20"/>
      <c r="O131" s="20"/>
      <c r="P131" s="20"/>
      <c r="Q131" s="20"/>
    </row>
    <row r="132" spans="1:17" ht="15.5">
      <c r="A132" s="947"/>
      <c r="C132" t="s">
        <v>1188</v>
      </c>
      <c r="D132" s="1129"/>
      <c r="E132" s="1130"/>
      <c r="F132" s="1130"/>
      <c r="J132" s="1132"/>
      <c r="K132" s="154"/>
      <c r="L132" s="20"/>
      <c r="M132" s="20"/>
      <c r="N132" s="20"/>
      <c r="O132" s="20"/>
      <c r="P132" s="20"/>
      <c r="Q132" s="20"/>
    </row>
    <row r="133" spans="1:17" ht="15.5">
      <c r="A133" s="947"/>
      <c r="D133" s="1129"/>
      <c r="E133" s="1130"/>
      <c r="F133" s="1130"/>
      <c r="G133" s="1131"/>
      <c r="H133" s="1161">
        <f>+'ATT H-1A'!H16</f>
        <v>0.13888944064369446</v>
      </c>
      <c r="I133" t="s">
        <v>1197</v>
      </c>
      <c r="J133" s="1132"/>
      <c r="K133" s="154"/>
      <c r="L133" s="20"/>
      <c r="M133" s="20"/>
      <c r="N133" s="20"/>
      <c r="O133" s="20"/>
      <c r="P133" s="20"/>
      <c r="Q133" s="20"/>
    </row>
    <row r="134" spans="1:17" ht="15.5">
      <c r="A134" s="947"/>
      <c r="C134" t="s">
        <v>1792</v>
      </c>
      <c r="D134" s="1129" t="s">
        <v>1793</v>
      </c>
      <c r="E134" s="1130"/>
      <c r="F134" s="1130"/>
      <c r="G134" s="1131">
        <v>444706.95</v>
      </c>
      <c r="H134" s="1160">
        <v>1</v>
      </c>
      <c r="I134" t="s">
        <v>1078</v>
      </c>
      <c r="J134" s="1132"/>
      <c r="K134" s="154"/>
      <c r="L134" s="20"/>
      <c r="M134" s="20"/>
      <c r="N134" s="20"/>
      <c r="O134" s="20"/>
      <c r="P134" s="20"/>
      <c r="Q134" s="20"/>
    </row>
    <row r="135" spans="1:17" ht="15.5">
      <c r="A135" s="947"/>
      <c r="G135" s="1133"/>
      <c r="H135" s="1161">
        <f>+'ATT H-1A'!H37</f>
        <v>0.37285862840743444</v>
      </c>
      <c r="I135" t="s">
        <v>548</v>
      </c>
      <c r="J135" s="1132"/>
      <c r="K135" s="154"/>
      <c r="L135" s="20"/>
      <c r="M135" s="20"/>
      <c r="N135" s="20"/>
      <c r="O135" s="20"/>
      <c r="P135" s="20"/>
      <c r="Q135" s="20"/>
    </row>
    <row r="136" spans="1:17" ht="15.5">
      <c r="A136" s="947"/>
      <c r="D136" s="1129"/>
      <c r="E136" s="1130"/>
      <c r="F136" s="1130"/>
      <c r="G136" s="1131">
        <f>SUM(G133:G135)</f>
        <v>444706.95</v>
      </c>
      <c r="H136" s="1130"/>
      <c r="J136" s="1132"/>
      <c r="K136" s="154"/>
      <c r="L136" s="20"/>
      <c r="M136" s="20"/>
      <c r="N136" s="20"/>
      <c r="O136" s="20"/>
      <c r="P136" s="20"/>
      <c r="Q136" s="20"/>
    </row>
    <row r="137" spans="1:17" ht="15.5">
      <c r="A137" s="947"/>
      <c r="C137" s="201"/>
      <c r="D137" s="1129"/>
      <c r="E137" s="1139"/>
      <c r="F137" s="1130"/>
      <c r="G137" s="1135"/>
      <c r="H137" s="1130"/>
      <c r="J137" s="1132"/>
      <c r="K137" s="154"/>
      <c r="L137" s="20"/>
      <c r="M137" s="20"/>
      <c r="N137" s="20"/>
      <c r="O137" s="20"/>
      <c r="P137" s="20"/>
      <c r="Q137" s="20"/>
    </row>
    <row r="138" spans="1:17" ht="15.5">
      <c r="A138" s="947"/>
      <c r="C138" s="201"/>
      <c r="D138" s="1129"/>
      <c r="E138" s="1139"/>
      <c r="F138" s="1130"/>
      <c r="G138" s="1134"/>
      <c r="J138" s="1132"/>
      <c r="K138" s="154"/>
      <c r="L138" s="20"/>
      <c r="M138" s="20"/>
      <c r="N138" s="20"/>
      <c r="O138" s="20"/>
      <c r="P138" s="20"/>
      <c r="Q138" s="20"/>
    </row>
    <row r="139" spans="1:17" ht="15.5">
      <c r="A139" s="947"/>
      <c r="C139" s="201"/>
      <c r="D139" s="1129"/>
      <c r="E139" s="1139"/>
      <c r="F139" s="1130"/>
      <c r="G139" s="1136"/>
      <c r="H139" s="1130"/>
      <c r="J139" s="1132"/>
      <c r="K139" s="154"/>
      <c r="L139" s="20"/>
      <c r="M139" s="20"/>
      <c r="N139" s="20"/>
      <c r="O139" s="20"/>
      <c r="P139" s="20"/>
      <c r="Q139" s="20"/>
    </row>
    <row r="140" spans="1:17" ht="16" thickBot="1">
      <c r="A140" s="104"/>
      <c r="B140" s="105"/>
      <c r="C140" s="105"/>
      <c r="D140" s="1137"/>
      <c r="E140" s="1138"/>
      <c r="F140" s="1138"/>
      <c r="G140" s="1707">
        <f>SUMPRODUCT(G133:G135,H133:H135)</f>
        <v>444706.95</v>
      </c>
      <c r="H140" s="1138" t="s">
        <v>1189</v>
      </c>
      <c r="I140" s="105"/>
      <c r="J140" s="107"/>
      <c r="K140" s="154"/>
      <c r="L140" s="20"/>
      <c r="M140" s="20"/>
      <c r="N140" s="20"/>
      <c r="O140" s="20"/>
      <c r="P140" s="20"/>
      <c r="Q140" s="20"/>
    </row>
    <row r="141" spans="1:17">
      <c r="A141" s="153"/>
      <c r="B141" s="153"/>
      <c r="C141" s="153"/>
      <c r="D141" s="153"/>
      <c r="E141" s="153"/>
      <c r="F141" s="153"/>
      <c r="G141" s="20"/>
      <c r="H141" s="20"/>
      <c r="I141" s="20"/>
      <c r="J141" s="20"/>
      <c r="K141" s="154"/>
      <c r="L141" s="20"/>
      <c r="M141" s="20"/>
      <c r="N141" s="20"/>
      <c r="O141" s="20"/>
      <c r="P141" s="20"/>
      <c r="Q141" s="20"/>
    </row>
    <row r="142" spans="1:17">
      <c r="A142" s="153"/>
      <c r="B142" s="153"/>
      <c r="C142" s="153"/>
      <c r="D142" s="153"/>
      <c r="E142" s="153"/>
      <c r="F142" s="153"/>
      <c r="G142" s="20"/>
      <c r="H142" s="20"/>
      <c r="I142" s="20"/>
      <c r="J142" s="20"/>
      <c r="K142" s="154"/>
      <c r="L142" s="20"/>
      <c r="M142" s="20"/>
      <c r="N142" s="20"/>
      <c r="O142" s="20"/>
      <c r="P142" s="20"/>
      <c r="Q142" s="20"/>
    </row>
    <row r="143" spans="1:17" ht="18.75" customHeight="1">
      <c r="A143" s="153"/>
      <c r="B143" s="153"/>
      <c r="C143" s="153"/>
      <c r="D143" s="153"/>
      <c r="E143" s="153"/>
      <c r="F143" s="153"/>
      <c r="G143" s="1708"/>
      <c r="H143" s="20"/>
      <c r="I143" s="20"/>
      <c r="J143" s="20"/>
      <c r="K143" s="154"/>
      <c r="L143" s="20"/>
      <c r="M143" s="20"/>
      <c r="N143" s="20"/>
      <c r="O143" s="20"/>
      <c r="P143" s="20"/>
      <c r="Q143" s="20"/>
    </row>
    <row r="144" spans="1:17" ht="20.5" thickBot="1">
      <c r="A144" s="55" t="s">
        <v>116</v>
      </c>
      <c r="G144" s="43"/>
      <c r="H144" s="43"/>
      <c r="I144" s="43"/>
      <c r="J144" s="43"/>
      <c r="K144" s="43"/>
      <c r="L144" s="43"/>
      <c r="M144" s="43"/>
      <c r="N144" s="43"/>
      <c r="O144" s="43"/>
      <c r="P144" s="43"/>
      <c r="Q144" s="43"/>
    </row>
    <row r="145" spans="1:18" ht="27">
      <c r="A145" s="1788" t="s">
        <v>50</v>
      </c>
      <c r="B145" s="1789"/>
      <c r="C145" s="1789"/>
      <c r="D145" s="1789"/>
      <c r="E145" s="1789"/>
      <c r="F145" s="1790"/>
      <c r="G145" s="57" t="s">
        <v>334</v>
      </c>
      <c r="H145" s="1793" t="s">
        <v>117</v>
      </c>
      <c r="I145" s="1793"/>
      <c r="J145" s="1793"/>
      <c r="K145" s="1793"/>
      <c r="L145" s="1793"/>
      <c r="M145" s="1793"/>
      <c r="N145" s="1793"/>
      <c r="O145" s="1793"/>
      <c r="P145" s="1793"/>
      <c r="Q145" s="1838"/>
    </row>
    <row r="146" spans="1:18" ht="15.5">
      <c r="A146" s="162"/>
      <c r="B146" s="76" t="s">
        <v>118</v>
      </c>
      <c r="C146" s="157"/>
      <c r="D146" s="158"/>
      <c r="E146" s="112"/>
      <c r="F146" s="132"/>
      <c r="G146" s="103" t="s">
        <v>97</v>
      </c>
      <c r="H146" s="20"/>
      <c r="I146" s="20"/>
      <c r="J146" s="20"/>
      <c r="K146" s="20"/>
      <c r="L146" s="20"/>
      <c r="M146" s="20"/>
      <c r="N146" s="20"/>
      <c r="O146" s="20"/>
      <c r="P146" s="20"/>
      <c r="Q146" s="22"/>
    </row>
    <row r="147" spans="1:18" ht="15.5">
      <c r="A147" s="63">
        <v>55</v>
      </c>
      <c r="B147" s="88"/>
      <c r="C147" s="64" t="s">
        <v>334</v>
      </c>
      <c r="D147" s="88"/>
      <c r="E147" s="65" t="s">
        <v>825</v>
      </c>
      <c r="F147" s="101" t="s">
        <v>335</v>
      </c>
      <c r="G147" s="103">
        <v>0</v>
      </c>
      <c r="H147" s="1828" t="s">
        <v>119</v>
      </c>
      <c r="I147" s="1828"/>
      <c r="J147" s="1828"/>
      <c r="K147" s="1828"/>
      <c r="L147" s="1828"/>
      <c r="M147" s="1828"/>
      <c r="N147" s="1828"/>
      <c r="O147" s="1828"/>
      <c r="P147" s="1828"/>
      <c r="Q147" s="1829"/>
    </row>
    <row r="148" spans="1:18" ht="15.5">
      <c r="A148" s="63"/>
      <c r="B148" s="88"/>
      <c r="C148" s="64"/>
      <c r="D148" s="88"/>
      <c r="E148" s="65"/>
      <c r="F148" s="101"/>
      <c r="G148" s="20"/>
      <c r="H148" s="20"/>
      <c r="I148" s="20"/>
      <c r="J148" s="20"/>
      <c r="K148" s="20"/>
      <c r="L148" s="20"/>
      <c r="M148" s="20"/>
      <c r="N148" s="20"/>
      <c r="O148" s="103"/>
      <c r="P148" s="20"/>
      <c r="Q148" s="22"/>
    </row>
    <row r="149" spans="1:18" ht="15.5">
      <c r="A149" s="63"/>
      <c r="B149" s="88"/>
      <c r="C149" s="64"/>
      <c r="D149" s="88"/>
      <c r="E149" s="65"/>
      <c r="F149" s="101"/>
      <c r="H149" s="1828" t="s">
        <v>80</v>
      </c>
      <c r="I149" s="1828"/>
      <c r="J149" s="1828"/>
      <c r="K149" s="1828"/>
      <c r="L149" s="1828"/>
      <c r="M149" s="1828"/>
      <c r="N149" s="1828"/>
      <c r="O149" s="1828"/>
      <c r="P149" s="1828"/>
      <c r="Q149" s="1829"/>
    </row>
    <row r="150" spans="1:18" ht="15.5">
      <c r="A150" s="63"/>
      <c r="B150" s="88"/>
      <c r="C150" s="64"/>
      <c r="D150" s="88"/>
      <c r="E150" s="65"/>
      <c r="F150" s="101"/>
      <c r="G150" s="103"/>
      <c r="H150" s="1828"/>
      <c r="I150" s="1828"/>
      <c r="J150" s="1828"/>
      <c r="K150" s="1828"/>
      <c r="L150" s="1828"/>
      <c r="M150" s="1828"/>
      <c r="N150" s="1828"/>
      <c r="O150" s="1828"/>
      <c r="P150" s="1828"/>
      <c r="Q150" s="1829"/>
    </row>
    <row r="151" spans="1:18" ht="15.5">
      <c r="A151" s="63"/>
      <c r="B151" s="88"/>
      <c r="C151" s="64"/>
      <c r="D151" s="88"/>
      <c r="E151" s="65"/>
      <c r="F151" s="101"/>
      <c r="G151" s="103"/>
      <c r="H151" s="1828"/>
      <c r="I151" s="1828"/>
      <c r="J151" s="1828"/>
      <c r="K151" s="1828"/>
      <c r="L151" s="1828"/>
      <c r="M151" s="1828"/>
      <c r="N151" s="1828"/>
      <c r="O151" s="1828"/>
      <c r="P151" s="1828"/>
      <c r="Q151" s="1829"/>
    </row>
    <row r="152" spans="1:18" ht="15.5">
      <c r="A152" s="63">
        <v>56</v>
      </c>
      <c r="B152" s="88"/>
      <c r="C152" s="960" t="s">
        <v>1196</v>
      </c>
      <c r="D152" s="88"/>
      <c r="E152" s="65" t="s">
        <v>825</v>
      </c>
      <c r="F152" s="101" t="s">
        <v>335</v>
      </c>
      <c r="G152" s="103">
        <v>0</v>
      </c>
      <c r="H152" s="1828"/>
      <c r="I152" s="1828"/>
      <c r="J152" s="1828"/>
      <c r="K152" s="1828"/>
      <c r="L152" s="1828"/>
      <c r="M152" s="1828"/>
      <c r="N152" s="1828"/>
      <c r="O152" s="1828"/>
      <c r="P152" s="1828"/>
      <c r="Q152" s="1829"/>
    </row>
    <row r="153" spans="1:18" ht="15.5">
      <c r="A153" s="63"/>
      <c r="B153" s="88"/>
      <c r="C153" s="88"/>
      <c r="D153" s="88"/>
      <c r="E153" s="65"/>
      <c r="F153" s="163"/>
      <c r="G153" s="103"/>
      <c r="H153" s="1828"/>
      <c r="I153" s="1828"/>
      <c r="J153" s="1828"/>
      <c r="K153" s="1828"/>
      <c r="L153" s="1828"/>
      <c r="M153" s="1828"/>
      <c r="N153" s="1828"/>
      <c r="O153" s="1828"/>
      <c r="P153" s="1828"/>
      <c r="Q153" s="1829"/>
    </row>
    <row r="154" spans="1:18" ht="15.5">
      <c r="A154" s="63"/>
      <c r="B154" s="88"/>
      <c r="C154" s="88"/>
      <c r="D154" s="88"/>
      <c r="E154" s="65"/>
      <c r="F154" s="163"/>
      <c r="G154" s="103"/>
      <c r="H154" s="1828" t="s">
        <v>80</v>
      </c>
      <c r="I154" s="1828"/>
      <c r="J154" s="1828"/>
      <c r="K154" s="1828"/>
      <c r="L154" s="1828"/>
      <c r="M154" s="1828"/>
      <c r="N154" s="1828"/>
      <c r="O154" s="1828"/>
      <c r="P154" s="1828"/>
      <c r="Q154" s="1829"/>
    </row>
    <row r="155" spans="1:18" ht="15.5">
      <c r="A155" s="63"/>
      <c r="B155" s="88"/>
      <c r="C155" s="88"/>
      <c r="D155" s="88"/>
      <c r="E155" s="65"/>
      <c r="F155" s="163"/>
      <c r="G155" s="103"/>
      <c r="H155" s="1828"/>
      <c r="I155" s="1828"/>
      <c r="J155" s="1828"/>
      <c r="K155" s="1828"/>
      <c r="L155" s="1828"/>
      <c r="M155" s="1828"/>
      <c r="N155" s="1828"/>
      <c r="O155" s="1828"/>
      <c r="P155" s="1828"/>
      <c r="Q155" s="1829"/>
    </row>
    <row r="156" spans="1:18" ht="16" thickBot="1">
      <c r="A156" s="93"/>
      <c r="B156" s="119"/>
      <c r="C156" s="119"/>
      <c r="D156" s="119"/>
      <c r="E156" s="97"/>
      <c r="F156" s="161"/>
      <c r="G156" s="38"/>
      <c r="H156" s="38"/>
      <c r="I156" s="38"/>
      <c r="J156" s="38"/>
      <c r="K156" s="152" t="s">
        <v>108</v>
      </c>
      <c r="L156" s="38"/>
      <c r="M156" s="38"/>
      <c r="N156" s="38"/>
      <c r="O156" s="38"/>
      <c r="P156" s="38"/>
      <c r="Q156" s="39"/>
    </row>
    <row r="157" spans="1:18" ht="15.5">
      <c r="A157" s="88"/>
      <c r="B157" s="88"/>
      <c r="C157" s="88"/>
      <c r="D157" s="88"/>
      <c r="E157" s="65"/>
      <c r="F157" s="88"/>
      <c r="G157" s="20"/>
      <c r="H157" s="20"/>
      <c r="I157" s="20"/>
      <c r="J157" s="20"/>
      <c r="K157" s="154"/>
      <c r="L157" s="20"/>
      <c r="M157" s="20"/>
      <c r="N157" s="20"/>
      <c r="O157" s="20"/>
      <c r="P157" s="20"/>
      <c r="Q157" s="20"/>
    </row>
    <row r="158" spans="1:18" ht="20.5" thickBot="1">
      <c r="A158" s="164" t="s">
        <v>120</v>
      </c>
      <c r="B158" s="88"/>
      <c r="C158" s="88"/>
      <c r="D158" s="88"/>
      <c r="E158" s="65"/>
      <c r="F158" s="88"/>
      <c r="G158" s="20"/>
      <c r="H158" s="20"/>
      <c r="I158" s="20"/>
      <c r="J158" s="20"/>
      <c r="K158" s="154"/>
      <c r="L158" s="20"/>
      <c r="M158" s="20"/>
      <c r="N158" s="20"/>
      <c r="O158" s="20"/>
      <c r="P158" s="20"/>
      <c r="Q158" s="20"/>
    </row>
    <row r="159" spans="1:18" ht="18">
      <c r="A159" s="1788" t="s">
        <v>50</v>
      </c>
      <c r="B159" s="1789"/>
      <c r="C159" s="1789"/>
      <c r="D159" s="1789"/>
      <c r="E159" s="1789"/>
      <c r="F159" s="1790"/>
      <c r="G159" s="165" t="s">
        <v>121</v>
      </c>
      <c r="H159" s="15" t="s">
        <v>122</v>
      </c>
      <c r="I159" s="15" t="s">
        <v>123</v>
      </c>
      <c r="J159" s="15" t="s">
        <v>124</v>
      </c>
      <c r="K159" s="166"/>
      <c r="L159" s="15"/>
      <c r="M159" s="15"/>
      <c r="N159" s="15"/>
      <c r="O159" s="15"/>
      <c r="P159" s="15"/>
      <c r="Q159" s="16"/>
    </row>
    <row r="160" spans="1:18" ht="15.5">
      <c r="A160" s="63">
        <v>61</v>
      </c>
      <c r="B160" s="88"/>
      <c r="C160" s="64" t="s">
        <v>341</v>
      </c>
      <c r="D160" s="88"/>
      <c r="E160" s="88"/>
      <c r="F160" s="584" t="s">
        <v>322</v>
      </c>
      <c r="G160" s="167">
        <v>0</v>
      </c>
      <c r="H160" s="20"/>
      <c r="I160" s="20"/>
      <c r="J160" s="20"/>
      <c r="K160" s="154"/>
      <c r="L160" s="20"/>
      <c r="M160" s="20"/>
      <c r="N160" s="20"/>
      <c r="O160" s="20"/>
      <c r="P160" s="20"/>
      <c r="Q160" s="22"/>
      <c r="R160" s="168"/>
    </row>
    <row r="161" spans="1:18" ht="16" thickBot="1">
      <c r="A161" s="93">
        <v>62</v>
      </c>
      <c r="B161" s="119"/>
      <c r="C161" s="95" t="s">
        <v>342</v>
      </c>
      <c r="D161" s="119"/>
      <c r="E161" s="119"/>
      <c r="F161" s="585" t="s">
        <v>322</v>
      </c>
      <c r="G161" s="169">
        <v>0</v>
      </c>
      <c r="H161" s="38">
        <v>5</v>
      </c>
      <c r="I161" s="170">
        <v>0</v>
      </c>
      <c r="J161" s="170">
        <v>0</v>
      </c>
      <c r="K161" s="152"/>
      <c r="L161" s="38"/>
      <c r="M161" s="38"/>
      <c r="N161" s="38"/>
      <c r="O161" s="38"/>
      <c r="P161" s="38"/>
      <c r="Q161" s="39"/>
      <c r="R161" s="168"/>
    </row>
    <row r="162" spans="1:18" ht="15.5">
      <c r="A162" s="88"/>
      <c r="B162" s="88"/>
      <c r="C162" s="88"/>
      <c r="D162" s="88"/>
      <c r="E162" s="65"/>
      <c r="F162" s="88"/>
      <c r="G162" s="20"/>
      <c r="H162" s="20"/>
      <c r="I162" s="20"/>
      <c r="J162" s="20"/>
      <c r="K162" s="154"/>
      <c r="L162" s="20"/>
      <c r="M162" s="20"/>
      <c r="N162" s="20"/>
      <c r="O162" s="20"/>
      <c r="P162" s="20"/>
      <c r="Q162" s="20"/>
    </row>
    <row r="163" spans="1:18" ht="15.5">
      <c r="A163" s="88"/>
      <c r="B163" s="88"/>
      <c r="C163" s="88"/>
      <c r="D163" s="88"/>
      <c r="E163" s="65"/>
      <c r="F163" s="88"/>
      <c r="G163" s="20"/>
      <c r="H163" s="20"/>
      <c r="I163" s="20"/>
      <c r="J163" s="20"/>
      <c r="K163" s="154"/>
      <c r="L163" s="20"/>
      <c r="M163" s="20"/>
      <c r="N163" s="20"/>
      <c r="O163" s="20"/>
      <c r="P163" s="20"/>
      <c r="Q163" s="20"/>
    </row>
    <row r="164" spans="1:18" ht="20.5" thickBot="1">
      <c r="A164" s="55" t="s">
        <v>125</v>
      </c>
      <c r="G164" s="43"/>
      <c r="H164" s="43"/>
      <c r="I164" s="43"/>
      <c r="J164" s="43"/>
      <c r="K164" s="43"/>
      <c r="L164" s="43"/>
      <c r="M164" s="43"/>
      <c r="N164" s="43"/>
      <c r="O164" s="43"/>
      <c r="P164" s="43"/>
      <c r="Q164" s="43"/>
    </row>
    <row r="165" spans="1:18" ht="27">
      <c r="A165" s="1788" t="s">
        <v>50</v>
      </c>
      <c r="B165" s="1789"/>
      <c r="C165" s="1789"/>
      <c r="D165" s="1789"/>
      <c r="E165" s="1789"/>
      <c r="F165" s="1790"/>
      <c r="G165" s="57" t="s">
        <v>437</v>
      </c>
      <c r="H165" s="1793" t="s">
        <v>126</v>
      </c>
      <c r="I165" s="1816"/>
      <c r="J165" s="1816"/>
      <c r="K165" s="1816"/>
      <c r="L165" s="1816"/>
      <c r="M165" s="1816"/>
      <c r="N165" s="1816"/>
      <c r="O165" s="1816"/>
      <c r="P165" s="1816"/>
      <c r="Q165" s="1817"/>
    </row>
    <row r="166" spans="1:18" ht="15.5">
      <c r="A166" s="63"/>
      <c r="B166" s="76" t="s">
        <v>434</v>
      </c>
      <c r="C166" s="88"/>
      <c r="D166" s="88"/>
      <c r="E166" s="88"/>
      <c r="F166" s="163"/>
      <c r="G166" s="20"/>
      <c r="H166" s="20"/>
      <c r="I166" s="20"/>
      <c r="J166" s="20"/>
      <c r="K166" s="20"/>
      <c r="L166" s="20"/>
      <c r="M166" s="20"/>
      <c r="N166" s="20"/>
      <c r="O166" s="20"/>
      <c r="P166" s="20"/>
      <c r="Q166" s="22"/>
    </row>
    <row r="167" spans="1:18" ht="15.5">
      <c r="A167" s="63">
        <v>155</v>
      </c>
      <c r="B167" s="88"/>
      <c r="C167" s="64" t="s">
        <v>437</v>
      </c>
      <c r="D167" s="88"/>
      <c r="E167" s="65" t="s">
        <v>825</v>
      </c>
      <c r="F167" s="101" t="s">
        <v>346</v>
      </c>
      <c r="G167" s="159">
        <v>0</v>
      </c>
      <c r="H167" s="1828" t="s">
        <v>119</v>
      </c>
      <c r="I167" s="1836"/>
      <c r="J167" s="1836"/>
      <c r="K167" s="1836"/>
      <c r="L167" s="1836"/>
      <c r="M167" s="1836"/>
      <c r="N167" s="1836"/>
      <c r="O167" s="1836"/>
      <c r="P167" s="1836"/>
      <c r="Q167" s="1837"/>
      <c r="R167" s="44"/>
    </row>
    <row r="168" spans="1:18" ht="15.5">
      <c r="A168" s="63"/>
      <c r="B168" s="88"/>
      <c r="C168" s="88"/>
      <c r="D168" s="88"/>
      <c r="E168" s="65"/>
      <c r="F168" s="163"/>
      <c r="G168" s="20"/>
      <c r="H168" s="20"/>
      <c r="I168" s="20"/>
      <c r="J168" s="20"/>
      <c r="K168" s="20"/>
      <c r="L168" s="20"/>
      <c r="M168" s="20"/>
      <c r="N168" s="20"/>
      <c r="O168" s="103"/>
      <c r="P168" s="20"/>
      <c r="Q168" s="22"/>
    </row>
    <row r="169" spans="1:18" ht="15.5">
      <c r="A169" s="63"/>
      <c r="B169" s="88"/>
      <c r="C169" s="88"/>
      <c r="D169" s="88"/>
      <c r="E169" s="65"/>
      <c r="F169" s="163"/>
      <c r="G169" s="103" t="s">
        <v>97</v>
      </c>
      <c r="H169" s="1828" t="s">
        <v>80</v>
      </c>
      <c r="I169" s="1836"/>
      <c r="J169" s="1836"/>
      <c r="K169" s="1836"/>
      <c r="L169" s="1836"/>
      <c r="M169" s="1836"/>
      <c r="N169" s="1836"/>
      <c r="O169" s="1836"/>
      <c r="P169" s="1836"/>
      <c r="Q169" s="1837"/>
    </row>
    <row r="170" spans="1:18" ht="15.5">
      <c r="A170" s="63"/>
      <c r="B170" s="88"/>
      <c r="C170" s="88"/>
      <c r="D170" s="88"/>
      <c r="E170" s="65"/>
      <c r="F170" s="163"/>
      <c r="G170" s="103"/>
      <c r="H170" s="1828"/>
      <c r="I170" s="1836"/>
      <c r="J170" s="1836"/>
      <c r="K170" s="1836"/>
      <c r="L170" s="1836"/>
      <c r="M170" s="1836"/>
      <c r="N170" s="1836"/>
      <c r="O170" s="1836"/>
      <c r="P170" s="1836"/>
      <c r="Q170" s="1837"/>
    </row>
    <row r="171" spans="1:18" ht="16" thickBot="1">
      <c r="A171" s="93"/>
      <c r="B171" s="119"/>
      <c r="C171" s="119"/>
      <c r="D171" s="119"/>
      <c r="E171" s="97"/>
      <c r="F171" s="161"/>
      <c r="G171" s="38"/>
      <c r="H171" s="38"/>
      <c r="I171" s="38"/>
      <c r="J171" s="38"/>
      <c r="K171" s="152" t="s">
        <v>108</v>
      </c>
      <c r="L171" s="38"/>
      <c r="M171" s="38"/>
      <c r="N171" s="38"/>
      <c r="O171" s="38"/>
      <c r="P171" s="38"/>
      <c r="Q171" s="39"/>
    </row>
    <row r="172" spans="1:18" ht="15.5">
      <c r="A172" s="88"/>
      <c r="B172" s="88"/>
      <c r="C172" s="88"/>
      <c r="D172" s="88"/>
      <c r="E172" s="65"/>
      <c r="F172" s="88"/>
      <c r="G172" s="20"/>
      <c r="H172" s="20"/>
      <c r="I172" s="20"/>
      <c r="J172" s="20"/>
      <c r="K172" s="154"/>
      <c r="L172" s="20"/>
      <c r="M172" s="20"/>
      <c r="N172" s="20"/>
      <c r="O172" s="20"/>
      <c r="P172" s="20"/>
      <c r="Q172" s="20"/>
    </row>
    <row r="173" spans="1:18" ht="20.5" thickBot="1">
      <c r="A173" s="55" t="s">
        <v>453</v>
      </c>
      <c r="G173" s="43"/>
      <c r="H173" s="43"/>
      <c r="I173" s="43"/>
      <c r="J173" s="43"/>
      <c r="K173" s="43"/>
      <c r="L173" s="43"/>
      <c r="M173" s="43"/>
      <c r="N173" s="43"/>
      <c r="O173" s="43"/>
      <c r="P173" s="43"/>
      <c r="Q173" s="43"/>
    </row>
    <row r="174" spans="1:18" ht="18">
      <c r="A174" s="1788" t="s">
        <v>50</v>
      </c>
      <c r="B174" s="1789"/>
      <c r="C174" s="1789"/>
      <c r="D174" s="1789"/>
      <c r="E174" s="1789"/>
      <c r="F174" s="1790"/>
      <c r="G174" s="57" t="s">
        <v>109</v>
      </c>
      <c r="H174" s="1793" t="s">
        <v>127</v>
      </c>
      <c r="I174" s="1816"/>
      <c r="J174" s="1816"/>
      <c r="K174" s="1816"/>
      <c r="L174" s="1816"/>
      <c r="M174" s="1816"/>
      <c r="N174" s="1816"/>
      <c r="O174" s="1816"/>
      <c r="P174" s="1816"/>
      <c r="Q174" s="1817"/>
    </row>
    <row r="175" spans="1:18" ht="15.5">
      <c r="A175" s="63"/>
      <c r="B175" s="89" t="s">
        <v>438</v>
      </c>
      <c r="C175" s="78"/>
      <c r="D175" s="78"/>
      <c r="E175" s="61"/>
      <c r="F175" s="80"/>
      <c r="G175" s="20"/>
      <c r="H175" s="20"/>
      <c r="I175" s="20"/>
      <c r="J175" s="20"/>
      <c r="K175" s="20"/>
      <c r="L175" s="20"/>
      <c r="M175" s="20"/>
      <c r="N175" s="20"/>
      <c r="O175" s="20"/>
      <c r="P175" s="20"/>
      <c r="Q175" s="22"/>
    </row>
    <row r="176" spans="1:18" ht="16" thickBot="1">
      <c r="A176" s="93">
        <v>171</v>
      </c>
      <c r="B176" s="114"/>
      <c r="C176" s="95" t="s">
        <v>453</v>
      </c>
      <c r="D176" s="96"/>
      <c r="E176" s="119"/>
      <c r="F176" s="119"/>
      <c r="G176" s="171">
        <v>0</v>
      </c>
      <c r="H176" s="1818"/>
      <c r="I176" s="1819"/>
      <c r="J176" s="1819"/>
      <c r="K176" s="1819"/>
      <c r="L176" s="1819"/>
      <c r="M176" s="1819"/>
      <c r="N176" s="1819"/>
      <c r="O176" s="1819"/>
      <c r="P176" s="1819"/>
      <c r="Q176" s="1820"/>
    </row>
    <row r="177" spans="1:17" ht="15.5">
      <c r="A177" s="88"/>
      <c r="B177" s="88"/>
      <c r="C177" s="88"/>
      <c r="D177" s="88"/>
      <c r="E177" s="65"/>
      <c r="F177" s="88"/>
      <c r="G177" s="20"/>
      <c r="H177" s="20"/>
      <c r="I177" s="20"/>
      <c r="J177" s="20"/>
      <c r="K177" s="154"/>
      <c r="L177" s="20"/>
      <c r="M177" s="20"/>
      <c r="N177" s="20"/>
      <c r="O177" s="20"/>
      <c r="P177" s="20"/>
      <c r="Q177" s="20"/>
    </row>
    <row r="178" spans="1:17" ht="15.5">
      <c r="A178" s="88"/>
      <c r="B178" s="88"/>
      <c r="C178" s="88"/>
      <c r="D178" s="88"/>
      <c r="E178" s="65"/>
      <c r="F178" s="88"/>
      <c r="G178" s="20"/>
      <c r="H178" s="20"/>
      <c r="I178" s="20"/>
      <c r="J178" s="20"/>
      <c r="K178" s="154"/>
      <c r="L178" s="20"/>
      <c r="M178" s="20"/>
      <c r="N178" s="20"/>
      <c r="O178" s="20"/>
      <c r="P178" s="20"/>
      <c r="Q178" s="20"/>
    </row>
    <row r="179" spans="1:17" ht="15.5">
      <c r="A179" s="88"/>
      <c r="B179" s="88"/>
      <c r="C179" s="88"/>
      <c r="D179" s="88"/>
      <c r="E179" s="65"/>
      <c r="F179" s="88"/>
      <c r="G179" s="20"/>
      <c r="H179" s="20"/>
      <c r="I179" s="20"/>
      <c r="J179" s="20"/>
      <c r="K179" s="154"/>
      <c r="L179" s="20"/>
      <c r="M179" s="20"/>
      <c r="N179" s="20"/>
      <c r="O179" s="20"/>
      <c r="P179" s="20"/>
      <c r="Q179" s="20"/>
    </row>
    <row r="180" spans="1:17">
      <c r="G180" s="43"/>
      <c r="H180" s="43"/>
      <c r="I180" s="43"/>
      <c r="J180" s="43"/>
      <c r="K180" s="43"/>
      <c r="L180" s="43"/>
      <c r="M180" s="43"/>
      <c r="N180" s="43"/>
      <c r="O180" s="43"/>
      <c r="P180" s="43"/>
      <c r="Q180" s="43"/>
    </row>
    <row r="181" spans="1:17" ht="20.5" thickBot="1">
      <c r="A181" s="55" t="s">
        <v>128</v>
      </c>
      <c r="G181" s="43"/>
      <c r="H181" s="43"/>
      <c r="I181" s="43"/>
      <c r="J181" s="43"/>
      <c r="K181" s="43"/>
      <c r="L181" s="43"/>
      <c r="M181" s="43"/>
      <c r="N181" s="43"/>
      <c r="O181" s="43"/>
      <c r="P181" s="43"/>
      <c r="Q181" s="43"/>
    </row>
    <row r="182" spans="1:17" ht="18">
      <c r="A182" s="1788" t="s">
        <v>50</v>
      </c>
      <c r="B182" s="1789"/>
      <c r="C182" s="1789"/>
      <c r="D182" s="1789"/>
      <c r="E182" s="1789"/>
      <c r="F182" s="1790"/>
      <c r="G182" s="57" t="s">
        <v>456</v>
      </c>
      <c r="H182" s="1793" t="s">
        <v>127</v>
      </c>
      <c r="I182" s="1816"/>
      <c r="J182" s="1816"/>
      <c r="K182" s="1816"/>
      <c r="L182" s="1816"/>
      <c r="M182" s="1816"/>
      <c r="N182" s="1816"/>
      <c r="O182" s="1816"/>
      <c r="P182" s="1816"/>
      <c r="Q182" s="1817"/>
    </row>
    <row r="183" spans="1:17" ht="15.5">
      <c r="A183" s="63"/>
      <c r="B183" s="89" t="s">
        <v>129</v>
      </c>
      <c r="C183" s="78"/>
      <c r="D183" s="78"/>
      <c r="E183" s="61"/>
      <c r="F183" s="80"/>
      <c r="G183" s="20"/>
      <c r="H183" s="20"/>
      <c r="I183" s="20"/>
      <c r="J183" s="20"/>
      <c r="K183" s="20"/>
      <c r="L183" s="20"/>
      <c r="M183" s="20"/>
      <c r="N183" s="20"/>
      <c r="O183" s="20"/>
      <c r="P183" s="20"/>
      <c r="Q183" s="22"/>
    </row>
    <row r="184" spans="1:17" ht="16" thickBot="1">
      <c r="A184" s="93">
        <v>173</v>
      </c>
      <c r="B184" s="114"/>
      <c r="C184" s="95" t="s">
        <v>456</v>
      </c>
      <c r="D184" s="96"/>
      <c r="E184" s="97" t="s">
        <v>850</v>
      </c>
      <c r="F184" s="116" t="s">
        <v>346</v>
      </c>
      <c r="G184" s="1178">
        <v>2737.3</v>
      </c>
      <c r="H184" s="1818" t="s">
        <v>72</v>
      </c>
      <c r="I184" s="1819"/>
      <c r="J184" s="1819"/>
      <c r="K184" s="1819"/>
      <c r="L184" s="1819"/>
      <c r="M184" s="1819"/>
      <c r="N184" s="1819"/>
      <c r="O184" s="1819"/>
      <c r="P184" s="1819"/>
      <c r="Q184" s="1820"/>
    </row>
    <row r="185" spans="1:17">
      <c r="G185" s="43"/>
      <c r="H185" s="43"/>
      <c r="I185" s="43"/>
      <c r="J185" s="43"/>
      <c r="K185" s="43"/>
      <c r="L185" s="43"/>
      <c r="M185" s="43"/>
      <c r="N185" s="43"/>
      <c r="O185" s="43"/>
      <c r="P185" s="43"/>
      <c r="Q185" s="43"/>
    </row>
    <row r="186" spans="1:17">
      <c r="G186" s="43"/>
      <c r="H186" s="43"/>
      <c r="I186" s="43"/>
      <c r="J186" s="43"/>
      <c r="K186" s="43"/>
      <c r="L186" s="43"/>
      <c r="M186" s="43"/>
      <c r="N186" s="43"/>
      <c r="O186" s="43"/>
      <c r="P186" s="43"/>
      <c r="Q186" s="43"/>
    </row>
    <row r="187" spans="1:17" ht="20.5" thickBot="1">
      <c r="A187" s="55" t="s">
        <v>130</v>
      </c>
      <c r="G187" s="43"/>
      <c r="H187" s="43"/>
      <c r="I187" s="43"/>
      <c r="J187" s="43"/>
      <c r="K187" s="43"/>
      <c r="L187" s="43"/>
      <c r="M187" s="43"/>
      <c r="N187" s="43"/>
      <c r="O187" s="43"/>
      <c r="P187" s="43"/>
      <c r="Q187" s="43"/>
    </row>
    <row r="188" spans="1:17" ht="18">
      <c r="A188" s="172"/>
      <c r="B188" s="173"/>
      <c r="C188" s="174" t="s">
        <v>131</v>
      </c>
      <c r="D188" s="174" t="s">
        <v>132</v>
      </c>
      <c r="E188" s="174" t="s">
        <v>133</v>
      </c>
      <c r="F188" s="174" t="s">
        <v>134</v>
      </c>
      <c r="G188" s="1810" t="s">
        <v>135</v>
      </c>
      <c r="H188" s="1811"/>
      <c r="I188" s="1812" t="s">
        <v>136</v>
      </c>
      <c r="J188" s="1811"/>
      <c r="K188" s="1812" t="s">
        <v>137</v>
      </c>
      <c r="L188" s="1811"/>
      <c r="M188" s="175"/>
      <c r="N188" s="175"/>
      <c r="O188" s="175"/>
      <c r="P188" s="175"/>
      <c r="Q188" s="176"/>
    </row>
    <row r="189" spans="1:17" ht="15.5">
      <c r="A189" s="63"/>
      <c r="B189" s="76"/>
      <c r="C189" s="959" t="s">
        <v>1600</v>
      </c>
      <c r="D189" s="88"/>
      <c r="E189" s="177"/>
      <c r="F189" s="177"/>
      <c r="G189" s="1825">
        <v>0</v>
      </c>
      <c r="H189" s="1826"/>
      <c r="I189" s="1827">
        <v>0</v>
      </c>
      <c r="J189" s="1826"/>
      <c r="K189" s="1827">
        <v>0</v>
      </c>
      <c r="L189" s="1826"/>
      <c r="M189" s="178"/>
      <c r="N189" s="178"/>
      <c r="O189" s="178"/>
      <c r="P189" s="178"/>
      <c r="Q189" s="179"/>
    </row>
    <row r="190" spans="1:17" ht="15.5">
      <c r="A190" s="63"/>
      <c r="B190" s="88"/>
      <c r="C190" s="88"/>
      <c r="D190" s="88"/>
      <c r="E190" s="177"/>
      <c r="F190" s="177"/>
      <c r="G190" s="1847"/>
      <c r="H190" s="1848"/>
      <c r="I190" s="1849"/>
      <c r="J190" s="1848"/>
      <c r="K190" s="1849"/>
      <c r="L190" s="1850"/>
      <c r="M190" s="180"/>
      <c r="N190" s="180"/>
      <c r="O190" s="180"/>
      <c r="P190" s="180"/>
      <c r="Q190" s="181"/>
    </row>
    <row r="191" spans="1:17" ht="15.5">
      <c r="A191" s="63"/>
      <c r="B191" s="88"/>
      <c r="C191" s="88"/>
      <c r="D191" s="88"/>
      <c r="E191" s="177"/>
      <c r="F191" s="177"/>
      <c r="G191" s="182"/>
      <c r="H191" s="183"/>
      <c r="I191" s="184"/>
      <c r="J191" s="185"/>
      <c r="K191" s="184"/>
      <c r="L191" s="185"/>
      <c r="M191" s="180"/>
      <c r="N191" s="180"/>
      <c r="O191" s="180"/>
      <c r="P191" s="180"/>
      <c r="Q191" s="181"/>
    </row>
    <row r="192" spans="1:17" ht="16" thickBot="1">
      <c r="A192" s="93"/>
      <c r="B192" s="119"/>
      <c r="C192" s="119" t="s">
        <v>44</v>
      </c>
      <c r="D192" s="119"/>
      <c r="E192" s="97"/>
      <c r="F192" s="119"/>
      <c r="G192" s="1813">
        <v>0</v>
      </c>
      <c r="H192" s="1814"/>
      <c r="I192" s="1815">
        <v>0</v>
      </c>
      <c r="J192" s="1814"/>
      <c r="K192" s="1815">
        <v>0</v>
      </c>
      <c r="L192" s="1814"/>
      <c r="M192" s="186"/>
      <c r="N192" s="186"/>
      <c r="O192" s="186"/>
      <c r="P192" s="186"/>
      <c r="Q192" s="187"/>
    </row>
    <row r="193" spans="1:18" s="1247" customFormat="1" ht="15.5">
      <c r="A193" s="88"/>
      <c r="B193" s="88"/>
      <c r="C193" s="88"/>
      <c r="D193" s="88"/>
      <c r="E193" s="65"/>
      <c r="F193" s="88"/>
      <c r="G193" s="1527"/>
      <c r="H193" s="1526"/>
      <c r="I193" s="1527"/>
      <c r="J193" s="1526"/>
      <c r="K193" s="1527"/>
      <c r="L193" s="1526"/>
      <c r="M193" s="178"/>
      <c r="N193" s="178"/>
      <c r="O193" s="178"/>
      <c r="P193" s="178"/>
      <c r="Q193" s="178"/>
    </row>
    <row r="194" spans="1:18" ht="15" thickBot="1">
      <c r="G194" s="188"/>
      <c r="H194" s="188"/>
      <c r="I194" s="188"/>
      <c r="J194" s="188"/>
      <c r="K194" s="188"/>
      <c r="L194" s="188"/>
      <c r="M194" s="188"/>
      <c r="N194" s="188"/>
      <c r="O194" s="188"/>
      <c r="P194" s="188"/>
      <c r="Q194" s="188"/>
    </row>
    <row r="195" spans="1:18" ht="18.5" thickBot="1">
      <c r="A195" s="1785" t="s">
        <v>1012</v>
      </c>
      <c r="B195" s="1786"/>
      <c r="C195" s="1786"/>
      <c r="D195" s="1786"/>
      <c r="E195" s="1786"/>
      <c r="F195" s="1787"/>
      <c r="G195" s="943"/>
      <c r="H195" s="943"/>
      <c r="I195" s="943"/>
      <c r="J195" s="943"/>
      <c r="K195" s="944"/>
      <c r="L195" s="944"/>
      <c r="M195" s="944"/>
      <c r="N195" s="944"/>
      <c r="O195" s="944"/>
      <c r="P195" s="945"/>
    </row>
    <row r="196" spans="1:18" ht="26.25" customHeight="1">
      <c r="A196" s="1788"/>
      <c r="B196" s="1789"/>
      <c r="C196" s="1789" t="s">
        <v>1013</v>
      </c>
      <c r="D196" s="1789"/>
      <c r="E196" s="1789"/>
      <c r="F196" s="1790"/>
      <c r="G196" s="943" t="s">
        <v>1014</v>
      </c>
      <c r="H196" s="943" t="s">
        <v>1015</v>
      </c>
      <c r="I196" s="946" t="s">
        <v>1023</v>
      </c>
      <c r="J196" s="944"/>
      <c r="K196" s="944"/>
      <c r="L196" s="944"/>
      <c r="M196" s="944"/>
      <c r="N196" s="944"/>
      <c r="O196" s="944"/>
      <c r="P196" s="945"/>
    </row>
    <row r="197" spans="1:18" ht="15.5">
      <c r="A197" s="947"/>
      <c r="B197" s="153"/>
      <c r="C197" s="153"/>
      <c r="D197" s="1162"/>
      <c r="E197" s="153"/>
      <c r="F197" s="101"/>
      <c r="G197" s="28"/>
      <c r="H197" s="41"/>
      <c r="I197" s="20"/>
      <c r="J197" s="20"/>
      <c r="K197" s="20"/>
      <c r="L197" s="20"/>
      <c r="M197" s="20"/>
      <c r="N197" s="20"/>
      <c r="O197" s="20"/>
      <c r="P197" s="22"/>
    </row>
    <row r="198" spans="1:18" ht="15.75" customHeight="1">
      <c r="A198" s="63">
        <v>6</v>
      </c>
      <c r="B198" s="88"/>
      <c r="C198" s="64" t="s">
        <v>144</v>
      </c>
      <c r="D198" s="1162"/>
      <c r="E198" s="153"/>
      <c r="F198" s="101" t="s">
        <v>1016</v>
      </c>
      <c r="G198" s="30">
        <v>4570099396</v>
      </c>
      <c r="H198" s="926">
        <v>15364357.59</v>
      </c>
      <c r="I198" s="926">
        <f>+G198-H198</f>
        <v>4554735038.4099998</v>
      </c>
      <c r="J198" s="43" t="s">
        <v>1787</v>
      </c>
      <c r="K198" s="72"/>
      <c r="L198" s="72"/>
      <c r="M198" s="72"/>
      <c r="N198" s="72"/>
      <c r="O198" s="72"/>
      <c r="P198" s="948"/>
    </row>
    <row r="199" spans="1:18" ht="15.5">
      <c r="A199" s="63">
        <v>9</v>
      </c>
      <c r="B199" s="88"/>
      <c r="C199" s="64" t="s">
        <v>145</v>
      </c>
      <c r="D199" s="1162"/>
      <c r="E199" s="153"/>
      <c r="F199" s="101" t="s">
        <v>1017</v>
      </c>
      <c r="G199" s="30">
        <v>920250757</v>
      </c>
      <c r="H199" s="926">
        <v>0</v>
      </c>
      <c r="I199" s="926">
        <f t="shared" ref="I199:I203" si="10">+G199-H199</f>
        <v>920250757</v>
      </c>
      <c r="J199" s="43"/>
      <c r="K199" s="20"/>
      <c r="L199" s="20"/>
      <c r="M199" s="20"/>
      <c r="N199" s="20"/>
      <c r="O199" s="20"/>
      <c r="P199" s="22"/>
    </row>
    <row r="200" spans="1:18" ht="27" customHeight="1">
      <c r="A200" s="63">
        <v>10</v>
      </c>
      <c r="B200" s="192"/>
      <c r="C200" s="64" t="s">
        <v>146</v>
      </c>
      <c r="D200" s="1163"/>
      <c r="E200" s="192"/>
      <c r="F200" s="101" t="s">
        <v>1018</v>
      </c>
      <c r="G200" s="30">
        <v>32178614</v>
      </c>
      <c r="H200" s="926">
        <v>2551012.5299999998</v>
      </c>
      <c r="I200" s="926">
        <f t="shared" si="10"/>
        <v>29627601.469999999</v>
      </c>
      <c r="J200" s="1791" t="s">
        <v>1788</v>
      </c>
      <c r="K200" s="1791"/>
      <c r="L200" s="1791"/>
      <c r="M200" s="1791"/>
      <c r="N200" s="1791"/>
      <c r="O200" s="1791"/>
      <c r="P200" s="1792"/>
    </row>
    <row r="201" spans="1:18" ht="18">
      <c r="A201" s="63">
        <v>19</v>
      </c>
      <c r="B201" s="192"/>
      <c r="C201" s="64" t="s">
        <v>300</v>
      </c>
      <c r="D201" s="1163"/>
      <c r="E201" s="192"/>
      <c r="F201" s="101" t="s">
        <v>1019</v>
      </c>
      <c r="G201" s="30">
        <v>1668224393</v>
      </c>
      <c r="H201" s="926">
        <v>0</v>
      </c>
      <c r="I201" s="926">
        <f t="shared" si="10"/>
        <v>1668224393</v>
      </c>
      <c r="J201" s="20"/>
      <c r="K201" s="20"/>
      <c r="L201" s="20"/>
      <c r="M201" s="20"/>
      <c r="N201" s="20"/>
      <c r="O201" s="20"/>
      <c r="P201" s="22"/>
    </row>
    <row r="202" spans="1:18" ht="15.5">
      <c r="A202" s="63">
        <v>23</v>
      </c>
      <c r="B202" s="88"/>
      <c r="C202" s="64" t="s">
        <v>147</v>
      </c>
      <c r="D202" s="1162"/>
      <c r="E202" s="153"/>
      <c r="F202" s="101" t="s">
        <v>1020</v>
      </c>
      <c r="G202" s="1706">
        <f>213020321+69190952</f>
        <v>282211273</v>
      </c>
      <c r="H202" s="926">
        <v>15364357.59</v>
      </c>
      <c r="I202" s="926">
        <f t="shared" si="10"/>
        <v>266846915.41</v>
      </c>
      <c r="J202" s="43" t="s">
        <v>1787</v>
      </c>
      <c r="K202" s="20"/>
      <c r="L202" s="20"/>
      <c r="M202" s="20"/>
      <c r="N202" s="20"/>
      <c r="O202" s="20"/>
      <c r="P202" s="22"/>
    </row>
    <row r="203" spans="1:18" ht="16" thickBot="1">
      <c r="A203" s="93">
        <v>31</v>
      </c>
      <c r="B203" s="119"/>
      <c r="C203" s="95" t="s">
        <v>1021</v>
      </c>
      <c r="D203" s="105"/>
      <c r="E203" s="105"/>
      <c r="F203" s="116" t="s">
        <v>1022</v>
      </c>
      <c r="G203" s="930">
        <v>53563530</v>
      </c>
      <c r="H203" s="931"/>
      <c r="I203" s="931">
        <f t="shared" si="10"/>
        <v>53563530</v>
      </c>
      <c r="J203" s="38"/>
      <c r="K203" s="38"/>
      <c r="L203" s="38"/>
      <c r="M203" s="38"/>
      <c r="N203" s="38"/>
      <c r="O203" s="38"/>
      <c r="P203" s="39"/>
    </row>
    <row r="204" spans="1:18">
      <c r="G204" s="188"/>
      <c r="H204" s="188"/>
      <c r="I204" s="188"/>
      <c r="J204" s="188"/>
      <c r="K204" s="188"/>
      <c r="L204" s="188"/>
      <c r="M204" s="188"/>
      <c r="N204" s="188"/>
      <c r="O204" s="188"/>
      <c r="P204" s="188"/>
      <c r="Q204" s="188"/>
    </row>
    <row r="205" spans="1:18" ht="15" thickBot="1">
      <c r="G205" s="153"/>
      <c r="H205" s="153"/>
      <c r="I205" s="153"/>
      <c r="J205" s="153"/>
      <c r="K205" s="153"/>
      <c r="L205" s="153"/>
      <c r="M205" s="153"/>
      <c r="N205" s="153"/>
      <c r="O205" s="153"/>
      <c r="P205" s="153"/>
      <c r="Q205" s="153"/>
      <c r="R205" s="153"/>
    </row>
    <row r="206" spans="1:18" ht="18.5" thickBot="1">
      <c r="A206" s="1799" t="s">
        <v>1027</v>
      </c>
      <c r="B206" s="1800"/>
      <c r="C206" s="1800"/>
      <c r="D206" s="1800"/>
      <c r="E206" s="1800"/>
      <c r="F206" s="1801"/>
      <c r="G206" s="1810"/>
      <c r="H206" s="1811"/>
      <c r="I206" s="1812"/>
      <c r="J206" s="1811"/>
      <c r="K206" s="175"/>
      <c r="L206" s="175"/>
      <c r="M206" s="175"/>
      <c r="N206" s="175"/>
      <c r="O206" s="175"/>
      <c r="P206" s="175"/>
      <c r="Q206" s="176"/>
    </row>
    <row r="207" spans="1:18" ht="40">
      <c r="A207" s="1788" t="s">
        <v>50</v>
      </c>
      <c r="B207" s="1789"/>
      <c r="C207" s="1789"/>
      <c r="D207" s="1789"/>
      <c r="E207" s="1789"/>
      <c r="F207" s="1790"/>
      <c r="G207" s="950" t="s">
        <v>1028</v>
      </c>
      <c r="H207" s="950" t="s">
        <v>142</v>
      </c>
      <c r="I207" s="1714" t="s">
        <v>1808</v>
      </c>
      <c r="J207" s="950" t="s">
        <v>1029</v>
      </c>
      <c r="K207" s="950" t="s">
        <v>1030</v>
      </c>
      <c r="L207" s="950" t="s">
        <v>1031</v>
      </c>
      <c r="M207" s="946"/>
      <c r="N207" s="946"/>
      <c r="O207" s="946"/>
      <c r="P207" s="946"/>
      <c r="Q207" s="1713"/>
    </row>
    <row r="208" spans="1:18" ht="18">
      <c r="A208" s="953"/>
      <c r="B208" s="954"/>
      <c r="C208" s="954"/>
      <c r="D208" s="954"/>
      <c r="E208" s="954"/>
      <c r="F208" s="955"/>
      <c r="G208" s="956"/>
      <c r="H208" s="956"/>
      <c r="I208" s="956"/>
      <c r="J208" s="956"/>
      <c r="K208" s="957"/>
      <c r="L208" s="957"/>
      <c r="M208" s="957"/>
      <c r="N208" s="957"/>
      <c r="O208" s="957"/>
      <c r="P208" s="957"/>
      <c r="Q208" s="958"/>
    </row>
    <row r="209" spans="1:18" ht="33.75" customHeight="1">
      <c r="A209" s="58">
        <v>68</v>
      </c>
      <c r="B209" s="959"/>
      <c r="C209" s="960" t="s">
        <v>149</v>
      </c>
      <c r="D209" s="961"/>
      <c r="E209" s="962"/>
      <c r="F209" s="951" t="s">
        <v>1032</v>
      </c>
      <c r="G209" s="30">
        <f>+'11B - A&amp;G'!E24</f>
        <v>95550952</v>
      </c>
      <c r="H209" s="1177">
        <v>-21209.119999999995</v>
      </c>
      <c r="I209" s="1716">
        <f>51733+135985+7705+17494</f>
        <v>212917</v>
      </c>
      <c r="J209" s="1177">
        <v>180538.32</v>
      </c>
      <c r="K209" s="1626">
        <v>2881.3448700000004</v>
      </c>
      <c r="L209" s="1177">
        <f>+G209-H209-J209-K209-I209</f>
        <v>95175824.455130011</v>
      </c>
      <c r="M209" s="1712"/>
      <c r="N209" s="1712"/>
      <c r="O209" s="1712"/>
      <c r="P209" s="1712"/>
      <c r="Q209" s="74"/>
    </row>
    <row r="210" spans="1:18" ht="16" thickBot="1">
      <c r="A210" s="93">
        <v>60</v>
      </c>
      <c r="B210" s="119"/>
      <c r="C210" s="95" t="s">
        <v>148</v>
      </c>
      <c r="D210" s="105"/>
      <c r="E210" s="105"/>
      <c r="F210" s="116" t="s">
        <v>1024</v>
      </c>
      <c r="G210" s="930">
        <f>+'11A - O&amp;M'!E35</f>
        <v>22134005</v>
      </c>
      <c r="H210" s="930"/>
      <c r="I210" s="930"/>
      <c r="J210" s="930"/>
      <c r="K210" s="108"/>
      <c r="L210" s="931">
        <f>+G210-H210-J210-K210</f>
        <v>22134005</v>
      </c>
      <c r="M210" s="186"/>
      <c r="N210" s="186"/>
      <c r="O210" s="186"/>
      <c r="P210" s="186"/>
      <c r="Q210" s="187"/>
    </row>
    <row r="211" spans="1:18">
      <c r="G211" s="153"/>
      <c r="H211" s="19"/>
      <c r="I211" s="153"/>
      <c r="J211" s="153"/>
      <c r="K211" s="153"/>
      <c r="L211" s="153"/>
      <c r="M211" s="153"/>
      <c r="N211" s="153"/>
      <c r="O211" s="153"/>
      <c r="P211" s="153"/>
      <c r="Q211" s="153"/>
      <c r="R211" s="153"/>
    </row>
    <row r="212" spans="1:18">
      <c r="G212" s="153"/>
      <c r="H212" s="153"/>
      <c r="I212" s="153"/>
      <c r="J212" s="153"/>
      <c r="K212" s="153"/>
      <c r="L212" s="153"/>
      <c r="M212" s="153"/>
      <c r="N212" s="153"/>
      <c r="O212" s="153"/>
      <c r="P212" s="153"/>
      <c r="Q212" s="153"/>
      <c r="R212" s="153"/>
    </row>
    <row r="213" spans="1:18">
      <c r="G213" s="153"/>
      <c r="H213" s="1176"/>
      <c r="I213" s="153"/>
      <c r="J213" s="153"/>
      <c r="K213" s="153"/>
      <c r="L213" s="153"/>
      <c r="M213" s="153"/>
      <c r="N213" s="153"/>
      <c r="O213" s="153"/>
      <c r="P213" s="153"/>
      <c r="Q213" s="153"/>
      <c r="R213" s="153"/>
    </row>
    <row r="214" spans="1:18" ht="20.5" thickBot="1">
      <c r="A214" s="190" t="s">
        <v>1248</v>
      </c>
      <c r="B214" s="190"/>
      <c r="C214" s="190"/>
      <c r="D214" s="190"/>
      <c r="E214" s="190"/>
      <c r="F214" s="190"/>
      <c r="G214" s="922"/>
      <c r="H214" s="922"/>
      <c r="I214" s="922"/>
      <c r="J214" s="936"/>
      <c r="K214" s="936"/>
      <c r="L214" s="936"/>
      <c r="M214" s="936"/>
      <c r="N214" s="936"/>
      <c r="O214" s="936"/>
      <c r="P214" s="936"/>
      <c r="Q214" s="936"/>
      <c r="R214" s="153"/>
    </row>
    <row r="215" spans="1:18" ht="30.75" customHeight="1">
      <c r="A215" s="1808" t="s">
        <v>887</v>
      </c>
      <c r="B215" s="1808"/>
      <c r="C215" s="1808"/>
      <c r="D215" s="1808"/>
      <c r="E215" s="1808"/>
      <c r="F215" s="1809"/>
      <c r="G215" s="937" t="s">
        <v>1249</v>
      </c>
      <c r="H215" s="933" t="s">
        <v>142</v>
      </c>
      <c r="I215" s="933" t="s">
        <v>143</v>
      </c>
      <c r="J215" s="934"/>
      <c r="K215" s="934"/>
      <c r="L215" s="934"/>
      <c r="M215" s="934"/>
      <c r="N215" s="934"/>
      <c r="O215" s="934"/>
      <c r="P215" s="934"/>
      <c r="Q215" s="935"/>
    </row>
    <row r="216" spans="1:18" ht="18">
      <c r="A216" s="191"/>
      <c r="B216" s="192"/>
      <c r="C216" s="192"/>
      <c r="D216" s="192"/>
      <c r="E216" s="192"/>
      <c r="F216" s="193"/>
      <c r="G216" s="922"/>
      <c r="H216" s="922"/>
      <c r="I216" s="922"/>
      <c r="J216" s="195"/>
      <c r="K216" s="195"/>
      <c r="L216" s="195"/>
      <c r="M216" s="195"/>
      <c r="N216" s="195"/>
      <c r="O216" s="195"/>
      <c r="P216" s="195"/>
      <c r="Q216" s="196"/>
    </row>
    <row r="217" spans="1:18" ht="15.5">
      <c r="A217" s="63">
        <v>86</v>
      </c>
      <c r="B217" s="88"/>
      <c r="C217" s="64" t="s">
        <v>370</v>
      </c>
      <c r="D217" s="925"/>
      <c r="E217" s="70"/>
      <c r="F217" s="101"/>
      <c r="G217" s="30">
        <v>40075721</v>
      </c>
      <c r="H217" s="30">
        <v>0</v>
      </c>
      <c r="I217" s="926">
        <f>+G217-H217</f>
        <v>40075721</v>
      </c>
      <c r="J217" s="31"/>
      <c r="K217" s="31"/>
      <c r="L217" s="31"/>
      <c r="M217" s="31"/>
      <c r="N217" s="31"/>
      <c r="O217" s="31"/>
      <c r="P217" s="31"/>
      <c r="Q217" s="32"/>
    </row>
    <row r="218" spans="1:18" ht="15.5">
      <c r="A218" s="63">
        <v>87</v>
      </c>
      <c r="B218" s="88"/>
      <c r="C218" s="64" t="s">
        <v>888</v>
      </c>
      <c r="D218" s="927"/>
      <c r="E218" s="927"/>
      <c r="F218" s="101"/>
      <c r="G218" s="30">
        <v>10652154</v>
      </c>
      <c r="H218" s="30">
        <f>+'10 - Merger Costs'!C14</f>
        <v>23717.8359716667</v>
      </c>
      <c r="I218" s="926">
        <f t="shared" ref="I218:I220" si="11">+G218-H218</f>
        <v>10628436.164028334</v>
      </c>
      <c r="J218" s="31"/>
      <c r="K218" s="31"/>
      <c r="L218" s="31"/>
      <c r="M218" s="31"/>
      <c r="N218" s="31"/>
      <c r="O218" s="31"/>
      <c r="P218" s="31"/>
      <c r="Q218" s="32"/>
    </row>
    <row r="219" spans="1:18" ht="15.5">
      <c r="A219" s="63">
        <v>88</v>
      </c>
      <c r="B219" s="88"/>
      <c r="C219" s="64" t="s">
        <v>371</v>
      </c>
      <c r="D219" s="927"/>
      <c r="E219" s="927"/>
      <c r="F219" s="101"/>
      <c r="G219" s="30">
        <v>7420351</v>
      </c>
      <c r="H219" s="30">
        <f>+'10 - Merger Costs'!C15</f>
        <v>172037.55602833297</v>
      </c>
      <c r="I219" s="926">
        <f t="shared" si="11"/>
        <v>7248313.4439716674</v>
      </c>
      <c r="J219" s="31"/>
      <c r="K219" s="31"/>
      <c r="L219" s="31"/>
      <c r="M219" s="31"/>
      <c r="N219" s="31"/>
      <c r="O219" s="31"/>
      <c r="P219" s="31"/>
      <c r="Q219" s="32"/>
    </row>
    <row r="220" spans="1:18" ht="15.5">
      <c r="A220" s="63">
        <v>92</v>
      </c>
      <c r="B220" s="88"/>
      <c r="C220" s="64" t="s">
        <v>373</v>
      </c>
      <c r="D220" s="927"/>
      <c r="E220" s="927"/>
      <c r="F220" s="101"/>
      <c r="G220" s="30">
        <v>0</v>
      </c>
      <c r="H220" s="30">
        <v>0</v>
      </c>
      <c r="I220" s="926">
        <f t="shared" si="11"/>
        <v>0</v>
      </c>
      <c r="J220" s="31"/>
      <c r="K220" s="31"/>
      <c r="L220" s="31"/>
      <c r="M220" s="31"/>
      <c r="N220" s="31"/>
      <c r="O220" s="31"/>
      <c r="P220" s="31"/>
      <c r="Q220" s="32"/>
    </row>
    <row r="221" spans="1:18" ht="16" thickBot="1">
      <c r="A221" s="93">
        <v>93</v>
      </c>
      <c r="B221" s="119"/>
      <c r="C221" s="928" t="s">
        <v>374</v>
      </c>
      <c r="D221" s="929"/>
      <c r="E221" s="929"/>
      <c r="F221" s="116"/>
      <c r="G221" s="930">
        <v>0</v>
      </c>
      <c r="H221" s="930">
        <v>0</v>
      </c>
      <c r="I221" s="931">
        <f t="shared" ref="I221" si="12">G221-H221</f>
        <v>0</v>
      </c>
      <c r="J221" s="108"/>
      <c r="K221" s="108"/>
      <c r="L221" s="108"/>
      <c r="M221" s="108"/>
      <c r="N221" s="108"/>
      <c r="O221" s="108"/>
      <c r="P221" s="108"/>
      <c r="Q221" s="932"/>
    </row>
    <row r="222" spans="1:18" ht="15.5">
      <c r="A222" s="88"/>
      <c r="B222" s="88"/>
      <c r="C222" s="64"/>
      <c r="D222" s="153"/>
      <c r="E222" s="153"/>
      <c r="F222" s="64"/>
      <c r="G222" s="28"/>
      <c r="H222" s="28"/>
      <c r="I222" s="41"/>
      <c r="J222" s="20"/>
      <c r="K222" s="20"/>
      <c r="L222" s="20"/>
      <c r="M222" s="20"/>
      <c r="N222" s="20"/>
      <c r="O222" s="20"/>
      <c r="P222" s="20"/>
      <c r="Q222" s="20"/>
    </row>
    <row r="223" spans="1:18" ht="16" thickBot="1">
      <c r="A223" s="88"/>
      <c r="B223" s="88"/>
      <c r="C223" s="64"/>
      <c r="D223" s="153"/>
      <c r="E223" s="153"/>
      <c r="F223" s="64"/>
      <c r="G223" s="28"/>
      <c r="H223" s="28"/>
      <c r="I223" s="41"/>
      <c r="J223" s="20"/>
      <c r="K223" s="20"/>
      <c r="L223" s="20"/>
      <c r="M223" s="20"/>
      <c r="N223" s="20"/>
      <c r="O223" s="20"/>
      <c r="P223" s="20"/>
      <c r="Q223" s="20"/>
    </row>
    <row r="224" spans="1:18" ht="20.5" thickBot="1">
      <c r="A224" s="1802" t="s">
        <v>152</v>
      </c>
      <c r="B224" s="1803"/>
      <c r="C224" s="1803"/>
      <c r="D224" s="1803"/>
      <c r="E224" s="1803"/>
      <c r="F224" s="1804"/>
      <c r="G224" s="1805"/>
      <c r="H224" s="1806"/>
      <c r="I224" s="1807"/>
      <c r="J224" s="1806"/>
      <c r="K224" s="1807"/>
      <c r="L224" s="1806"/>
      <c r="M224" s="940"/>
      <c r="N224" s="940"/>
      <c r="O224" s="940"/>
      <c r="P224" s="940"/>
      <c r="Q224" s="941"/>
    </row>
    <row r="225" spans="1:18" ht="40">
      <c r="A225" s="1788" t="s">
        <v>50</v>
      </c>
      <c r="B225" s="1789"/>
      <c r="C225" s="1789"/>
      <c r="D225" s="1789"/>
      <c r="E225" s="1789"/>
      <c r="F225" s="1790"/>
      <c r="G225" s="57" t="s">
        <v>153</v>
      </c>
      <c r="H225" s="57" t="s">
        <v>154</v>
      </c>
      <c r="I225" s="57" t="s">
        <v>155</v>
      </c>
      <c r="J225" s="57" t="s">
        <v>156</v>
      </c>
      <c r="K225" s="1793" t="s">
        <v>157</v>
      </c>
      <c r="L225" s="1794"/>
      <c r="M225" s="1794"/>
      <c r="N225" s="1794"/>
      <c r="O225" s="1794"/>
      <c r="P225" s="1794"/>
      <c r="Q225" s="1795"/>
    </row>
    <row r="226" spans="1:18" s="5" customFormat="1" ht="10.5" customHeight="1">
      <c r="A226" s="191"/>
      <c r="B226" s="192"/>
      <c r="C226" s="192"/>
      <c r="D226" s="192"/>
      <c r="E226" s="192"/>
      <c r="F226" s="193"/>
      <c r="G226" s="194"/>
      <c r="H226" s="194"/>
      <c r="I226" s="194"/>
      <c r="J226" s="195"/>
      <c r="K226" s="195"/>
      <c r="L226" s="195"/>
      <c r="M226" s="195"/>
      <c r="N226" s="195"/>
      <c r="O226" s="195"/>
      <c r="P226" s="195"/>
      <c r="Q226" s="196"/>
    </row>
    <row r="227" spans="1:18" ht="120.75" customHeight="1">
      <c r="A227" s="63">
        <v>68</v>
      </c>
      <c r="B227" s="88"/>
      <c r="C227" s="64" t="s">
        <v>149</v>
      </c>
      <c r="D227" s="158"/>
      <c r="E227" s="112"/>
      <c r="F227" s="198" t="s">
        <v>158</v>
      </c>
      <c r="G227" s="28">
        <v>95550952</v>
      </c>
      <c r="H227" s="28">
        <v>11763379</v>
      </c>
      <c r="I227" s="926">
        <v>-473130.4</v>
      </c>
      <c r="J227" s="41">
        <v>381358.88950676564</v>
      </c>
      <c r="K227" s="1796" t="s">
        <v>1812</v>
      </c>
      <c r="L227" s="1797"/>
      <c r="M227" s="1797"/>
      <c r="N227" s="1797"/>
      <c r="O227" s="1797"/>
      <c r="P227" s="1797"/>
      <c r="Q227" s="1798"/>
      <c r="R227" s="44"/>
    </row>
    <row r="228" spans="1:18" ht="16" thickBot="1">
      <c r="A228" s="93"/>
      <c r="B228" s="119"/>
      <c r="C228" s="95"/>
      <c r="D228" s="105"/>
      <c r="E228" s="105"/>
      <c r="F228" s="116"/>
      <c r="G228" s="37"/>
      <c r="H228" s="37"/>
      <c r="I228" s="197"/>
      <c r="J228" s="38"/>
      <c r="K228" s="38"/>
      <c r="L228" s="38"/>
      <c r="M228" s="38"/>
      <c r="N228" s="38"/>
      <c r="O228" s="38"/>
      <c r="P228" s="38"/>
      <c r="Q228" s="39"/>
    </row>
    <row r="229" spans="1:18">
      <c r="G229" s="188"/>
      <c r="H229" s="188"/>
      <c r="I229" s="188"/>
      <c r="J229" s="188"/>
      <c r="K229" s="188"/>
      <c r="L229" s="188"/>
      <c r="M229" s="188"/>
      <c r="N229" s="188"/>
      <c r="O229" s="188"/>
      <c r="P229" s="188"/>
      <c r="Q229" s="188"/>
    </row>
    <row r="230" spans="1:18">
      <c r="G230" s="188"/>
      <c r="H230" s="188"/>
      <c r="I230" s="188"/>
      <c r="J230" s="199"/>
      <c r="K230" s="188"/>
      <c r="L230" s="188"/>
      <c r="M230" s="188"/>
      <c r="N230" s="188"/>
      <c r="O230" s="188"/>
      <c r="P230" s="188"/>
      <c r="Q230" s="188"/>
    </row>
    <row r="231" spans="1:18" ht="15" thickBot="1">
      <c r="G231" s="188"/>
      <c r="H231" s="188"/>
      <c r="I231" s="188"/>
      <c r="J231" s="199"/>
      <c r="K231" s="188"/>
      <c r="L231" s="188"/>
      <c r="M231" s="188"/>
      <c r="N231" s="188"/>
      <c r="O231" s="188"/>
      <c r="P231" s="188"/>
      <c r="Q231" s="188"/>
    </row>
    <row r="232" spans="1:18" ht="18.5" thickBot="1">
      <c r="A232" s="1799" t="s">
        <v>159</v>
      </c>
      <c r="B232" s="1800"/>
      <c r="C232" s="1800"/>
      <c r="D232" s="1800"/>
      <c r="E232" s="1800"/>
      <c r="F232" s="1801"/>
      <c r="G232" s="188"/>
      <c r="H232" s="188"/>
      <c r="I232" s="188"/>
      <c r="J232" s="188"/>
      <c r="K232" s="188"/>
      <c r="L232" s="188"/>
      <c r="M232" s="188"/>
      <c r="N232" s="188"/>
      <c r="O232" s="188"/>
      <c r="P232" s="188"/>
      <c r="Q232" s="188"/>
    </row>
    <row r="233" spans="1:18">
      <c r="G233" s="188"/>
      <c r="H233" s="188"/>
      <c r="I233" s="188"/>
      <c r="J233" s="188"/>
      <c r="K233" s="188"/>
      <c r="L233" s="188"/>
      <c r="M233" s="188"/>
      <c r="N233" s="188"/>
      <c r="O233" s="188"/>
      <c r="P233" s="188"/>
      <c r="Q233" s="188"/>
    </row>
    <row r="234" spans="1:18">
      <c r="A234" t="s">
        <v>160</v>
      </c>
      <c r="C234" s="200" t="s">
        <v>161</v>
      </c>
      <c r="E234" s="42">
        <f>+E242</f>
        <v>342240.09330000001</v>
      </c>
      <c r="G234" s="188"/>
      <c r="H234" s="188"/>
      <c r="I234" s="188"/>
      <c r="J234" s="188"/>
      <c r="K234" s="188"/>
      <c r="L234" s="188"/>
      <c r="M234" s="188"/>
      <c r="N234" s="188"/>
      <c r="O234" s="188"/>
      <c r="P234" s="188"/>
      <c r="Q234" s="188"/>
    </row>
    <row r="235" spans="1:18">
      <c r="G235" s="188"/>
      <c r="H235" s="188"/>
      <c r="I235" s="188"/>
      <c r="J235" s="188"/>
      <c r="K235" s="188"/>
      <c r="L235" s="188"/>
      <c r="M235" s="188"/>
      <c r="N235" s="188"/>
      <c r="O235" s="188"/>
      <c r="P235" s="188"/>
      <c r="Q235" s="188"/>
    </row>
    <row r="236" spans="1:18">
      <c r="D236" s="201" t="s">
        <v>162</v>
      </c>
      <c r="E236" s="202">
        <f>+'3 - Revenue Credits'!D33</f>
        <v>1217503</v>
      </c>
      <c r="G236" s="188"/>
      <c r="H236" s="188"/>
      <c r="I236" s="188"/>
      <c r="J236" s="188"/>
      <c r="K236" s="188"/>
      <c r="L236" s="188"/>
      <c r="M236" s="188"/>
      <c r="N236" s="188"/>
      <c r="O236" s="188"/>
      <c r="P236" s="188"/>
      <c r="Q236" s="188"/>
    </row>
    <row r="237" spans="1:18">
      <c r="D237" s="203" t="s">
        <v>163</v>
      </c>
      <c r="E237" s="204">
        <v>0.21</v>
      </c>
      <c r="G237" s="188"/>
      <c r="H237" s="188"/>
      <c r="I237" s="188"/>
      <c r="J237" s="188"/>
      <c r="K237" s="188"/>
      <c r="L237" s="188"/>
      <c r="M237" s="188"/>
      <c r="N237" s="188"/>
      <c r="O237" s="188"/>
      <c r="P237" s="188"/>
      <c r="Q237" s="188"/>
    </row>
    <row r="238" spans="1:18">
      <c r="D238" s="205" t="s">
        <v>164</v>
      </c>
      <c r="E238" s="206">
        <f>E236*E237</f>
        <v>255675.63</v>
      </c>
      <c r="G238" s="188"/>
      <c r="H238" s="188"/>
      <c r="I238" s="188"/>
      <c r="J238" s="188"/>
      <c r="K238" s="188"/>
      <c r="L238" s="188"/>
      <c r="M238" s="188"/>
      <c r="N238" s="188"/>
      <c r="O238" s="188"/>
      <c r="P238" s="188"/>
      <c r="Q238" s="188"/>
    </row>
    <row r="239" spans="1:18">
      <c r="D239" s="205" t="s">
        <v>165</v>
      </c>
      <c r="E239" s="206">
        <f>E236-E238</f>
        <v>961827.37</v>
      </c>
      <c r="G239" s="188"/>
      <c r="H239" s="188"/>
      <c r="I239" s="188"/>
      <c r="J239" s="188"/>
      <c r="K239" s="188"/>
      <c r="L239" s="188"/>
      <c r="M239" s="188"/>
      <c r="N239" s="188"/>
      <c r="O239" s="188"/>
      <c r="P239" s="188"/>
      <c r="Q239" s="188"/>
    </row>
    <row r="240" spans="1:18">
      <c r="D240" s="205" t="s">
        <v>166</v>
      </c>
      <c r="E240" s="207">
        <v>0.09</v>
      </c>
      <c r="G240" s="188"/>
      <c r="H240" s="188"/>
      <c r="I240" s="188"/>
      <c r="J240" s="188"/>
      <c r="K240" s="188"/>
      <c r="L240" s="188"/>
      <c r="M240" s="188"/>
      <c r="N240" s="188"/>
      <c r="O240" s="188"/>
      <c r="P240" s="188"/>
      <c r="Q240" s="188"/>
    </row>
    <row r="241" spans="1:19">
      <c r="D241" s="205" t="s">
        <v>167</v>
      </c>
      <c r="E241" s="206">
        <f>E239*E240</f>
        <v>86564.463300000003</v>
      </c>
      <c r="G241" s="188"/>
      <c r="H241" s="188"/>
      <c r="I241" s="188"/>
      <c r="J241" s="188"/>
      <c r="K241" s="188"/>
      <c r="L241" s="188"/>
      <c r="M241" s="188"/>
      <c r="N241" s="188"/>
      <c r="O241" s="188"/>
      <c r="P241" s="188"/>
      <c r="Q241" s="188"/>
    </row>
    <row r="242" spans="1:19" ht="15" thickBot="1">
      <c r="D242" s="205" t="s">
        <v>168</v>
      </c>
      <c r="E242" s="208">
        <f>E241+E238</f>
        <v>342240.09330000001</v>
      </c>
      <c r="G242" s="188"/>
      <c r="H242" s="188"/>
      <c r="I242" s="188"/>
      <c r="J242" s="188"/>
      <c r="K242" s="188"/>
      <c r="L242" s="188"/>
      <c r="M242" s="188"/>
      <c r="N242" s="188"/>
      <c r="O242" s="188"/>
      <c r="P242" s="188"/>
      <c r="Q242" s="188"/>
    </row>
    <row r="243" spans="1:19" ht="16" thickTop="1">
      <c r="D243" s="209"/>
      <c r="E243" s="210"/>
      <c r="F243" s="210"/>
      <c r="G243" s="210"/>
      <c r="H243" s="210"/>
    </row>
    <row r="244" spans="1:19" ht="16" thickBot="1">
      <c r="D244" s="209"/>
      <c r="E244" s="210"/>
      <c r="F244" s="210"/>
      <c r="G244" s="210"/>
      <c r="H244" s="210"/>
    </row>
    <row r="245" spans="1:19" s="1247" customFormat="1" ht="18.5" thickBot="1">
      <c r="A245" s="1266" t="s">
        <v>1261</v>
      </c>
      <c r="B245" s="1268"/>
      <c r="C245" s="1268"/>
      <c r="D245" s="1268"/>
      <c r="E245" s="1268"/>
      <c r="F245" s="1268"/>
      <c r="G245" s="1268"/>
      <c r="H245" s="1268"/>
      <c r="I245" s="1268"/>
      <c r="J245" s="1269"/>
      <c r="K245" s="1269"/>
      <c r="L245" s="1269"/>
      <c r="M245" s="1269"/>
      <c r="N245" s="1269"/>
      <c r="O245" s="1269"/>
      <c r="P245" s="1269"/>
      <c r="Q245" s="1270"/>
      <c r="R245" s="188"/>
      <c r="S245" s="188"/>
    </row>
    <row r="246" spans="1:19" s="917" customFormat="1" ht="14">
      <c r="A246" s="1308"/>
      <c r="B246" s="1271"/>
      <c r="C246" s="1272"/>
      <c r="D246" s="1271"/>
      <c r="E246" s="1273"/>
      <c r="F246" s="1273"/>
      <c r="G246" s="1274"/>
      <c r="H246" s="1275" t="s">
        <v>228</v>
      </c>
      <c r="I246" s="1274"/>
      <c r="J246" s="1276"/>
      <c r="K246" s="1274"/>
      <c r="L246" s="1277"/>
      <c r="M246" s="1271"/>
      <c r="N246" s="1271"/>
      <c r="O246" s="1271"/>
      <c r="P246" s="1271"/>
      <c r="Q246" s="1278"/>
    </row>
    <row r="247" spans="1:19" s="917" customFormat="1" ht="14">
      <c r="A247" s="1308"/>
      <c r="B247" s="1279"/>
      <c r="C247" s="1271"/>
      <c r="D247" s="1280"/>
      <c r="E247" s="1281"/>
      <c r="F247" s="1281"/>
      <c r="G247" s="1274"/>
      <c r="H247" s="1275" t="s">
        <v>41</v>
      </c>
      <c r="I247" s="1275"/>
      <c r="J247" s="1275" t="s">
        <v>1262</v>
      </c>
      <c r="K247" s="1274"/>
      <c r="L247" s="1282"/>
      <c r="M247" s="1282"/>
      <c r="N247" s="1282"/>
      <c r="O247" s="1282"/>
      <c r="P247" s="1282"/>
      <c r="Q247" s="1283"/>
    </row>
    <row r="248" spans="1:19" s="917" customFormat="1" ht="14">
      <c r="A248" s="1309" t="s">
        <v>573</v>
      </c>
      <c r="B248" s="1279"/>
      <c r="C248" s="1284" t="s">
        <v>1263</v>
      </c>
      <c r="D248" s="1280"/>
      <c r="E248" s="1281"/>
      <c r="F248" s="1285" t="s">
        <v>1264</v>
      </c>
      <c r="G248" s="1274"/>
      <c r="H248" s="1286" t="s">
        <v>1265</v>
      </c>
      <c r="I248" s="1275"/>
      <c r="J248" s="1286" t="s">
        <v>1749</v>
      </c>
      <c r="K248" s="1274"/>
      <c r="L248" s="1286" t="s">
        <v>1750</v>
      </c>
      <c r="M248" s="1282"/>
      <c r="N248" s="1282"/>
      <c r="O248" s="1282"/>
      <c r="P248" s="1282"/>
      <c r="Q248" s="1283"/>
    </row>
    <row r="249" spans="1:19" s="917" customFormat="1" ht="14">
      <c r="A249" s="1308"/>
      <c r="B249" s="1279"/>
      <c r="C249" s="1287"/>
      <c r="D249" s="1280"/>
      <c r="E249" s="1281"/>
      <c r="F249" s="1281"/>
      <c r="G249" s="1274"/>
      <c r="H249" s="1275"/>
      <c r="I249" s="1275"/>
      <c r="J249" s="1275"/>
      <c r="K249" s="1274"/>
      <c r="L249" s="1288"/>
      <c r="M249" s="1282"/>
      <c r="N249" s="1282"/>
      <c r="O249" s="1282"/>
      <c r="P249" s="1282"/>
      <c r="Q249" s="1283"/>
    </row>
    <row r="250" spans="1:19" s="917" customFormat="1" ht="15.5">
      <c r="A250" s="1308" t="str">
        <f>'ATT H-1A'!A256</f>
        <v>136a</v>
      </c>
      <c r="B250" s="1271"/>
      <c r="C250" s="227" t="s">
        <v>1225</v>
      </c>
      <c r="D250" s="1271"/>
      <c r="E250" s="1273"/>
      <c r="F250" s="1273" t="s">
        <v>1266</v>
      </c>
      <c r="G250" s="1274"/>
      <c r="H250" s="1289">
        <v>241796</v>
      </c>
      <c r="I250" s="1290" t="s">
        <v>1044</v>
      </c>
      <c r="J250" s="1291">
        <f>'ATT H-1A'!H246</f>
        <v>0.28109999999999991</v>
      </c>
      <c r="K250" s="1292" t="s">
        <v>1267</v>
      </c>
      <c r="L250" s="1293">
        <f>H250*J250</f>
        <v>67968.855599999981</v>
      </c>
      <c r="M250" s="1294"/>
      <c r="N250" s="1282"/>
      <c r="O250" s="1294"/>
      <c r="P250" s="1282"/>
      <c r="Q250" s="1295"/>
    </row>
    <row r="251" spans="1:19" s="917" customFormat="1" ht="14">
      <c r="A251" s="1308"/>
      <c r="B251" s="1271"/>
      <c r="C251" s="1272" t="s">
        <v>1785</v>
      </c>
      <c r="D251" s="1271"/>
      <c r="E251" s="1273"/>
      <c r="F251" s="1273"/>
      <c r="G251" s="1274"/>
      <c r="H251" s="1274"/>
      <c r="I251" s="1274"/>
      <c r="J251" s="1274"/>
      <c r="K251" s="1274"/>
      <c r="L251" s="1293"/>
      <c r="M251" s="1282"/>
      <c r="N251" s="1282"/>
      <c r="O251" s="1282"/>
      <c r="P251" s="1282"/>
      <c r="Q251" s="1283"/>
    </row>
    <row r="252" spans="1:19" s="917" customFormat="1" ht="15.5">
      <c r="A252" s="1308" t="str">
        <f>'ATT H-1A'!A257</f>
        <v>136b</v>
      </c>
      <c r="B252" s="1271"/>
      <c r="C252" s="1704" t="s">
        <v>1226</v>
      </c>
      <c r="D252" s="1271"/>
      <c r="E252" s="1273"/>
      <c r="F252" s="1273" t="s">
        <v>1268</v>
      </c>
      <c r="G252" s="1274"/>
      <c r="H252" s="1274"/>
      <c r="I252" s="1274"/>
      <c r="J252" s="1274"/>
      <c r="K252" s="1274"/>
      <c r="L252" s="1296">
        <f>-'1E - EDIT Amortization'!O109</f>
        <v>-13268254.266331796</v>
      </c>
      <c r="M252" s="1297"/>
      <c r="N252" s="1282"/>
      <c r="O252" s="1297"/>
      <c r="P252" s="1282"/>
      <c r="Q252" s="1298"/>
    </row>
    <row r="253" spans="1:19" s="917" customFormat="1" ht="15.5">
      <c r="A253" s="1308" t="str">
        <f>'ATT H-1A'!A258</f>
        <v>136c</v>
      </c>
      <c r="B253" s="1271"/>
      <c r="C253" s="1704" t="s">
        <v>1228</v>
      </c>
      <c r="D253" s="1271"/>
      <c r="E253" s="1273"/>
      <c r="F253" s="1273" t="s">
        <v>1268</v>
      </c>
      <c r="G253" s="1274"/>
      <c r="H253" s="1274"/>
      <c r="I253" s="1274"/>
      <c r="J253" s="1274"/>
      <c r="K253" s="1274"/>
      <c r="L253" s="1296">
        <f>-'1E - EDIT Amortization'!O214</f>
        <v>0</v>
      </c>
      <c r="M253" s="1297"/>
      <c r="N253" s="1282"/>
      <c r="O253" s="1297"/>
      <c r="P253" s="1282"/>
      <c r="Q253" s="1298"/>
    </row>
    <row r="254" spans="1:19" s="917" customFormat="1" ht="14">
      <c r="A254" s="1308" t="str">
        <f>'ATT H-1A'!A259</f>
        <v>136d</v>
      </c>
      <c r="B254" s="1271"/>
      <c r="C254" s="1272" t="s">
        <v>1230</v>
      </c>
      <c r="D254" s="1271"/>
      <c r="E254" s="1273"/>
      <c r="F254" s="1273" t="s">
        <v>1269</v>
      </c>
      <c r="G254" s="1274"/>
      <c r="H254" s="1274"/>
      <c r="I254" s="1274"/>
      <c r="J254" s="1274"/>
      <c r="K254" s="1274"/>
      <c r="L254" s="1296">
        <v>134274</v>
      </c>
      <c r="M254" s="1282"/>
      <c r="N254" s="1282"/>
      <c r="O254" s="1282"/>
      <c r="P254" s="1282"/>
      <c r="Q254" s="1283"/>
    </row>
    <row r="255" spans="1:19" s="917" customFormat="1" thickBot="1">
      <c r="A255" s="1308" t="str">
        <f>'ATT H-1A'!A260</f>
        <v>136e</v>
      </c>
      <c r="B255" s="1271"/>
      <c r="C255" s="1299" t="s">
        <v>1270</v>
      </c>
      <c r="D255" s="1271"/>
      <c r="E255" s="1273"/>
      <c r="F255" s="1273" t="s">
        <v>1271</v>
      </c>
      <c r="G255" s="1274"/>
      <c r="H255" s="1274"/>
      <c r="I255" s="1274"/>
      <c r="J255" s="1274"/>
      <c r="K255" s="1274"/>
      <c r="L255" s="1300">
        <f>SUM(L250:L254)</f>
        <v>-13066011.410731796</v>
      </c>
      <c r="M255" s="1282"/>
      <c r="N255" s="1282"/>
      <c r="O255" s="1282"/>
      <c r="P255" s="1282"/>
      <c r="Q255" s="1283"/>
    </row>
    <row r="256" spans="1:19" s="917" customFormat="1" thickTop="1">
      <c r="A256" s="1308"/>
      <c r="B256" s="1271"/>
      <c r="C256" s="1272"/>
      <c r="D256" s="1271"/>
      <c r="E256" s="1273"/>
      <c r="F256" s="1273"/>
      <c r="G256" s="1274"/>
      <c r="H256" s="1274"/>
      <c r="I256" s="1274"/>
      <c r="J256" s="1274"/>
      <c r="K256" s="1293"/>
      <c r="L256" s="1271"/>
      <c r="M256" s="1282"/>
      <c r="N256" s="1282"/>
      <c r="O256" s="1282"/>
      <c r="P256" s="1282"/>
      <c r="Q256" s="1283"/>
    </row>
    <row r="257" spans="1:17" s="917" customFormat="1" ht="14">
      <c r="A257" s="1310" t="s">
        <v>1272</v>
      </c>
      <c r="B257" s="1271"/>
      <c r="C257" s="1284" t="s">
        <v>1273</v>
      </c>
      <c r="D257" s="1287"/>
      <c r="E257" s="1287"/>
      <c r="F257" s="1273"/>
      <c r="G257" s="1274"/>
      <c r="H257" s="1274"/>
      <c r="I257" s="1276"/>
      <c r="J257" s="1274"/>
      <c r="K257" s="1277"/>
      <c r="L257" s="1271"/>
      <c r="M257" s="1282"/>
      <c r="N257" s="1282"/>
      <c r="O257" s="1282"/>
      <c r="P257" s="1282"/>
      <c r="Q257" s="1283"/>
    </row>
    <row r="258" spans="1:17" s="917" customFormat="1" ht="15" customHeight="1">
      <c r="A258" s="1311" t="s">
        <v>1274</v>
      </c>
      <c r="B258" s="1271"/>
      <c r="C258" s="1821" t="s">
        <v>1275</v>
      </c>
      <c r="D258" s="1821"/>
      <c r="E258" s="1821"/>
      <c r="F258" s="1821"/>
      <c r="G258" s="1274"/>
      <c r="H258" s="1274"/>
      <c r="I258" s="1276"/>
      <c r="J258" s="1274"/>
      <c r="K258" s="1277"/>
      <c r="L258" s="1271"/>
      <c r="M258" s="1271"/>
      <c r="N258" s="1271"/>
      <c r="O258" s="1271"/>
      <c r="P258" s="1271"/>
      <c r="Q258" s="1278"/>
    </row>
    <row r="259" spans="1:17" s="917" customFormat="1" ht="15" customHeight="1">
      <c r="A259" s="1311"/>
      <c r="B259" s="1271"/>
      <c r="C259" s="1821"/>
      <c r="D259" s="1821"/>
      <c r="E259" s="1821"/>
      <c r="F259" s="1821"/>
      <c r="G259" s="1274"/>
      <c r="H259" s="1274"/>
      <c r="I259" s="1276"/>
      <c r="J259" s="1274"/>
      <c r="K259" s="1277"/>
      <c r="L259" s="1271"/>
      <c r="M259" s="1271"/>
      <c r="N259" s="1271"/>
      <c r="O259" s="1271"/>
      <c r="P259" s="1271"/>
      <c r="Q259" s="1278"/>
    </row>
    <row r="260" spans="1:17" s="917" customFormat="1" ht="15" customHeight="1">
      <c r="A260" s="1311" t="s">
        <v>1276</v>
      </c>
      <c r="B260" s="1271"/>
      <c r="C260" s="1821" t="s">
        <v>1277</v>
      </c>
      <c r="D260" s="1821"/>
      <c r="E260" s="1821"/>
      <c r="F260" s="1821"/>
      <c r="G260" s="1274"/>
      <c r="H260" s="1274"/>
      <c r="I260" s="1276"/>
      <c r="J260" s="1274"/>
      <c r="K260" s="1277"/>
      <c r="L260" s="1271"/>
      <c r="M260" s="1271"/>
      <c r="N260" s="1271"/>
      <c r="O260" s="1271"/>
      <c r="P260" s="1271"/>
      <c r="Q260" s="1278"/>
    </row>
    <row r="261" spans="1:17" s="917" customFormat="1" ht="15" customHeight="1">
      <c r="A261" s="1311" t="s">
        <v>1278</v>
      </c>
      <c r="B261" s="1271"/>
      <c r="C261" s="1822" t="s">
        <v>1279</v>
      </c>
      <c r="D261" s="1822"/>
      <c r="E261" s="1822"/>
      <c r="F261" s="1822"/>
      <c r="G261" s="1274"/>
      <c r="H261" s="1274" t="s">
        <v>86</v>
      </c>
      <c r="I261" s="1276"/>
      <c r="J261" s="1274"/>
      <c r="K261" s="1277"/>
      <c r="L261" s="1271"/>
      <c r="M261" s="1271"/>
      <c r="N261" s="1271"/>
      <c r="O261" s="1271"/>
      <c r="P261" s="1271"/>
      <c r="Q261" s="1278"/>
    </row>
    <row r="262" spans="1:17" s="917" customFormat="1" ht="14">
      <c r="A262" s="1311"/>
      <c r="B262" s="1271"/>
      <c r="C262" s="1822"/>
      <c r="D262" s="1822"/>
      <c r="E262" s="1822"/>
      <c r="F262" s="1822"/>
      <c r="G262" s="1274"/>
      <c r="H262" s="1274"/>
      <c r="I262" s="1276"/>
      <c r="J262" s="1274"/>
      <c r="K262" s="1277"/>
      <c r="L262" s="1271"/>
      <c r="M262" s="1271"/>
      <c r="N262" s="1271"/>
      <c r="O262" s="1271"/>
      <c r="P262" s="1271"/>
      <c r="Q262" s="1278"/>
    </row>
    <row r="263" spans="1:17" s="917" customFormat="1" ht="15" customHeight="1">
      <c r="A263" s="1311" t="s">
        <v>1280</v>
      </c>
      <c r="B263" s="1271"/>
      <c r="C263" s="1783" t="s">
        <v>1281</v>
      </c>
      <c r="D263" s="1783"/>
      <c r="E263" s="1783"/>
      <c r="F263" s="1783"/>
      <c r="G263" s="1783"/>
      <c r="H263" s="1783"/>
      <c r="I263" s="1783"/>
      <c r="J263" s="1783"/>
      <c r="K263" s="1277"/>
      <c r="L263" s="1271"/>
      <c r="M263" s="1271"/>
      <c r="N263" s="1271"/>
      <c r="O263" s="1271"/>
      <c r="P263" s="1271"/>
      <c r="Q263" s="1278"/>
    </row>
    <row r="264" spans="1:17" s="917" customFormat="1" ht="14">
      <c r="A264" s="1311"/>
      <c r="B264" s="1271"/>
      <c r="C264" s="1783"/>
      <c r="D264" s="1783"/>
      <c r="E264" s="1783"/>
      <c r="F264" s="1783"/>
      <c r="G264" s="1783"/>
      <c r="H264" s="1783"/>
      <c r="I264" s="1783"/>
      <c r="J264" s="1783"/>
      <c r="K264" s="1277"/>
      <c r="L264" s="1271"/>
      <c r="M264" s="1271"/>
      <c r="N264" s="1271"/>
      <c r="O264" s="1271"/>
      <c r="P264" s="1271"/>
      <c r="Q264" s="1278"/>
    </row>
    <row r="265" spans="1:17" s="917" customFormat="1" ht="14">
      <c r="A265" s="1311"/>
      <c r="B265" s="1271"/>
      <c r="C265" s="1783"/>
      <c r="D265" s="1783"/>
      <c r="E265" s="1783"/>
      <c r="F265" s="1783"/>
      <c r="G265" s="1783"/>
      <c r="H265" s="1783"/>
      <c r="I265" s="1783"/>
      <c r="J265" s="1783"/>
      <c r="K265" s="1277"/>
      <c r="L265" s="1271"/>
      <c r="M265" s="1271"/>
      <c r="N265" s="1271"/>
      <c r="O265" s="1271"/>
      <c r="P265" s="1271"/>
      <c r="Q265" s="1278"/>
    </row>
    <row r="266" spans="1:17" s="917" customFormat="1" ht="14">
      <c r="A266" s="1311"/>
      <c r="B266" s="1271"/>
      <c r="C266" s="1783"/>
      <c r="D266" s="1783"/>
      <c r="E266" s="1783"/>
      <c r="F266" s="1783"/>
      <c r="G266" s="1783"/>
      <c r="H266" s="1783"/>
      <c r="I266" s="1783"/>
      <c r="J266" s="1783"/>
      <c r="K266" s="1277"/>
      <c r="L266" s="1271"/>
      <c r="M266" s="1271"/>
      <c r="N266" s="1271"/>
      <c r="O266" s="1271"/>
      <c r="P266" s="1271"/>
      <c r="Q266" s="1278"/>
    </row>
    <row r="267" spans="1:17" s="917" customFormat="1" ht="14">
      <c r="A267" s="1311"/>
      <c r="B267" s="1271"/>
      <c r="C267" s="1783"/>
      <c r="D267" s="1783"/>
      <c r="E267" s="1783"/>
      <c r="F267" s="1783"/>
      <c r="G267" s="1783"/>
      <c r="H267" s="1783"/>
      <c r="I267" s="1783"/>
      <c r="J267" s="1783"/>
      <c r="K267" s="1277"/>
      <c r="L267" s="1271"/>
      <c r="M267" s="1271"/>
      <c r="N267" s="1271"/>
      <c r="O267" s="1271"/>
      <c r="P267" s="1271"/>
      <c r="Q267" s="1278"/>
    </row>
    <row r="268" spans="1:17" s="917" customFormat="1" ht="15" customHeight="1">
      <c r="A268" s="1311" t="s">
        <v>1282</v>
      </c>
      <c r="B268" s="1271"/>
      <c r="C268" s="1783" t="s">
        <v>1283</v>
      </c>
      <c r="D268" s="1783"/>
      <c r="E268" s="1783"/>
      <c r="F268" s="1783"/>
      <c r="G268" s="1274"/>
      <c r="H268" s="1274"/>
      <c r="I268" s="1276"/>
      <c r="J268" s="1274"/>
      <c r="K268" s="1277"/>
      <c r="L268" s="1271"/>
      <c r="M268" s="1271"/>
      <c r="N268" s="1271"/>
      <c r="O268" s="1271"/>
      <c r="P268" s="1271"/>
      <c r="Q268" s="1278"/>
    </row>
    <row r="269" spans="1:17" s="917" customFormat="1" ht="14">
      <c r="A269" s="1311"/>
      <c r="B269" s="1271"/>
      <c r="C269" s="1783"/>
      <c r="D269" s="1783"/>
      <c r="E269" s="1783"/>
      <c r="F269" s="1783"/>
      <c r="G269" s="1274"/>
      <c r="H269" s="1274"/>
      <c r="I269" s="1276"/>
      <c r="J269" s="1274"/>
      <c r="K269" s="1277"/>
      <c r="L269" s="1271"/>
      <c r="M269" s="1271"/>
      <c r="N269" s="1271"/>
      <c r="O269" s="1271"/>
      <c r="P269" s="1271"/>
      <c r="Q269" s="1278"/>
    </row>
    <row r="270" spans="1:17" s="917" customFormat="1" ht="14">
      <c r="A270" s="1311"/>
      <c r="B270" s="1271"/>
      <c r="C270" s="1783"/>
      <c r="D270" s="1783"/>
      <c r="E270" s="1783"/>
      <c r="F270" s="1783"/>
      <c r="G270" s="1274"/>
      <c r="H270" s="1274"/>
      <c r="I270" s="1276"/>
      <c r="J270" s="1274"/>
      <c r="K270" s="1277"/>
      <c r="L270" s="1271"/>
      <c r="M270" s="1271"/>
      <c r="N270" s="1271"/>
      <c r="O270" s="1271"/>
      <c r="P270" s="1271"/>
      <c r="Q270" s="1278"/>
    </row>
    <row r="271" spans="1:17" s="917" customFormat="1" ht="14">
      <c r="A271" s="1311"/>
      <c r="B271" s="1271"/>
      <c r="C271" s="1783"/>
      <c r="D271" s="1783"/>
      <c r="E271" s="1783"/>
      <c r="F271" s="1783"/>
      <c r="G271" s="1274"/>
      <c r="H271" s="1274"/>
      <c r="I271" s="1276"/>
      <c r="J271" s="1274"/>
      <c r="K271" s="1277"/>
      <c r="L271" s="1271"/>
      <c r="M271" s="1271"/>
      <c r="N271" s="1271"/>
      <c r="O271" s="1271"/>
      <c r="P271" s="1271"/>
      <c r="Q271" s="1278"/>
    </row>
    <row r="272" spans="1:17" s="917" customFormat="1" ht="14">
      <c r="A272" s="1311"/>
      <c r="B272" s="1271"/>
      <c r="C272" s="1783"/>
      <c r="D272" s="1783"/>
      <c r="E272" s="1783"/>
      <c r="F272" s="1783"/>
      <c r="G272" s="1274"/>
      <c r="H272" s="1274"/>
      <c r="I272" s="1276"/>
      <c r="J272" s="1274"/>
      <c r="K272" s="1277"/>
      <c r="L272" s="1271"/>
      <c r="M272" s="1271"/>
      <c r="N272" s="1271"/>
      <c r="O272" s="1271"/>
      <c r="P272" s="1271"/>
      <c r="Q272" s="1278"/>
    </row>
    <row r="273" spans="1:17" s="917" customFormat="1" ht="14">
      <c r="A273" s="1311"/>
      <c r="B273" s="1271"/>
      <c r="C273" s="1783"/>
      <c r="D273" s="1783"/>
      <c r="E273" s="1783"/>
      <c r="F273" s="1783"/>
      <c r="G273" s="1274"/>
      <c r="H273" s="1274"/>
      <c r="I273" s="1276"/>
      <c r="J273" s="1274"/>
      <c r="K273" s="1277"/>
      <c r="L273" s="1271"/>
      <c r="M273" s="1271"/>
      <c r="N273" s="1271"/>
      <c r="O273" s="1271"/>
      <c r="P273" s="1271"/>
      <c r="Q273" s="1278"/>
    </row>
    <row r="274" spans="1:17" s="917" customFormat="1" ht="14">
      <c r="A274" s="1311"/>
      <c r="B274" s="1271"/>
      <c r="C274" s="1783"/>
      <c r="D274" s="1783"/>
      <c r="E274" s="1783"/>
      <c r="F274" s="1783"/>
      <c r="G274" s="1274"/>
      <c r="H274" s="1274"/>
      <c r="I274" s="1276"/>
      <c r="J274" s="1274"/>
      <c r="K274" s="1277"/>
      <c r="L274" s="1271"/>
      <c r="M274" s="1271"/>
      <c r="N274" s="1271"/>
      <c r="O274" s="1271"/>
      <c r="P274" s="1271"/>
      <c r="Q274" s="1278"/>
    </row>
    <row r="275" spans="1:17" s="917" customFormat="1" ht="15" customHeight="1">
      <c r="A275" s="1311" t="s">
        <v>1284</v>
      </c>
      <c r="B275" s="1271"/>
      <c r="C275" s="1783" t="s">
        <v>1285</v>
      </c>
      <c r="D275" s="1783"/>
      <c r="E275" s="1783"/>
      <c r="F275" s="1783"/>
      <c r="G275" s="1274"/>
      <c r="H275" s="1274"/>
      <c r="I275" s="1276"/>
      <c r="J275" s="1274"/>
      <c r="K275" s="1277"/>
      <c r="L275" s="1271"/>
      <c r="M275" s="1271"/>
      <c r="N275" s="1271"/>
      <c r="O275" s="1271"/>
      <c r="P275" s="1271"/>
      <c r="Q275" s="1278"/>
    </row>
    <row r="276" spans="1:17" s="917" customFormat="1" ht="14">
      <c r="A276" s="1311"/>
      <c r="B276" s="1271"/>
      <c r="C276" s="1783"/>
      <c r="D276" s="1783"/>
      <c r="E276" s="1783"/>
      <c r="F276" s="1783"/>
      <c r="G276" s="1274"/>
      <c r="H276" s="1274"/>
      <c r="I276" s="1276"/>
      <c r="J276" s="1274"/>
      <c r="K276" s="1277"/>
      <c r="L276" s="1271"/>
      <c r="M276" s="1271"/>
      <c r="N276" s="1271"/>
      <c r="O276" s="1271"/>
      <c r="P276" s="1271"/>
      <c r="Q276" s="1278"/>
    </row>
    <row r="277" spans="1:17" s="917" customFormat="1" thickBot="1">
      <c r="A277" s="1312"/>
      <c r="B277" s="1301"/>
      <c r="C277" s="1784"/>
      <c r="D277" s="1784"/>
      <c r="E277" s="1784"/>
      <c r="F277" s="1784"/>
      <c r="G277" s="1302"/>
      <c r="H277" s="1302"/>
      <c r="I277" s="1303"/>
      <c r="J277" s="1302"/>
      <c r="K277" s="1304"/>
      <c r="L277" s="1301"/>
      <c r="M277" s="1301"/>
      <c r="N277" s="1301"/>
      <c r="O277" s="1301"/>
      <c r="P277" s="1301"/>
      <c r="Q277" s="1305"/>
    </row>
    <row r="290" spans="3:3" ht="15.5">
      <c r="C290"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3">
    <mergeCell ref="H169:Q169"/>
    <mergeCell ref="H170:Q170"/>
    <mergeCell ref="G190:H190"/>
    <mergeCell ref="I190:J190"/>
    <mergeCell ref="K190:L190"/>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J35:Q35"/>
    <mergeCell ref="A31:F31"/>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H75:Q75"/>
    <mergeCell ref="H77:Q77"/>
    <mergeCell ref="H79:Q79"/>
    <mergeCell ref="A145:F145"/>
    <mergeCell ref="H145:Q145"/>
    <mergeCell ref="H147:Q147"/>
    <mergeCell ref="H149:Q149"/>
    <mergeCell ref="H150:Q150"/>
    <mergeCell ref="A93:F93"/>
    <mergeCell ref="H82:Q82"/>
    <mergeCell ref="H83:Q83"/>
    <mergeCell ref="H84:Q84"/>
    <mergeCell ref="H85:Q85"/>
    <mergeCell ref="H86:Q86"/>
    <mergeCell ref="H87:Q87"/>
    <mergeCell ref="H80:Q80"/>
    <mergeCell ref="A69:F69"/>
    <mergeCell ref="J69:Q69"/>
    <mergeCell ref="A159:F159"/>
    <mergeCell ref="A165:F165"/>
    <mergeCell ref="H165:Q165"/>
    <mergeCell ref="G189:H189"/>
    <mergeCell ref="I189:J189"/>
    <mergeCell ref="K189:L189"/>
    <mergeCell ref="A182:F182"/>
    <mergeCell ref="H182:Q182"/>
    <mergeCell ref="H184:Q184"/>
    <mergeCell ref="G188:H188"/>
    <mergeCell ref="I188:J188"/>
    <mergeCell ref="K188:L188"/>
    <mergeCell ref="H152:Q152"/>
    <mergeCell ref="H153:Q153"/>
    <mergeCell ref="A103:F103"/>
    <mergeCell ref="C105:F105"/>
    <mergeCell ref="C125:T127"/>
    <mergeCell ref="A131:F131"/>
    <mergeCell ref="H151:Q151"/>
    <mergeCell ref="H155:Q155"/>
    <mergeCell ref="H154:Q154"/>
    <mergeCell ref="H167:Q167"/>
    <mergeCell ref="G192:H192"/>
    <mergeCell ref="I192:J192"/>
    <mergeCell ref="K192:L192"/>
    <mergeCell ref="A174:F174"/>
    <mergeCell ref="H174:Q174"/>
    <mergeCell ref="H176:Q176"/>
    <mergeCell ref="C258:F259"/>
    <mergeCell ref="C260:F260"/>
    <mergeCell ref="C261:F262"/>
    <mergeCell ref="C263:F267"/>
    <mergeCell ref="G263:J267"/>
    <mergeCell ref="C268:F274"/>
    <mergeCell ref="C275:F276"/>
    <mergeCell ref="C277:F277"/>
    <mergeCell ref="A195:F195"/>
    <mergeCell ref="A196:F196"/>
    <mergeCell ref="J200:P200"/>
    <mergeCell ref="A225:F225"/>
    <mergeCell ref="K225:Q225"/>
    <mergeCell ref="K227:Q227"/>
    <mergeCell ref="A232:F232"/>
    <mergeCell ref="A224:F224"/>
    <mergeCell ref="G224:H224"/>
    <mergeCell ref="I224:J224"/>
    <mergeCell ref="K224:L224"/>
    <mergeCell ref="A215:F215"/>
    <mergeCell ref="A206:F206"/>
    <mergeCell ref="G206:H206"/>
    <mergeCell ref="I206:J206"/>
    <mergeCell ref="A207:F207"/>
  </mergeCells>
  <phoneticPr fontId="97" type="noConversion"/>
  <pageMargins left="0.25" right="0.25" top="0.75" bottom="0.75" header="0.5" footer="0.5"/>
  <pageSetup scale="16" fitToHeight="3" orientation="portrait" r:id="rId2"/>
  <rowBreaks count="1" manualBreakCount="1">
    <brk id="1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24"/>
  <sheetViews>
    <sheetView showGridLines="0" topLeftCell="A38" zoomScaleNormal="100" zoomScaleSheetLayoutView="99" workbookViewId="0">
      <selection activeCell="N38" sqref="N38"/>
    </sheetView>
  </sheetViews>
  <sheetFormatPr defaultColWidth="9.1796875" defaultRowHeight="12.5"/>
  <cols>
    <col min="1" max="1" width="37" style="590" customWidth="1"/>
    <col min="2" max="2" width="16" style="590" bestFit="1" customWidth="1"/>
    <col min="3" max="3" width="5.81640625" style="590" customWidth="1"/>
    <col min="4" max="4" width="16" style="590" bestFit="1" customWidth="1"/>
    <col min="5" max="5" width="6.54296875" style="590" customWidth="1"/>
    <col min="6" max="6" width="16" style="590" bestFit="1" customWidth="1"/>
    <col min="7" max="7" width="6" style="590" customWidth="1"/>
    <col min="8" max="8" width="8.7265625" style="590" bestFit="1" customWidth="1"/>
    <col min="9" max="9" width="5.81640625" style="590" customWidth="1"/>
    <col min="10" max="10" width="9.7265625" style="590" bestFit="1" customWidth="1"/>
    <col min="11" max="11" width="5.81640625" style="590" customWidth="1"/>
    <col min="12" max="12" width="10.1796875" style="590" customWidth="1"/>
    <col min="13" max="13" width="5.81640625" style="590" customWidth="1"/>
    <col min="14" max="14" width="15" style="590" bestFit="1" customWidth="1"/>
    <col min="15" max="15" width="5.453125" style="590" customWidth="1"/>
    <col min="16" max="16" width="16" style="590" bestFit="1" customWidth="1"/>
    <col min="17" max="16384" width="9.1796875" style="590"/>
  </cols>
  <sheetData>
    <row r="1" spans="1:17" ht="18">
      <c r="A1" s="1858" t="s">
        <v>1551</v>
      </c>
      <c r="B1" s="1859"/>
      <c r="C1" s="1859"/>
      <c r="D1" s="1859"/>
      <c r="E1" s="1859"/>
      <c r="F1" s="1859"/>
      <c r="G1" s="1859"/>
      <c r="H1" s="1859"/>
      <c r="I1" s="1092"/>
      <c r="J1" s="1092"/>
      <c r="K1" s="1092"/>
      <c r="L1" s="1092"/>
      <c r="M1" s="1092"/>
    </row>
    <row r="2" spans="1:17" ht="13">
      <c r="N2" s="591"/>
      <c r="O2" s="592"/>
      <c r="P2" s="593"/>
    </row>
    <row r="3" spans="1:17" ht="13">
      <c r="A3" s="594" t="s">
        <v>491</v>
      </c>
      <c r="N3" s="591"/>
      <c r="O3" s="592"/>
      <c r="P3" s="593"/>
    </row>
    <row r="4" spans="1:17" ht="13">
      <c r="A4" s="592"/>
      <c r="B4" s="592"/>
      <c r="C4" s="592"/>
      <c r="D4" s="592"/>
      <c r="E4" s="592"/>
      <c r="F4" s="592"/>
      <c r="G4" s="592"/>
      <c r="H4" s="592"/>
      <c r="I4" s="592"/>
      <c r="J4" s="592"/>
      <c r="K4" s="592"/>
      <c r="L4" s="592"/>
      <c r="M4" s="592"/>
      <c r="N4" s="592"/>
      <c r="O4" s="592"/>
      <c r="P4" s="593"/>
    </row>
    <row r="6" spans="1:17" ht="13">
      <c r="A6" s="593"/>
      <c r="B6" s="595" t="s">
        <v>492</v>
      </c>
      <c r="C6" s="595"/>
      <c r="D6" s="596" t="s">
        <v>493</v>
      </c>
      <c r="E6" s="596"/>
      <c r="F6" s="596"/>
      <c r="G6" s="596"/>
      <c r="H6" s="596"/>
      <c r="I6" s="596"/>
      <c r="J6" s="596"/>
      <c r="K6" s="596"/>
      <c r="L6" s="596"/>
      <c r="M6" s="596"/>
      <c r="N6" s="596"/>
      <c r="O6" s="596"/>
      <c r="P6" s="595"/>
    </row>
    <row r="7" spans="1:17" ht="13">
      <c r="A7" s="593"/>
      <c r="B7" s="595" t="s">
        <v>494</v>
      </c>
      <c r="C7" s="595"/>
      <c r="D7" s="596" t="s">
        <v>495</v>
      </c>
      <c r="E7" s="596"/>
      <c r="F7" s="596" t="s">
        <v>141</v>
      </c>
      <c r="G7" s="596"/>
      <c r="H7" s="595" t="s">
        <v>1067</v>
      </c>
      <c r="I7" s="1140"/>
      <c r="J7" s="595" t="s">
        <v>1068</v>
      </c>
      <c r="K7" s="1140"/>
      <c r="L7" s="595" t="s">
        <v>1069</v>
      </c>
      <c r="M7" s="595"/>
      <c r="N7" s="596" t="s">
        <v>496</v>
      </c>
      <c r="O7" s="596"/>
      <c r="P7" s="597" t="s">
        <v>44</v>
      </c>
    </row>
    <row r="8" spans="1:17">
      <c r="A8" s="593"/>
      <c r="B8" s="598"/>
      <c r="C8" s="598"/>
      <c r="D8" s="599"/>
      <c r="E8" s="599"/>
      <c r="F8" s="599"/>
      <c r="G8" s="599"/>
      <c r="H8" s="599"/>
      <c r="I8" s="599"/>
      <c r="J8" s="599"/>
      <c r="K8" s="599"/>
      <c r="L8" s="599"/>
      <c r="M8" s="599"/>
      <c r="N8" s="599"/>
      <c r="O8" s="599"/>
      <c r="P8" s="600"/>
    </row>
    <row r="9" spans="1:17" ht="14.5">
      <c r="A9" s="601" t="s">
        <v>497</v>
      </c>
      <c r="B9" s="602">
        <v>2038205.6899999992</v>
      </c>
      <c r="C9" s="603"/>
      <c r="D9" s="602">
        <v>1938277.47</v>
      </c>
      <c r="E9" s="604"/>
      <c r="F9" s="602">
        <v>3587812.23</v>
      </c>
      <c r="G9" s="602"/>
      <c r="H9" s="604">
        <v>0</v>
      </c>
      <c r="I9" s="604"/>
      <c r="J9" s="604">
        <v>0</v>
      </c>
      <c r="K9" s="604"/>
      <c r="L9" s="604">
        <v>0</v>
      </c>
      <c r="M9" s="604"/>
      <c r="N9" s="605">
        <v>4487.6700000000019</v>
      </c>
      <c r="O9" s="606"/>
      <c r="P9" s="606">
        <f>SUM(B9:N9)</f>
        <v>7568783.0599999987</v>
      </c>
      <c r="Q9" s="607"/>
    </row>
    <row r="10" spans="1:17" ht="14">
      <c r="A10" s="601"/>
      <c r="B10" s="606"/>
      <c r="C10" s="606"/>
      <c r="D10" s="608"/>
      <c r="E10" s="608"/>
      <c r="F10" s="608"/>
      <c r="G10" s="608"/>
      <c r="H10" s="608"/>
      <c r="I10" s="608"/>
      <c r="J10" s="608"/>
      <c r="K10" s="608"/>
      <c r="L10" s="608"/>
      <c r="M10" s="608"/>
      <c r="N10" s="609"/>
      <c r="O10" s="608"/>
      <c r="P10" s="606">
        <f t="shared" ref="P10:P31" si="0">SUM(B10:N10)</f>
        <v>0</v>
      </c>
      <c r="Q10" s="607"/>
    </row>
    <row r="11" spans="1:17" ht="14">
      <c r="A11" s="601" t="s">
        <v>1200</v>
      </c>
      <c r="B11" s="610">
        <v>9111711.5599999987</v>
      </c>
      <c r="C11" s="606"/>
      <c r="D11" s="610">
        <v>7429687.0899999999</v>
      </c>
      <c r="E11" s="608"/>
      <c r="F11" s="610">
        <v>17048294.220000003</v>
      </c>
      <c r="G11" s="610"/>
      <c r="H11" s="608">
        <v>0</v>
      </c>
      <c r="I11" s="608"/>
      <c r="J11" s="608">
        <v>0</v>
      </c>
      <c r="K11" s="608"/>
      <c r="L11" s="608">
        <v>0</v>
      </c>
      <c r="M11" s="608"/>
      <c r="N11" s="609">
        <v>8536253.4800000023</v>
      </c>
      <c r="O11" s="608"/>
      <c r="P11" s="606">
        <f t="shared" si="0"/>
        <v>42125946.350000009</v>
      </c>
      <c r="Q11" s="607"/>
    </row>
    <row r="12" spans="1:17" ht="14">
      <c r="A12" s="601"/>
      <c r="B12" s="608"/>
      <c r="C12" s="606"/>
      <c r="D12" s="608"/>
      <c r="E12" s="608"/>
      <c r="F12" s="608"/>
      <c r="G12" s="608"/>
      <c r="H12" s="608"/>
      <c r="I12" s="608"/>
      <c r="J12" s="608"/>
      <c r="K12" s="608"/>
      <c r="L12" s="608"/>
      <c r="M12" s="608"/>
      <c r="N12" s="609"/>
      <c r="O12" s="608"/>
      <c r="P12" s="606">
        <f t="shared" si="0"/>
        <v>0</v>
      </c>
      <c r="Q12" s="607"/>
    </row>
    <row r="13" spans="1:17" ht="14">
      <c r="A13" s="601" t="s">
        <v>1201</v>
      </c>
      <c r="B13" s="610">
        <v>6669096.790000001</v>
      </c>
      <c r="C13" s="606"/>
      <c r="D13" s="610">
        <v>5986599.0600000005</v>
      </c>
      <c r="E13" s="608"/>
      <c r="F13" s="610">
        <v>10832714.049999999</v>
      </c>
      <c r="G13" s="610"/>
      <c r="H13" s="608">
        <v>0</v>
      </c>
      <c r="I13" s="608"/>
      <c r="J13" s="608">
        <v>0</v>
      </c>
      <c r="K13" s="608"/>
      <c r="L13" s="608">
        <v>0</v>
      </c>
      <c r="M13" s="608"/>
      <c r="N13" s="609">
        <v>6024.48</v>
      </c>
      <c r="O13" s="608"/>
      <c r="P13" s="606">
        <f t="shared" si="0"/>
        <v>23494434.379999999</v>
      </c>
      <c r="Q13" s="607"/>
    </row>
    <row r="14" spans="1:17" ht="14">
      <c r="A14" s="601"/>
      <c r="B14" s="608"/>
      <c r="C14" s="606"/>
      <c r="D14" s="608"/>
      <c r="E14" s="608"/>
      <c r="F14" s="608"/>
      <c r="G14" s="608"/>
      <c r="H14" s="608"/>
      <c r="I14" s="608"/>
      <c r="J14" s="608"/>
      <c r="K14" s="608"/>
      <c r="L14" s="608"/>
      <c r="M14" s="608"/>
      <c r="N14" s="609"/>
      <c r="O14" s="608"/>
      <c r="P14" s="606">
        <f t="shared" si="0"/>
        <v>0</v>
      </c>
      <c r="Q14" s="607"/>
    </row>
    <row r="15" spans="1:17" ht="14">
      <c r="A15" s="601" t="s">
        <v>498</v>
      </c>
      <c r="B15" s="610">
        <v>2479793.5200000005</v>
      </c>
      <c r="C15" s="606"/>
      <c r="D15" s="610">
        <v>1735006.9100000004</v>
      </c>
      <c r="E15" s="608"/>
      <c r="F15" s="610">
        <v>3771913.75</v>
      </c>
      <c r="G15" s="610"/>
      <c r="H15" s="608">
        <v>0</v>
      </c>
      <c r="I15" s="608"/>
      <c r="J15" s="608">
        <v>0</v>
      </c>
      <c r="K15" s="608"/>
      <c r="L15" s="608">
        <v>0</v>
      </c>
      <c r="M15" s="608"/>
      <c r="N15" s="609">
        <v>0</v>
      </c>
      <c r="O15" s="608"/>
      <c r="P15" s="606">
        <f t="shared" si="0"/>
        <v>7986714.1800000006</v>
      </c>
      <c r="Q15" s="607"/>
    </row>
    <row r="16" spans="1:17" ht="14">
      <c r="A16" s="601"/>
      <c r="B16" s="608"/>
      <c r="C16" s="606"/>
      <c r="D16" s="608"/>
      <c r="E16" s="608"/>
      <c r="F16" s="608"/>
      <c r="G16" s="608"/>
      <c r="H16" s="608"/>
      <c r="I16" s="608"/>
      <c r="J16" s="608"/>
      <c r="K16" s="608"/>
      <c r="L16" s="608"/>
      <c r="M16" s="608"/>
      <c r="N16" s="609"/>
      <c r="O16" s="608"/>
      <c r="P16" s="606">
        <f t="shared" si="0"/>
        <v>0</v>
      </c>
      <c r="Q16" s="607"/>
    </row>
    <row r="17" spans="1:17" ht="14">
      <c r="A17" s="601" t="s">
        <v>499</v>
      </c>
      <c r="B17" s="610">
        <v>1312478.7400000002</v>
      </c>
      <c r="C17" s="606"/>
      <c r="D17" s="610">
        <v>1036746.6600000001</v>
      </c>
      <c r="E17" s="608"/>
      <c r="F17" s="610">
        <v>2040837.42</v>
      </c>
      <c r="G17" s="610"/>
      <c r="H17" s="608">
        <v>0</v>
      </c>
      <c r="I17" s="608"/>
      <c r="J17" s="608">
        <v>0</v>
      </c>
      <c r="K17" s="608"/>
      <c r="L17" s="608">
        <v>0</v>
      </c>
      <c r="M17" s="608"/>
      <c r="N17" s="609">
        <v>54520.62</v>
      </c>
      <c r="O17" s="608"/>
      <c r="P17" s="606">
        <f t="shared" si="0"/>
        <v>4444583.4400000004</v>
      </c>
      <c r="Q17" s="607"/>
    </row>
    <row r="18" spans="1:17" ht="14">
      <c r="A18" s="601"/>
      <c r="B18" s="608"/>
      <c r="C18" s="606"/>
      <c r="D18" s="608"/>
      <c r="E18" s="608"/>
      <c r="F18" s="608"/>
      <c r="G18" s="608"/>
      <c r="H18" s="608"/>
      <c r="I18" s="608"/>
      <c r="J18" s="608"/>
      <c r="K18" s="608"/>
      <c r="L18" s="608"/>
      <c r="M18" s="608"/>
      <c r="N18" s="609"/>
      <c r="O18" s="608"/>
      <c r="P18" s="606">
        <f t="shared" si="0"/>
        <v>0</v>
      </c>
      <c r="Q18" s="607"/>
    </row>
    <row r="19" spans="1:17" ht="14">
      <c r="A19" s="601" t="s">
        <v>500</v>
      </c>
      <c r="B19" s="610">
        <v>36193093.269999988</v>
      </c>
      <c r="C19" s="606"/>
      <c r="D19" s="610">
        <v>33375437.770000011</v>
      </c>
      <c r="E19" s="608"/>
      <c r="F19" s="610">
        <v>26420423.970000003</v>
      </c>
      <c r="G19" s="610"/>
      <c r="H19" s="608">
        <v>0</v>
      </c>
      <c r="I19" s="608"/>
      <c r="J19" s="608">
        <v>0</v>
      </c>
      <c r="K19" s="608"/>
      <c r="L19" s="608">
        <v>0</v>
      </c>
      <c r="M19" s="608"/>
      <c r="N19" s="609">
        <v>0</v>
      </c>
      <c r="O19" s="608"/>
      <c r="P19" s="606">
        <f t="shared" si="0"/>
        <v>95988955.00999999</v>
      </c>
      <c r="Q19" s="607"/>
    </row>
    <row r="20" spans="1:17" ht="14">
      <c r="A20" s="601"/>
      <c r="B20" s="608"/>
      <c r="C20" s="606"/>
      <c r="D20" s="608"/>
      <c r="E20" s="608"/>
      <c r="F20" s="608"/>
      <c r="G20" s="608"/>
      <c r="H20" s="608"/>
      <c r="I20" s="608"/>
      <c r="J20" s="608"/>
      <c r="K20" s="608"/>
      <c r="L20" s="608"/>
      <c r="M20" s="608"/>
      <c r="N20" s="609"/>
      <c r="O20" s="608"/>
      <c r="P20" s="606">
        <f t="shared" si="0"/>
        <v>0</v>
      </c>
      <c r="Q20" s="607"/>
    </row>
    <row r="21" spans="1:17" ht="14.5">
      <c r="A21" s="601" t="s">
        <v>501</v>
      </c>
      <c r="B21" s="602">
        <v>12442508.27</v>
      </c>
      <c r="C21" s="604"/>
      <c r="D21" s="602">
        <v>11917474.090000002</v>
      </c>
      <c r="E21" s="611"/>
      <c r="F21" s="602">
        <v>19572162.379999995</v>
      </c>
      <c r="G21" s="602"/>
      <c r="H21" s="611">
        <v>0</v>
      </c>
      <c r="I21" s="611"/>
      <c r="J21" s="611">
        <v>0</v>
      </c>
      <c r="K21" s="611"/>
      <c r="L21" s="611">
        <v>0</v>
      </c>
      <c r="M21" s="611"/>
      <c r="N21" s="605">
        <v>4075.059999999999</v>
      </c>
      <c r="O21" s="608"/>
      <c r="P21" s="606">
        <f t="shared" si="0"/>
        <v>43936219.799999997</v>
      </c>
      <c r="Q21" s="607"/>
    </row>
    <row r="22" spans="1:17" ht="14">
      <c r="A22" s="601"/>
      <c r="B22" s="608"/>
      <c r="C22" s="606"/>
      <c r="D22" s="608"/>
      <c r="E22" s="608"/>
      <c r="F22" s="608"/>
      <c r="G22" s="608"/>
      <c r="H22" s="608"/>
      <c r="I22" s="608"/>
      <c r="J22" s="608"/>
      <c r="K22" s="608"/>
      <c r="L22" s="608"/>
      <c r="M22" s="608"/>
      <c r="N22" s="609"/>
      <c r="O22" s="608"/>
      <c r="P22" s="606">
        <f t="shared" si="0"/>
        <v>0</v>
      </c>
      <c r="Q22" s="607"/>
    </row>
    <row r="23" spans="1:17" ht="14.5">
      <c r="A23" s="601" t="s">
        <v>1790</v>
      </c>
      <c r="B23" s="602">
        <v>3386930.8599999989</v>
      </c>
      <c r="C23" s="604"/>
      <c r="D23" s="602">
        <v>4107303.1999999993</v>
      </c>
      <c r="E23" s="611"/>
      <c r="F23" s="602">
        <v>5416256.0800000001</v>
      </c>
      <c r="G23" s="602"/>
      <c r="H23" s="611">
        <v>0</v>
      </c>
      <c r="I23" s="611"/>
      <c r="J23" s="611">
        <v>0</v>
      </c>
      <c r="K23" s="611"/>
      <c r="L23" s="611">
        <v>0</v>
      </c>
      <c r="M23" s="611"/>
      <c r="N23" s="605">
        <v>54858.7</v>
      </c>
      <c r="O23" s="608"/>
      <c r="P23" s="606">
        <f t="shared" si="0"/>
        <v>12965348.839999998</v>
      </c>
      <c r="Q23" s="607"/>
    </row>
    <row r="24" spans="1:17" ht="14.5">
      <c r="A24" s="601"/>
      <c r="B24" s="611"/>
      <c r="C24" s="604"/>
      <c r="D24" s="611"/>
      <c r="E24" s="611"/>
      <c r="F24" s="611"/>
      <c r="G24" s="611"/>
      <c r="H24" s="611"/>
      <c r="I24" s="611"/>
      <c r="J24" s="611"/>
      <c r="K24" s="611"/>
      <c r="L24" s="611"/>
      <c r="M24" s="611"/>
      <c r="N24" s="605"/>
      <c r="O24" s="608"/>
      <c r="P24" s="606">
        <f t="shared" si="0"/>
        <v>0</v>
      </c>
      <c r="Q24" s="607"/>
    </row>
    <row r="25" spans="1:17" ht="14.5">
      <c r="A25" s="601" t="s">
        <v>1202</v>
      </c>
      <c r="B25" s="602">
        <v>1677039.5099999998</v>
      </c>
      <c r="C25" s="604"/>
      <c r="D25" s="602">
        <v>1561418.0499999998</v>
      </c>
      <c r="E25" s="611"/>
      <c r="F25" s="602">
        <v>2867996.59</v>
      </c>
      <c r="G25" s="602"/>
      <c r="H25" s="611">
        <v>0</v>
      </c>
      <c r="I25" s="611"/>
      <c r="J25" s="611">
        <v>0</v>
      </c>
      <c r="K25" s="611"/>
      <c r="L25" s="611">
        <v>0</v>
      </c>
      <c r="M25" s="611"/>
      <c r="N25" s="605">
        <v>2997.6299999999992</v>
      </c>
      <c r="O25" s="608"/>
      <c r="P25" s="606">
        <f t="shared" si="0"/>
        <v>6109451.7799999993</v>
      </c>
      <c r="Q25" s="607"/>
    </row>
    <row r="26" spans="1:17" ht="14.5">
      <c r="A26" s="601"/>
      <c r="B26" s="611"/>
      <c r="C26" s="604"/>
      <c r="D26" s="611"/>
      <c r="E26" s="611"/>
      <c r="F26" s="611"/>
      <c r="G26" s="611"/>
      <c r="H26" s="611"/>
      <c r="I26" s="611"/>
      <c r="J26" s="611"/>
      <c r="K26" s="611"/>
      <c r="L26" s="611"/>
      <c r="M26" s="611"/>
      <c r="N26" s="605"/>
      <c r="O26" s="608"/>
      <c r="P26" s="606">
        <f t="shared" si="0"/>
        <v>0</v>
      </c>
      <c r="Q26" s="607"/>
    </row>
    <row r="27" spans="1:17" ht="14.5">
      <c r="A27" s="601" t="s">
        <v>1203</v>
      </c>
      <c r="B27" s="602">
        <v>7510383.3900000006</v>
      </c>
      <c r="C27" s="604"/>
      <c r="D27" s="602">
        <v>6654154.0800000001</v>
      </c>
      <c r="E27" s="611"/>
      <c r="F27" s="602">
        <v>10057483.6</v>
      </c>
      <c r="G27" s="602"/>
      <c r="H27" s="611">
        <v>0</v>
      </c>
      <c r="I27" s="611"/>
      <c r="J27" s="611">
        <v>0</v>
      </c>
      <c r="K27" s="611"/>
      <c r="L27" s="611">
        <v>0</v>
      </c>
      <c r="M27" s="611"/>
      <c r="N27" s="605">
        <v>2003.4499999999998</v>
      </c>
      <c r="O27" s="608"/>
      <c r="P27" s="606">
        <f t="shared" si="0"/>
        <v>24224024.52</v>
      </c>
      <c r="Q27" s="607"/>
    </row>
    <row r="28" spans="1:17" ht="14.5">
      <c r="A28" s="601"/>
      <c r="B28" s="611"/>
      <c r="C28" s="604"/>
      <c r="D28" s="611"/>
      <c r="E28" s="611"/>
      <c r="F28" s="611"/>
      <c r="G28" s="611"/>
      <c r="H28" s="611"/>
      <c r="I28" s="611"/>
      <c r="J28" s="611"/>
      <c r="K28" s="611"/>
      <c r="L28" s="611"/>
      <c r="M28" s="611"/>
      <c r="N28" s="605"/>
      <c r="O28" s="608"/>
      <c r="P28" s="606">
        <f t="shared" si="0"/>
        <v>0</v>
      </c>
      <c r="Q28" s="607"/>
    </row>
    <row r="29" spans="1:17" ht="14.5">
      <c r="A29" s="601" t="s">
        <v>1204</v>
      </c>
      <c r="B29" s="602">
        <v>31051003.279999997</v>
      </c>
      <c r="C29" s="604"/>
      <c r="D29" s="602">
        <v>26469193.57</v>
      </c>
      <c r="E29" s="611"/>
      <c r="F29" s="602">
        <v>42719818.580000028</v>
      </c>
      <c r="G29" s="602"/>
      <c r="H29" s="602">
        <v>25079.78</v>
      </c>
      <c r="I29" s="602"/>
      <c r="J29" s="602">
        <v>123596.63999999998</v>
      </c>
      <c r="K29" s="602"/>
      <c r="L29" s="602">
        <v>42921.280000000006</v>
      </c>
      <c r="M29" s="611"/>
      <c r="N29" s="605">
        <v>7302.38</v>
      </c>
      <c r="O29" s="608"/>
      <c r="P29" s="606">
        <f t="shared" si="0"/>
        <v>100438915.51000002</v>
      </c>
      <c r="Q29" s="607"/>
    </row>
    <row r="30" spans="1:17" ht="14.5">
      <c r="A30" s="601"/>
      <c r="B30" s="611"/>
      <c r="C30" s="604"/>
      <c r="D30" s="611"/>
      <c r="E30" s="611"/>
      <c r="F30" s="611"/>
      <c r="G30" s="611"/>
      <c r="H30" s="611"/>
      <c r="I30" s="611"/>
      <c r="J30" s="611"/>
      <c r="K30" s="611"/>
      <c r="L30" s="611"/>
      <c r="M30" s="611"/>
      <c r="N30" s="605"/>
      <c r="O30" s="608"/>
      <c r="P30" s="606">
        <f t="shared" si="0"/>
        <v>0</v>
      </c>
      <c r="Q30" s="607"/>
    </row>
    <row r="31" spans="1:17" ht="14.5">
      <c r="A31" s="601" t="s">
        <v>1205</v>
      </c>
      <c r="B31" s="602">
        <v>705472.90999999992</v>
      </c>
      <c r="C31" s="604"/>
      <c r="D31" s="602">
        <v>682680.09000000008</v>
      </c>
      <c r="E31" s="611"/>
      <c r="F31" s="602">
        <v>1493661.3</v>
      </c>
      <c r="G31" s="602"/>
      <c r="H31" s="611">
        <v>0</v>
      </c>
      <c r="I31" s="611"/>
      <c r="J31" s="611">
        <v>0</v>
      </c>
      <c r="K31" s="611"/>
      <c r="L31" s="611">
        <v>0</v>
      </c>
      <c r="M31" s="611"/>
      <c r="N31" s="605">
        <v>179.19</v>
      </c>
      <c r="O31" s="608"/>
      <c r="P31" s="606">
        <f t="shared" si="0"/>
        <v>2881993.4899999998</v>
      </c>
      <c r="Q31" s="607"/>
    </row>
    <row r="32" spans="1:17">
      <c r="A32" s="613"/>
      <c r="B32" s="614"/>
      <c r="C32" s="614"/>
      <c r="D32" s="614"/>
      <c r="E32" s="614"/>
      <c r="F32" s="614"/>
      <c r="G32" s="614"/>
      <c r="H32" s="614"/>
      <c r="I32" s="614"/>
      <c r="J32" s="614"/>
      <c r="K32" s="614"/>
      <c r="L32" s="614"/>
      <c r="M32" s="614"/>
      <c r="N32" s="615"/>
      <c r="O32" s="615"/>
      <c r="P32" s="614"/>
      <c r="Q32" s="616"/>
    </row>
    <row r="33" spans="1:17" ht="13.5" thickBot="1">
      <c r="A33" s="613" t="s">
        <v>44</v>
      </c>
      <c r="B33" s="617">
        <f>SUM(B9:B31)</f>
        <v>114577717.78999999</v>
      </c>
      <c r="C33" s="617">
        <f t="shared" ref="C33:P33" si="1">SUM(C9:C31)</f>
        <v>0</v>
      </c>
      <c r="D33" s="617">
        <f t="shared" si="1"/>
        <v>102893978.04000002</v>
      </c>
      <c r="E33" s="617">
        <f t="shared" si="1"/>
        <v>0</v>
      </c>
      <c r="F33" s="617">
        <f t="shared" si="1"/>
        <v>145829374.17000002</v>
      </c>
      <c r="G33" s="617">
        <f t="shared" si="1"/>
        <v>0</v>
      </c>
      <c r="H33" s="617">
        <f t="shared" si="1"/>
        <v>25079.78</v>
      </c>
      <c r="I33" s="617">
        <f t="shared" si="1"/>
        <v>0</v>
      </c>
      <c r="J33" s="617">
        <f t="shared" si="1"/>
        <v>123596.63999999998</v>
      </c>
      <c r="K33" s="617">
        <f t="shared" si="1"/>
        <v>0</v>
      </c>
      <c r="L33" s="617">
        <f t="shared" si="1"/>
        <v>42921.280000000006</v>
      </c>
      <c r="M33" s="617">
        <f t="shared" si="1"/>
        <v>0</v>
      </c>
      <c r="N33" s="617">
        <f t="shared" si="1"/>
        <v>8672702.660000002</v>
      </c>
      <c r="O33" s="617">
        <f t="shared" si="1"/>
        <v>0</v>
      </c>
      <c r="P33" s="617">
        <f t="shared" si="1"/>
        <v>372165370.36000001</v>
      </c>
      <c r="Q33" s="616"/>
    </row>
    <row r="34" spans="1:17" ht="13" thickTop="1">
      <c r="B34" s="614"/>
      <c r="C34" s="614"/>
      <c r="D34" s="614"/>
      <c r="E34" s="614"/>
      <c r="F34" s="614"/>
      <c r="G34" s="614"/>
      <c r="H34" s="614"/>
      <c r="I34" s="614"/>
      <c r="J34" s="614"/>
      <c r="K34" s="614"/>
      <c r="L34" s="614"/>
      <c r="M34" s="614"/>
      <c r="N34" s="615" t="s">
        <v>86</v>
      </c>
      <c r="O34" s="615"/>
      <c r="P34" s="614"/>
    </row>
    <row r="35" spans="1:17">
      <c r="B35" s="614"/>
      <c r="C35" s="614"/>
      <c r="D35" s="614"/>
      <c r="E35" s="614"/>
      <c r="F35" s="614"/>
      <c r="G35" s="614"/>
      <c r="H35" s="614"/>
      <c r="I35" s="614"/>
      <c r="J35" s="614"/>
      <c r="K35" s="614"/>
      <c r="L35" s="614"/>
      <c r="M35" s="614"/>
      <c r="N35" s="615"/>
      <c r="O35" s="615"/>
      <c r="P35" s="614"/>
    </row>
    <row r="36" spans="1:17">
      <c r="B36" s="614"/>
      <c r="C36" s="614"/>
      <c r="D36" s="614"/>
      <c r="E36" s="614"/>
      <c r="F36" s="614"/>
      <c r="G36" s="614"/>
      <c r="H36" s="614"/>
      <c r="I36" s="614"/>
      <c r="J36" s="614"/>
      <c r="K36" s="614"/>
      <c r="L36" s="614"/>
      <c r="M36" s="614"/>
      <c r="N36" s="615"/>
      <c r="O36" s="615"/>
      <c r="P36" s="614"/>
    </row>
    <row r="37" spans="1:17">
      <c r="B37" s="614"/>
      <c r="C37" s="614"/>
      <c r="D37" s="614"/>
      <c r="E37" s="614"/>
      <c r="F37" s="614"/>
      <c r="G37" s="614"/>
      <c r="H37" s="614"/>
      <c r="I37" s="614"/>
      <c r="J37" s="614"/>
      <c r="K37" s="614"/>
      <c r="L37" s="614"/>
      <c r="M37" s="614"/>
      <c r="N37" s="615"/>
      <c r="O37" s="615"/>
      <c r="P37" s="614"/>
    </row>
    <row r="38" spans="1:17">
      <c r="B38" s="614"/>
      <c r="C38" s="614"/>
      <c r="D38" s="614"/>
      <c r="E38" s="614"/>
      <c r="F38" s="614"/>
      <c r="G38" s="614"/>
      <c r="H38" s="614"/>
      <c r="I38" s="614"/>
      <c r="J38" s="614"/>
      <c r="K38" s="614"/>
      <c r="L38" s="614"/>
      <c r="M38" s="614"/>
      <c r="N38" s="615"/>
      <c r="O38" s="615"/>
      <c r="P38" s="614"/>
    </row>
    <row r="39" spans="1:17">
      <c r="B39" s="614"/>
      <c r="C39" s="614"/>
      <c r="D39" s="614"/>
      <c r="E39" s="614"/>
      <c r="F39" s="614"/>
      <c r="G39" s="614"/>
      <c r="H39" s="614"/>
      <c r="I39" s="614"/>
      <c r="J39" s="614"/>
      <c r="K39" s="614"/>
      <c r="L39" s="614"/>
      <c r="M39" s="614"/>
      <c r="N39" s="615"/>
      <c r="O39" s="615"/>
      <c r="P39" s="614"/>
    </row>
    <row r="40" spans="1:17">
      <c r="B40" s="614"/>
      <c r="C40" s="614"/>
      <c r="D40" s="614"/>
      <c r="E40" s="614"/>
      <c r="F40" s="614"/>
      <c r="G40" s="614"/>
      <c r="H40" s="614"/>
      <c r="I40" s="614"/>
      <c r="J40" s="614"/>
      <c r="K40" s="614"/>
      <c r="L40" s="614"/>
      <c r="M40" s="614"/>
      <c r="N40" s="615"/>
      <c r="O40" s="615"/>
      <c r="P40" s="614"/>
    </row>
    <row r="41" spans="1:17">
      <c r="B41" s="614"/>
      <c r="C41" s="614"/>
      <c r="D41" s="614"/>
      <c r="E41" s="614"/>
      <c r="F41" s="614"/>
      <c r="G41" s="614"/>
      <c r="H41" s="614"/>
      <c r="I41" s="614"/>
      <c r="J41" s="614"/>
      <c r="K41" s="614"/>
      <c r="L41" s="614"/>
      <c r="M41" s="614"/>
      <c r="N41" s="615"/>
      <c r="O41" s="615"/>
      <c r="P41" s="614"/>
    </row>
    <row r="42" spans="1:17">
      <c r="B42" s="614"/>
      <c r="C42" s="614"/>
      <c r="D42" s="614"/>
      <c r="E42" s="614"/>
      <c r="F42" s="614"/>
      <c r="G42" s="614"/>
      <c r="H42" s="614"/>
      <c r="I42" s="614"/>
      <c r="J42" s="614"/>
      <c r="K42" s="614"/>
      <c r="L42" s="614"/>
      <c r="M42" s="614"/>
      <c r="N42" s="615"/>
      <c r="O42" s="615"/>
      <c r="P42" s="614"/>
    </row>
    <row r="43" spans="1:17">
      <c r="B43" s="614"/>
      <c r="C43" s="614"/>
      <c r="D43" s="614"/>
      <c r="E43" s="614"/>
      <c r="F43" s="614"/>
      <c r="G43" s="614"/>
      <c r="H43" s="614"/>
      <c r="I43" s="614"/>
      <c r="J43" s="614"/>
      <c r="K43" s="614"/>
      <c r="L43" s="614"/>
      <c r="M43" s="614"/>
      <c r="N43" s="615"/>
      <c r="O43" s="615"/>
      <c r="P43" s="614"/>
    </row>
    <row r="44" spans="1:17">
      <c r="B44" s="614"/>
      <c r="C44" s="614"/>
      <c r="D44" s="614"/>
      <c r="E44" s="614"/>
      <c r="F44" s="614"/>
      <c r="G44" s="614"/>
      <c r="H44" s="614"/>
      <c r="I44" s="614"/>
      <c r="J44" s="614"/>
      <c r="K44" s="614"/>
      <c r="L44" s="614"/>
      <c r="M44" s="614"/>
      <c r="N44" s="615"/>
      <c r="O44" s="615"/>
      <c r="P44" s="614"/>
    </row>
    <row r="45" spans="1:17">
      <c r="B45" s="614"/>
      <c r="C45" s="614"/>
      <c r="D45" s="614"/>
      <c r="E45" s="614"/>
      <c r="F45" s="614"/>
      <c r="G45" s="614"/>
      <c r="H45" s="614"/>
      <c r="I45" s="614"/>
      <c r="J45" s="614"/>
      <c r="K45" s="614"/>
      <c r="L45" s="614"/>
      <c r="M45" s="614"/>
      <c r="N45" s="615"/>
      <c r="O45" s="615"/>
      <c r="P45" s="614"/>
    </row>
    <row r="46" spans="1:17">
      <c r="B46" s="614"/>
      <c r="C46" s="614"/>
      <c r="D46" s="614"/>
      <c r="E46" s="614"/>
      <c r="F46" s="614"/>
      <c r="G46" s="614"/>
      <c r="H46" s="614"/>
      <c r="I46" s="614"/>
      <c r="J46" s="614"/>
      <c r="K46" s="614"/>
      <c r="L46" s="614"/>
      <c r="M46" s="614"/>
      <c r="N46" s="615"/>
      <c r="O46" s="615"/>
      <c r="P46" s="614"/>
    </row>
    <row r="47" spans="1:17">
      <c r="B47" s="614"/>
      <c r="C47" s="614"/>
      <c r="D47" s="614"/>
      <c r="E47" s="614"/>
      <c r="F47" s="614"/>
      <c r="G47" s="614"/>
      <c r="H47" s="614"/>
      <c r="I47" s="614"/>
      <c r="J47" s="614"/>
      <c r="K47" s="614"/>
      <c r="L47" s="614"/>
      <c r="M47" s="614"/>
      <c r="N47" s="615"/>
      <c r="O47" s="615"/>
      <c r="P47" s="614"/>
    </row>
    <row r="48" spans="1:17">
      <c r="B48" s="614"/>
      <c r="C48" s="614"/>
      <c r="D48" s="614"/>
      <c r="E48" s="614"/>
      <c r="F48" s="614"/>
      <c r="G48" s="614"/>
      <c r="H48" s="614"/>
      <c r="I48" s="614"/>
      <c r="J48" s="614"/>
      <c r="K48" s="614"/>
      <c r="L48" s="614"/>
      <c r="M48" s="614"/>
      <c r="N48" s="615"/>
      <c r="O48" s="615"/>
      <c r="P48" s="614"/>
    </row>
    <row r="49" spans="2:16">
      <c r="B49" s="614"/>
      <c r="C49" s="614"/>
      <c r="D49" s="614"/>
      <c r="E49" s="614"/>
      <c r="F49" s="614"/>
      <c r="G49" s="614"/>
      <c r="H49" s="614"/>
      <c r="I49" s="614"/>
      <c r="J49" s="614"/>
      <c r="K49" s="614"/>
      <c r="L49" s="614"/>
      <c r="M49" s="614"/>
      <c r="N49" s="615"/>
      <c r="O49" s="615"/>
      <c r="P49" s="614"/>
    </row>
    <row r="50" spans="2:16">
      <c r="B50" s="614"/>
      <c r="C50" s="614"/>
      <c r="D50" s="614"/>
      <c r="E50" s="614"/>
      <c r="F50" s="614"/>
      <c r="G50" s="614"/>
      <c r="H50" s="614"/>
      <c r="I50" s="614"/>
      <c r="J50" s="614"/>
      <c r="K50" s="614"/>
      <c r="L50" s="614"/>
      <c r="M50" s="614"/>
      <c r="N50" s="615"/>
      <c r="O50" s="615"/>
      <c r="P50" s="614"/>
    </row>
    <row r="51" spans="2:16">
      <c r="B51" s="614"/>
      <c r="C51" s="614"/>
      <c r="D51" s="614"/>
      <c r="E51" s="614"/>
      <c r="F51" s="614"/>
      <c r="G51" s="614"/>
      <c r="H51" s="614"/>
      <c r="I51" s="614"/>
      <c r="J51" s="614"/>
      <c r="K51" s="614"/>
      <c r="L51" s="614"/>
      <c r="M51" s="614"/>
      <c r="N51" s="615"/>
      <c r="O51" s="615"/>
      <c r="P51" s="614"/>
    </row>
    <row r="52" spans="2:16">
      <c r="B52" s="614"/>
      <c r="C52" s="614"/>
      <c r="D52" s="614"/>
      <c r="E52" s="614"/>
      <c r="F52" s="614"/>
      <c r="G52" s="614"/>
      <c r="H52" s="614"/>
      <c r="I52" s="614"/>
      <c r="J52" s="614"/>
      <c r="K52" s="614"/>
      <c r="L52" s="614"/>
      <c r="M52" s="614"/>
      <c r="N52" s="615"/>
      <c r="O52" s="615"/>
      <c r="P52" s="614"/>
    </row>
    <row r="53" spans="2:16">
      <c r="B53" s="614"/>
      <c r="C53" s="614"/>
      <c r="D53" s="614"/>
      <c r="E53" s="614"/>
      <c r="F53" s="614"/>
      <c r="G53" s="614"/>
      <c r="H53" s="614"/>
      <c r="I53" s="614"/>
      <c r="J53" s="614"/>
      <c r="K53" s="614"/>
      <c r="L53" s="614"/>
      <c r="M53" s="614"/>
      <c r="N53" s="615"/>
      <c r="O53" s="615"/>
      <c r="P53" s="614"/>
    </row>
    <row r="54" spans="2:16">
      <c r="B54" s="614"/>
      <c r="C54" s="614"/>
      <c r="D54" s="614"/>
      <c r="E54" s="614"/>
      <c r="F54" s="614"/>
      <c r="G54" s="614"/>
      <c r="H54" s="614"/>
      <c r="I54" s="614"/>
      <c r="J54" s="614"/>
      <c r="K54" s="614"/>
      <c r="L54" s="614"/>
      <c r="M54" s="614"/>
      <c r="N54" s="615"/>
      <c r="O54" s="615"/>
      <c r="P54" s="614"/>
    </row>
    <row r="55" spans="2:16">
      <c r="B55" s="614"/>
      <c r="C55" s="614"/>
      <c r="D55" s="614"/>
      <c r="E55" s="614"/>
      <c r="F55" s="614"/>
      <c r="G55" s="614"/>
      <c r="H55" s="614"/>
      <c r="I55" s="614"/>
      <c r="J55" s="614"/>
      <c r="K55" s="614"/>
      <c r="L55" s="614"/>
      <c r="M55" s="614"/>
      <c r="N55" s="615"/>
      <c r="O55" s="615"/>
      <c r="P55" s="614"/>
    </row>
    <row r="56" spans="2:16">
      <c r="B56" s="614"/>
      <c r="C56" s="614"/>
      <c r="D56" s="614"/>
      <c r="E56" s="614"/>
      <c r="F56" s="614"/>
      <c r="G56" s="614"/>
      <c r="H56" s="614"/>
      <c r="I56" s="614"/>
      <c r="J56" s="614"/>
      <c r="K56" s="614"/>
      <c r="L56" s="614"/>
      <c r="M56" s="614"/>
      <c r="N56" s="615"/>
      <c r="O56" s="615"/>
      <c r="P56" s="614"/>
    </row>
    <row r="57" spans="2:16">
      <c r="B57" s="614"/>
      <c r="C57" s="614"/>
      <c r="D57" s="614"/>
      <c r="E57" s="614"/>
      <c r="F57" s="614"/>
      <c r="G57" s="614"/>
      <c r="H57" s="614"/>
      <c r="I57" s="614"/>
      <c r="J57" s="614"/>
      <c r="K57" s="614"/>
      <c r="L57" s="614"/>
      <c r="M57" s="614"/>
      <c r="N57" s="615"/>
      <c r="O57" s="615"/>
      <c r="P57" s="614"/>
    </row>
    <row r="58" spans="2:16">
      <c r="B58" s="614"/>
      <c r="C58" s="614"/>
      <c r="D58" s="614"/>
      <c r="E58" s="614"/>
      <c r="F58" s="614"/>
      <c r="G58" s="614"/>
      <c r="H58" s="614"/>
      <c r="I58" s="614"/>
      <c r="J58" s="614"/>
      <c r="K58" s="614"/>
      <c r="L58" s="614"/>
      <c r="M58" s="614"/>
      <c r="N58" s="615"/>
      <c r="O58" s="615"/>
      <c r="P58" s="614"/>
    </row>
    <row r="59" spans="2:16">
      <c r="B59" s="614"/>
      <c r="C59" s="614"/>
      <c r="D59" s="614"/>
      <c r="E59" s="614"/>
      <c r="F59" s="614"/>
      <c r="G59" s="614"/>
      <c r="H59" s="614"/>
      <c r="I59" s="614"/>
      <c r="J59" s="614"/>
      <c r="K59" s="614"/>
      <c r="L59" s="614"/>
      <c r="M59" s="614"/>
      <c r="N59" s="615"/>
      <c r="O59" s="615"/>
      <c r="P59" s="614"/>
    </row>
    <row r="60" spans="2:16">
      <c r="B60" s="614"/>
      <c r="C60" s="614"/>
      <c r="D60" s="614"/>
      <c r="E60" s="614"/>
      <c r="F60" s="614"/>
      <c r="G60" s="614"/>
      <c r="H60" s="614"/>
      <c r="I60" s="614"/>
      <c r="J60" s="614"/>
      <c r="K60" s="614"/>
      <c r="L60" s="614"/>
      <c r="M60" s="614"/>
      <c r="N60" s="615"/>
      <c r="O60" s="615"/>
      <c r="P60" s="614"/>
    </row>
    <row r="61" spans="2:16">
      <c r="B61" s="614"/>
      <c r="C61" s="614"/>
      <c r="D61" s="614"/>
      <c r="E61" s="614"/>
      <c r="F61" s="614"/>
      <c r="G61" s="614"/>
      <c r="H61" s="614"/>
      <c r="I61" s="614"/>
      <c r="J61" s="614"/>
      <c r="K61" s="614"/>
      <c r="L61" s="614"/>
      <c r="M61" s="614"/>
      <c r="N61" s="615"/>
      <c r="O61" s="615"/>
      <c r="P61" s="614"/>
    </row>
    <row r="62" spans="2:16">
      <c r="B62" s="614"/>
      <c r="C62" s="614"/>
      <c r="D62" s="614"/>
      <c r="E62" s="614"/>
      <c r="F62" s="614"/>
      <c r="G62" s="614"/>
      <c r="H62" s="614"/>
      <c r="I62" s="614"/>
      <c r="J62" s="614"/>
      <c r="K62" s="614"/>
      <c r="L62" s="614"/>
      <c r="M62" s="614"/>
      <c r="N62" s="615"/>
      <c r="O62" s="615"/>
      <c r="P62" s="614"/>
    </row>
    <row r="63" spans="2:16">
      <c r="B63" s="614"/>
      <c r="C63" s="614"/>
      <c r="D63" s="614"/>
      <c r="E63" s="614"/>
      <c r="F63" s="614"/>
      <c r="G63" s="614"/>
      <c r="H63" s="614"/>
      <c r="I63" s="614"/>
      <c r="J63" s="614"/>
      <c r="K63" s="614"/>
      <c r="L63" s="614"/>
      <c r="M63" s="614"/>
      <c r="N63" s="615"/>
      <c r="O63" s="615"/>
      <c r="P63" s="614"/>
    </row>
    <row r="64" spans="2:16">
      <c r="B64" s="614"/>
      <c r="C64" s="614"/>
      <c r="D64" s="614"/>
      <c r="E64" s="614"/>
      <c r="F64" s="614"/>
      <c r="G64" s="614"/>
      <c r="H64" s="614"/>
      <c r="I64" s="614"/>
      <c r="J64" s="614"/>
      <c r="K64" s="614"/>
      <c r="L64" s="614"/>
      <c r="M64" s="614"/>
      <c r="N64" s="615"/>
      <c r="O64" s="615"/>
      <c r="P64" s="614"/>
    </row>
    <row r="65" spans="2:16">
      <c r="B65" s="614"/>
      <c r="C65" s="614"/>
      <c r="D65" s="614"/>
      <c r="E65" s="614"/>
      <c r="F65" s="614"/>
      <c r="G65" s="614"/>
      <c r="H65" s="614"/>
      <c r="I65" s="614"/>
      <c r="J65" s="614"/>
      <c r="K65" s="614"/>
      <c r="L65" s="614"/>
      <c r="M65" s="614"/>
      <c r="N65" s="615"/>
      <c r="O65" s="615"/>
      <c r="P65" s="614"/>
    </row>
    <row r="66" spans="2:16">
      <c r="B66" s="614"/>
      <c r="C66" s="614"/>
      <c r="D66" s="614"/>
      <c r="E66" s="614"/>
      <c r="F66" s="614"/>
      <c r="G66" s="614"/>
      <c r="H66" s="614"/>
      <c r="I66" s="614"/>
      <c r="J66" s="614"/>
      <c r="K66" s="614"/>
      <c r="L66" s="614"/>
      <c r="M66" s="614"/>
      <c r="N66" s="615"/>
      <c r="O66" s="615"/>
      <c r="P66" s="614"/>
    </row>
    <row r="67" spans="2:16">
      <c r="B67" s="614"/>
      <c r="C67" s="614"/>
      <c r="D67" s="614"/>
      <c r="E67" s="614"/>
      <c r="F67" s="614"/>
      <c r="G67" s="614"/>
      <c r="H67" s="614"/>
      <c r="I67" s="614"/>
      <c r="J67" s="614"/>
      <c r="K67" s="614"/>
      <c r="L67" s="614"/>
      <c r="M67" s="614"/>
      <c r="N67" s="615"/>
      <c r="O67" s="615"/>
      <c r="P67" s="614"/>
    </row>
    <row r="68" spans="2:16">
      <c r="B68" s="614"/>
      <c r="C68" s="614"/>
      <c r="D68" s="614"/>
      <c r="E68" s="614"/>
      <c r="F68" s="614"/>
      <c r="G68" s="614"/>
      <c r="H68" s="614"/>
      <c r="I68" s="614"/>
      <c r="J68" s="614"/>
      <c r="K68" s="614"/>
      <c r="L68" s="614"/>
      <c r="M68" s="614"/>
      <c r="N68" s="615"/>
      <c r="O68" s="615"/>
      <c r="P68" s="614"/>
    </row>
    <row r="69" spans="2:16">
      <c r="B69" s="614"/>
      <c r="C69" s="614"/>
      <c r="D69" s="614"/>
      <c r="E69" s="614"/>
      <c r="F69" s="614"/>
      <c r="G69" s="614"/>
      <c r="H69" s="614"/>
      <c r="I69" s="614"/>
      <c r="J69" s="614"/>
      <c r="K69" s="614"/>
      <c r="L69" s="614"/>
      <c r="M69" s="614"/>
      <c r="N69" s="615"/>
      <c r="O69" s="615"/>
      <c r="P69" s="614"/>
    </row>
    <row r="70" spans="2:16">
      <c r="B70" s="614"/>
      <c r="C70" s="614"/>
      <c r="D70" s="614"/>
      <c r="E70" s="614"/>
      <c r="F70" s="614"/>
      <c r="G70" s="614"/>
      <c r="H70" s="614"/>
      <c r="I70" s="614"/>
      <c r="J70" s="614"/>
      <c r="K70" s="614"/>
      <c r="L70" s="614"/>
      <c r="M70" s="614"/>
      <c r="N70" s="615"/>
      <c r="O70" s="615"/>
      <c r="P70" s="614"/>
    </row>
    <row r="71" spans="2:16">
      <c r="B71" s="614"/>
      <c r="C71" s="614"/>
      <c r="D71" s="614"/>
      <c r="E71" s="614"/>
      <c r="F71" s="614"/>
      <c r="G71" s="614"/>
      <c r="H71" s="614"/>
      <c r="I71" s="614"/>
      <c r="J71" s="614"/>
      <c r="K71" s="614"/>
      <c r="L71" s="614"/>
      <c r="M71" s="614"/>
      <c r="N71" s="615"/>
      <c r="O71" s="615"/>
      <c r="P71" s="614"/>
    </row>
    <row r="72" spans="2:16">
      <c r="B72" s="614"/>
      <c r="C72" s="614"/>
      <c r="D72" s="614"/>
      <c r="E72" s="614"/>
      <c r="F72" s="614"/>
      <c r="G72" s="614"/>
      <c r="H72" s="614"/>
      <c r="I72" s="614"/>
      <c r="J72" s="614"/>
      <c r="K72" s="614"/>
      <c r="L72" s="614"/>
      <c r="M72" s="614"/>
      <c r="N72" s="615"/>
      <c r="O72" s="615"/>
      <c r="P72" s="614"/>
    </row>
    <row r="73" spans="2:16">
      <c r="B73" s="614"/>
      <c r="C73" s="614"/>
      <c r="D73" s="614"/>
      <c r="E73" s="614"/>
      <c r="F73" s="614"/>
      <c r="G73" s="614"/>
      <c r="H73" s="614"/>
      <c r="I73" s="614"/>
      <c r="J73" s="614"/>
      <c r="K73" s="614"/>
      <c r="L73" s="614"/>
      <c r="M73" s="614"/>
      <c r="N73" s="615"/>
      <c r="O73" s="615"/>
      <c r="P73" s="614"/>
    </row>
    <row r="74" spans="2:16">
      <c r="B74" s="614"/>
      <c r="C74" s="614"/>
      <c r="D74" s="614"/>
      <c r="E74" s="614"/>
      <c r="F74" s="614"/>
      <c r="G74" s="614"/>
      <c r="H74" s="614"/>
      <c r="I74" s="614"/>
      <c r="J74" s="614"/>
      <c r="K74" s="614"/>
      <c r="L74" s="614"/>
      <c r="M74" s="614"/>
      <c r="N74" s="615"/>
      <c r="O74" s="615"/>
      <c r="P74" s="614"/>
    </row>
    <row r="75" spans="2:16">
      <c r="B75" s="614"/>
      <c r="C75" s="614"/>
      <c r="D75" s="614"/>
      <c r="E75" s="614"/>
      <c r="F75" s="614"/>
      <c r="G75" s="614"/>
      <c r="H75" s="614"/>
      <c r="I75" s="614"/>
      <c r="J75" s="614"/>
      <c r="K75" s="614"/>
      <c r="L75" s="614"/>
      <c r="M75" s="614"/>
      <c r="N75" s="615"/>
      <c r="O75" s="615"/>
      <c r="P75" s="614"/>
    </row>
    <row r="76" spans="2:16">
      <c r="B76" s="614"/>
      <c r="C76" s="614"/>
      <c r="D76" s="614"/>
      <c r="E76" s="614"/>
      <c r="F76" s="614"/>
      <c r="G76" s="614"/>
      <c r="H76" s="614"/>
      <c r="I76" s="614"/>
      <c r="J76" s="614"/>
      <c r="K76" s="614"/>
      <c r="L76" s="614"/>
      <c r="M76" s="614"/>
      <c r="N76" s="615"/>
      <c r="O76" s="615"/>
      <c r="P76" s="614"/>
    </row>
    <row r="77" spans="2:16">
      <c r="B77" s="614"/>
      <c r="C77" s="614"/>
      <c r="D77" s="614"/>
      <c r="E77" s="614"/>
      <c r="F77" s="614"/>
      <c r="G77" s="614"/>
      <c r="H77" s="614"/>
      <c r="I77" s="614"/>
      <c r="J77" s="614"/>
      <c r="K77" s="614"/>
      <c r="L77" s="614"/>
      <c r="M77" s="614"/>
      <c r="N77" s="615"/>
      <c r="O77" s="615"/>
      <c r="P77" s="614"/>
    </row>
    <row r="78" spans="2:16">
      <c r="B78" s="614"/>
      <c r="C78" s="614"/>
      <c r="D78" s="614"/>
      <c r="E78" s="614"/>
      <c r="F78" s="614"/>
      <c r="G78" s="614"/>
      <c r="H78" s="614"/>
      <c r="I78" s="614"/>
      <c r="J78" s="614"/>
      <c r="K78" s="614"/>
      <c r="L78" s="614"/>
      <c r="M78" s="614"/>
      <c r="N78" s="615"/>
      <c r="O78" s="615"/>
      <c r="P78" s="614"/>
    </row>
    <row r="79" spans="2:16">
      <c r="B79" s="614"/>
      <c r="C79" s="614"/>
      <c r="D79" s="614"/>
      <c r="E79" s="614"/>
      <c r="F79" s="614"/>
      <c r="G79" s="614"/>
      <c r="H79" s="614"/>
      <c r="I79" s="614"/>
      <c r="J79" s="614"/>
      <c r="K79" s="614"/>
      <c r="L79" s="614"/>
      <c r="M79" s="614"/>
      <c r="N79" s="615"/>
      <c r="O79" s="615"/>
      <c r="P79" s="614"/>
    </row>
    <row r="80" spans="2:16">
      <c r="B80" s="614"/>
      <c r="C80" s="614"/>
      <c r="D80" s="614"/>
      <c r="E80" s="614"/>
      <c r="F80" s="614"/>
      <c r="G80" s="614"/>
      <c r="H80" s="614"/>
      <c r="I80" s="614"/>
      <c r="J80" s="614"/>
      <c r="K80" s="614"/>
      <c r="L80" s="614"/>
      <c r="M80" s="614"/>
      <c r="N80" s="615"/>
      <c r="O80" s="615"/>
      <c r="P80" s="614"/>
    </row>
    <row r="81" spans="2:16">
      <c r="B81" s="614"/>
      <c r="C81" s="614"/>
      <c r="D81" s="614"/>
      <c r="E81" s="614"/>
      <c r="F81" s="614"/>
      <c r="G81" s="614"/>
      <c r="H81" s="614"/>
      <c r="I81" s="614"/>
      <c r="J81" s="614"/>
      <c r="K81" s="614"/>
      <c r="L81" s="614"/>
      <c r="M81" s="614"/>
      <c r="N81" s="615"/>
      <c r="O81" s="615"/>
      <c r="P81" s="614"/>
    </row>
    <row r="82" spans="2:16">
      <c r="B82" s="614"/>
      <c r="C82" s="614"/>
      <c r="D82" s="614"/>
      <c r="E82" s="614"/>
      <c r="F82" s="614"/>
      <c r="G82" s="614"/>
      <c r="H82" s="614"/>
      <c r="I82" s="614"/>
      <c r="J82" s="614"/>
      <c r="K82" s="614"/>
      <c r="L82" s="614"/>
      <c r="M82" s="614"/>
      <c r="N82" s="615"/>
      <c r="O82" s="615"/>
      <c r="P82" s="614"/>
    </row>
    <row r="83" spans="2:16">
      <c r="B83" s="614"/>
      <c r="C83" s="614"/>
      <c r="D83" s="614"/>
      <c r="E83" s="614"/>
      <c r="F83" s="614"/>
      <c r="G83" s="614"/>
      <c r="H83" s="614"/>
      <c r="I83" s="614"/>
      <c r="J83" s="614"/>
      <c r="K83" s="614"/>
      <c r="L83" s="614"/>
      <c r="M83" s="614"/>
      <c r="N83" s="615"/>
      <c r="O83" s="615"/>
      <c r="P83" s="614"/>
    </row>
    <row r="84" spans="2:16">
      <c r="B84" s="614"/>
      <c r="C84" s="614"/>
      <c r="D84" s="614"/>
      <c r="E84" s="614"/>
      <c r="F84" s="614"/>
      <c r="G84" s="614"/>
      <c r="H84" s="614"/>
      <c r="I84" s="614"/>
      <c r="J84" s="614"/>
      <c r="K84" s="614"/>
      <c r="L84" s="614"/>
      <c r="M84" s="614"/>
      <c r="N84" s="615"/>
      <c r="O84" s="615"/>
      <c r="P84" s="614"/>
    </row>
    <row r="85" spans="2:16">
      <c r="B85" s="614"/>
      <c r="C85" s="614"/>
      <c r="D85" s="614"/>
      <c r="E85" s="614"/>
      <c r="F85" s="614"/>
      <c r="G85" s="614"/>
      <c r="H85" s="614"/>
      <c r="I85" s="614"/>
      <c r="J85" s="614"/>
      <c r="K85" s="614"/>
      <c r="L85" s="614"/>
      <c r="M85" s="614"/>
      <c r="N85" s="615"/>
      <c r="O85" s="615"/>
      <c r="P85" s="614"/>
    </row>
    <row r="86" spans="2:16">
      <c r="B86" s="614"/>
      <c r="C86" s="614"/>
      <c r="D86" s="614"/>
      <c r="E86" s="614"/>
      <c r="F86" s="614"/>
      <c r="G86" s="614"/>
      <c r="H86" s="614"/>
      <c r="I86" s="614"/>
      <c r="J86" s="614"/>
      <c r="K86" s="614"/>
      <c r="L86" s="614"/>
      <c r="M86" s="614"/>
      <c r="N86" s="615"/>
      <c r="O86" s="615"/>
      <c r="P86" s="614"/>
    </row>
    <row r="87" spans="2:16">
      <c r="B87" s="614"/>
      <c r="C87" s="614"/>
      <c r="D87" s="614"/>
      <c r="E87" s="614"/>
      <c r="F87" s="614"/>
      <c r="G87" s="614"/>
      <c r="H87" s="614"/>
      <c r="I87" s="614"/>
      <c r="J87" s="614"/>
      <c r="K87" s="614"/>
      <c r="L87" s="614"/>
      <c r="M87" s="614"/>
      <c r="N87" s="615"/>
      <c r="O87" s="615"/>
      <c r="P87" s="614"/>
    </row>
    <row r="88" spans="2:16">
      <c r="B88" s="614"/>
      <c r="C88" s="614"/>
      <c r="D88" s="614"/>
      <c r="E88" s="614"/>
      <c r="F88" s="614"/>
      <c r="G88" s="614"/>
      <c r="H88" s="614"/>
      <c r="I88" s="614"/>
      <c r="J88" s="614"/>
      <c r="K88" s="614"/>
      <c r="L88" s="614"/>
      <c r="M88" s="614"/>
      <c r="N88" s="615"/>
      <c r="O88" s="615"/>
      <c r="P88" s="614"/>
    </row>
    <row r="89" spans="2:16">
      <c r="B89" s="614"/>
      <c r="C89" s="614"/>
      <c r="D89" s="614"/>
      <c r="E89" s="614"/>
      <c r="F89" s="614"/>
      <c r="G89" s="614"/>
      <c r="H89" s="614"/>
      <c r="I89" s="614"/>
      <c r="J89" s="614"/>
      <c r="K89" s="614"/>
      <c r="L89" s="614"/>
      <c r="M89" s="614"/>
      <c r="N89" s="615"/>
      <c r="O89" s="615"/>
      <c r="P89" s="614"/>
    </row>
    <row r="90" spans="2:16">
      <c r="B90" s="614"/>
      <c r="C90" s="614"/>
      <c r="D90" s="614"/>
      <c r="E90" s="614"/>
      <c r="F90" s="614"/>
      <c r="G90" s="614"/>
      <c r="H90" s="614"/>
      <c r="I90" s="614"/>
      <c r="J90" s="614"/>
      <c r="K90" s="614"/>
      <c r="L90" s="614"/>
      <c r="M90" s="614"/>
      <c r="N90" s="615"/>
      <c r="O90" s="615"/>
      <c r="P90" s="614"/>
    </row>
    <row r="91" spans="2:16">
      <c r="B91" s="614"/>
      <c r="C91" s="614"/>
      <c r="D91" s="614"/>
      <c r="E91" s="614"/>
      <c r="F91" s="614"/>
      <c r="G91" s="614"/>
      <c r="H91" s="614"/>
      <c r="I91" s="614"/>
      <c r="J91" s="614"/>
      <c r="K91" s="614"/>
      <c r="L91" s="614"/>
      <c r="M91" s="614"/>
      <c r="N91" s="615"/>
      <c r="O91" s="615"/>
      <c r="P91" s="614"/>
    </row>
    <row r="92" spans="2:16">
      <c r="B92" s="614"/>
      <c r="C92" s="614"/>
      <c r="D92" s="614"/>
      <c r="E92" s="614"/>
      <c r="F92" s="614"/>
      <c r="G92" s="614"/>
      <c r="H92" s="614"/>
      <c r="I92" s="614"/>
      <c r="J92" s="614"/>
      <c r="K92" s="614"/>
      <c r="L92" s="614"/>
      <c r="M92" s="614"/>
      <c r="N92" s="615"/>
      <c r="O92" s="615"/>
      <c r="P92" s="614"/>
    </row>
    <row r="93" spans="2:16">
      <c r="B93" s="614"/>
      <c r="C93" s="614"/>
      <c r="D93" s="614"/>
      <c r="E93" s="614"/>
      <c r="F93" s="614"/>
      <c r="G93" s="614"/>
      <c r="H93" s="614"/>
      <c r="I93" s="614"/>
      <c r="J93" s="614"/>
      <c r="K93" s="614"/>
      <c r="L93" s="614"/>
      <c r="M93" s="614"/>
      <c r="N93" s="615"/>
      <c r="O93" s="615"/>
      <c r="P93" s="614"/>
    </row>
    <row r="94" spans="2:16">
      <c r="B94" s="614"/>
      <c r="C94" s="614"/>
      <c r="D94" s="614"/>
      <c r="E94" s="614"/>
      <c r="F94" s="614"/>
      <c r="G94" s="614"/>
      <c r="H94" s="614"/>
      <c r="I94" s="614"/>
      <c r="J94" s="614"/>
      <c r="K94" s="614"/>
      <c r="L94" s="614"/>
      <c r="M94" s="614"/>
      <c r="N94" s="615"/>
      <c r="O94" s="615"/>
      <c r="P94" s="614"/>
    </row>
    <row r="95" spans="2:16">
      <c r="B95" s="614"/>
      <c r="C95" s="614"/>
      <c r="D95" s="614"/>
      <c r="E95" s="614"/>
      <c r="F95" s="614"/>
      <c r="G95" s="614"/>
      <c r="H95" s="614"/>
      <c r="I95" s="614"/>
      <c r="J95" s="614"/>
      <c r="K95" s="614"/>
      <c r="L95" s="614"/>
      <c r="M95" s="614"/>
      <c r="N95" s="615"/>
      <c r="O95" s="615"/>
      <c r="P95" s="614"/>
    </row>
    <row r="96" spans="2:16">
      <c r="B96" s="614"/>
      <c r="C96" s="614"/>
      <c r="D96" s="614"/>
      <c r="E96" s="614"/>
      <c r="F96" s="614"/>
      <c r="G96" s="614"/>
      <c r="H96" s="614"/>
      <c r="I96" s="614"/>
      <c r="J96" s="614"/>
      <c r="K96" s="614"/>
      <c r="L96" s="614"/>
      <c r="M96" s="614"/>
      <c r="N96" s="615"/>
      <c r="O96" s="615"/>
      <c r="P96" s="614"/>
    </row>
    <row r="97" spans="2:16">
      <c r="B97" s="614"/>
      <c r="C97" s="614"/>
      <c r="D97" s="614"/>
      <c r="E97" s="614"/>
      <c r="F97" s="614"/>
      <c r="G97" s="614"/>
      <c r="H97" s="614"/>
      <c r="I97" s="614"/>
      <c r="J97" s="614"/>
      <c r="K97" s="614"/>
      <c r="L97" s="614"/>
      <c r="M97" s="614"/>
      <c r="N97" s="615"/>
      <c r="O97" s="615"/>
      <c r="P97" s="614"/>
    </row>
    <row r="98" spans="2:16">
      <c r="B98" s="614"/>
      <c r="C98" s="614"/>
      <c r="D98" s="614"/>
      <c r="E98" s="614"/>
      <c r="F98" s="614"/>
      <c r="G98" s="614"/>
      <c r="H98" s="614"/>
      <c r="I98" s="614"/>
      <c r="J98" s="614"/>
      <c r="K98" s="614"/>
      <c r="L98" s="614"/>
      <c r="M98" s="614"/>
      <c r="N98" s="615"/>
      <c r="O98" s="615"/>
      <c r="P98" s="614"/>
    </row>
    <row r="99" spans="2:16">
      <c r="B99" s="614"/>
      <c r="C99" s="614"/>
      <c r="D99" s="614"/>
      <c r="E99" s="614"/>
      <c r="F99" s="614"/>
      <c r="G99" s="614"/>
      <c r="H99" s="614"/>
      <c r="I99" s="614"/>
      <c r="J99" s="614"/>
      <c r="K99" s="614"/>
      <c r="L99" s="614"/>
      <c r="M99" s="614"/>
      <c r="N99" s="615"/>
      <c r="O99" s="615"/>
      <c r="P99" s="614"/>
    </row>
    <row r="100" spans="2:16">
      <c r="B100" s="614"/>
      <c r="C100" s="614"/>
      <c r="D100" s="614"/>
      <c r="E100" s="614"/>
      <c r="F100" s="614"/>
      <c r="G100" s="614"/>
      <c r="H100" s="614"/>
      <c r="I100" s="614"/>
      <c r="J100" s="614"/>
      <c r="K100" s="614"/>
      <c r="L100" s="614"/>
      <c r="M100" s="614"/>
      <c r="N100" s="615"/>
      <c r="O100" s="615"/>
      <c r="P100" s="614"/>
    </row>
    <row r="101" spans="2:16">
      <c r="B101" s="614"/>
      <c r="C101" s="614"/>
      <c r="D101" s="614"/>
      <c r="E101" s="614"/>
      <c r="F101" s="614"/>
      <c r="G101" s="614"/>
      <c r="H101" s="614"/>
      <c r="I101" s="614"/>
      <c r="J101" s="614"/>
      <c r="K101" s="614"/>
      <c r="L101" s="614"/>
      <c r="M101" s="614"/>
      <c r="N101" s="615"/>
      <c r="O101" s="615"/>
      <c r="P101" s="614"/>
    </row>
    <row r="102" spans="2:16">
      <c r="B102" s="614"/>
      <c r="C102" s="614"/>
      <c r="D102" s="614"/>
      <c r="E102" s="614"/>
      <c r="F102" s="614"/>
      <c r="G102" s="614"/>
      <c r="H102" s="614"/>
      <c r="I102" s="614"/>
      <c r="J102" s="614"/>
      <c r="K102" s="614"/>
      <c r="L102" s="614"/>
      <c r="M102" s="614"/>
      <c r="N102" s="615"/>
      <c r="O102" s="615"/>
      <c r="P102" s="614"/>
    </row>
    <row r="103" spans="2:16">
      <c r="B103" s="614"/>
      <c r="C103" s="614"/>
      <c r="D103" s="614"/>
      <c r="E103" s="614"/>
      <c r="F103" s="614"/>
      <c r="G103" s="614"/>
      <c r="H103" s="614"/>
      <c r="I103" s="614"/>
      <c r="J103" s="614"/>
      <c r="K103" s="614"/>
      <c r="L103" s="614"/>
      <c r="M103" s="614"/>
      <c r="N103" s="615"/>
      <c r="O103" s="615"/>
      <c r="P103" s="614"/>
    </row>
    <row r="104" spans="2:16">
      <c r="B104" s="614"/>
      <c r="C104" s="614"/>
      <c r="D104" s="614"/>
      <c r="E104" s="614"/>
      <c r="F104" s="614"/>
      <c r="G104" s="614"/>
      <c r="H104" s="614"/>
      <c r="I104" s="614"/>
      <c r="J104" s="614"/>
      <c r="K104" s="614"/>
      <c r="L104" s="614"/>
      <c r="M104" s="614"/>
      <c r="N104" s="615"/>
      <c r="O104" s="615"/>
      <c r="P104" s="614"/>
    </row>
    <row r="105" spans="2:16">
      <c r="B105" s="614"/>
      <c r="C105" s="614"/>
      <c r="D105" s="614"/>
      <c r="E105" s="614"/>
      <c r="F105" s="614"/>
      <c r="G105" s="614"/>
      <c r="H105" s="614"/>
      <c r="I105" s="614"/>
      <c r="J105" s="614"/>
      <c r="K105" s="614"/>
      <c r="L105" s="614"/>
      <c r="M105" s="614"/>
      <c r="N105" s="615"/>
      <c r="O105" s="615"/>
      <c r="P105" s="614"/>
    </row>
    <row r="106" spans="2:16">
      <c r="B106" s="614"/>
      <c r="C106" s="614"/>
      <c r="D106" s="614"/>
      <c r="E106" s="614"/>
      <c r="F106" s="614"/>
      <c r="G106" s="614"/>
      <c r="H106" s="614"/>
      <c r="I106" s="614"/>
      <c r="J106" s="614"/>
      <c r="K106" s="614"/>
      <c r="L106" s="614"/>
      <c r="M106" s="614"/>
      <c r="N106" s="615"/>
      <c r="O106" s="615"/>
      <c r="P106" s="614"/>
    </row>
    <row r="107" spans="2:16">
      <c r="B107" s="614"/>
      <c r="C107" s="614"/>
      <c r="D107" s="614"/>
      <c r="E107" s="614"/>
      <c r="F107" s="614"/>
      <c r="G107" s="614"/>
      <c r="H107" s="614"/>
      <c r="I107" s="614"/>
      <c r="J107" s="614"/>
      <c r="K107" s="614"/>
      <c r="L107" s="614"/>
      <c r="M107" s="614"/>
      <c r="N107" s="615"/>
      <c r="O107" s="615"/>
      <c r="P107" s="614"/>
    </row>
    <row r="108" spans="2:16">
      <c r="B108" s="614"/>
      <c r="C108" s="614"/>
      <c r="D108" s="614"/>
      <c r="E108" s="614"/>
      <c r="F108" s="614"/>
      <c r="G108" s="614"/>
      <c r="H108" s="614"/>
      <c r="I108" s="614"/>
      <c r="J108" s="614"/>
      <c r="K108" s="614"/>
      <c r="L108" s="614"/>
      <c r="M108" s="614"/>
      <c r="N108" s="615"/>
      <c r="O108" s="615"/>
      <c r="P108" s="614"/>
    </row>
    <row r="109" spans="2:16">
      <c r="B109" s="614"/>
      <c r="C109" s="614"/>
      <c r="D109" s="614"/>
      <c r="E109" s="614"/>
      <c r="F109" s="614"/>
      <c r="G109" s="614"/>
      <c r="H109" s="614"/>
      <c r="I109" s="614"/>
      <c r="J109" s="614"/>
      <c r="K109" s="614"/>
      <c r="L109" s="614"/>
      <c r="M109" s="614"/>
      <c r="N109" s="615"/>
      <c r="O109" s="615"/>
      <c r="P109" s="614"/>
    </row>
    <row r="110" spans="2:16">
      <c r="B110" s="614"/>
      <c r="C110" s="614"/>
      <c r="D110" s="614"/>
      <c r="E110" s="614"/>
      <c r="F110" s="614"/>
      <c r="G110" s="614"/>
      <c r="H110" s="614"/>
      <c r="I110" s="614"/>
      <c r="J110" s="614"/>
      <c r="K110" s="614"/>
      <c r="L110" s="614"/>
      <c r="M110" s="614"/>
      <c r="N110" s="615"/>
      <c r="O110" s="615"/>
      <c r="P110" s="614"/>
    </row>
    <row r="111" spans="2:16">
      <c r="B111" s="614"/>
      <c r="C111" s="614"/>
      <c r="D111" s="614"/>
      <c r="E111" s="614"/>
      <c r="F111" s="614"/>
      <c r="G111" s="614"/>
      <c r="H111" s="614"/>
      <c r="I111" s="614"/>
      <c r="J111" s="614"/>
      <c r="K111" s="614"/>
      <c r="L111" s="614"/>
      <c r="M111" s="614"/>
      <c r="N111" s="615"/>
      <c r="O111" s="615"/>
      <c r="P111" s="614"/>
    </row>
    <row r="112" spans="2:16">
      <c r="B112" s="614"/>
      <c r="C112" s="614"/>
      <c r="D112" s="614"/>
      <c r="E112" s="614"/>
      <c r="F112" s="614"/>
      <c r="G112" s="614"/>
      <c r="H112" s="614"/>
      <c r="I112" s="614"/>
      <c r="J112" s="614"/>
      <c r="K112" s="614"/>
      <c r="L112" s="614"/>
      <c r="M112" s="614"/>
      <c r="N112" s="615"/>
      <c r="O112" s="615"/>
      <c r="P112" s="614"/>
    </row>
    <row r="113" spans="2:16">
      <c r="B113" s="614"/>
      <c r="C113" s="614"/>
      <c r="D113" s="614"/>
      <c r="E113" s="614"/>
      <c r="F113" s="614"/>
      <c r="G113" s="614"/>
      <c r="H113" s="614"/>
      <c r="I113" s="614"/>
      <c r="J113" s="614"/>
      <c r="K113" s="614"/>
      <c r="L113" s="614"/>
      <c r="M113" s="614"/>
      <c r="N113" s="615"/>
      <c r="O113" s="615"/>
      <c r="P113" s="614"/>
    </row>
    <row r="114" spans="2:16">
      <c r="B114" s="614"/>
      <c r="C114" s="614"/>
      <c r="D114" s="614"/>
      <c r="E114" s="614"/>
      <c r="F114" s="614"/>
      <c r="G114" s="614"/>
      <c r="H114" s="614"/>
      <c r="I114" s="614"/>
      <c r="J114" s="614"/>
      <c r="K114" s="614"/>
      <c r="L114" s="614"/>
      <c r="M114" s="614"/>
      <c r="N114" s="615"/>
      <c r="O114" s="615"/>
      <c r="P114" s="614"/>
    </row>
    <row r="115" spans="2:16">
      <c r="B115" s="614"/>
      <c r="C115" s="614"/>
      <c r="D115" s="614"/>
      <c r="E115" s="614"/>
      <c r="F115" s="614"/>
      <c r="G115" s="614"/>
      <c r="H115" s="614"/>
      <c r="I115" s="614"/>
      <c r="J115" s="614"/>
      <c r="K115" s="614"/>
      <c r="L115" s="614"/>
      <c r="M115" s="614"/>
      <c r="N115" s="615"/>
      <c r="O115" s="615"/>
      <c r="P115" s="614"/>
    </row>
    <row r="116" spans="2:16">
      <c r="B116" s="614"/>
      <c r="C116" s="614"/>
      <c r="D116" s="614"/>
      <c r="E116" s="614"/>
      <c r="F116" s="614"/>
      <c r="G116" s="614"/>
      <c r="H116" s="614"/>
      <c r="I116" s="614"/>
      <c r="J116" s="614"/>
      <c r="K116" s="614"/>
      <c r="L116" s="614"/>
      <c r="M116" s="614"/>
      <c r="N116" s="615"/>
      <c r="O116" s="615"/>
      <c r="P116" s="614"/>
    </row>
    <row r="117" spans="2:16">
      <c r="B117" s="614"/>
      <c r="C117" s="614"/>
      <c r="D117" s="614"/>
      <c r="E117" s="614"/>
      <c r="F117" s="614"/>
      <c r="G117" s="614"/>
      <c r="H117" s="614"/>
      <c r="I117" s="614"/>
      <c r="J117" s="614"/>
      <c r="K117" s="614"/>
      <c r="L117" s="614"/>
      <c r="M117" s="614"/>
      <c r="N117" s="615"/>
      <c r="O117" s="615"/>
      <c r="P117" s="614"/>
    </row>
    <row r="118" spans="2:16">
      <c r="B118" s="614"/>
      <c r="C118" s="614"/>
      <c r="D118" s="614"/>
      <c r="E118" s="614"/>
      <c r="F118" s="614"/>
      <c r="G118" s="614"/>
      <c r="H118" s="614"/>
      <c r="I118" s="614"/>
      <c r="J118" s="614"/>
      <c r="K118" s="614"/>
      <c r="L118" s="614"/>
      <c r="M118" s="614"/>
      <c r="N118" s="615"/>
      <c r="O118" s="615"/>
      <c r="P118" s="614"/>
    </row>
    <row r="119" spans="2:16">
      <c r="B119" s="614"/>
      <c r="C119" s="614"/>
      <c r="D119" s="614"/>
      <c r="E119" s="614"/>
      <c r="F119" s="614"/>
      <c r="G119" s="614"/>
      <c r="H119" s="614"/>
      <c r="I119" s="614"/>
      <c r="J119" s="614"/>
      <c r="K119" s="614"/>
      <c r="L119" s="614"/>
      <c r="M119" s="614"/>
      <c r="N119" s="615"/>
      <c r="O119" s="615"/>
      <c r="P119" s="614"/>
    </row>
    <row r="120" spans="2:16">
      <c r="B120" s="614"/>
      <c r="C120" s="614"/>
      <c r="D120" s="614"/>
      <c r="E120" s="614"/>
      <c r="F120" s="614"/>
      <c r="G120" s="614"/>
      <c r="H120" s="614"/>
      <c r="I120" s="614"/>
      <c r="J120" s="614"/>
      <c r="K120" s="614"/>
      <c r="L120" s="614"/>
      <c r="M120" s="614"/>
      <c r="N120" s="615"/>
      <c r="O120" s="615"/>
      <c r="P120" s="614"/>
    </row>
    <row r="121" spans="2:16">
      <c r="B121" s="614"/>
      <c r="C121" s="614"/>
      <c r="D121" s="614"/>
      <c r="E121" s="614"/>
      <c r="F121" s="614"/>
      <c r="G121" s="614"/>
      <c r="H121" s="614"/>
      <c r="I121" s="614"/>
      <c r="J121" s="614"/>
      <c r="K121" s="614"/>
      <c r="L121" s="614"/>
      <c r="M121" s="614"/>
      <c r="N121" s="615"/>
      <c r="O121" s="615"/>
      <c r="P121" s="614"/>
    </row>
    <row r="122" spans="2:16">
      <c r="B122" s="614"/>
      <c r="C122" s="614"/>
      <c r="D122" s="614"/>
      <c r="E122" s="614"/>
      <c r="F122" s="614"/>
      <c r="G122" s="614"/>
      <c r="H122" s="614"/>
      <c r="I122" s="614"/>
      <c r="J122" s="614"/>
      <c r="K122" s="614"/>
      <c r="L122" s="614"/>
      <c r="M122" s="614"/>
      <c r="N122" s="615"/>
      <c r="O122" s="615"/>
      <c r="P122" s="614"/>
    </row>
    <row r="123" spans="2:16">
      <c r="B123" s="614"/>
      <c r="C123" s="614"/>
      <c r="D123" s="614"/>
      <c r="E123" s="614"/>
      <c r="F123" s="614"/>
      <c r="G123" s="614"/>
      <c r="H123" s="614"/>
      <c r="I123" s="614"/>
      <c r="J123" s="614"/>
      <c r="K123" s="614"/>
      <c r="L123" s="614"/>
      <c r="M123" s="614"/>
      <c r="N123" s="615"/>
      <c r="O123" s="615"/>
      <c r="P123" s="614"/>
    </row>
    <row r="124" spans="2:16">
      <c r="B124" s="614"/>
      <c r="C124" s="614"/>
      <c r="D124" s="614"/>
      <c r="E124" s="614"/>
      <c r="F124" s="614"/>
      <c r="G124" s="614"/>
      <c r="H124" s="614"/>
      <c r="I124" s="614"/>
      <c r="J124" s="614"/>
      <c r="K124" s="614"/>
      <c r="L124" s="614"/>
      <c r="M124" s="614"/>
      <c r="N124" s="615"/>
      <c r="O124" s="615"/>
      <c r="P124" s="614"/>
    </row>
    <row r="125" spans="2:16">
      <c r="B125" s="614"/>
      <c r="C125" s="614"/>
      <c r="D125" s="614"/>
      <c r="E125" s="614"/>
      <c r="F125" s="614"/>
      <c r="G125" s="614"/>
      <c r="H125" s="614"/>
      <c r="I125" s="614"/>
      <c r="J125" s="614"/>
      <c r="K125" s="614"/>
      <c r="L125" s="614"/>
      <c r="M125" s="614"/>
      <c r="N125" s="615"/>
      <c r="O125" s="615"/>
      <c r="P125" s="614"/>
    </row>
    <row r="126" spans="2:16">
      <c r="B126" s="614"/>
      <c r="C126" s="614"/>
      <c r="D126" s="614"/>
      <c r="E126" s="614"/>
      <c r="F126" s="614"/>
      <c r="G126" s="614"/>
      <c r="H126" s="614"/>
      <c r="I126" s="614"/>
      <c r="J126" s="614"/>
      <c r="K126" s="614"/>
      <c r="L126" s="614"/>
      <c r="M126" s="614"/>
      <c r="N126" s="615"/>
      <c r="O126" s="615"/>
      <c r="P126" s="614"/>
    </row>
    <row r="127" spans="2:16">
      <c r="B127" s="614"/>
      <c r="C127" s="614"/>
      <c r="D127" s="614"/>
      <c r="E127" s="614"/>
      <c r="F127" s="614"/>
      <c r="G127" s="614"/>
      <c r="H127" s="614"/>
      <c r="I127" s="614"/>
      <c r="J127" s="614"/>
      <c r="K127" s="614"/>
      <c r="L127" s="614"/>
      <c r="M127" s="614"/>
      <c r="N127" s="615"/>
      <c r="O127" s="615"/>
      <c r="P127" s="614"/>
    </row>
    <row r="128" spans="2:16">
      <c r="B128" s="614"/>
      <c r="C128" s="614"/>
      <c r="D128" s="614"/>
      <c r="E128" s="614"/>
      <c r="F128" s="614"/>
      <c r="G128" s="614"/>
      <c r="H128" s="614"/>
      <c r="I128" s="614"/>
      <c r="J128" s="614"/>
      <c r="K128" s="614"/>
      <c r="L128" s="614"/>
      <c r="M128" s="614"/>
      <c r="N128" s="615"/>
      <c r="O128" s="615"/>
      <c r="P128" s="614"/>
    </row>
    <row r="129" spans="2:16">
      <c r="B129" s="614"/>
      <c r="C129" s="614"/>
      <c r="D129" s="614"/>
      <c r="E129" s="614"/>
      <c r="F129" s="614"/>
      <c r="G129" s="614"/>
      <c r="H129" s="614"/>
      <c r="I129" s="614"/>
      <c r="J129" s="614"/>
      <c r="K129" s="614"/>
      <c r="L129" s="614"/>
      <c r="M129" s="614"/>
      <c r="N129" s="615"/>
      <c r="O129" s="615"/>
      <c r="P129" s="614"/>
    </row>
    <row r="130" spans="2:16">
      <c r="B130" s="614"/>
      <c r="C130" s="614"/>
      <c r="D130" s="614"/>
      <c r="E130" s="614"/>
      <c r="F130" s="614"/>
      <c r="G130" s="614"/>
      <c r="H130" s="614"/>
      <c r="I130" s="614"/>
      <c r="J130" s="614"/>
      <c r="K130" s="614"/>
      <c r="L130" s="614"/>
      <c r="M130" s="614"/>
      <c r="N130" s="615"/>
      <c r="O130" s="615"/>
      <c r="P130" s="614"/>
    </row>
    <row r="131" spans="2:16">
      <c r="B131" s="614"/>
      <c r="C131" s="614"/>
      <c r="D131" s="614"/>
      <c r="E131" s="614"/>
      <c r="F131" s="614"/>
      <c r="G131" s="614"/>
      <c r="H131" s="614"/>
      <c r="I131" s="614"/>
      <c r="J131" s="614"/>
      <c r="K131" s="614"/>
      <c r="L131" s="614"/>
      <c r="M131" s="614"/>
      <c r="N131" s="615"/>
      <c r="O131" s="615"/>
      <c r="P131" s="614"/>
    </row>
    <row r="132" spans="2:16">
      <c r="B132" s="614"/>
      <c r="C132" s="614"/>
      <c r="D132" s="614"/>
      <c r="E132" s="614"/>
      <c r="F132" s="614"/>
      <c r="G132" s="614"/>
      <c r="H132" s="614"/>
      <c r="I132" s="614"/>
      <c r="J132" s="614"/>
      <c r="K132" s="614"/>
      <c r="L132" s="614"/>
      <c r="M132" s="614"/>
      <c r="N132" s="615"/>
      <c r="O132" s="615"/>
      <c r="P132" s="614"/>
    </row>
    <row r="133" spans="2:16">
      <c r="B133" s="614"/>
      <c r="C133" s="614"/>
      <c r="D133" s="614"/>
      <c r="E133" s="614"/>
      <c r="F133" s="614"/>
      <c r="G133" s="614"/>
      <c r="H133" s="614"/>
      <c r="I133" s="614"/>
      <c r="J133" s="614"/>
      <c r="K133" s="614"/>
      <c r="L133" s="614"/>
      <c r="M133" s="614"/>
      <c r="N133" s="615"/>
      <c r="O133" s="615"/>
      <c r="P133" s="614"/>
    </row>
    <row r="134" spans="2:16">
      <c r="B134" s="614"/>
      <c r="C134" s="614"/>
      <c r="D134" s="614"/>
      <c r="E134" s="614"/>
      <c r="F134" s="614"/>
      <c r="G134" s="614"/>
      <c r="H134" s="614"/>
      <c r="I134" s="614"/>
      <c r="J134" s="614"/>
      <c r="K134" s="614"/>
      <c r="L134" s="614"/>
      <c r="M134" s="614"/>
      <c r="N134" s="615"/>
      <c r="O134" s="615"/>
      <c r="P134" s="614"/>
    </row>
    <row r="135" spans="2:16">
      <c r="B135" s="614"/>
      <c r="C135" s="614"/>
      <c r="D135" s="614"/>
      <c r="E135" s="614"/>
      <c r="F135" s="614"/>
      <c r="G135" s="614"/>
      <c r="H135" s="614"/>
      <c r="I135" s="614"/>
      <c r="J135" s="614"/>
      <c r="K135" s="614"/>
      <c r="L135" s="614"/>
      <c r="M135" s="614"/>
      <c r="N135" s="615"/>
      <c r="O135" s="615"/>
      <c r="P135" s="614"/>
    </row>
    <row r="136" spans="2:16">
      <c r="B136" s="614"/>
      <c r="C136" s="614"/>
      <c r="D136" s="614"/>
      <c r="E136" s="614"/>
      <c r="F136" s="614"/>
      <c r="G136" s="614"/>
      <c r="H136" s="614"/>
      <c r="I136" s="614"/>
      <c r="J136" s="614"/>
      <c r="K136" s="614"/>
      <c r="L136" s="614"/>
      <c r="M136" s="614"/>
      <c r="N136" s="615"/>
      <c r="O136" s="615"/>
      <c r="P136" s="614"/>
    </row>
    <row r="137" spans="2:16">
      <c r="B137" s="614"/>
      <c r="C137" s="614"/>
      <c r="D137" s="614"/>
      <c r="E137" s="614"/>
      <c r="F137" s="614"/>
      <c r="G137" s="614"/>
      <c r="H137" s="614"/>
      <c r="I137" s="614"/>
      <c r="J137" s="614"/>
      <c r="K137" s="614"/>
      <c r="L137" s="614"/>
      <c r="M137" s="614"/>
      <c r="N137" s="615"/>
      <c r="O137" s="615"/>
      <c r="P137" s="614"/>
    </row>
    <row r="138" spans="2:16">
      <c r="B138" s="614"/>
      <c r="C138" s="614"/>
      <c r="D138" s="614"/>
      <c r="E138" s="614"/>
      <c r="F138" s="614"/>
      <c r="G138" s="614"/>
      <c r="H138" s="614"/>
      <c r="I138" s="614"/>
      <c r="J138" s="614"/>
      <c r="K138" s="614"/>
      <c r="L138" s="614"/>
      <c r="M138" s="614"/>
      <c r="N138" s="615"/>
      <c r="O138" s="615"/>
      <c r="P138" s="614"/>
    </row>
    <row r="139" spans="2:16">
      <c r="B139" s="614"/>
      <c r="C139" s="614"/>
      <c r="D139" s="614"/>
      <c r="E139" s="614"/>
      <c r="F139" s="614"/>
      <c r="G139" s="614"/>
      <c r="H139" s="614"/>
      <c r="I139" s="614"/>
      <c r="J139" s="614"/>
      <c r="K139" s="614"/>
      <c r="L139" s="614"/>
      <c r="M139" s="614"/>
      <c r="N139" s="615"/>
      <c r="O139" s="615"/>
      <c r="P139" s="614"/>
    </row>
    <row r="140" spans="2:16">
      <c r="B140" s="614"/>
      <c r="C140" s="614"/>
      <c r="D140" s="614"/>
      <c r="E140" s="614"/>
      <c r="F140" s="614"/>
      <c r="G140" s="614"/>
      <c r="H140" s="614"/>
      <c r="I140" s="614"/>
      <c r="J140" s="614"/>
      <c r="K140" s="614"/>
      <c r="L140" s="614"/>
      <c r="M140" s="614"/>
      <c r="N140" s="615"/>
      <c r="O140" s="615"/>
      <c r="P140" s="614"/>
    </row>
    <row r="141" spans="2:16">
      <c r="B141" s="614"/>
      <c r="C141" s="614"/>
      <c r="D141" s="614"/>
      <c r="E141" s="614"/>
      <c r="F141" s="614"/>
      <c r="G141" s="614"/>
      <c r="H141" s="614"/>
      <c r="I141" s="614"/>
      <c r="J141" s="614"/>
      <c r="K141" s="614"/>
      <c r="L141" s="614"/>
      <c r="M141" s="614"/>
      <c r="N141" s="615"/>
      <c r="O141" s="615"/>
      <c r="P141" s="614"/>
    </row>
    <row r="142" spans="2:16">
      <c r="B142" s="614"/>
      <c r="C142" s="614"/>
      <c r="D142" s="614"/>
      <c r="E142" s="614"/>
      <c r="F142" s="614"/>
      <c r="G142" s="614"/>
      <c r="H142" s="614"/>
      <c r="I142" s="614"/>
      <c r="J142" s="614"/>
      <c r="K142" s="614"/>
      <c r="L142" s="614"/>
      <c r="M142" s="614"/>
      <c r="N142" s="615"/>
      <c r="O142" s="615"/>
      <c r="P142" s="614"/>
    </row>
    <row r="143" spans="2:16">
      <c r="B143" s="614"/>
      <c r="C143" s="614"/>
      <c r="D143" s="614"/>
      <c r="E143" s="614"/>
      <c r="F143" s="614"/>
      <c r="G143" s="614"/>
      <c r="H143" s="614"/>
      <c r="I143" s="614"/>
      <c r="J143" s="614"/>
      <c r="K143" s="614"/>
      <c r="L143" s="614"/>
      <c r="M143" s="614"/>
      <c r="N143" s="615"/>
      <c r="O143" s="615"/>
      <c r="P143" s="614"/>
    </row>
    <row r="144" spans="2:16">
      <c r="B144" s="614"/>
      <c r="C144" s="614"/>
      <c r="D144" s="614"/>
      <c r="E144" s="614"/>
      <c r="F144" s="614"/>
      <c r="G144" s="614"/>
      <c r="H144" s="614"/>
      <c r="I144" s="614"/>
      <c r="J144" s="614"/>
      <c r="K144" s="614"/>
      <c r="L144" s="614"/>
      <c r="M144" s="614"/>
      <c r="N144" s="615"/>
      <c r="O144" s="615"/>
      <c r="P144" s="614"/>
    </row>
    <row r="145" spans="2:16">
      <c r="B145" s="614"/>
      <c r="C145" s="614"/>
      <c r="D145" s="614"/>
      <c r="E145" s="614"/>
      <c r="F145" s="614"/>
      <c r="G145" s="614"/>
      <c r="H145" s="614"/>
      <c r="I145" s="614"/>
      <c r="J145" s="614"/>
      <c r="K145" s="614"/>
      <c r="L145" s="614"/>
      <c r="M145" s="614"/>
      <c r="N145" s="615"/>
      <c r="O145" s="615"/>
      <c r="P145" s="614"/>
    </row>
    <row r="146" spans="2:16">
      <c r="B146" s="614"/>
      <c r="C146" s="614"/>
      <c r="D146" s="614"/>
      <c r="E146" s="614"/>
      <c r="F146" s="614"/>
      <c r="G146" s="614"/>
      <c r="H146" s="614"/>
      <c r="I146" s="614"/>
      <c r="J146" s="614"/>
      <c r="K146" s="614"/>
      <c r="L146" s="614"/>
      <c r="M146" s="614"/>
      <c r="N146" s="615"/>
      <c r="O146" s="615"/>
      <c r="P146" s="614"/>
    </row>
    <row r="147" spans="2:16">
      <c r="B147" s="614"/>
      <c r="C147" s="614"/>
      <c r="D147" s="614"/>
      <c r="E147" s="614"/>
      <c r="F147" s="614"/>
      <c r="G147" s="614"/>
      <c r="H147" s="614"/>
      <c r="I147" s="614"/>
      <c r="J147" s="614"/>
      <c r="K147" s="614"/>
      <c r="L147" s="614"/>
      <c r="M147" s="614"/>
      <c r="N147" s="615"/>
      <c r="O147" s="615"/>
      <c r="P147" s="614"/>
    </row>
    <row r="148" spans="2:16">
      <c r="B148" s="614"/>
      <c r="C148" s="614"/>
      <c r="D148" s="614"/>
      <c r="E148" s="614"/>
      <c r="F148" s="614"/>
      <c r="G148" s="614"/>
      <c r="H148" s="614"/>
      <c r="I148" s="614"/>
      <c r="J148" s="614"/>
      <c r="K148" s="614"/>
      <c r="L148" s="614"/>
      <c r="M148" s="614"/>
      <c r="N148" s="615"/>
      <c r="O148" s="615"/>
      <c r="P148" s="614"/>
    </row>
    <row r="149" spans="2:16">
      <c r="B149" s="614"/>
      <c r="C149" s="614"/>
      <c r="D149" s="614"/>
      <c r="E149" s="614"/>
      <c r="F149" s="614"/>
      <c r="G149" s="614"/>
      <c r="H149" s="614"/>
      <c r="I149" s="614"/>
      <c r="J149" s="614"/>
      <c r="K149" s="614"/>
      <c r="L149" s="614"/>
      <c r="M149" s="614"/>
      <c r="N149" s="615"/>
      <c r="O149" s="615"/>
      <c r="P149" s="614"/>
    </row>
    <row r="150" spans="2:16">
      <c r="B150" s="614"/>
      <c r="C150" s="614"/>
      <c r="D150" s="614"/>
      <c r="E150" s="614"/>
      <c r="F150" s="614"/>
      <c r="G150" s="614"/>
      <c r="H150" s="614"/>
      <c r="I150" s="614"/>
      <c r="J150" s="614"/>
      <c r="K150" s="614"/>
      <c r="L150" s="614"/>
      <c r="M150" s="614"/>
      <c r="N150" s="615"/>
      <c r="O150" s="615"/>
      <c r="P150" s="614"/>
    </row>
    <row r="151" spans="2:16">
      <c r="B151" s="614"/>
      <c r="C151" s="614"/>
      <c r="D151" s="614"/>
      <c r="E151" s="614"/>
      <c r="F151" s="614"/>
      <c r="G151" s="614"/>
      <c r="H151" s="614"/>
      <c r="I151" s="614"/>
      <c r="J151" s="614"/>
      <c r="K151" s="614"/>
      <c r="L151" s="614"/>
      <c r="M151" s="614"/>
      <c r="N151" s="615"/>
      <c r="O151" s="615"/>
      <c r="P151" s="614"/>
    </row>
    <row r="152" spans="2:16">
      <c r="B152" s="614"/>
      <c r="C152" s="614"/>
      <c r="D152" s="614"/>
      <c r="E152" s="614"/>
      <c r="F152" s="614"/>
      <c r="G152" s="614"/>
      <c r="H152" s="614"/>
      <c r="I152" s="614"/>
      <c r="J152" s="614"/>
      <c r="K152" s="614"/>
      <c r="L152" s="614"/>
      <c r="M152" s="614"/>
      <c r="N152" s="615"/>
      <c r="O152" s="615"/>
      <c r="P152" s="614"/>
    </row>
    <row r="153" spans="2:16">
      <c r="B153" s="614"/>
      <c r="C153" s="614"/>
      <c r="D153" s="614"/>
      <c r="E153" s="614"/>
      <c r="F153" s="614"/>
      <c r="G153" s="614"/>
      <c r="H153" s="614"/>
      <c r="I153" s="614"/>
      <c r="J153" s="614"/>
      <c r="K153" s="614"/>
      <c r="L153" s="614"/>
      <c r="M153" s="614"/>
      <c r="N153" s="615"/>
      <c r="O153" s="615"/>
      <c r="P153" s="614"/>
    </row>
    <row r="154" spans="2:16">
      <c r="B154" s="614"/>
      <c r="C154" s="614"/>
      <c r="D154" s="614"/>
      <c r="E154" s="614"/>
      <c r="F154" s="614"/>
      <c r="G154" s="614"/>
      <c r="H154" s="614"/>
      <c r="I154" s="614"/>
      <c r="J154" s="614"/>
      <c r="K154" s="614"/>
      <c r="L154" s="614"/>
      <c r="M154" s="614"/>
      <c r="N154" s="615"/>
      <c r="O154" s="615"/>
      <c r="P154" s="614"/>
    </row>
    <row r="155" spans="2:16">
      <c r="B155" s="614"/>
      <c r="C155" s="614"/>
      <c r="D155" s="614"/>
      <c r="E155" s="614"/>
      <c r="F155" s="614"/>
      <c r="G155" s="614"/>
      <c r="H155" s="614"/>
      <c r="I155" s="614"/>
      <c r="J155" s="614"/>
      <c r="K155" s="614"/>
      <c r="L155" s="614"/>
      <c r="M155" s="614"/>
      <c r="N155" s="615"/>
      <c r="O155" s="615"/>
      <c r="P155" s="614"/>
    </row>
    <row r="156" spans="2:16">
      <c r="B156" s="614"/>
      <c r="C156" s="614"/>
      <c r="D156" s="614"/>
      <c r="E156" s="614"/>
      <c r="F156" s="614"/>
      <c r="G156" s="614"/>
      <c r="H156" s="614"/>
      <c r="I156" s="614"/>
      <c r="J156" s="614"/>
      <c r="K156" s="614"/>
      <c r="L156" s="614"/>
      <c r="M156" s="614"/>
      <c r="N156" s="615"/>
      <c r="O156" s="615"/>
      <c r="P156" s="614"/>
    </row>
    <row r="157" spans="2:16">
      <c r="B157" s="614"/>
      <c r="C157" s="614"/>
      <c r="D157" s="614"/>
      <c r="E157" s="614"/>
      <c r="F157" s="614"/>
      <c r="G157" s="614"/>
      <c r="H157" s="614"/>
      <c r="I157" s="614"/>
      <c r="J157" s="614"/>
      <c r="K157" s="614"/>
      <c r="L157" s="614"/>
      <c r="M157" s="614"/>
      <c r="N157" s="615"/>
      <c r="O157" s="615"/>
      <c r="P157" s="614"/>
    </row>
    <row r="158" spans="2:16">
      <c r="B158" s="614"/>
      <c r="C158" s="614"/>
      <c r="D158" s="614"/>
      <c r="E158" s="614"/>
      <c r="F158" s="614"/>
      <c r="G158" s="614"/>
      <c r="H158" s="614"/>
      <c r="I158" s="614"/>
      <c r="J158" s="614"/>
      <c r="K158" s="614"/>
      <c r="L158" s="614"/>
      <c r="M158" s="614"/>
      <c r="N158" s="615"/>
      <c r="O158" s="615"/>
      <c r="P158" s="614"/>
    </row>
    <row r="159" spans="2:16">
      <c r="B159" s="614"/>
      <c r="C159" s="614"/>
      <c r="D159" s="614"/>
      <c r="E159" s="614"/>
      <c r="F159" s="614"/>
      <c r="G159" s="614"/>
      <c r="H159" s="614"/>
      <c r="I159" s="614"/>
      <c r="J159" s="614"/>
      <c r="K159" s="614"/>
      <c r="L159" s="614"/>
      <c r="M159" s="614"/>
      <c r="N159" s="615"/>
      <c r="O159" s="615"/>
      <c r="P159" s="614"/>
    </row>
    <row r="160" spans="2:16">
      <c r="B160" s="614"/>
      <c r="C160" s="614"/>
      <c r="D160" s="614"/>
      <c r="E160" s="614"/>
      <c r="F160" s="614"/>
      <c r="G160" s="614"/>
      <c r="H160" s="614"/>
      <c r="I160" s="614"/>
      <c r="J160" s="614"/>
      <c r="K160" s="614"/>
      <c r="L160" s="614"/>
      <c r="M160" s="614"/>
      <c r="N160" s="615"/>
      <c r="O160" s="615"/>
      <c r="P160" s="614"/>
    </row>
    <row r="161" spans="2:16">
      <c r="B161" s="614"/>
      <c r="C161" s="614"/>
      <c r="D161" s="614"/>
      <c r="E161" s="614"/>
      <c r="F161" s="614"/>
      <c r="G161" s="614"/>
      <c r="H161" s="614"/>
      <c r="I161" s="614"/>
      <c r="J161" s="614"/>
      <c r="K161" s="614"/>
      <c r="L161" s="614"/>
      <c r="M161" s="614"/>
      <c r="N161" s="615"/>
      <c r="O161" s="615"/>
      <c r="P161" s="614"/>
    </row>
    <row r="162" spans="2:16">
      <c r="B162" s="614"/>
      <c r="C162" s="614"/>
      <c r="D162" s="614"/>
      <c r="E162" s="614"/>
      <c r="F162" s="614"/>
      <c r="G162" s="614"/>
      <c r="H162" s="614"/>
      <c r="I162" s="614"/>
      <c r="J162" s="614"/>
      <c r="K162" s="614"/>
      <c r="L162" s="614"/>
      <c r="M162" s="614"/>
      <c r="N162" s="615"/>
      <c r="O162" s="615"/>
      <c r="P162" s="614"/>
    </row>
    <row r="163" spans="2:16">
      <c r="B163" s="614"/>
      <c r="C163" s="614"/>
      <c r="D163" s="614"/>
      <c r="E163" s="614"/>
      <c r="F163" s="614"/>
      <c r="G163" s="614"/>
      <c r="H163" s="614"/>
      <c r="I163" s="614"/>
      <c r="J163" s="614"/>
      <c r="K163" s="614"/>
      <c r="L163" s="614"/>
      <c r="M163" s="614"/>
      <c r="N163" s="615"/>
      <c r="O163" s="615"/>
      <c r="P163" s="614"/>
    </row>
    <row r="164" spans="2:16">
      <c r="B164" s="614"/>
      <c r="C164" s="614"/>
      <c r="D164" s="614"/>
      <c r="E164" s="614"/>
      <c r="F164" s="614"/>
      <c r="G164" s="614"/>
      <c r="H164" s="614"/>
      <c r="I164" s="614"/>
      <c r="J164" s="614"/>
      <c r="K164" s="614"/>
      <c r="L164" s="614"/>
      <c r="M164" s="614"/>
      <c r="N164" s="615"/>
      <c r="O164" s="615"/>
      <c r="P164" s="614"/>
    </row>
    <row r="165" spans="2:16">
      <c r="B165" s="614"/>
      <c r="C165" s="614"/>
      <c r="D165" s="614"/>
      <c r="E165" s="614"/>
      <c r="F165" s="614"/>
      <c r="G165" s="614"/>
      <c r="H165" s="614"/>
      <c r="I165" s="614"/>
      <c r="J165" s="614"/>
      <c r="K165" s="614"/>
      <c r="L165" s="614"/>
      <c r="M165" s="614"/>
      <c r="N165" s="615"/>
      <c r="O165" s="615"/>
      <c r="P165" s="614"/>
    </row>
    <row r="166" spans="2:16">
      <c r="B166" s="614"/>
      <c r="C166" s="614"/>
      <c r="D166" s="614"/>
      <c r="E166" s="614"/>
      <c r="F166" s="614"/>
      <c r="G166" s="614"/>
      <c r="H166" s="614"/>
      <c r="I166" s="614"/>
      <c r="J166" s="614"/>
      <c r="K166" s="614"/>
      <c r="L166" s="614"/>
      <c r="M166" s="614"/>
      <c r="N166" s="615"/>
      <c r="O166" s="615"/>
      <c r="P166" s="614"/>
    </row>
    <row r="167" spans="2:16">
      <c r="B167" s="614"/>
      <c r="C167" s="614"/>
      <c r="D167" s="614"/>
      <c r="E167" s="614"/>
      <c r="F167" s="614"/>
      <c r="G167" s="614"/>
      <c r="H167" s="614"/>
      <c r="I167" s="614"/>
      <c r="J167" s="614"/>
      <c r="K167" s="614"/>
      <c r="L167" s="614"/>
      <c r="M167" s="614"/>
      <c r="N167" s="615"/>
      <c r="O167" s="615"/>
      <c r="P167" s="614"/>
    </row>
    <row r="168" spans="2:16">
      <c r="B168" s="614"/>
      <c r="C168" s="614"/>
      <c r="D168" s="614"/>
      <c r="E168" s="614"/>
      <c r="F168" s="614"/>
      <c r="G168" s="614"/>
      <c r="H168" s="614"/>
      <c r="I168" s="614"/>
      <c r="J168" s="614"/>
      <c r="K168" s="614"/>
      <c r="L168" s="614"/>
      <c r="M168" s="614"/>
      <c r="N168" s="615"/>
      <c r="O168" s="615"/>
      <c r="P168" s="614"/>
    </row>
    <row r="169" spans="2:16">
      <c r="B169" s="614"/>
      <c r="C169" s="614"/>
      <c r="D169" s="614"/>
      <c r="E169" s="614"/>
      <c r="F169" s="614"/>
      <c r="G169" s="614"/>
      <c r="H169" s="614"/>
      <c r="I169" s="614"/>
      <c r="J169" s="614"/>
      <c r="K169" s="614"/>
      <c r="L169" s="614"/>
      <c r="M169" s="614"/>
      <c r="N169" s="615"/>
      <c r="O169" s="615"/>
      <c r="P169" s="614"/>
    </row>
    <row r="170" spans="2:16">
      <c r="B170" s="614"/>
      <c r="C170" s="614"/>
      <c r="D170" s="614"/>
      <c r="E170" s="614"/>
      <c r="F170" s="614"/>
      <c r="G170" s="614"/>
      <c r="H170" s="614"/>
      <c r="I170" s="614"/>
      <c r="J170" s="614"/>
      <c r="K170" s="614"/>
      <c r="L170" s="614"/>
      <c r="M170" s="614"/>
      <c r="N170" s="615"/>
      <c r="O170" s="615"/>
      <c r="P170" s="614"/>
    </row>
    <row r="171" spans="2:16">
      <c r="B171" s="614"/>
      <c r="C171" s="614"/>
      <c r="D171" s="614"/>
      <c r="E171" s="614"/>
      <c r="F171" s="614"/>
      <c r="G171" s="614"/>
      <c r="H171" s="614"/>
      <c r="I171" s="614"/>
      <c r="J171" s="614"/>
      <c r="K171" s="614"/>
      <c r="L171" s="614"/>
      <c r="M171" s="614"/>
      <c r="N171" s="615"/>
      <c r="O171" s="615"/>
      <c r="P171" s="614"/>
    </row>
    <row r="172" spans="2:16">
      <c r="B172" s="614"/>
      <c r="C172" s="614"/>
      <c r="D172" s="614"/>
      <c r="E172" s="614"/>
      <c r="F172" s="614"/>
      <c r="G172" s="614"/>
      <c r="H172" s="614"/>
      <c r="I172" s="614"/>
      <c r="J172" s="614"/>
      <c r="K172" s="614"/>
      <c r="L172" s="614"/>
      <c r="M172" s="614"/>
      <c r="N172" s="615"/>
      <c r="O172" s="615"/>
      <c r="P172" s="614"/>
    </row>
    <row r="173" spans="2:16">
      <c r="B173" s="614"/>
      <c r="C173" s="614"/>
      <c r="D173" s="614"/>
      <c r="E173" s="614"/>
      <c r="F173" s="614"/>
      <c r="G173" s="614"/>
      <c r="H173" s="614"/>
      <c r="I173" s="614"/>
      <c r="J173" s="614"/>
      <c r="K173" s="614"/>
      <c r="L173" s="614"/>
      <c r="M173" s="614"/>
      <c r="N173" s="615"/>
      <c r="O173" s="615"/>
      <c r="P173" s="614"/>
    </row>
    <row r="174" spans="2:16">
      <c r="B174" s="614"/>
      <c r="C174" s="614"/>
      <c r="D174" s="614"/>
      <c r="E174" s="614"/>
      <c r="F174" s="614"/>
      <c r="G174" s="614"/>
      <c r="H174" s="614"/>
      <c r="I174" s="614"/>
      <c r="J174" s="614"/>
      <c r="K174" s="614"/>
      <c r="L174" s="614"/>
      <c r="M174" s="614"/>
      <c r="N174" s="615"/>
      <c r="O174" s="615"/>
      <c r="P174" s="614"/>
    </row>
    <row r="175" spans="2:16">
      <c r="B175" s="614"/>
      <c r="C175" s="614"/>
      <c r="D175" s="614"/>
      <c r="E175" s="614"/>
      <c r="F175" s="614"/>
      <c r="G175" s="614"/>
      <c r="H175" s="614"/>
      <c r="I175" s="614"/>
      <c r="J175" s="614"/>
      <c r="K175" s="614"/>
      <c r="L175" s="614"/>
      <c r="M175" s="614"/>
      <c r="N175" s="615"/>
      <c r="O175" s="615"/>
      <c r="P175" s="614"/>
    </row>
    <row r="176" spans="2:16">
      <c r="B176" s="614"/>
      <c r="C176" s="614"/>
      <c r="D176" s="614"/>
      <c r="E176" s="614"/>
      <c r="F176" s="614"/>
      <c r="G176" s="614"/>
      <c r="H176" s="614"/>
      <c r="I176" s="614"/>
      <c r="J176" s="614"/>
      <c r="K176" s="614"/>
      <c r="L176" s="614"/>
      <c r="M176" s="614"/>
      <c r="N176" s="615"/>
      <c r="O176" s="615"/>
      <c r="P176" s="614"/>
    </row>
    <row r="177" spans="2:16">
      <c r="B177" s="614"/>
      <c r="C177" s="614"/>
      <c r="D177" s="614"/>
      <c r="E177" s="614"/>
      <c r="F177" s="614"/>
      <c r="G177" s="614"/>
      <c r="H177" s="614"/>
      <c r="I177" s="614"/>
      <c r="J177" s="614"/>
      <c r="K177" s="614"/>
      <c r="L177" s="614"/>
      <c r="M177" s="614"/>
      <c r="N177" s="615"/>
      <c r="O177" s="615"/>
      <c r="P177" s="614"/>
    </row>
    <row r="178" spans="2:16">
      <c r="B178" s="614"/>
      <c r="C178" s="614"/>
      <c r="D178" s="614"/>
      <c r="E178" s="614"/>
      <c r="F178" s="614"/>
      <c r="G178" s="614"/>
      <c r="H178" s="614"/>
      <c r="I178" s="614"/>
      <c r="J178" s="614"/>
      <c r="K178" s="614"/>
      <c r="L178" s="614"/>
      <c r="M178" s="614"/>
      <c r="N178" s="615"/>
      <c r="O178" s="615"/>
      <c r="P178" s="614"/>
    </row>
    <row r="179" spans="2:16">
      <c r="B179" s="614"/>
      <c r="C179" s="614"/>
      <c r="D179" s="614"/>
      <c r="E179" s="614"/>
      <c r="F179" s="614"/>
      <c r="G179" s="614"/>
      <c r="H179" s="614"/>
      <c r="I179" s="614"/>
      <c r="J179" s="614"/>
      <c r="K179" s="614"/>
      <c r="L179" s="614"/>
      <c r="M179" s="614"/>
      <c r="N179" s="615"/>
      <c r="O179" s="615"/>
      <c r="P179" s="614"/>
    </row>
    <row r="180" spans="2:16">
      <c r="B180" s="614"/>
      <c r="C180" s="614"/>
      <c r="D180" s="614"/>
      <c r="E180" s="614"/>
      <c r="F180" s="614"/>
      <c r="G180" s="614"/>
      <c r="H180" s="614"/>
      <c r="I180" s="614"/>
      <c r="J180" s="614"/>
      <c r="K180" s="614"/>
      <c r="L180" s="614"/>
      <c r="M180" s="614"/>
      <c r="N180" s="615"/>
      <c r="O180" s="615"/>
      <c r="P180" s="614"/>
    </row>
    <row r="181" spans="2:16">
      <c r="B181" s="614"/>
      <c r="C181" s="614"/>
      <c r="D181" s="614"/>
      <c r="E181" s="614"/>
      <c r="F181" s="614"/>
      <c r="G181" s="614"/>
      <c r="H181" s="614"/>
      <c r="I181" s="614"/>
      <c r="J181" s="614"/>
      <c r="K181" s="614"/>
      <c r="L181" s="614"/>
      <c r="M181" s="614"/>
      <c r="N181" s="615"/>
      <c r="O181" s="615"/>
      <c r="P181" s="614"/>
    </row>
    <row r="182" spans="2:16">
      <c r="B182" s="614"/>
      <c r="C182" s="614"/>
      <c r="D182" s="614"/>
      <c r="E182" s="614"/>
      <c r="F182" s="614"/>
      <c r="G182" s="614"/>
      <c r="H182" s="614"/>
      <c r="I182" s="614"/>
      <c r="J182" s="614"/>
      <c r="K182" s="614"/>
      <c r="L182" s="614"/>
      <c r="M182" s="614"/>
      <c r="N182" s="615"/>
      <c r="O182" s="615"/>
      <c r="P182" s="614"/>
    </row>
    <row r="183" spans="2:16">
      <c r="B183" s="614"/>
      <c r="C183" s="614"/>
      <c r="D183" s="614"/>
      <c r="E183" s="614"/>
      <c r="F183" s="614"/>
      <c r="G183" s="614"/>
      <c r="H183" s="614"/>
      <c r="I183" s="614"/>
      <c r="J183" s="614"/>
      <c r="K183" s="614"/>
      <c r="L183" s="614"/>
      <c r="M183" s="614"/>
      <c r="N183" s="615"/>
      <c r="O183" s="615"/>
      <c r="P183" s="614"/>
    </row>
    <row r="184" spans="2:16">
      <c r="B184" s="614"/>
      <c r="C184" s="614"/>
      <c r="D184" s="614"/>
      <c r="E184" s="614"/>
      <c r="F184" s="614"/>
      <c r="G184" s="614"/>
      <c r="H184" s="614"/>
      <c r="I184" s="614"/>
      <c r="J184" s="614"/>
      <c r="K184" s="614"/>
      <c r="L184" s="614"/>
      <c r="M184" s="614"/>
      <c r="N184" s="615"/>
      <c r="O184" s="615"/>
      <c r="P184" s="614"/>
    </row>
    <row r="185" spans="2:16">
      <c r="B185" s="614"/>
      <c r="C185" s="614"/>
      <c r="D185" s="614"/>
      <c r="E185" s="614"/>
      <c r="F185" s="614"/>
      <c r="G185" s="614"/>
      <c r="H185" s="614"/>
      <c r="I185" s="614"/>
      <c r="J185" s="614"/>
      <c r="K185" s="614"/>
      <c r="L185" s="614"/>
      <c r="M185" s="614"/>
      <c r="N185" s="615"/>
      <c r="O185" s="615"/>
      <c r="P185" s="614"/>
    </row>
    <row r="186" spans="2:16">
      <c r="B186" s="614"/>
      <c r="C186" s="614"/>
      <c r="D186" s="614"/>
      <c r="E186" s="614"/>
      <c r="F186" s="614"/>
      <c r="G186" s="614"/>
      <c r="H186" s="614"/>
      <c r="I186" s="614"/>
      <c r="J186" s="614"/>
      <c r="K186" s="614"/>
      <c r="L186" s="614"/>
      <c r="M186" s="614"/>
      <c r="N186" s="615"/>
      <c r="O186" s="615"/>
      <c r="P186" s="614"/>
    </row>
    <row r="187" spans="2:16">
      <c r="B187" s="614"/>
      <c r="C187" s="614"/>
      <c r="D187" s="614"/>
      <c r="E187" s="614"/>
      <c r="F187" s="614"/>
      <c r="G187" s="614"/>
      <c r="H187" s="614"/>
      <c r="I187" s="614"/>
      <c r="J187" s="614"/>
      <c r="K187" s="614"/>
      <c r="L187" s="614"/>
      <c r="M187" s="614"/>
      <c r="N187" s="615"/>
      <c r="O187" s="615"/>
      <c r="P187" s="614"/>
    </row>
    <row r="188" spans="2:16">
      <c r="B188" s="614"/>
      <c r="C188" s="614"/>
      <c r="D188" s="614"/>
      <c r="E188" s="614"/>
      <c r="F188" s="614"/>
      <c r="G188" s="614"/>
      <c r="H188" s="614"/>
      <c r="I188" s="614"/>
      <c r="J188" s="614"/>
      <c r="K188" s="614"/>
      <c r="L188" s="614"/>
      <c r="M188" s="614"/>
      <c r="N188" s="615"/>
      <c r="O188" s="615"/>
      <c r="P188" s="614"/>
    </row>
    <row r="189" spans="2:16">
      <c r="B189" s="614"/>
      <c r="C189" s="614"/>
      <c r="D189" s="614"/>
      <c r="E189" s="614"/>
      <c r="F189" s="614"/>
      <c r="G189" s="614"/>
      <c r="H189" s="614"/>
      <c r="I189" s="614"/>
      <c r="J189" s="614"/>
      <c r="K189" s="614"/>
      <c r="L189" s="614"/>
      <c r="M189" s="614"/>
      <c r="N189" s="615"/>
      <c r="O189" s="615"/>
      <c r="P189" s="614"/>
    </row>
    <row r="190" spans="2:16">
      <c r="B190" s="614"/>
      <c r="C190" s="614"/>
      <c r="D190" s="614"/>
      <c r="E190" s="614"/>
      <c r="F190" s="614"/>
      <c r="G190" s="614"/>
      <c r="H190" s="614"/>
      <c r="I190" s="614"/>
      <c r="J190" s="614"/>
      <c r="K190" s="614"/>
      <c r="L190" s="614"/>
      <c r="M190" s="614"/>
      <c r="N190" s="615"/>
      <c r="O190" s="615"/>
      <c r="P190" s="614"/>
    </row>
    <row r="191" spans="2:16">
      <c r="B191" s="614"/>
      <c r="C191" s="614"/>
      <c r="D191" s="614"/>
      <c r="E191" s="614"/>
      <c r="F191" s="614"/>
      <c r="G191" s="614"/>
      <c r="H191" s="614"/>
      <c r="I191" s="614"/>
      <c r="J191" s="614"/>
      <c r="K191" s="614"/>
      <c r="L191" s="614"/>
      <c r="M191" s="614"/>
      <c r="N191" s="615"/>
      <c r="O191" s="615"/>
      <c r="P191" s="614"/>
    </row>
    <row r="192" spans="2:16">
      <c r="B192" s="614"/>
      <c r="C192" s="614"/>
      <c r="D192" s="614"/>
      <c r="E192" s="614"/>
      <c r="F192" s="614"/>
      <c r="G192" s="614"/>
      <c r="H192" s="614"/>
      <c r="I192" s="614"/>
      <c r="J192" s="614"/>
      <c r="K192" s="614"/>
      <c r="L192" s="614"/>
      <c r="M192" s="614"/>
      <c r="N192" s="615"/>
      <c r="O192" s="615"/>
      <c r="P192" s="614"/>
    </row>
    <row r="193" spans="1:16">
      <c r="B193" s="614"/>
      <c r="C193" s="614"/>
      <c r="D193" s="614"/>
      <c r="E193" s="614"/>
      <c r="F193" s="614"/>
      <c r="G193" s="614"/>
      <c r="H193" s="614"/>
      <c r="I193" s="614"/>
      <c r="J193" s="614"/>
      <c r="K193" s="614"/>
      <c r="L193" s="614"/>
      <c r="M193" s="614"/>
      <c r="N193" s="615"/>
      <c r="O193" s="615"/>
      <c r="P193" s="614"/>
    </row>
    <row r="194" spans="1:16">
      <c r="A194" s="613"/>
      <c r="B194" s="614"/>
      <c r="C194" s="614"/>
      <c r="D194" s="614"/>
      <c r="E194" s="614"/>
      <c r="F194" s="614"/>
      <c r="G194" s="614"/>
      <c r="H194" s="614"/>
      <c r="I194" s="614"/>
      <c r="J194" s="614"/>
      <c r="K194" s="614"/>
      <c r="L194" s="614"/>
      <c r="M194" s="614"/>
      <c r="N194" s="614"/>
      <c r="O194" s="614"/>
      <c r="P194" s="614"/>
    </row>
    <row r="195" spans="1:16">
      <c r="A195" s="613"/>
      <c r="B195" s="614"/>
      <c r="C195" s="614"/>
      <c r="D195" s="614"/>
      <c r="E195" s="614"/>
      <c r="F195" s="614"/>
      <c r="G195" s="614"/>
      <c r="H195" s="614"/>
      <c r="I195" s="614"/>
      <c r="J195" s="614"/>
      <c r="K195" s="614"/>
      <c r="L195" s="614"/>
      <c r="M195" s="614"/>
      <c r="N195" s="614"/>
      <c r="O195" s="614"/>
      <c r="P195" s="614"/>
    </row>
    <row r="196" spans="1:16">
      <c r="A196" s="613"/>
      <c r="B196" s="618"/>
      <c r="C196" s="618"/>
      <c r="D196" s="618"/>
      <c r="E196" s="618"/>
      <c r="F196" s="618"/>
      <c r="G196" s="618"/>
      <c r="H196" s="618"/>
      <c r="I196" s="618"/>
      <c r="J196" s="618"/>
      <c r="K196" s="618"/>
      <c r="L196" s="618"/>
      <c r="M196" s="618"/>
      <c r="N196" s="614"/>
      <c r="O196" s="614"/>
      <c r="P196" s="614"/>
    </row>
    <row r="197" spans="1:16">
      <c r="A197" s="613"/>
      <c r="B197" s="614"/>
      <c r="C197" s="614"/>
      <c r="D197" s="614"/>
      <c r="E197" s="614"/>
      <c r="F197" s="614"/>
      <c r="G197" s="614"/>
      <c r="H197" s="614"/>
      <c r="I197" s="614"/>
      <c r="J197" s="614"/>
      <c r="K197" s="614"/>
      <c r="L197" s="614"/>
      <c r="M197" s="614"/>
      <c r="N197" s="614"/>
      <c r="O197" s="614"/>
      <c r="P197" s="614"/>
    </row>
    <row r="198" spans="1:16">
      <c r="A198" s="613"/>
      <c r="B198" s="614"/>
      <c r="C198" s="614"/>
      <c r="D198" s="614"/>
      <c r="E198" s="614"/>
      <c r="F198" s="614"/>
      <c r="G198" s="614"/>
      <c r="H198" s="614"/>
      <c r="I198" s="614"/>
      <c r="J198" s="614"/>
      <c r="K198" s="614"/>
      <c r="L198" s="614"/>
      <c r="M198" s="614"/>
      <c r="N198" s="614"/>
      <c r="O198" s="614"/>
      <c r="P198" s="614"/>
    </row>
    <row r="199" spans="1:16">
      <c r="A199" s="613"/>
      <c r="B199" s="614"/>
      <c r="C199" s="614"/>
      <c r="D199" s="614"/>
      <c r="E199" s="614"/>
      <c r="F199" s="614"/>
      <c r="G199" s="614"/>
      <c r="H199" s="614"/>
      <c r="I199" s="614"/>
      <c r="J199" s="614"/>
      <c r="K199" s="614"/>
      <c r="L199" s="614"/>
      <c r="M199" s="614"/>
      <c r="N199" s="614"/>
      <c r="O199" s="614"/>
      <c r="P199" s="614"/>
    </row>
    <row r="200" spans="1:16">
      <c r="A200" s="613"/>
      <c r="B200" s="614"/>
      <c r="C200" s="614"/>
      <c r="D200" s="614"/>
      <c r="E200" s="614"/>
      <c r="F200" s="614"/>
      <c r="G200" s="614"/>
      <c r="H200" s="614"/>
      <c r="I200" s="614"/>
      <c r="J200" s="614"/>
      <c r="K200" s="614"/>
      <c r="L200" s="614"/>
      <c r="M200" s="614"/>
      <c r="N200" s="614"/>
      <c r="O200" s="614"/>
      <c r="P200" s="614"/>
    </row>
    <row r="201" spans="1:16">
      <c r="A201" s="613"/>
      <c r="B201" s="614"/>
      <c r="C201" s="614"/>
      <c r="D201" s="614"/>
      <c r="E201" s="614"/>
      <c r="F201" s="614"/>
      <c r="G201" s="614"/>
      <c r="H201" s="614"/>
      <c r="I201" s="614"/>
      <c r="J201" s="614"/>
      <c r="K201" s="614"/>
      <c r="L201" s="614"/>
      <c r="M201" s="614"/>
      <c r="N201" s="614"/>
      <c r="O201" s="614"/>
      <c r="P201" s="614"/>
    </row>
    <row r="202" spans="1:16">
      <c r="A202" s="613"/>
      <c r="B202" s="614"/>
      <c r="C202" s="614"/>
      <c r="D202" s="614"/>
      <c r="E202" s="614"/>
      <c r="F202" s="614"/>
      <c r="G202" s="614"/>
      <c r="H202" s="614"/>
      <c r="I202" s="614"/>
      <c r="J202" s="614"/>
      <c r="K202" s="614"/>
      <c r="L202" s="614"/>
      <c r="M202" s="614"/>
      <c r="N202" s="614"/>
      <c r="O202" s="614"/>
      <c r="P202" s="614"/>
    </row>
    <row r="203" spans="1:16">
      <c r="A203" s="613"/>
      <c r="B203" s="614"/>
      <c r="C203" s="614"/>
      <c r="D203" s="614"/>
      <c r="E203" s="614"/>
      <c r="F203" s="614"/>
      <c r="G203" s="614"/>
      <c r="H203" s="614"/>
      <c r="I203" s="614"/>
      <c r="J203" s="614"/>
      <c r="K203" s="614"/>
      <c r="L203" s="614"/>
      <c r="M203" s="614"/>
      <c r="N203" s="614"/>
      <c r="O203" s="614"/>
      <c r="P203" s="614"/>
    </row>
    <row r="204" spans="1:16">
      <c r="A204" s="613"/>
      <c r="B204" s="614"/>
      <c r="C204" s="614"/>
      <c r="D204" s="614"/>
      <c r="E204" s="614"/>
      <c r="F204" s="614"/>
      <c r="G204" s="614"/>
      <c r="H204" s="614"/>
      <c r="I204" s="614"/>
      <c r="J204" s="614"/>
      <c r="K204" s="614"/>
      <c r="L204" s="614"/>
      <c r="M204" s="614"/>
      <c r="N204" s="614"/>
      <c r="O204" s="614"/>
      <c r="P204" s="614"/>
    </row>
    <row r="205" spans="1:16">
      <c r="A205" s="613"/>
      <c r="B205" s="614"/>
      <c r="C205" s="614"/>
      <c r="D205" s="614"/>
      <c r="E205" s="614"/>
      <c r="F205" s="614"/>
      <c r="G205" s="614"/>
      <c r="H205" s="614"/>
      <c r="I205" s="614"/>
      <c r="J205" s="614"/>
      <c r="K205" s="614"/>
      <c r="L205" s="614"/>
      <c r="M205" s="614"/>
      <c r="N205" s="614"/>
      <c r="O205" s="614"/>
      <c r="P205" s="614"/>
    </row>
    <row r="206" spans="1:16">
      <c r="A206" s="613"/>
      <c r="B206" s="614"/>
      <c r="C206" s="614"/>
      <c r="D206" s="614"/>
      <c r="E206" s="614"/>
      <c r="F206" s="614"/>
      <c r="G206" s="614"/>
      <c r="H206" s="614"/>
      <c r="I206" s="614"/>
      <c r="J206" s="614"/>
      <c r="K206" s="614"/>
      <c r="L206" s="614"/>
      <c r="M206" s="614"/>
      <c r="N206" s="614"/>
      <c r="O206" s="614"/>
      <c r="P206" s="614"/>
    </row>
    <row r="207" spans="1:16">
      <c r="A207" s="613"/>
      <c r="B207" s="614"/>
      <c r="C207" s="614"/>
      <c r="D207" s="614"/>
      <c r="E207" s="614"/>
      <c r="F207" s="614"/>
      <c r="G207" s="614"/>
      <c r="H207" s="614"/>
      <c r="I207" s="614"/>
      <c r="J207" s="614"/>
      <c r="K207" s="614"/>
      <c r="L207" s="614"/>
      <c r="M207" s="614"/>
      <c r="N207" s="614"/>
      <c r="O207" s="614"/>
      <c r="P207" s="614"/>
    </row>
    <row r="208" spans="1:16">
      <c r="A208" s="613"/>
      <c r="B208" s="614"/>
      <c r="C208" s="614"/>
      <c r="D208" s="614"/>
      <c r="E208" s="614"/>
      <c r="F208" s="614"/>
      <c r="G208" s="614"/>
      <c r="H208" s="614"/>
      <c r="I208" s="614"/>
      <c r="J208" s="614"/>
      <c r="K208" s="614"/>
      <c r="L208" s="614"/>
      <c r="M208" s="614"/>
      <c r="N208" s="614"/>
      <c r="O208" s="614"/>
      <c r="P208" s="614"/>
    </row>
    <row r="209" spans="1:16">
      <c r="A209" s="613"/>
      <c r="B209" s="614"/>
      <c r="C209" s="614"/>
      <c r="D209" s="614"/>
      <c r="E209" s="614"/>
      <c r="F209" s="614"/>
      <c r="G209" s="614"/>
      <c r="H209" s="614"/>
      <c r="I209" s="614"/>
      <c r="J209" s="614"/>
      <c r="K209" s="614"/>
      <c r="L209" s="614"/>
      <c r="M209" s="614"/>
      <c r="N209" s="614"/>
      <c r="O209" s="614"/>
      <c r="P209" s="614"/>
    </row>
    <row r="210" spans="1:16">
      <c r="A210" s="613"/>
      <c r="B210" s="614"/>
      <c r="C210" s="614"/>
      <c r="D210" s="614"/>
      <c r="E210" s="614"/>
      <c r="F210" s="614"/>
      <c r="G210" s="614"/>
      <c r="H210" s="614"/>
      <c r="I210" s="614"/>
      <c r="J210" s="614"/>
      <c r="K210" s="614"/>
      <c r="L210" s="614"/>
      <c r="M210" s="614"/>
      <c r="N210" s="614"/>
      <c r="O210" s="614"/>
      <c r="P210" s="614"/>
    </row>
    <row r="211" spans="1:16">
      <c r="A211" s="613"/>
      <c r="B211" s="614"/>
      <c r="C211" s="614"/>
      <c r="D211" s="614"/>
      <c r="E211" s="614"/>
      <c r="F211" s="614"/>
      <c r="G211" s="614"/>
      <c r="H211" s="614"/>
      <c r="I211" s="614"/>
      <c r="J211" s="614"/>
      <c r="K211" s="614"/>
      <c r="L211" s="614"/>
      <c r="M211" s="614"/>
      <c r="N211" s="614"/>
      <c r="O211" s="614"/>
      <c r="P211" s="614"/>
    </row>
    <row r="212" spans="1:16">
      <c r="A212" s="613"/>
      <c r="B212" s="614"/>
      <c r="C212" s="614"/>
      <c r="D212" s="614"/>
      <c r="E212" s="614"/>
      <c r="F212" s="614"/>
      <c r="G212" s="614"/>
      <c r="H212" s="614"/>
      <c r="I212" s="614"/>
      <c r="J212" s="614"/>
      <c r="K212" s="614"/>
      <c r="L212" s="614"/>
      <c r="M212" s="614"/>
      <c r="N212" s="614"/>
      <c r="O212" s="614"/>
      <c r="P212" s="614"/>
    </row>
    <row r="213" spans="1:16">
      <c r="A213" s="613"/>
      <c r="B213" s="614"/>
      <c r="C213" s="614"/>
      <c r="D213" s="614"/>
      <c r="E213" s="614"/>
      <c r="F213" s="614"/>
      <c r="G213" s="614"/>
      <c r="H213" s="614"/>
      <c r="I213" s="614"/>
      <c r="J213" s="614"/>
      <c r="K213" s="614"/>
      <c r="L213" s="614"/>
      <c r="M213" s="614"/>
      <c r="N213" s="614"/>
      <c r="O213" s="614"/>
      <c r="P213" s="614"/>
    </row>
    <row r="214" spans="1:16">
      <c r="A214" s="613"/>
      <c r="B214" s="614"/>
      <c r="C214" s="614"/>
      <c r="D214" s="614"/>
      <c r="E214" s="614"/>
      <c r="F214" s="614"/>
      <c r="G214" s="614"/>
      <c r="H214" s="614"/>
      <c r="I214" s="614"/>
      <c r="J214" s="614"/>
      <c r="K214" s="614"/>
      <c r="L214" s="614"/>
      <c r="M214" s="614"/>
      <c r="N214" s="614"/>
      <c r="O214" s="614"/>
      <c r="P214" s="614"/>
    </row>
    <row r="215" spans="1:16">
      <c r="A215" s="613"/>
      <c r="B215" s="614"/>
      <c r="C215" s="614"/>
      <c r="D215" s="614"/>
      <c r="E215" s="614"/>
      <c r="F215" s="614"/>
      <c r="G215" s="614"/>
      <c r="H215" s="614"/>
      <c r="I215" s="614"/>
      <c r="J215" s="614"/>
      <c r="K215" s="614"/>
      <c r="L215" s="614"/>
      <c r="M215" s="614"/>
      <c r="N215" s="614"/>
      <c r="O215" s="614"/>
      <c r="P215" s="614"/>
    </row>
    <row r="216" spans="1:16">
      <c r="A216" s="613"/>
      <c r="B216" s="614"/>
      <c r="C216" s="614"/>
      <c r="D216" s="614"/>
      <c r="E216" s="614"/>
      <c r="F216" s="614"/>
      <c r="G216" s="614"/>
      <c r="H216" s="614"/>
      <c r="I216" s="614"/>
      <c r="J216" s="614"/>
      <c r="K216" s="614"/>
      <c r="L216" s="614"/>
      <c r="M216" s="614"/>
      <c r="N216" s="614"/>
      <c r="O216" s="614"/>
      <c r="P216" s="614"/>
    </row>
    <row r="217" spans="1:16">
      <c r="A217" s="613"/>
      <c r="B217" s="614"/>
      <c r="C217" s="614"/>
      <c r="D217" s="614"/>
      <c r="E217" s="614"/>
      <c r="F217" s="614"/>
      <c r="G217" s="614"/>
      <c r="H217" s="614"/>
      <c r="I217" s="614"/>
      <c r="J217" s="614"/>
      <c r="K217" s="614"/>
      <c r="L217" s="614"/>
      <c r="M217" s="614"/>
      <c r="N217" s="614"/>
      <c r="O217" s="614"/>
      <c r="P217" s="614"/>
    </row>
    <row r="218" spans="1:16">
      <c r="A218" s="613"/>
      <c r="B218" s="614"/>
      <c r="C218" s="614"/>
      <c r="D218" s="614"/>
      <c r="E218" s="614"/>
      <c r="F218" s="614"/>
      <c r="G218" s="614"/>
      <c r="H218" s="614"/>
      <c r="I218" s="614"/>
      <c r="J218" s="614"/>
      <c r="K218" s="614"/>
      <c r="L218" s="614"/>
      <c r="M218" s="614"/>
      <c r="N218" s="614"/>
      <c r="O218" s="614"/>
      <c r="P218" s="614"/>
    </row>
    <row r="219" spans="1:16">
      <c r="A219" s="613"/>
      <c r="B219" s="614"/>
      <c r="C219" s="614"/>
      <c r="D219" s="614"/>
      <c r="E219" s="614"/>
      <c r="F219" s="614"/>
      <c r="G219" s="614"/>
      <c r="H219" s="614"/>
      <c r="I219" s="614"/>
      <c r="J219" s="614"/>
      <c r="K219" s="614"/>
      <c r="L219" s="614"/>
      <c r="M219" s="614"/>
      <c r="N219" s="614"/>
      <c r="O219" s="614"/>
      <c r="P219" s="614"/>
    </row>
    <row r="220" spans="1:16">
      <c r="A220" s="613"/>
      <c r="B220" s="614"/>
      <c r="C220" s="614"/>
      <c r="D220" s="614"/>
      <c r="E220" s="614"/>
      <c r="F220" s="614"/>
      <c r="G220" s="614"/>
      <c r="H220" s="614"/>
      <c r="I220" s="614"/>
      <c r="J220" s="614"/>
      <c r="K220" s="614"/>
      <c r="L220" s="614"/>
      <c r="M220" s="614"/>
      <c r="N220" s="614"/>
      <c r="O220" s="614"/>
      <c r="P220" s="614"/>
    </row>
    <row r="221" spans="1:16">
      <c r="A221" s="613"/>
      <c r="B221" s="614"/>
      <c r="C221" s="614"/>
      <c r="D221" s="614"/>
      <c r="E221" s="614"/>
      <c r="F221" s="614"/>
      <c r="G221" s="614"/>
      <c r="H221" s="614"/>
      <c r="I221" s="614"/>
      <c r="J221" s="614"/>
      <c r="K221" s="614"/>
      <c r="L221" s="614"/>
      <c r="M221" s="614"/>
      <c r="N221" s="614"/>
      <c r="O221" s="614"/>
      <c r="P221" s="614"/>
    </row>
    <row r="222" spans="1:16">
      <c r="A222" s="613"/>
      <c r="B222" s="614"/>
      <c r="C222" s="614"/>
      <c r="D222" s="614"/>
      <c r="E222" s="614"/>
      <c r="F222" s="614"/>
      <c r="G222" s="614"/>
      <c r="H222" s="614"/>
      <c r="I222" s="614"/>
      <c r="J222" s="614"/>
      <c r="K222" s="614"/>
      <c r="L222" s="614"/>
      <c r="M222" s="614"/>
      <c r="N222" s="614"/>
      <c r="O222" s="614"/>
      <c r="P222" s="614"/>
    </row>
    <row r="223" spans="1:16">
      <c r="A223" s="619"/>
      <c r="B223" s="620"/>
      <c r="C223" s="620"/>
      <c r="D223" s="620"/>
      <c r="E223" s="620"/>
      <c r="F223" s="620"/>
      <c r="G223" s="620"/>
      <c r="H223" s="620"/>
      <c r="I223" s="620"/>
      <c r="J223" s="620"/>
      <c r="K223" s="620"/>
      <c r="L223" s="620"/>
      <c r="M223" s="620"/>
      <c r="N223" s="620"/>
      <c r="O223" s="620"/>
      <c r="P223" s="620"/>
    </row>
    <row r="224" spans="1:16">
      <c r="A224" s="613"/>
      <c r="B224" s="614"/>
      <c r="C224" s="614"/>
      <c r="D224" s="614"/>
      <c r="E224" s="614"/>
      <c r="F224" s="614"/>
      <c r="G224" s="614"/>
      <c r="H224" s="614"/>
      <c r="I224" s="614"/>
      <c r="J224" s="614"/>
      <c r="K224" s="614"/>
      <c r="L224" s="614"/>
      <c r="M224" s="614"/>
      <c r="N224" s="614"/>
      <c r="O224" s="614"/>
      <c r="P224" s="614"/>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93"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topLeftCell="A109" zoomScaleNormal="100" zoomScaleSheetLayoutView="99" workbookViewId="0">
      <selection activeCell="J140" sqref="J140:L140"/>
    </sheetView>
  </sheetViews>
  <sheetFormatPr defaultColWidth="9.1796875" defaultRowHeight="12.5"/>
  <cols>
    <col min="1" max="1" width="32.7265625" style="590" customWidth="1"/>
    <col min="2" max="2" width="16" style="590" bestFit="1" customWidth="1"/>
    <col min="3" max="3" width="5.1796875" style="590" customWidth="1"/>
    <col min="4" max="4" width="16" style="590" bestFit="1" customWidth="1"/>
    <col min="5" max="5" width="4.7265625" style="590" customWidth="1"/>
    <col min="6" max="6" width="17" style="590" bestFit="1" customWidth="1"/>
    <col min="7" max="7" width="3.26953125" style="590" customWidth="1"/>
    <col min="8" max="8" width="17" style="590" bestFit="1" customWidth="1"/>
    <col min="9" max="9" width="4.453125" style="590" customWidth="1"/>
    <col min="10" max="10" width="17" style="590" bestFit="1" customWidth="1"/>
    <col min="11" max="11" width="3.7265625" style="590" customWidth="1"/>
    <col min="12" max="12" width="17" style="590" bestFit="1" customWidth="1"/>
    <col min="13" max="13" width="4.1796875" style="590" customWidth="1"/>
    <col min="14" max="14" width="17" style="590" bestFit="1" customWidth="1"/>
    <col min="15" max="15" width="3.54296875" style="590" customWidth="1"/>
    <col min="16" max="16" width="18.7265625" style="590" bestFit="1" customWidth="1"/>
    <col min="17" max="16384" width="9.1796875" style="590"/>
  </cols>
  <sheetData>
    <row r="1" spans="1:16" ht="18">
      <c r="A1" s="1858" t="s">
        <v>1551</v>
      </c>
      <c r="B1" s="1859"/>
      <c r="C1" s="1859"/>
      <c r="D1" s="1859"/>
      <c r="E1" s="1859"/>
      <c r="F1" s="1859"/>
      <c r="G1" s="1859"/>
    </row>
    <row r="2" spans="1:16" ht="13">
      <c r="H2" s="591"/>
      <c r="I2" s="592"/>
      <c r="J2" s="593"/>
    </row>
    <row r="3" spans="1:16" ht="13">
      <c r="A3" s="594" t="s">
        <v>1066</v>
      </c>
      <c r="H3" s="591"/>
      <c r="I3" s="592"/>
      <c r="J3" s="593"/>
    </row>
    <row r="4" spans="1:16" ht="13">
      <c r="A4" s="592"/>
      <c r="B4" s="592"/>
      <c r="C4" s="592"/>
      <c r="D4" s="592"/>
      <c r="E4" s="592"/>
      <c r="F4" s="592"/>
      <c r="G4" s="592"/>
      <c r="H4" s="592"/>
      <c r="I4" s="592"/>
      <c r="J4" s="593"/>
    </row>
    <row r="5" spans="1:16" ht="13">
      <c r="A5" s="595" t="s">
        <v>1606</v>
      </c>
      <c r="B5" s="595" t="s">
        <v>492</v>
      </c>
      <c r="C5" s="595"/>
      <c r="D5" s="595" t="s">
        <v>493</v>
      </c>
      <c r="E5" s="595"/>
      <c r="F5" s="595"/>
      <c r="G5" s="595"/>
      <c r="H5" s="595"/>
      <c r="I5" s="595"/>
      <c r="J5" s="595"/>
      <c r="K5" s="595"/>
      <c r="L5" s="595"/>
      <c r="M5" s="595"/>
      <c r="N5" s="595"/>
      <c r="O5" s="595"/>
      <c r="P5" s="595"/>
    </row>
    <row r="6" spans="1:16" ht="13">
      <c r="A6" s="595"/>
      <c r="B6" s="595" t="s">
        <v>494</v>
      </c>
      <c r="C6" s="595"/>
      <c r="D6" s="595" t="s">
        <v>495</v>
      </c>
      <c r="E6" s="595"/>
      <c r="F6" s="595" t="s">
        <v>141</v>
      </c>
      <c r="G6" s="595"/>
      <c r="H6" s="595" t="s">
        <v>1067</v>
      </c>
      <c r="I6" s="1140"/>
      <c r="J6" s="595" t="s">
        <v>1068</v>
      </c>
      <c r="K6" s="1140"/>
      <c r="L6" s="595" t="s">
        <v>1069</v>
      </c>
      <c r="M6" s="595"/>
      <c r="N6" s="595" t="s">
        <v>496</v>
      </c>
      <c r="O6" s="595"/>
      <c r="P6" s="595" t="s">
        <v>44</v>
      </c>
    </row>
    <row r="7" spans="1:16" ht="14.5">
      <c r="A7" s="1247" t="s">
        <v>1607</v>
      </c>
      <c r="B7" s="602">
        <v>127845.55</v>
      </c>
      <c r="C7" s="602"/>
      <c r="D7" s="602">
        <v>109738.86000000002</v>
      </c>
      <c r="E7" s="602"/>
      <c r="F7" s="602">
        <v>215654.97</v>
      </c>
      <c r="G7" s="602"/>
      <c r="H7" s="602">
        <v>339703</v>
      </c>
      <c r="I7" s="602"/>
      <c r="J7" s="602">
        <v>990316.23</v>
      </c>
      <c r="K7" s="602"/>
      <c r="L7" s="602">
        <v>363895.57</v>
      </c>
      <c r="M7" s="602"/>
      <c r="N7" s="602">
        <v>6426377.4000000022</v>
      </c>
      <c r="O7" s="1169"/>
      <c r="P7" s="1630">
        <f>SUM(B7:O7)</f>
        <v>8573531.5800000019</v>
      </c>
    </row>
    <row r="8" spans="1:16" ht="14.5">
      <c r="A8" s="1247" t="s">
        <v>1608</v>
      </c>
      <c r="B8" s="602">
        <v>762650.69</v>
      </c>
      <c r="C8" s="602"/>
      <c r="D8" s="602">
        <v>654901.55999999994</v>
      </c>
      <c r="E8" s="602"/>
      <c r="F8" s="602">
        <v>1286512.97</v>
      </c>
      <c r="G8" s="602"/>
      <c r="H8" s="602">
        <v>2052892.3800000001</v>
      </c>
      <c r="I8" s="602"/>
      <c r="J8" s="602">
        <v>4973716.7299999995</v>
      </c>
      <c r="K8" s="602"/>
      <c r="L8" s="602">
        <v>1997392.6500000001</v>
      </c>
      <c r="M8" s="602"/>
      <c r="N8" s="602">
        <v>16154224.849999992</v>
      </c>
      <c r="O8" s="1631"/>
      <c r="P8" s="1630">
        <f t="shared" ref="P8:P26" si="0">SUM(B8:O8)</f>
        <v>27882291.829999991</v>
      </c>
    </row>
    <row r="9" spans="1:16" ht="14.5">
      <c r="A9" s="1247" t="s">
        <v>1609</v>
      </c>
      <c r="B9" s="602">
        <v>352004.43999999994</v>
      </c>
      <c r="C9" s="602"/>
      <c r="D9" s="602">
        <v>302172.3</v>
      </c>
      <c r="E9" s="602"/>
      <c r="F9" s="602">
        <v>593742.24</v>
      </c>
      <c r="G9" s="602"/>
      <c r="H9" s="602">
        <v>935143.71000000008</v>
      </c>
      <c r="I9" s="602"/>
      <c r="J9" s="602">
        <v>2215929.44</v>
      </c>
      <c r="K9" s="602"/>
      <c r="L9" s="602">
        <v>921360.33000000007</v>
      </c>
      <c r="M9" s="602"/>
      <c r="N9" s="602">
        <v>12714357.409999996</v>
      </c>
      <c r="O9" s="1631"/>
      <c r="P9" s="1630">
        <f t="shared" si="0"/>
        <v>18034709.869999997</v>
      </c>
    </row>
    <row r="10" spans="1:16" ht="14.5">
      <c r="A10" s="1247" t="s">
        <v>1610</v>
      </c>
      <c r="B10" s="602">
        <v>298181.89999999997</v>
      </c>
      <c r="C10" s="602"/>
      <c r="D10" s="602">
        <v>256756.37</v>
      </c>
      <c r="E10" s="602"/>
      <c r="F10" s="602">
        <v>500862.14999999997</v>
      </c>
      <c r="G10" s="602"/>
      <c r="H10" s="602">
        <v>809575</v>
      </c>
      <c r="I10" s="602"/>
      <c r="J10" s="602">
        <v>1975065.6200000003</v>
      </c>
      <c r="K10" s="602"/>
      <c r="L10" s="602">
        <v>807952.26</v>
      </c>
      <c r="M10" s="602"/>
      <c r="N10" s="602">
        <v>4213000.3899999997</v>
      </c>
      <c r="O10" s="1631"/>
      <c r="P10" s="1630">
        <f t="shared" si="0"/>
        <v>8861393.6899999995</v>
      </c>
    </row>
    <row r="11" spans="1:16" ht="14.5">
      <c r="A11" s="1247" t="s">
        <v>1611</v>
      </c>
      <c r="B11" s="602">
        <v>1067186.94</v>
      </c>
      <c r="C11" s="602"/>
      <c r="D11" s="602">
        <v>916339</v>
      </c>
      <c r="E11" s="602"/>
      <c r="F11" s="602">
        <v>1800076.41</v>
      </c>
      <c r="G11" s="602"/>
      <c r="H11" s="602">
        <v>2837221.7300000004</v>
      </c>
      <c r="I11" s="602"/>
      <c r="J11" s="602">
        <v>6718398.2699999996</v>
      </c>
      <c r="K11" s="602"/>
      <c r="L11" s="602">
        <v>2796164.86</v>
      </c>
      <c r="M11" s="602"/>
      <c r="N11" s="602">
        <v>32760795.57</v>
      </c>
      <c r="O11" s="1631"/>
      <c r="P11" s="1630">
        <f t="shared" si="0"/>
        <v>48896182.780000001</v>
      </c>
    </row>
    <row r="12" spans="1:16" ht="14.5">
      <c r="A12" s="1247" t="s">
        <v>1612</v>
      </c>
      <c r="B12" s="602">
        <v>258169.36999999997</v>
      </c>
      <c r="C12" s="602"/>
      <c r="D12" s="602">
        <v>221605.49000000002</v>
      </c>
      <c r="E12" s="602"/>
      <c r="F12" s="602">
        <v>435218.57999999996</v>
      </c>
      <c r="G12" s="602"/>
      <c r="H12" s="602">
        <v>686234.03999999992</v>
      </c>
      <c r="I12" s="602"/>
      <c r="J12" s="602">
        <v>1621421.88</v>
      </c>
      <c r="K12" s="602"/>
      <c r="L12" s="602">
        <v>675344.63</v>
      </c>
      <c r="M12" s="602"/>
      <c r="N12" s="602">
        <v>3863095.310000001</v>
      </c>
      <c r="O12" s="1631"/>
      <c r="P12" s="1630">
        <f t="shared" si="0"/>
        <v>7761089.3000000007</v>
      </c>
    </row>
    <row r="13" spans="1:16" ht="14.5">
      <c r="A13" s="1247" t="s">
        <v>1613</v>
      </c>
      <c r="B13" s="602">
        <v>2310436.96</v>
      </c>
      <c r="C13" s="602"/>
      <c r="D13" s="602">
        <v>1983376.51</v>
      </c>
      <c r="E13" s="602"/>
      <c r="F13" s="602">
        <v>3897063.1900000004</v>
      </c>
      <c r="G13" s="602"/>
      <c r="H13" s="602">
        <v>6169828.5699999994</v>
      </c>
      <c r="I13" s="602"/>
      <c r="J13" s="602">
        <v>14555009.16</v>
      </c>
      <c r="K13" s="602"/>
      <c r="L13" s="602">
        <v>6052047.7399999993</v>
      </c>
      <c r="M13" s="602"/>
      <c r="N13" s="602">
        <v>34789888.869999982</v>
      </c>
      <c r="O13" s="1631"/>
      <c r="P13" s="1630">
        <f t="shared" si="0"/>
        <v>69757650.999999985</v>
      </c>
    </row>
    <row r="14" spans="1:16" ht="14.5">
      <c r="A14" s="1247" t="s">
        <v>1614</v>
      </c>
      <c r="B14" s="602">
        <v>5295390.4499999993</v>
      </c>
      <c r="C14" s="602"/>
      <c r="D14" s="602">
        <v>4104781.8399999994</v>
      </c>
      <c r="E14" s="602"/>
      <c r="F14" s="602">
        <v>7342035.4100000001</v>
      </c>
      <c r="G14" s="602"/>
      <c r="H14" s="602">
        <v>12995106.430000002</v>
      </c>
      <c r="I14" s="602"/>
      <c r="J14" s="602">
        <v>27314431.940000005</v>
      </c>
      <c r="K14" s="602"/>
      <c r="L14" s="602">
        <v>11965229.779999999</v>
      </c>
      <c r="M14" s="602"/>
      <c r="N14" s="602">
        <v>1878832.2199999839</v>
      </c>
      <c r="O14" s="1631"/>
      <c r="P14" s="1630">
        <f t="shared" si="0"/>
        <v>70895808.069999993</v>
      </c>
    </row>
    <row r="15" spans="1:16" ht="14.5">
      <c r="A15" s="1247" t="s">
        <v>1615</v>
      </c>
      <c r="B15" s="602">
        <v>0</v>
      </c>
      <c r="C15" s="602"/>
      <c r="D15" s="602">
        <v>0</v>
      </c>
      <c r="E15" s="602"/>
      <c r="F15" s="602">
        <v>0</v>
      </c>
      <c r="G15" s="602"/>
      <c r="H15" s="602">
        <v>0</v>
      </c>
      <c r="I15" s="602"/>
      <c r="J15" s="602">
        <v>0</v>
      </c>
      <c r="K15" s="602"/>
      <c r="L15" s="602">
        <v>0</v>
      </c>
      <c r="M15" s="602"/>
      <c r="N15" s="602">
        <v>11385.610000000004</v>
      </c>
      <c r="O15" s="1631"/>
      <c r="P15" s="1630">
        <f t="shared" si="0"/>
        <v>11385.610000000004</v>
      </c>
    </row>
    <row r="16" spans="1:16" ht="14.5">
      <c r="A16" s="1247" t="s">
        <v>1616</v>
      </c>
      <c r="B16" s="602">
        <v>6738123.8899999997</v>
      </c>
      <c r="C16" s="602"/>
      <c r="D16" s="602">
        <v>5976671.79</v>
      </c>
      <c r="E16" s="602"/>
      <c r="F16" s="602">
        <v>11887327.699999999</v>
      </c>
      <c r="G16" s="602"/>
      <c r="H16" s="602">
        <v>17142474.18</v>
      </c>
      <c r="I16" s="602"/>
      <c r="J16" s="602">
        <v>32323665.369999997</v>
      </c>
      <c r="K16" s="602"/>
      <c r="L16" s="602">
        <v>15159127.759999998</v>
      </c>
      <c r="M16" s="602"/>
      <c r="N16" s="602">
        <v>79087183.729999989</v>
      </c>
      <c r="O16" s="1631"/>
      <c r="P16" s="1630">
        <f t="shared" si="0"/>
        <v>168314574.41999999</v>
      </c>
    </row>
    <row r="17" spans="1:16" ht="14.5">
      <c r="A17" s="1247" t="s">
        <v>1617</v>
      </c>
      <c r="B17" s="602">
        <v>1411098.0499999996</v>
      </c>
      <c r="C17" s="602"/>
      <c r="D17" s="602">
        <v>1172131.2</v>
      </c>
      <c r="E17" s="602"/>
      <c r="F17" s="602">
        <v>2053744.8499999996</v>
      </c>
      <c r="G17" s="602"/>
      <c r="H17" s="602">
        <v>3929953.71</v>
      </c>
      <c r="I17" s="602"/>
      <c r="J17" s="602">
        <v>7096169.4899999993</v>
      </c>
      <c r="K17" s="602"/>
      <c r="L17" s="602">
        <v>3233864.2599999993</v>
      </c>
      <c r="M17" s="602"/>
      <c r="N17" s="602">
        <v>16477099.820000008</v>
      </c>
      <c r="O17" s="1631"/>
      <c r="P17" s="1630">
        <f t="shared" si="0"/>
        <v>35374061.380000003</v>
      </c>
    </row>
    <row r="18" spans="1:16" ht="14.5">
      <c r="A18" s="1247" t="s">
        <v>1618</v>
      </c>
      <c r="B18" s="602">
        <v>345943.64999999997</v>
      </c>
      <c r="C18" s="602"/>
      <c r="D18" s="602">
        <v>296509.83999999997</v>
      </c>
      <c r="E18" s="602"/>
      <c r="F18" s="602">
        <v>582730.86</v>
      </c>
      <c r="G18" s="602"/>
      <c r="H18" s="602">
        <v>957438.06999999972</v>
      </c>
      <c r="I18" s="602"/>
      <c r="J18" s="602">
        <v>28216108.990000002</v>
      </c>
      <c r="K18" s="602"/>
      <c r="L18" s="602">
        <v>943947.55</v>
      </c>
      <c r="M18" s="602"/>
      <c r="N18" s="602">
        <v>5270666.8099999912</v>
      </c>
      <c r="O18" s="1631"/>
      <c r="P18" s="1630">
        <f t="shared" si="0"/>
        <v>36613345.769999996</v>
      </c>
    </row>
    <row r="19" spans="1:16" ht="14.5">
      <c r="A19" s="1247" t="s">
        <v>1619</v>
      </c>
      <c r="B19" s="602">
        <v>2550451.9700000002</v>
      </c>
      <c r="C19" s="602"/>
      <c r="D19" s="602">
        <v>1763810.2900000003</v>
      </c>
      <c r="E19" s="602"/>
      <c r="F19" s="602">
        <v>3903526.0800000005</v>
      </c>
      <c r="G19" s="602"/>
      <c r="H19" s="602">
        <v>7845651.3000000017</v>
      </c>
      <c r="I19" s="602"/>
      <c r="J19" s="602">
        <v>15918302.809999999</v>
      </c>
      <c r="K19" s="602"/>
      <c r="L19" s="602">
        <v>6995422.54</v>
      </c>
      <c r="M19" s="602"/>
      <c r="N19" s="602">
        <v>33239108.529999994</v>
      </c>
      <c r="O19" s="1631"/>
      <c r="P19" s="1630">
        <f t="shared" si="0"/>
        <v>72216273.519999996</v>
      </c>
    </row>
    <row r="20" spans="1:16" ht="14.5">
      <c r="A20" s="1247" t="s">
        <v>1620</v>
      </c>
      <c r="B20" s="602">
        <v>79147301.920000002</v>
      </c>
      <c r="C20" s="602"/>
      <c r="D20" s="602">
        <v>63950797.020000003</v>
      </c>
      <c r="E20" s="602"/>
      <c r="F20" s="602">
        <v>99035027.470000014</v>
      </c>
      <c r="G20" s="602"/>
      <c r="H20" s="602">
        <v>236284717.38</v>
      </c>
      <c r="I20" s="602"/>
      <c r="J20" s="602">
        <v>306043483.47000003</v>
      </c>
      <c r="K20" s="602"/>
      <c r="L20" s="602">
        <v>165083554.33000001</v>
      </c>
      <c r="M20" s="602"/>
      <c r="N20" s="602">
        <v>338041323.27999985</v>
      </c>
      <c r="O20" s="1631"/>
      <c r="P20" s="1630">
        <f t="shared" si="0"/>
        <v>1287586204.8699999</v>
      </c>
    </row>
    <row r="21" spans="1:16" ht="14.5">
      <c r="A21" s="1247" t="s">
        <v>1621</v>
      </c>
      <c r="B21" s="602">
        <v>63679.01</v>
      </c>
      <c r="C21" s="602"/>
      <c r="D21" s="602">
        <v>54664.319999999992</v>
      </c>
      <c r="E21" s="602"/>
      <c r="F21" s="602">
        <v>107410.10999999999</v>
      </c>
      <c r="G21" s="602"/>
      <c r="H21" s="602">
        <v>169171.01</v>
      </c>
      <c r="I21" s="602"/>
      <c r="J21" s="602">
        <v>400869.51999999996</v>
      </c>
      <c r="K21" s="602"/>
      <c r="L21" s="602">
        <v>166677.24</v>
      </c>
      <c r="M21" s="602"/>
      <c r="N21" s="602">
        <v>871642.84000000008</v>
      </c>
      <c r="O21" s="1631"/>
      <c r="P21" s="1630">
        <f t="shared" si="0"/>
        <v>1834114.05</v>
      </c>
    </row>
    <row r="22" spans="1:16" ht="14.5">
      <c r="A22" s="1247" t="s">
        <v>1622</v>
      </c>
      <c r="B22" s="602">
        <v>1344037.2399999998</v>
      </c>
      <c r="C22" s="602"/>
      <c r="D22" s="602">
        <v>1263137.53</v>
      </c>
      <c r="E22" s="602"/>
      <c r="F22" s="602">
        <v>2358003.34</v>
      </c>
      <c r="G22" s="602"/>
      <c r="H22" s="602">
        <v>2859075.5300000003</v>
      </c>
      <c r="I22" s="602"/>
      <c r="J22" s="602">
        <v>5690047.2299999995</v>
      </c>
      <c r="K22" s="602"/>
      <c r="L22" s="602">
        <v>3150585.0300000003</v>
      </c>
      <c r="M22" s="602"/>
      <c r="N22" s="602">
        <v>16970667.979999997</v>
      </c>
      <c r="O22" s="1631"/>
      <c r="P22" s="1630">
        <f t="shared" si="0"/>
        <v>33635553.879999995</v>
      </c>
    </row>
    <row r="23" spans="1:16" ht="14.5">
      <c r="A23" s="1247" t="s">
        <v>1623</v>
      </c>
      <c r="B23" s="602">
        <v>413827.61</v>
      </c>
      <c r="C23" s="602"/>
      <c r="D23" s="602">
        <v>265231.8</v>
      </c>
      <c r="E23" s="602"/>
      <c r="F23" s="602">
        <v>480745.35</v>
      </c>
      <c r="G23" s="602"/>
      <c r="H23" s="602">
        <v>1162390.1499999999</v>
      </c>
      <c r="I23" s="602"/>
      <c r="J23" s="602">
        <v>2151722.31</v>
      </c>
      <c r="K23" s="602"/>
      <c r="L23" s="602">
        <v>1367607.8099999998</v>
      </c>
      <c r="M23" s="602"/>
      <c r="N23" s="602">
        <v>6012687.2800000031</v>
      </c>
      <c r="O23" s="1631"/>
      <c r="P23" s="1630">
        <f t="shared" si="0"/>
        <v>11854212.310000002</v>
      </c>
    </row>
    <row r="24" spans="1:16" ht="14.5">
      <c r="A24" s="1247" t="s">
        <v>1624</v>
      </c>
      <c r="B24" s="602">
        <v>691692.99</v>
      </c>
      <c r="C24" s="602"/>
      <c r="D24" s="602">
        <v>593772.7300000001</v>
      </c>
      <c r="E24" s="602"/>
      <c r="F24" s="602">
        <v>1166710</v>
      </c>
      <c r="G24" s="602"/>
      <c r="H24" s="602">
        <v>1837572.48</v>
      </c>
      <c r="I24" s="602"/>
      <c r="J24" s="602">
        <v>4372931.38</v>
      </c>
      <c r="K24" s="602"/>
      <c r="L24" s="602">
        <v>1810484.5699999998</v>
      </c>
      <c r="M24" s="602"/>
      <c r="N24" s="602">
        <v>11181392.649999997</v>
      </c>
      <c r="O24" s="1631"/>
      <c r="P24" s="1630">
        <f t="shared" si="0"/>
        <v>21654556.799999997</v>
      </c>
    </row>
    <row r="25" spans="1:16" ht="14.5">
      <c r="A25" s="153" t="s">
        <v>1625</v>
      </c>
      <c r="B25" s="602">
        <v>1652112.4100000004</v>
      </c>
      <c r="C25" s="602"/>
      <c r="D25" s="602">
        <v>1368925.03</v>
      </c>
      <c r="E25" s="602"/>
      <c r="F25" s="602">
        <v>2836658.8600000003</v>
      </c>
      <c r="G25" s="602"/>
      <c r="H25" s="602">
        <v>4077442.5299999993</v>
      </c>
      <c r="I25" s="602"/>
      <c r="J25" s="602">
        <v>9370383.5800000001</v>
      </c>
      <c r="K25" s="602"/>
      <c r="L25" s="602">
        <v>4113795.1500000004</v>
      </c>
      <c r="M25" s="602"/>
      <c r="N25" s="602">
        <v>66670955.769999996</v>
      </c>
      <c r="O25" s="1631"/>
      <c r="P25" s="1630">
        <f t="shared" si="0"/>
        <v>90090273.329999998</v>
      </c>
    </row>
    <row r="26" spans="1:16" ht="14.5">
      <c r="A26" s="153" t="s">
        <v>1626</v>
      </c>
      <c r="B26" s="602">
        <v>0</v>
      </c>
      <c r="C26" s="602"/>
      <c r="D26" s="602">
        <v>0</v>
      </c>
      <c r="E26" s="602"/>
      <c r="F26" s="602">
        <v>0</v>
      </c>
      <c r="G26" s="602"/>
      <c r="H26" s="602">
        <v>0</v>
      </c>
      <c r="I26" s="602"/>
      <c r="J26" s="602">
        <v>23923.260000000002</v>
      </c>
      <c r="K26" s="602"/>
      <c r="L26" s="602">
        <v>0</v>
      </c>
      <c r="M26" s="602"/>
      <c r="N26" s="602">
        <v>0</v>
      </c>
      <c r="O26" s="1631"/>
      <c r="P26" s="1630">
        <f t="shared" si="0"/>
        <v>23923.260000000002</v>
      </c>
    </row>
    <row r="27" spans="1:16" ht="15" thickBot="1">
      <c r="A27" s="1175" t="s">
        <v>44</v>
      </c>
      <c r="B27" s="617">
        <f>SUM(B7:B26)</f>
        <v>104830135.03999999</v>
      </c>
      <c r="C27" s="617"/>
      <c r="D27" s="617">
        <f t="shared" ref="D27:P27" si="1">SUM(D7:D26)</f>
        <v>85255323.479999989</v>
      </c>
      <c r="E27" s="617"/>
      <c r="F27" s="617">
        <f t="shared" si="1"/>
        <v>140483050.54000002</v>
      </c>
      <c r="G27" s="617"/>
      <c r="H27" s="617">
        <f t="shared" si="1"/>
        <v>303091591.19999993</v>
      </c>
      <c r="I27" s="617"/>
      <c r="J27" s="617">
        <f t="shared" si="1"/>
        <v>471971896.68000001</v>
      </c>
      <c r="K27" s="617"/>
      <c r="L27" s="617">
        <f t="shared" si="1"/>
        <v>227604454.06</v>
      </c>
      <c r="M27" s="617"/>
      <c r="N27" s="617">
        <f t="shared" si="1"/>
        <v>686634686.31999981</v>
      </c>
      <c r="O27" s="617"/>
      <c r="P27" s="617">
        <f t="shared" si="1"/>
        <v>2019871137.3199997</v>
      </c>
    </row>
    <row r="28" spans="1:16" ht="15" thickTop="1">
      <c r="A28" s="153"/>
      <c r="B28" s="1173"/>
      <c r="C28" s="1170"/>
      <c r="D28" s="1173"/>
      <c r="E28" s="1172"/>
      <c r="F28" s="1173"/>
      <c r="G28" s="1172"/>
      <c r="H28" s="1173"/>
      <c r="I28" s="1171"/>
      <c r="J28" s="1173"/>
      <c r="K28" s="1171"/>
      <c r="L28" s="1173"/>
      <c r="M28" s="1171"/>
      <c r="N28" s="1173"/>
      <c r="P28" s="1174"/>
    </row>
    <row r="29" spans="1:16" customFormat="1" ht="14.5"/>
    <row r="30" spans="1:16" customFormat="1" ht="14.5"/>
    <row r="31" spans="1:16" ht="14.5">
      <c r="A31" s="601"/>
      <c r="B31" s="611"/>
      <c r="C31" s="604"/>
      <c r="D31" s="611"/>
      <c r="E31" s="611"/>
      <c r="F31" s="611"/>
      <c r="G31" s="611"/>
      <c r="H31" s="605"/>
      <c r="I31" s="608"/>
      <c r="J31" s="606"/>
      <c r="K31" s="607"/>
    </row>
    <row r="32" spans="1:16" ht="14.5">
      <c r="A32" s="601"/>
      <c r="B32" s="602"/>
      <c r="C32" s="604"/>
      <c r="D32" s="602"/>
      <c r="E32" s="611"/>
      <c r="F32" s="602"/>
      <c r="G32" s="611"/>
      <c r="H32" s="605"/>
      <c r="I32" s="608"/>
      <c r="J32" s="606"/>
      <c r="K32" s="607"/>
    </row>
    <row r="33" spans="1:12" ht="14.5">
      <c r="A33" s="601"/>
      <c r="B33" s="611"/>
      <c r="C33" s="604"/>
      <c r="D33" s="611"/>
      <c r="E33" s="611"/>
      <c r="F33" s="611"/>
      <c r="G33" s="611"/>
      <c r="H33" s="605"/>
      <c r="I33" s="608"/>
      <c r="J33" s="606"/>
      <c r="K33" s="607"/>
    </row>
    <row r="34" spans="1:12" ht="14.5">
      <c r="A34" s="601"/>
      <c r="B34" s="602"/>
      <c r="C34" s="604"/>
      <c r="D34" s="602"/>
      <c r="E34" s="611"/>
      <c r="F34" s="602"/>
      <c r="G34" s="611"/>
      <c r="H34" s="605"/>
      <c r="I34" s="608"/>
      <c r="J34" s="606"/>
      <c r="K34" s="607"/>
    </row>
    <row r="35" spans="1:12" ht="14.5">
      <c r="A35" s="601"/>
      <c r="B35" s="611"/>
      <c r="C35" s="604"/>
      <c r="D35" s="611"/>
      <c r="E35" s="611"/>
      <c r="F35" s="611"/>
      <c r="G35" s="611"/>
      <c r="H35" s="605"/>
      <c r="I35" s="608"/>
      <c r="J35" s="606"/>
      <c r="K35" s="607"/>
    </row>
    <row r="36" spans="1:12" ht="14.5">
      <c r="A36" s="601"/>
      <c r="B36" s="602"/>
      <c r="C36" s="604"/>
      <c r="D36" s="602"/>
      <c r="E36" s="611"/>
      <c r="F36" s="602"/>
      <c r="G36" s="611"/>
      <c r="H36" s="605"/>
      <c r="I36" s="608"/>
      <c r="J36" s="606"/>
      <c r="K36" s="607"/>
    </row>
    <row r="37" spans="1:12" ht="14.5">
      <c r="A37" s="601"/>
      <c r="B37" s="611"/>
      <c r="C37" s="604"/>
      <c r="D37" s="611"/>
      <c r="E37" s="611"/>
      <c r="F37" s="611"/>
      <c r="G37" s="611"/>
      <c r="H37" s="605"/>
      <c r="I37" s="608"/>
      <c r="J37" s="606"/>
      <c r="K37" s="607"/>
    </row>
    <row r="38" spans="1:12" ht="14.5">
      <c r="A38" s="601"/>
      <c r="B38" s="602"/>
      <c r="C38" s="604"/>
      <c r="D38" s="602"/>
      <c r="E38" s="611"/>
      <c r="F38" s="602"/>
      <c r="G38" s="611"/>
      <c r="H38" s="605"/>
      <c r="I38" s="608"/>
      <c r="J38" s="606"/>
      <c r="K38" s="607"/>
    </row>
    <row r="39" spans="1:12" ht="14.5">
      <c r="A39" s="601"/>
      <c r="B39" s="611"/>
      <c r="C39" s="604"/>
      <c r="D39" s="611"/>
      <c r="E39" s="611"/>
      <c r="F39" s="611"/>
      <c r="G39" s="611"/>
      <c r="H39" s="612"/>
      <c r="I39" s="608"/>
      <c r="J39" s="606"/>
      <c r="K39" s="607"/>
    </row>
    <row r="40" spans="1:12" ht="14.5">
      <c r="A40"/>
      <c r="B40"/>
      <c r="C40"/>
      <c r="D40"/>
      <c r="E40"/>
      <c r="F40"/>
      <c r="G40"/>
      <c r="H40"/>
      <c r="I40"/>
      <c r="J40"/>
      <c r="K40"/>
      <c r="L40"/>
    </row>
    <row r="41" spans="1:12" ht="14.5">
      <c r="A41"/>
      <c r="B41"/>
      <c r="C41"/>
      <c r="D41"/>
      <c r="E41"/>
      <c r="F41"/>
      <c r="G41"/>
      <c r="H41"/>
      <c r="I41"/>
      <c r="J41"/>
      <c r="K41"/>
      <c r="L41"/>
    </row>
    <row r="42" spans="1:12" ht="14.5">
      <c r="A42"/>
      <c r="B42"/>
      <c r="C42"/>
      <c r="D42"/>
      <c r="E42"/>
      <c r="F42"/>
      <c r="G42"/>
      <c r="H42"/>
      <c r="I42"/>
      <c r="J42"/>
      <c r="K42"/>
      <c r="L42"/>
    </row>
    <row r="43" spans="1:12" ht="14.5">
      <c r="A43"/>
      <c r="B43"/>
      <c r="C43"/>
      <c r="D43"/>
      <c r="E43"/>
      <c r="F43"/>
      <c r="G43"/>
      <c r="H43"/>
      <c r="I43"/>
      <c r="J43"/>
      <c r="K43"/>
      <c r="L43"/>
    </row>
    <row r="44" spans="1:12">
      <c r="B44" s="614"/>
      <c r="C44" s="614"/>
      <c r="D44" s="614"/>
      <c r="E44" s="614"/>
      <c r="F44" s="614"/>
      <c r="G44" s="614"/>
      <c r="H44" s="615"/>
      <c r="I44" s="615"/>
      <c r="J44" s="614"/>
    </row>
    <row r="45" spans="1:12">
      <c r="B45" s="614"/>
      <c r="C45" s="614"/>
      <c r="D45" s="614"/>
      <c r="E45" s="614"/>
      <c r="F45" s="614"/>
      <c r="G45" s="614"/>
      <c r="H45" s="615"/>
      <c r="I45" s="615"/>
      <c r="J45" s="614"/>
    </row>
    <row r="46" spans="1:12">
      <c r="B46" s="614"/>
      <c r="C46" s="614"/>
      <c r="D46" s="614"/>
      <c r="E46" s="614"/>
      <c r="F46" s="614"/>
      <c r="G46" s="614"/>
      <c r="H46" s="615"/>
      <c r="I46" s="615"/>
      <c r="J46" s="614"/>
    </row>
    <row r="47" spans="1:12">
      <c r="B47" s="614"/>
      <c r="C47" s="614"/>
      <c r="D47" s="614"/>
      <c r="E47" s="614"/>
      <c r="F47" s="614"/>
      <c r="G47" s="614"/>
      <c r="H47" s="615"/>
      <c r="I47" s="615"/>
      <c r="J47" s="614"/>
    </row>
    <row r="48" spans="1:12">
      <c r="B48" s="614"/>
      <c r="C48" s="614"/>
      <c r="D48" s="614"/>
      <c r="E48" s="614"/>
      <c r="F48" s="614"/>
      <c r="G48" s="614"/>
      <c r="H48" s="615"/>
      <c r="I48" s="615"/>
      <c r="J48" s="614"/>
    </row>
    <row r="49" spans="2:10">
      <c r="B49" s="614"/>
      <c r="C49" s="614"/>
      <c r="D49" s="614"/>
      <c r="E49" s="614"/>
      <c r="F49" s="614"/>
      <c r="G49" s="614"/>
      <c r="H49" s="615"/>
      <c r="I49" s="615"/>
      <c r="J49" s="614"/>
    </row>
    <row r="50" spans="2:10">
      <c r="B50" s="614"/>
      <c r="C50" s="614"/>
      <c r="D50" s="614"/>
      <c r="E50" s="614"/>
      <c r="F50" s="614"/>
      <c r="G50" s="614"/>
      <c r="H50" s="615"/>
      <c r="I50" s="615"/>
      <c r="J50" s="614"/>
    </row>
    <row r="51" spans="2:10">
      <c r="B51" s="614"/>
      <c r="C51" s="614"/>
      <c r="D51" s="614"/>
      <c r="E51" s="614"/>
      <c r="F51" s="614"/>
      <c r="G51" s="614"/>
      <c r="H51" s="615"/>
      <c r="I51" s="615"/>
      <c r="J51" s="614"/>
    </row>
    <row r="52" spans="2:10">
      <c r="B52" s="614"/>
      <c r="C52" s="614"/>
      <c r="D52" s="614"/>
      <c r="E52" s="614"/>
      <c r="F52" s="614"/>
      <c r="G52" s="614"/>
      <c r="H52" s="615"/>
      <c r="I52" s="615"/>
      <c r="J52" s="614"/>
    </row>
    <row r="53" spans="2:10">
      <c r="B53" s="614"/>
      <c r="C53" s="614"/>
      <c r="D53" s="614"/>
      <c r="E53" s="614"/>
      <c r="F53" s="614"/>
      <c r="G53" s="614"/>
      <c r="H53" s="615"/>
      <c r="I53" s="615"/>
      <c r="J53" s="614"/>
    </row>
    <row r="54" spans="2:10">
      <c r="B54" s="614"/>
      <c r="C54" s="614"/>
      <c r="D54" s="614"/>
      <c r="E54" s="614"/>
      <c r="F54" s="614"/>
      <c r="G54" s="614"/>
      <c r="H54" s="615"/>
      <c r="I54" s="615"/>
      <c r="J54" s="614"/>
    </row>
    <row r="55" spans="2:10">
      <c r="B55" s="614"/>
      <c r="C55" s="614"/>
      <c r="D55" s="614"/>
      <c r="E55" s="614"/>
      <c r="F55" s="614"/>
      <c r="G55" s="614"/>
      <c r="H55" s="615"/>
      <c r="I55" s="615"/>
      <c r="J55" s="614"/>
    </row>
    <row r="56" spans="2:10">
      <c r="B56" s="614"/>
      <c r="C56" s="614"/>
      <c r="D56" s="614"/>
      <c r="E56" s="614"/>
      <c r="F56" s="614"/>
      <c r="G56" s="614"/>
      <c r="H56" s="615"/>
      <c r="I56" s="615"/>
      <c r="J56" s="614"/>
    </row>
    <row r="57" spans="2:10">
      <c r="B57" s="614"/>
      <c r="C57" s="614"/>
      <c r="D57" s="614"/>
      <c r="E57" s="614"/>
      <c r="F57" s="614"/>
      <c r="G57" s="614"/>
      <c r="H57" s="615"/>
      <c r="I57" s="615"/>
      <c r="J57" s="614"/>
    </row>
    <row r="58" spans="2:10">
      <c r="B58" s="614"/>
      <c r="C58" s="614"/>
      <c r="D58" s="614"/>
      <c r="E58" s="614"/>
      <c r="F58" s="614"/>
      <c r="G58" s="614"/>
      <c r="H58" s="615"/>
      <c r="I58" s="615"/>
      <c r="J58" s="614"/>
    </row>
    <row r="59" spans="2:10">
      <c r="B59" s="614"/>
      <c r="C59" s="614"/>
      <c r="D59" s="614"/>
      <c r="E59" s="614"/>
      <c r="F59" s="614"/>
      <c r="G59" s="614"/>
      <c r="H59" s="615"/>
      <c r="I59" s="615"/>
      <c r="J59" s="614"/>
    </row>
    <row r="60" spans="2:10">
      <c r="B60" s="614"/>
      <c r="C60" s="614"/>
      <c r="D60" s="614"/>
      <c r="E60" s="614"/>
      <c r="F60" s="614"/>
      <c r="G60" s="614"/>
      <c r="H60" s="615"/>
      <c r="I60" s="615"/>
      <c r="J60" s="614"/>
    </row>
    <row r="61" spans="2:10">
      <c r="B61" s="614"/>
      <c r="C61" s="614"/>
      <c r="D61" s="614"/>
      <c r="E61" s="614"/>
      <c r="F61" s="614"/>
      <c r="G61" s="614"/>
      <c r="H61" s="615"/>
      <c r="I61" s="615"/>
      <c r="J61" s="614"/>
    </row>
    <row r="62" spans="2:10">
      <c r="B62" s="614"/>
      <c r="C62" s="614"/>
      <c r="D62" s="614"/>
      <c r="E62" s="614"/>
      <c r="F62" s="614"/>
      <c r="G62" s="614"/>
      <c r="H62" s="615"/>
      <c r="I62" s="615"/>
      <c r="J62" s="614"/>
    </row>
    <row r="63" spans="2:10">
      <c r="B63" s="614"/>
      <c r="C63" s="614"/>
      <c r="D63" s="614"/>
      <c r="E63" s="614"/>
      <c r="F63" s="614"/>
      <c r="G63" s="614"/>
      <c r="H63" s="615"/>
      <c r="I63" s="615"/>
      <c r="J63" s="614"/>
    </row>
    <row r="64" spans="2:10">
      <c r="B64" s="614"/>
      <c r="C64" s="614"/>
      <c r="D64" s="614"/>
      <c r="E64" s="614"/>
      <c r="F64" s="614"/>
      <c r="G64" s="614"/>
      <c r="H64" s="615"/>
      <c r="I64" s="615"/>
      <c r="J64" s="614"/>
    </row>
    <row r="65" spans="2:10">
      <c r="B65" s="614"/>
      <c r="C65" s="614"/>
      <c r="D65" s="614"/>
      <c r="E65" s="614"/>
      <c r="F65" s="614"/>
      <c r="G65" s="614"/>
      <c r="H65" s="615"/>
      <c r="I65" s="615"/>
      <c r="J65" s="614"/>
    </row>
    <row r="66" spans="2:10">
      <c r="B66" s="614"/>
      <c r="C66" s="614"/>
      <c r="D66" s="614"/>
      <c r="E66" s="614"/>
      <c r="F66" s="614"/>
      <c r="G66" s="614"/>
      <c r="H66" s="615"/>
      <c r="I66" s="615"/>
      <c r="J66" s="614"/>
    </row>
    <row r="67" spans="2:10">
      <c r="B67" s="614"/>
      <c r="C67" s="614"/>
      <c r="D67" s="614"/>
      <c r="E67" s="614"/>
      <c r="F67" s="614"/>
      <c r="G67" s="614"/>
      <c r="H67" s="615"/>
      <c r="I67" s="615"/>
      <c r="J67" s="614"/>
    </row>
    <row r="68" spans="2:10">
      <c r="B68" s="614"/>
      <c r="C68" s="614"/>
      <c r="D68" s="614"/>
      <c r="E68" s="614"/>
      <c r="F68" s="614"/>
      <c r="G68" s="614"/>
      <c r="H68" s="615"/>
      <c r="I68" s="615"/>
      <c r="J68" s="614"/>
    </row>
    <row r="69" spans="2:10">
      <c r="B69" s="614"/>
      <c r="C69" s="614"/>
      <c r="D69" s="614"/>
      <c r="E69" s="614"/>
      <c r="F69" s="614"/>
      <c r="G69" s="614"/>
      <c r="H69" s="615"/>
      <c r="I69" s="615"/>
      <c r="J69" s="614"/>
    </row>
    <row r="70" spans="2:10">
      <c r="B70" s="614"/>
      <c r="C70" s="614"/>
      <c r="D70" s="614"/>
      <c r="E70" s="614"/>
      <c r="F70" s="614"/>
      <c r="G70" s="614"/>
      <c r="H70" s="615"/>
      <c r="I70" s="615"/>
      <c r="J70" s="614"/>
    </row>
    <row r="71" spans="2:10">
      <c r="B71" s="614"/>
      <c r="C71" s="614"/>
      <c r="D71" s="614"/>
      <c r="E71" s="614"/>
      <c r="F71" s="614"/>
      <c r="G71" s="614"/>
      <c r="H71" s="615"/>
      <c r="I71" s="615"/>
      <c r="J71" s="614"/>
    </row>
    <row r="72" spans="2:10">
      <c r="B72" s="614"/>
      <c r="C72" s="614"/>
      <c r="D72" s="614"/>
      <c r="E72" s="614"/>
      <c r="F72" s="614"/>
      <c r="G72" s="614"/>
      <c r="H72" s="615"/>
      <c r="I72" s="615"/>
      <c r="J72" s="614"/>
    </row>
    <row r="73" spans="2:10">
      <c r="B73" s="614"/>
      <c r="C73" s="614"/>
      <c r="D73" s="614"/>
      <c r="E73" s="614"/>
      <c r="F73" s="614"/>
      <c r="G73" s="614"/>
      <c r="H73" s="615"/>
      <c r="I73" s="615"/>
      <c r="J73" s="614"/>
    </row>
    <row r="74" spans="2:10">
      <c r="B74" s="614"/>
      <c r="C74" s="614"/>
      <c r="D74" s="614"/>
      <c r="E74" s="614"/>
      <c r="F74" s="614"/>
      <c r="G74" s="614"/>
      <c r="H74" s="615"/>
      <c r="I74" s="615"/>
      <c r="J74" s="614"/>
    </row>
    <row r="75" spans="2:10">
      <c r="B75" s="614"/>
      <c r="C75" s="614"/>
      <c r="D75" s="614"/>
      <c r="E75" s="614"/>
      <c r="F75" s="614"/>
      <c r="G75" s="614"/>
      <c r="H75" s="615"/>
      <c r="I75" s="615"/>
      <c r="J75" s="614"/>
    </row>
    <row r="76" spans="2:10">
      <c r="B76" s="614"/>
      <c r="C76" s="614"/>
      <c r="D76" s="614"/>
      <c r="E76" s="614"/>
      <c r="F76" s="614"/>
      <c r="G76" s="614"/>
      <c r="H76" s="615"/>
      <c r="I76" s="615"/>
      <c r="J76" s="614"/>
    </row>
    <row r="77" spans="2:10">
      <c r="B77" s="614"/>
      <c r="C77" s="614"/>
      <c r="D77" s="614"/>
      <c r="E77" s="614"/>
      <c r="F77" s="614"/>
      <c r="G77" s="614"/>
      <c r="H77" s="615"/>
      <c r="I77" s="615"/>
      <c r="J77" s="614"/>
    </row>
    <row r="78" spans="2:10">
      <c r="B78" s="614"/>
      <c r="C78" s="614"/>
      <c r="D78" s="614"/>
      <c r="E78" s="614"/>
      <c r="F78" s="614"/>
      <c r="G78" s="614"/>
      <c r="H78" s="615"/>
      <c r="I78" s="615"/>
      <c r="J78" s="614"/>
    </row>
    <row r="79" spans="2:10">
      <c r="B79" s="614"/>
      <c r="C79" s="614"/>
      <c r="D79" s="614"/>
      <c r="E79" s="614"/>
      <c r="F79" s="614"/>
      <c r="G79" s="614"/>
      <c r="H79" s="615"/>
      <c r="I79" s="615"/>
      <c r="J79" s="614"/>
    </row>
    <row r="80" spans="2:10">
      <c r="B80" s="614"/>
      <c r="C80" s="614"/>
      <c r="D80" s="614"/>
      <c r="E80" s="614"/>
      <c r="F80" s="614"/>
      <c r="G80" s="614"/>
      <c r="H80" s="615"/>
      <c r="I80" s="615"/>
      <c r="J80" s="614"/>
    </row>
    <row r="81" spans="2:10">
      <c r="B81" s="614"/>
      <c r="C81" s="614"/>
      <c r="D81" s="614"/>
      <c r="E81" s="614"/>
      <c r="F81" s="614"/>
      <c r="G81" s="614"/>
      <c r="H81" s="615"/>
      <c r="I81" s="615"/>
      <c r="J81" s="614"/>
    </row>
    <row r="82" spans="2:10">
      <c r="B82" s="614"/>
      <c r="C82" s="614"/>
      <c r="D82" s="614"/>
      <c r="E82" s="614"/>
      <c r="F82" s="614"/>
      <c r="G82" s="614"/>
      <c r="H82" s="615"/>
      <c r="I82" s="615"/>
      <c r="J82" s="614"/>
    </row>
    <row r="83" spans="2:10">
      <c r="B83" s="614"/>
      <c r="C83" s="614"/>
      <c r="D83" s="614"/>
      <c r="E83" s="614"/>
      <c r="F83" s="614"/>
      <c r="G83" s="614"/>
      <c r="H83" s="615"/>
      <c r="I83" s="615"/>
      <c r="J83" s="614"/>
    </row>
    <row r="84" spans="2:10">
      <c r="B84" s="614"/>
      <c r="C84" s="614"/>
      <c r="D84" s="614"/>
      <c r="E84" s="614"/>
      <c r="F84" s="614"/>
      <c r="G84" s="614"/>
      <c r="H84" s="615"/>
      <c r="I84" s="615"/>
      <c r="J84" s="614"/>
    </row>
    <row r="85" spans="2:10">
      <c r="B85" s="614"/>
      <c r="C85" s="614"/>
      <c r="D85" s="614"/>
      <c r="E85" s="614"/>
      <c r="F85" s="614"/>
      <c r="G85" s="614"/>
      <c r="H85" s="615"/>
      <c r="I85" s="615"/>
      <c r="J85" s="614"/>
    </row>
    <row r="86" spans="2:10">
      <c r="B86" s="614"/>
      <c r="C86" s="614"/>
      <c r="D86" s="614"/>
      <c r="E86" s="614"/>
      <c r="F86" s="614"/>
      <c r="G86" s="614"/>
      <c r="H86" s="615"/>
      <c r="I86" s="615"/>
      <c r="J86" s="614"/>
    </row>
    <row r="87" spans="2:10">
      <c r="B87" s="614"/>
      <c r="C87" s="614"/>
      <c r="D87" s="614"/>
      <c r="E87" s="614"/>
      <c r="F87" s="614"/>
      <c r="G87" s="614"/>
      <c r="H87" s="615"/>
      <c r="I87" s="615"/>
      <c r="J87" s="614"/>
    </row>
    <row r="88" spans="2:10">
      <c r="B88" s="614"/>
      <c r="C88" s="614"/>
      <c r="D88" s="614"/>
      <c r="E88" s="614"/>
      <c r="F88" s="614"/>
      <c r="G88" s="614"/>
      <c r="H88" s="615"/>
      <c r="I88" s="615"/>
      <c r="J88" s="614"/>
    </row>
    <row r="89" spans="2:10">
      <c r="B89" s="614"/>
      <c r="C89" s="614"/>
      <c r="D89" s="614"/>
      <c r="E89" s="614"/>
      <c r="F89" s="614"/>
      <c r="G89" s="614"/>
      <c r="H89" s="615"/>
      <c r="I89" s="615"/>
      <c r="J89" s="614"/>
    </row>
    <row r="90" spans="2:10">
      <c r="B90" s="614"/>
      <c r="C90" s="614"/>
      <c r="D90" s="614"/>
      <c r="E90" s="614"/>
      <c r="F90" s="614"/>
      <c r="G90" s="614"/>
      <c r="H90" s="615"/>
      <c r="I90" s="615"/>
      <c r="J90" s="614"/>
    </row>
    <row r="91" spans="2:10">
      <c r="B91" s="614"/>
      <c r="C91" s="614"/>
      <c r="D91" s="614"/>
      <c r="E91" s="614"/>
      <c r="F91" s="614"/>
      <c r="G91" s="614"/>
      <c r="H91" s="615"/>
      <c r="I91" s="615"/>
      <c r="J91" s="614"/>
    </row>
    <row r="92" spans="2:10">
      <c r="B92" s="614"/>
      <c r="C92" s="614"/>
      <c r="D92" s="614"/>
      <c r="E92" s="614"/>
      <c r="F92" s="614"/>
      <c r="G92" s="614"/>
      <c r="H92" s="615"/>
      <c r="I92" s="615"/>
      <c r="J92" s="614"/>
    </row>
    <row r="93" spans="2:10">
      <c r="B93" s="614"/>
      <c r="C93" s="614"/>
      <c r="D93" s="614"/>
      <c r="E93" s="614"/>
      <c r="F93" s="614"/>
      <c r="G93" s="614"/>
      <c r="H93" s="615"/>
      <c r="I93" s="615"/>
      <c r="J93" s="614"/>
    </row>
    <row r="94" spans="2:10">
      <c r="B94" s="614"/>
      <c r="C94" s="614"/>
      <c r="D94" s="614"/>
      <c r="E94" s="614"/>
      <c r="F94" s="614"/>
      <c r="G94" s="614"/>
      <c r="H94" s="615"/>
      <c r="I94" s="615"/>
      <c r="J94" s="614"/>
    </row>
    <row r="95" spans="2:10">
      <c r="B95" s="614"/>
      <c r="C95" s="614"/>
      <c r="D95" s="614"/>
      <c r="E95" s="614"/>
      <c r="F95" s="614"/>
      <c r="G95" s="614"/>
      <c r="H95" s="615"/>
      <c r="I95" s="615"/>
      <c r="J95" s="614"/>
    </row>
    <row r="96" spans="2:10">
      <c r="B96" s="614"/>
      <c r="C96" s="614"/>
      <c r="D96" s="614"/>
      <c r="E96" s="614"/>
      <c r="F96" s="614"/>
      <c r="G96" s="614"/>
      <c r="H96" s="615"/>
      <c r="I96" s="615"/>
      <c r="J96" s="614"/>
    </row>
    <row r="97" spans="2:10">
      <c r="B97" s="614"/>
      <c r="C97" s="614"/>
      <c r="D97" s="614"/>
      <c r="E97" s="614"/>
      <c r="F97" s="614"/>
      <c r="G97" s="614"/>
      <c r="H97" s="615"/>
      <c r="I97" s="615"/>
      <c r="J97" s="614"/>
    </row>
    <row r="98" spans="2:10">
      <c r="B98" s="614"/>
      <c r="C98" s="614"/>
      <c r="D98" s="614"/>
      <c r="E98" s="614"/>
      <c r="F98" s="614"/>
      <c r="G98" s="614"/>
      <c r="H98" s="615"/>
      <c r="I98" s="615"/>
      <c r="J98" s="614"/>
    </row>
    <row r="99" spans="2:10">
      <c r="B99" s="614"/>
      <c r="C99" s="614"/>
      <c r="D99" s="614"/>
      <c r="E99" s="614"/>
      <c r="F99" s="614"/>
      <c r="G99" s="614"/>
      <c r="H99" s="615"/>
      <c r="I99" s="615"/>
      <c r="J99" s="614"/>
    </row>
    <row r="100" spans="2:10">
      <c r="B100" s="614"/>
      <c r="C100" s="614"/>
      <c r="D100" s="614"/>
      <c r="E100" s="614"/>
      <c r="F100" s="614"/>
      <c r="G100" s="614"/>
      <c r="H100" s="615"/>
      <c r="I100" s="615"/>
      <c r="J100" s="614"/>
    </row>
    <row r="101" spans="2:10">
      <c r="B101" s="614"/>
      <c r="C101" s="614"/>
      <c r="D101" s="614"/>
      <c r="E101" s="614"/>
      <c r="F101" s="614"/>
      <c r="G101" s="614"/>
      <c r="H101" s="615"/>
      <c r="I101" s="615"/>
      <c r="J101" s="614"/>
    </row>
    <row r="102" spans="2:10">
      <c r="B102" s="614"/>
      <c r="C102" s="614"/>
      <c r="D102" s="614"/>
      <c r="E102" s="614"/>
      <c r="F102" s="614"/>
      <c r="G102" s="614"/>
      <c r="H102" s="615"/>
      <c r="I102" s="615"/>
      <c r="J102" s="614"/>
    </row>
    <row r="103" spans="2:10">
      <c r="B103" s="614"/>
      <c r="C103" s="614"/>
      <c r="D103" s="614"/>
      <c r="E103" s="614"/>
      <c r="F103" s="614"/>
      <c r="G103" s="614"/>
      <c r="H103" s="615"/>
      <c r="I103" s="615"/>
      <c r="J103" s="614"/>
    </row>
    <row r="104" spans="2:10">
      <c r="B104" s="614"/>
      <c r="C104" s="614"/>
      <c r="D104" s="614"/>
      <c r="E104" s="614"/>
      <c r="F104" s="614"/>
      <c r="G104" s="614"/>
      <c r="H104" s="615"/>
      <c r="I104" s="615"/>
      <c r="J104" s="614"/>
    </row>
    <row r="105" spans="2:10">
      <c r="B105" s="614"/>
      <c r="C105" s="614"/>
      <c r="D105" s="614"/>
      <c r="E105" s="614"/>
      <c r="F105" s="614"/>
      <c r="G105" s="614"/>
      <c r="H105" s="615"/>
      <c r="I105" s="615"/>
      <c r="J105" s="614"/>
    </row>
    <row r="106" spans="2:10">
      <c r="B106" s="614"/>
      <c r="C106" s="614"/>
      <c r="D106" s="614"/>
      <c r="E106" s="614"/>
      <c r="F106" s="614"/>
      <c r="G106" s="614"/>
      <c r="H106" s="615"/>
      <c r="I106" s="615"/>
      <c r="J106" s="614"/>
    </row>
    <row r="107" spans="2:10">
      <c r="B107" s="614"/>
      <c r="C107" s="614"/>
      <c r="D107" s="614"/>
      <c r="E107" s="614"/>
      <c r="F107" s="614"/>
      <c r="G107" s="614"/>
      <c r="H107" s="615"/>
      <c r="I107" s="615"/>
      <c r="J107" s="614"/>
    </row>
    <row r="108" spans="2:10">
      <c r="B108" s="614"/>
      <c r="C108" s="614"/>
      <c r="D108" s="614"/>
      <c r="E108" s="614"/>
      <c r="F108" s="614"/>
      <c r="G108" s="614"/>
      <c r="H108" s="615"/>
      <c r="I108" s="615"/>
      <c r="J108" s="614"/>
    </row>
    <row r="109" spans="2:10">
      <c r="B109" s="614"/>
      <c r="C109" s="614"/>
      <c r="D109" s="614"/>
      <c r="E109" s="614"/>
      <c r="F109" s="614"/>
      <c r="G109" s="614"/>
      <c r="H109" s="615"/>
      <c r="I109" s="615"/>
      <c r="J109" s="614"/>
    </row>
    <row r="110" spans="2:10">
      <c r="B110" s="614"/>
      <c r="C110" s="614"/>
      <c r="D110" s="614"/>
      <c r="E110" s="614"/>
      <c r="F110" s="614"/>
      <c r="G110" s="614"/>
      <c r="H110" s="615"/>
      <c r="I110" s="615"/>
      <c r="J110" s="614"/>
    </row>
    <row r="111" spans="2:10">
      <c r="B111" s="614"/>
      <c r="C111" s="614"/>
      <c r="D111" s="614"/>
      <c r="E111" s="614"/>
      <c r="F111" s="614"/>
      <c r="G111" s="614"/>
      <c r="H111" s="615"/>
      <c r="I111" s="615"/>
      <c r="J111" s="614"/>
    </row>
    <row r="112" spans="2:10">
      <c r="B112" s="614"/>
      <c r="C112" s="614"/>
      <c r="D112" s="614"/>
      <c r="E112" s="614"/>
      <c r="F112" s="614"/>
      <c r="G112" s="614"/>
      <c r="H112" s="615"/>
      <c r="I112" s="615"/>
      <c r="J112" s="614"/>
    </row>
    <row r="113" spans="2:10">
      <c r="B113" s="614"/>
      <c r="C113" s="614"/>
      <c r="D113" s="614"/>
      <c r="E113" s="614"/>
      <c r="F113" s="614"/>
      <c r="G113" s="614"/>
      <c r="H113" s="615"/>
      <c r="I113" s="615"/>
      <c r="J113" s="614"/>
    </row>
    <row r="114" spans="2:10">
      <c r="B114" s="614"/>
      <c r="C114" s="614"/>
      <c r="D114" s="614"/>
      <c r="E114" s="614"/>
      <c r="F114" s="614"/>
      <c r="G114" s="614"/>
      <c r="H114" s="615"/>
      <c r="I114" s="615"/>
      <c r="J114" s="614"/>
    </row>
    <row r="115" spans="2:10">
      <c r="B115" s="614"/>
      <c r="C115" s="614"/>
      <c r="D115" s="614"/>
      <c r="E115" s="614"/>
      <c r="F115" s="614"/>
      <c r="G115" s="614"/>
      <c r="H115" s="615"/>
      <c r="I115" s="615"/>
      <c r="J115" s="614"/>
    </row>
    <row r="116" spans="2:10">
      <c r="B116" s="614"/>
      <c r="C116" s="614"/>
      <c r="D116" s="614"/>
      <c r="E116" s="614"/>
      <c r="F116" s="614"/>
      <c r="G116" s="614"/>
      <c r="H116" s="615"/>
      <c r="I116" s="615"/>
      <c r="J116" s="614"/>
    </row>
    <row r="117" spans="2:10">
      <c r="B117" s="614"/>
      <c r="C117" s="614"/>
      <c r="D117" s="614"/>
      <c r="E117" s="614"/>
      <c r="F117" s="614"/>
      <c r="G117" s="614"/>
      <c r="H117" s="615"/>
      <c r="I117" s="615"/>
      <c r="J117" s="614"/>
    </row>
    <row r="118" spans="2:10">
      <c r="B118" s="614"/>
      <c r="C118" s="614"/>
      <c r="D118" s="614"/>
      <c r="E118" s="614"/>
      <c r="F118" s="614"/>
      <c r="G118" s="614"/>
      <c r="H118" s="615"/>
      <c r="I118" s="615"/>
      <c r="J118" s="614"/>
    </row>
    <row r="119" spans="2:10">
      <c r="B119" s="614"/>
      <c r="C119" s="614"/>
      <c r="D119" s="614"/>
      <c r="E119" s="614"/>
      <c r="F119" s="614"/>
      <c r="G119" s="614"/>
      <c r="H119" s="615"/>
      <c r="I119" s="615"/>
      <c r="J119" s="614"/>
    </row>
    <row r="120" spans="2:10">
      <c r="B120" s="614"/>
      <c r="C120" s="614"/>
      <c r="D120" s="614"/>
      <c r="E120" s="614"/>
      <c r="F120" s="614"/>
      <c r="G120" s="614"/>
      <c r="H120" s="615"/>
      <c r="I120" s="615"/>
      <c r="J120" s="614"/>
    </row>
    <row r="121" spans="2:10">
      <c r="B121" s="614"/>
      <c r="C121" s="614"/>
      <c r="D121" s="614"/>
      <c r="E121" s="614"/>
      <c r="F121" s="614"/>
      <c r="G121" s="614"/>
      <c r="H121" s="615"/>
      <c r="I121" s="615"/>
      <c r="J121" s="614"/>
    </row>
    <row r="122" spans="2:10">
      <c r="B122" s="614"/>
      <c r="C122" s="614"/>
      <c r="D122" s="614"/>
      <c r="E122" s="614"/>
      <c r="F122" s="614"/>
      <c r="G122" s="614"/>
      <c r="H122" s="615"/>
      <c r="I122" s="615"/>
      <c r="J122" s="614"/>
    </row>
    <row r="123" spans="2:10">
      <c r="B123" s="614"/>
      <c r="C123" s="614"/>
      <c r="D123" s="614"/>
      <c r="E123" s="614"/>
      <c r="F123" s="614"/>
      <c r="G123" s="614"/>
      <c r="H123" s="615"/>
      <c r="I123" s="615"/>
      <c r="J123" s="614"/>
    </row>
    <row r="124" spans="2:10">
      <c r="B124" s="614"/>
      <c r="C124" s="614"/>
      <c r="D124" s="614"/>
      <c r="E124" s="614"/>
      <c r="F124" s="614"/>
      <c r="G124" s="614"/>
      <c r="H124" s="615"/>
      <c r="I124" s="615"/>
      <c r="J124" s="614"/>
    </row>
    <row r="125" spans="2:10">
      <c r="B125" s="614"/>
      <c r="C125" s="614"/>
      <c r="D125" s="614"/>
      <c r="E125" s="614"/>
      <c r="F125" s="614"/>
      <c r="G125" s="614"/>
      <c r="H125" s="615"/>
      <c r="I125" s="615"/>
      <c r="J125" s="614"/>
    </row>
    <row r="126" spans="2:10">
      <c r="B126" s="614"/>
      <c r="C126" s="614"/>
      <c r="D126" s="614"/>
      <c r="E126" s="614"/>
      <c r="F126" s="614"/>
      <c r="G126" s="614"/>
      <c r="H126" s="615"/>
      <c r="I126" s="615"/>
      <c r="J126" s="614"/>
    </row>
    <row r="127" spans="2:10">
      <c r="B127" s="614"/>
      <c r="C127" s="614"/>
      <c r="D127" s="614"/>
      <c r="E127" s="614"/>
      <c r="F127" s="614"/>
      <c r="G127" s="614"/>
      <c r="H127" s="615"/>
      <c r="I127" s="615"/>
      <c r="J127" s="614"/>
    </row>
    <row r="128" spans="2:10">
      <c r="B128" s="614"/>
      <c r="C128" s="614"/>
      <c r="D128" s="614"/>
      <c r="E128" s="614"/>
      <c r="F128" s="614"/>
      <c r="G128" s="614"/>
      <c r="H128" s="615"/>
      <c r="I128" s="615"/>
      <c r="J128" s="614"/>
    </row>
    <row r="129" spans="2:10">
      <c r="B129" s="614"/>
      <c r="C129" s="614"/>
      <c r="D129" s="614"/>
      <c r="E129" s="614"/>
      <c r="F129" s="614"/>
      <c r="G129" s="614"/>
      <c r="H129" s="615"/>
      <c r="I129" s="615"/>
      <c r="J129" s="614"/>
    </row>
    <row r="130" spans="2:10">
      <c r="B130" s="614"/>
      <c r="C130" s="614"/>
      <c r="D130" s="614"/>
      <c r="E130" s="614"/>
      <c r="F130" s="614"/>
      <c r="G130" s="614"/>
      <c r="H130" s="615"/>
      <c r="I130" s="615"/>
      <c r="J130" s="614"/>
    </row>
    <row r="131" spans="2:10">
      <c r="B131" s="614"/>
      <c r="C131" s="614"/>
      <c r="D131" s="614"/>
      <c r="E131" s="614"/>
      <c r="F131" s="614"/>
      <c r="G131" s="614"/>
      <c r="H131" s="615"/>
      <c r="I131" s="615"/>
      <c r="J131" s="614"/>
    </row>
    <row r="132" spans="2:10">
      <c r="B132" s="614"/>
      <c r="C132" s="614"/>
      <c r="D132" s="614"/>
      <c r="E132" s="614"/>
      <c r="F132" s="614"/>
      <c r="G132" s="614"/>
      <c r="H132" s="615"/>
      <c r="I132" s="615"/>
      <c r="J132" s="614"/>
    </row>
    <row r="133" spans="2:10">
      <c r="B133" s="614"/>
      <c r="C133" s="614"/>
      <c r="D133" s="614"/>
      <c r="E133" s="614"/>
      <c r="F133" s="614"/>
      <c r="G133" s="614"/>
      <c r="H133" s="615"/>
      <c r="I133" s="615"/>
      <c r="J133" s="614"/>
    </row>
    <row r="134" spans="2:10">
      <c r="B134" s="614"/>
      <c r="C134" s="614"/>
      <c r="D134" s="614"/>
      <c r="E134" s="614"/>
      <c r="F134" s="614"/>
      <c r="G134" s="614"/>
      <c r="H134" s="615"/>
      <c r="I134" s="615"/>
      <c r="J134" s="614"/>
    </row>
    <row r="135" spans="2:10">
      <c r="B135" s="614"/>
      <c r="C135" s="614"/>
      <c r="D135" s="614"/>
      <c r="E135" s="614"/>
      <c r="F135" s="614"/>
      <c r="G135" s="614"/>
      <c r="H135" s="615"/>
      <c r="I135" s="615"/>
      <c r="J135" s="614"/>
    </row>
    <row r="136" spans="2:10">
      <c r="B136" s="614"/>
      <c r="C136" s="614"/>
      <c r="D136" s="614"/>
      <c r="E136" s="614"/>
      <c r="F136" s="614"/>
      <c r="G136" s="614"/>
      <c r="H136" s="615"/>
      <c r="I136" s="615"/>
      <c r="J136" s="614"/>
    </row>
    <row r="137" spans="2:10">
      <c r="B137" s="614"/>
      <c r="C137" s="614"/>
      <c r="D137" s="614"/>
      <c r="E137" s="614"/>
      <c r="F137" s="614"/>
      <c r="G137" s="614"/>
      <c r="H137" s="615"/>
      <c r="I137" s="615"/>
      <c r="J137" s="614"/>
    </row>
    <row r="138" spans="2:10">
      <c r="B138" s="614"/>
      <c r="C138" s="614"/>
      <c r="D138" s="614"/>
      <c r="E138" s="614"/>
      <c r="F138" s="614"/>
      <c r="G138" s="614"/>
      <c r="H138" s="615"/>
      <c r="I138" s="615"/>
      <c r="J138" s="614"/>
    </row>
    <row r="139" spans="2:10">
      <c r="B139" s="614"/>
      <c r="C139" s="614"/>
      <c r="D139" s="614"/>
      <c r="E139" s="614"/>
      <c r="F139" s="614"/>
      <c r="G139" s="614"/>
      <c r="H139" s="615"/>
      <c r="I139" s="615"/>
      <c r="J139" s="614"/>
    </row>
    <row r="140" spans="2:10">
      <c r="B140" s="614"/>
      <c r="C140" s="614"/>
      <c r="D140" s="614"/>
      <c r="E140" s="614"/>
      <c r="F140" s="614"/>
      <c r="G140" s="614"/>
      <c r="H140" s="615"/>
      <c r="I140" s="615"/>
      <c r="J140" s="614"/>
    </row>
    <row r="141" spans="2:10">
      <c r="B141" s="614"/>
      <c r="C141" s="614"/>
      <c r="D141" s="614"/>
      <c r="E141" s="614"/>
      <c r="F141" s="614"/>
      <c r="G141" s="614"/>
      <c r="H141" s="615"/>
      <c r="I141" s="615"/>
      <c r="J141" s="614"/>
    </row>
    <row r="142" spans="2:10">
      <c r="B142" s="614"/>
      <c r="C142" s="614"/>
      <c r="D142" s="614"/>
      <c r="E142" s="614"/>
      <c r="F142" s="614"/>
      <c r="G142" s="614"/>
      <c r="H142" s="615"/>
      <c r="I142" s="615"/>
      <c r="J142" s="614"/>
    </row>
    <row r="143" spans="2:10">
      <c r="B143" s="614"/>
      <c r="C143" s="614"/>
      <c r="D143" s="614"/>
      <c r="E143" s="614"/>
      <c r="F143" s="614"/>
      <c r="G143" s="614"/>
      <c r="H143" s="615"/>
      <c r="I143" s="615"/>
      <c r="J143" s="614"/>
    </row>
    <row r="144" spans="2:10">
      <c r="B144" s="614"/>
      <c r="C144" s="614"/>
      <c r="D144" s="614"/>
      <c r="E144" s="614"/>
      <c r="F144" s="614"/>
      <c r="G144" s="614"/>
      <c r="H144" s="615"/>
      <c r="I144" s="615"/>
      <c r="J144" s="614"/>
    </row>
    <row r="145" spans="2:10">
      <c r="B145" s="614"/>
      <c r="C145" s="614"/>
      <c r="D145" s="614"/>
      <c r="E145" s="614"/>
      <c r="F145" s="614"/>
      <c r="G145" s="614"/>
      <c r="H145" s="615"/>
      <c r="I145" s="615"/>
      <c r="J145" s="614"/>
    </row>
    <row r="146" spans="2:10">
      <c r="B146" s="614"/>
      <c r="C146" s="614"/>
      <c r="D146" s="614"/>
      <c r="E146" s="614"/>
      <c r="F146" s="614"/>
      <c r="G146" s="614"/>
      <c r="H146" s="615"/>
      <c r="I146" s="615"/>
      <c r="J146" s="614"/>
    </row>
    <row r="147" spans="2:10">
      <c r="B147" s="614"/>
      <c r="C147" s="614"/>
      <c r="D147" s="614"/>
      <c r="E147" s="614"/>
      <c r="F147" s="614"/>
      <c r="G147" s="614"/>
      <c r="H147" s="615"/>
      <c r="I147" s="615"/>
      <c r="J147" s="614"/>
    </row>
    <row r="148" spans="2:10">
      <c r="B148" s="614"/>
      <c r="C148" s="614"/>
      <c r="D148" s="614"/>
      <c r="E148" s="614"/>
      <c r="F148" s="614"/>
      <c r="G148" s="614"/>
      <c r="H148" s="615"/>
      <c r="I148" s="615"/>
      <c r="J148" s="614"/>
    </row>
    <row r="149" spans="2:10">
      <c r="B149" s="614"/>
      <c r="C149" s="614"/>
      <c r="D149" s="614"/>
      <c r="E149" s="614"/>
      <c r="F149" s="614"/>
      <c r="G149" s="614"/>
      <c r="H149" s="615"/>
      <c r="I149" s="615"/>
      <c r="J149" s="614"/>
    </row>
    <row r="150" spans="2:10">
      <c r="B150" s="614"/>
      <c r="C150" s="614"/>
      <c r="D150" s="614"/>
      <c r="E150" s="614"/>
      <c r="F150" s="614"/>
      <c r="G150" s="614"/>
      <c r="H150" s="615"/>
      <c r="I150" s="615"/>
      <c r="J150" s="614"/>
    </row>
    <row r="151" spans="2:10">
      <c r="B151" s="614"/>
      <c r="C151" s="614"/>
      <c r="D151" s="614"/>
      <c r="E151" s="614"/>
      <c r="F151" s="614"/>
      <c r="G151" s="614"/>
      <c r="H151" s="615"/>
      <c r="I151" s="615"/>
      <c r="J151" s="614"/>
    </row>
    <row r="152" spans="2:10">
      <c r="B152" s="614"/>
      <c r="C152" s="614"/>
      <c r="D152" s="614"/>
      <c r="E152" s="614"/>
      <c r="F152" s="614"/>
      <c r="G152" s="614"/>
      <c r="H152" s="615"/>
      <c r="I152" s="615"/>
      <c r="J152" s="614"/>
    </row>
    <row r="153" spans="2:10">
      <c r="B153" s="614"/>
      <c r="C153" s="614"/>
      <c r="D153" s="614"/>
      <c r="E153" s="614"/>
      <c r="F153" s="614"/>
      <c r="G153" s="614"/>
      <c r="H153" s="615"/>
      <c r="I153" s="615"/>
      <c r="J153" s="614"/>
    </row>
    <row r="154" spans="2:10">
      <c r="B154" s="614"/>
      <c r="C154" s="614"/>
      <c r="D154" s="614"/>
      <c r="E154" s="614"/>
      <c r="F154" s="614"/>
      <c r="G154" s="614"/>
      <c r="H154" s="615"/>
      <c r="I154" s="615"/>
      <c r="J154" s="614"/>
    </row>
    <row r="155" spans="2:10">
      <c r="B155" s="614"/>
      <c r="C155" s="614"/>
      <c r="D155" s="614"/>
      <c r="E155" s="614"/>
      <c r="F155" s="614"/>
      <c r="G155" s="614"/>
      <c r="H155" s="615"/>
      <c r="I155" s="615"/>
      <c r="J155" s="614"/>
    </row>
    <row r="156" spans="2:10">
      <c r="B156" s="614"/>
      <c r="C156" s="614"/>
      <c r="D156" s="614"/>
      <c r="E156" s="614"/>
      <c r="F156" s="614"/>
      <c r="G156" s="614"/>
      <c r="H156" s="615"/>
      <c r="I156" s="615"/>
      <c r="J156" s="614"/>
    </row>
    <row r="157" spans="2:10">
      <c r="B157" s="614"/>
      <c r="C157" s="614"/>
      <c r="D157" s="614"/>
      <c r="E157" s="614"/>
      <c r="F157" s="614"/>
      <c r="G157" s="614"/>
      <c r="H157" s="615"/>
      <c r="I157" s="615"/>
      <c r="J157" s="614"/>
    </row>
    <row r="158" spans="2:10">
      <c r="B158" s="614"/>
      <c r="C158" s="614"/>
      <c r="D158" s="614"/>
      <c r="E158" s="614"/>
      <c r="F158" s="614"/>
      <c r="G158" s="614"/>
      <c r="H158" s="615"/>
      <c r="I158" s="615"/>
      <c r="J158" s="614"/>
    </row>
    <row r="159" spans="2:10">
      <c r="B159" s="614"/>
      <c r="C159" s="614"/>
      <c r="D159" s="614"/>
      <c r="E159" s="614"/>
      <c r="F159" s="614"/>
      <c r="G159" s="614"/>
      <c r="H159" s="615"/>
      <c r="I159" s="615"/>
      <c r="J159" s="614"/>
    </row>
    <row r="160" spans="2:10">
      <c r="B160" s="614"/>
      <c r="C160" s="614"/>
      <c r="D160" s="614"/>
      <c r="E160" s="614"/>
      <c r="F160" s="614"/>
      <c r="G160" s="614"/>
      <c r="H160" s="615"/>
      <c r="I160" s="615"/>
      <c r="J160" s="614"/>
    </row>
    <row r="161" spans="1:10">
      <c r="B161" s="614"/>
      <c r="C161" s="614"/>
      <c r="D161" s="614"/>
      <c r="E161" s="614"/>
      <c r="F161" s="614"/>
      <c r="G161" s="614"/>
      <c r="H161" s="615"/>
      <c r="I161" s="615"/>
      <c r="J161" s="614"/>
    </row>
    <row r="162" spans="1:10">
      <c r="B162" s="614"/>
      <c r="C162" s="614"/>
      <c r="D162" s="614"/>
      <c r="E162" s="614"/>
      <c r="F162" s="614"/>
      <c r="G162" s="614"/>
      <c r="H162" s="615"/>
      <c r="I162" s="615"/>
      <c r="J162" s="614"/>
    </row>
    <row r="163" spans="1:10">
      <c r="B163" s="614"/>
      <c r="C163" s="614"/>
      <c r="D163" s="614"/>
      <c r="E163" s="614"/>
      <c r="F163" s="614"/>
      <c r="G163" s="614"/>
      <c r="H163" s="615"/>
      <c r="I163" s="615"/>
      <c r="J163" s="614"/>
    </row>
    <row r="164" spans="1:10">
      <c r="B164" s="614"/>
      <c r="C164" s="614"/>
      <c r="D164" s="614"/>
      <c r="E164" s="614"/>
      <c r="F164" s="614"/>
      <c r="G164" s="614"/>
      <c r="H164" s="615"/>
      <c r="I164" s="615"/>
      <c r="J164" s="614"/>
    </row>
    <row r="165" spans="1:10">
      <c r="B165" s="614"/>
      <c r="C165" s="614"/>
      <c r="D165" s="614"/>
      <c r="E165" s="614"/>
      <c r="F165" s="614"/>
      <c r="G165" s="614"/>
      <c r="H165" s="615"/>
      <c r="I165" s="615"/>
      <c r="J165" s="614"/>
    </row>
    <row r="166" spans="1:10">
      <c r="B166" s="614"/>
      <c r="C166" s="614"/>
      <c r="D166" s="614"/>
      <c r="E166" s="614"/>
      <c r="F166" s="614"/>
      <c r="G166" s="614"/>
      <c r="H166" s="615"/>
      <c r="I166" s="615"/>
      <c r="J166" s="614"/>
    </row>
    <row r="167" spans="1:10">
      <c r="B167" s="614"/>
      <c r="C167" s="614"/>
      <c r="D167" s="614"/>
      <c r="E167" s="614"/>
      <c r="F167" s="614"/>
      <c r="G167" s="614"/>
      <c r="H167" s="615"/>
      <c r="I167" s="615"/>
      <c r="J167" s="614"/>
    </row>
    <row r="168" spans="1:10">
      <c r="B168" s="614"/>
      <c r="C168" s="614"/>
      <c r="D168" s="614"/>
      <c r="E168" s="614"/>
      <c r="F168" s="614"/>
      <c r="G168" s="614"/>
      <c r="H168" s="615"/>
      <c r="I168" s="615"/>
      <c r="J168" s="614"/>
    </row>
    <row r="169" spans="1:10">
      <c r="B169" s="614"/>
      <c r="C169" s="614"/>
      <c r="D169" s="614"/>
      <c r="E169" s="614"/>
      <c r="F169" s="614"/>
      <c r="G169" s="614"/>
      <c r="H169" s="615"/>
      <c r="I169" s="615"/>
      <c r="J169" s="614"/>
    </row>
    <row r="170" spans="1:10">
      <c r="A170" s="613"/>
      <c r="B170" s="614"/>
      <c r="C170" s="614"/>
      <c r="D170" s="614"/>
      <c r="E170" s="614"/>
      <c r="F170" s="614"/>
      <c r="G170" s="614"/>
      <c r="H170" s="614"/>
      <c r="I170" s="614"/>
      <c r="J170" s="614"/>
    </row>
    <row r="171" spans="1:10">
      <c r="A171" s="613"/>
      <c r="B171" s="614"/>
      <c r="C171" s="614"/>
      <c r="D171" s="614"/>
      <c r="E171" s="614"/>
      <c r="F171" s="614"/>
      <c r="G171" s="614"/>
      <c r="H171" s="614"/>
      <c r="I171" s="614"/>
      <c r="J171" s="614"/>
    </row>
    <row r="172" spans="1:10">
      <c r="A172" s="613"/>
      <c r="B172" s="618"/>
      <c r="C172" s="618"/>
      <c r="D172" s="618"/>
      <c r="E172" s="618"/>
      <c r="F172" s="618"/>
      <c r="G172" s="618"/>
      <c r="H172" s="614"/>
      <c r="I172" s="614"/>
      <c r="J172" s="614"/>
    </row>
    <row r="173" spans="1:10">
      <c r="A173" s="613"/>
      <c r="B173" s="614"/>
      <c r="C173" s="614"/>
      <c r="D173" s="614"/>
      <c r="E173" s="614"/>
      <c r="F173" s="614"/>
      <c r="G173" s="614"/>
      <c r="H173" s="614"/>
      <c r="I173" s="614"/>
      <c r="J173" s="614"/>
    </row>
    <row r="174" spans="1:10">
      <c r="A174" s="613"/>
      <c r="B174" s="614"/>
      <c r="C174" s="614"/>
      <c r="D174" s="614"/>
      <c r="E174" s="614"/>
      <c r="F174" s="614"/>
      <c r="G174" s="614"/>
      <c r="H174" s="614"/>
      <c r="I174" s="614"/>
      <c r="J174" s="614"/>
    </row>
    <row r="175" spans="1:10">
      <c r="A175" s="613"/>
      <c r="B175" s="614"/>
      <c r="C175" s="614"/>
      <c r="D175" s="614"/>
      <c r="E175" s="614"/>
      <c r="F175" s="614"/>
      <c r="G175" s="614"/>
      <c r="H175" s="614"/>
      <c r="I175" s="614"/>
      <c r="J175" s="614"/>
    </row>
    <row r="176" spans="1:10">
      <c r="A176" s="613"/>
      <c r="B176" s="614"/>
      <c r="C176" s="614"/>
      <c r="D176" s="614"/>
      <c r="E176" s="614"/>
      <c r="F176" s="614"/>
      <c r="G176" s="614"/>
      <c r="H176" s="614"/>
      <c r="I176" s="614"/>
      <c r="J176" s="614"/>
    </row>
    <row r="177" spans="1:10">
      <c r="A177" s="613"/>
      <c r="B177" s="614"/>
      <c r="C177" s="614"/>
      <c r="D177" s="614"/>
      <c r="E177" s="614"/>
      <c r="F177" s="614"/>
      <c r="G177" s="614"/>
      <c r="H177" s="614"/>
      <c r="I177" s="614"/>
      <c r="J177" s="614"/>
    </row>
    <row r="178" spans="1:10">
      <c r="A178" s="613"/>
      <c r="B178" s="614"/>
      <c r="C178" s="614"/>
      <c r="D178" s="614"/>
      <c r="E178" s="614"/>
      <c r="F178" s="614"/>
      <c r="G178" s="614"/>
      <c r="H178" s="614"/>
      <c r="I178" s="614"/>
      <c r="J178" s="614"/>
    </row>
    <row r="179" spans="1:10">
      <c r="A179" s="613"/>
      <c r="B179" s="614"/>
      <c r="C179" s="614"/>
      <c r="D179" s="614"/>
      <c r="E179" s="614"/>
      <c r="F179" s="614"/>
      <c r="G179" s="614"/>
      <c r="H179" s="614"/>
      <c r="I179" s="614"/>
      <c r="J179" s="614"/>
    </row>
    <row r="180" spans="1:10">
      <c r="A180" s="613"/>
      <c r="B180" s="614"/>
      <c r="C180" s="614"/>
      <c r="D180" s="614"/>
      <c r="E180" s="614"/>
      <c r="F180" s="614"/>
      <c r="G180" s="614"/>
      <c r="H180" s="614"/>
      <c r="I180" s="614"/>
      <c r="J180" s="614"/>
    </row>
    <row r="181" spans="1:10">
      <c r="A181" s="613"/>
      <c r="B181" s="614"/>
      <c r="C181" s="614"/>
      <c r="D181" s="614"/>
      <c r="E181" s="614"/>
      <c r="F181" s="614"/>
      <c r="G181" s="614"/>
      <c r="H181" s="614"/>
      <c r="I181" s="614"/>
      <c r="J181" s="614"/>
    </row>
    <row r="182" spans="1:10">
      <c r="A182" s="613"/>
      <c r="B182" s="614"/>
      <c r="C182" s="614"/>
      <c r="D182" s="614"/>
      <c r="E182" s="614"/>
      <c r="F182" s="614"/>
      <c r="G182" s="614"/>
      <c r="H182" s="614"/>
      <c r="I182" s="614"/>
      <c r="J182" s="614"/>
    </row>
    <row r="183" spans="1:10">
      <c r="A183" s="613"/>
      <c r="B183" s="614"/>
      <c r="C183" s="614"/>
      <c r="D183" s="614"/>
      <c r="E183" s="614"/>
      <c r="F183" s="614"/>
      <c r="G183" s="614"/>
      <c r="H183" s="614"/>
      <c r="I183" s="614"/>
      <c r="J183" s="614"/>
    </row>
    <row r="184" spans="1:10">
      <c r="A184" s="613"/>
      <c r="B184" s="614"/>
      <c r="C184" s="614"/>
      <c r="D184" s="614"/>
      <c r="E184" s="614"/>
      <c r="F184" s="614"/>
      <c r="G184" s="614"/>
      <c r="H184" s="614"/>
      <c r="I184" s="614"/>
      <c r="J184" s="614"/>
    </row>
    <row r="185" spans="1:10">
      <c r="A185" s="613"/>
      <c r="B185" s="614"/>
      <c r="C185" s="614"/>
      <c r="D185" s="614"/>
      <c r="E185" s="614"/>
      <c r="F185" s="614"/>
      <c r="G185" s="614"/>
      <c r="H185" s="614"/>
      <c r="I185" s="614"/>
      <c r="J185" s="614"/>
    </row>
    <row r="186" spans="1:10">
      <c r="A186" s="613"/>
      <c r="B186" s="614"/>
      <c r="C186" s="614"/>
      <c r="D186" s="614"/>
      <c r="E186" s="614"/>
      <c r="F186" s="614"/>
      <c r="G186" s="614"/>
      <c r="H186" s="614"/>
      <c r="I186" s="614"/>
      <c r="J186" s="614"/>
    </row>
    <row r="187" spans="1:10">
      <c r="A187" s="613"/>
      <c r="B187" s="614"/>
      <c r="C187" s="614"/>
      <c r="D187" s="614"/>
      <c r="E187" s="614"/>
      <c r="F187" s="614"/>
      <c r="G187" s="614"/>
      <c r="H187" s="614"/>
      <c r="I187" s="614"/>
      <c r="J187" s="614"/>
    </row>
    <row r="188" spans="1:10">
      <c r="A188" s="613"/>
      <c r="B188" s="614"/>
      <c r="C188" s="614"/>
      <c r="D188" s="614"/>
      <c r="E188" s="614"/>
      <c r="F188" s="614"/>
      <c r="G188" s="614"/>
      <c r="H188" s="614"/>
      <c r="I188" s="614"/>
      <c r="J188" s="614"/>
    </row>
    <row r="189" spans="1:10">
      <c r="A189" s="613"/>
      <c r="B189" s="614"/>
      <c r="C189" s="614"/>
      <c r="D189" s="614"/>
      <c r="E189" s="614"/>
      <c r="F189" s="614"/>
      <c r="G189" s="614"/>
      <c r="H189" s="614"/>
      <c r="I189" s="614"/>
      <c r="J189" s="614"/>
    </row>
    <row r="190" spans="1:10">
      <c r="A190" s="613"/>
      <c r="B190" s="614"/>
      <c r="C190" s="614"/>
      <c r="D190" s="614"/>
      <c r="E190" s="614"/>
      <c r="F190" s="614"/>
      <c r="G190" s="614"/>
      <c r="H190" s="614"/>
      <c r="I190" s="614"/>
      <c r="J190" s="614"/>
    </row>
    <row r="191" spans="1:10">
      <c r="A191" s="613"/>
      <c r="B191" s="614"/>
      <c r="C191" s="614"/>
      <c r="D191" s="614"/>
      <c r="E191" s="614"/>
      <c r="F191" s="614"/>
      <c r="G191" s="614"/>
      <c r="H191" s="614"/>
      <c r="I191" s="614"/>
      <c r="J191" s="614"/>
    </row>
    <row r="192" spans="1:10">
      <c r="A192" s="613"/>
      <c r="B192" s="614"/>
      <c r="C192" s="614"/>
      <c r="D192" s="614"/>
      <c r="E192" s="614"/>
      <c r="F192" s="614"/>
      <c r="G192" s="614"/>
      <c r="H192" s="614"/>
      <c r="I192" s="614"/>
      <c r="J192" s="614"/>
    </row>
    <row r="193" spans="1:10">
      <c r="A193" s="613"/>
      <c r="B193" s="614"/>
      <c r="C193" s="614"/>
      <c r="D193" s="614"/>
      <c r="E193" s="614"/>
      <c r="F193" s="614"/>
      <c r="G193" s="614"/>
      <c r="H193" s="614"/>
      <c r="I193" s="614"/>
      <c r="J193" s="614"/>
    </row>
    <row r="194" spans="1:10">
      <c r="A194" s="613"/>
      <c r="B194" s="614"/>
      <c r="C194" s="614"/>
      <c r="D194" s="614"/>
      <c r="E194" s="614"/>
      <c r="F194" s="614"/>
      <c r="G194" s="614"/>
      <c r="H194" s="614"/>
      <c r="I194" s="614"/>
      <c r="J194" s="614"/>
    </row>
    <row r="195" spans="1:10">
      <c r="A195" s="613"/>
      <c r="B195" s="614"/>
      <c r="C195" s="614"/>
      <c r="D195" s="614"/>
      <c r="E195" s="614"/>
      <c r="F195" s="614"/>
      <c r="G195" s="614"/>
      <c r="H195" s="614"/>
      <c r="I195" s="614"/>
      <c r="J195" s="614"/>
    </row>
    <row r="196" spans="1:10">
      <c r="A196" s="613"/>
      <c r="B196" s="614"/>
      <c r="C196" s="614"/>
      <c r="D196" s="614"/>
      <c r="E196" s="614"/>
      <c r="F196" s="614"/>
      <c r="G196" s="614"/>
      <c r="H196" s="614"/>
      <c r="I196" s="614"/>
      <c r="J196" s="614"/>
    </row>
    <row r="197" spans="1:10">
      <c r="A197" s="613"/>
      <c r="B197" s="614"/>
      <c r="C197" s="614"/>
      <c r="D197" s="614"/>
      <c r="E197" s="614"/>
      <c r="F197" s="614"/>
      <c r="G197" s="614"/>
      <c r="H197" s="614"/>
      <c r="I197" s="614"/>
      <c r="J197" s="614"/>
    </row>
    <row r="198" spans="1:10">
      <c r="A198" s="613"/>
      <c r="B198" s="614"/>
      <c r="C198" s="614"/>
      <c r="D198" s="614"/>
      <c r="E198" s="614"/>
      <c r="F198" s="614"/>
      <c r="G198" s="614"/>
      <c r="H198" s="614"/>
      <c r="I198" s="614"/>
      <c r="J198" s="614"/>
    </row>
    <row r="199" spans="1:10">
      <c r="A199" s="619"/>
      <c r="B199" s="620"/>
      <c r="C199" s="620"/>
      <c r="D199" s="620"/>
      <c r="E199" s="620"/>
      <c r="F199" s="620"/>
      <c r="G199" s="620"/>
      <c r="H199" s="620"/>
      <c r="I199" s="620"/>
      <c r="J199" s="620"/>
    </row>
    <row r="200" spans="1:10">
      <c r="A200" s="613"/>
      <c r="B200" s="614"/>
      <c r="C200" s="614"/>
      <c r="D200" s="614"/>
      <c r="E200" s="614"/>
      <c r="F200" s="614"/>
      <c r="G200" s="614"/>
      <c r="H200" s="614"/>
      <c r="I200" s="614"/>
      <c r="J200" s="614"/>
    </row>
  </sheetData>
  <mergeCells count="1">
    <mergeCell ref="A1:G1"/>
  </mergeCells>
  <printOptions horizontalCentered="1"/>
  <pageMargins left="0.5" right="0.5" top="1" bottom="0.5" header="0.5" footer="0.5"/>
  <pageSetup scale="48" fitToHeight="3" orientation="portrait" r:id="rId1"/>
  <headerFooter alignWithMargins="0"/>
  <rowBreaks count="2" manualBreakCount="2">
    <brk id="43"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A58" zoomScale="65" zoomScaleNormal="65" zoomScaleSheetLayoutView="50" workbookViewId="0">
      <selection activeCell="J140" sqref="J140:L140"/>
    </sheetView>
  </sheetViews>
  <sheetFormatPr defaultColWidth="11.453125" defaultRowHeight="13"/>
  <cols>
    <col min="1" max="1" width="7.7265625" style="688" customWidth="1"/>
    <col min="2" max="2" width="1.81640625" style="688" customWidth="1"/>
    <col min="3" max="3" width="55" style="688" customWidth="1"/>
    <col min="4" max="4" width="17.7265625" style="688" customWidth="1"/>
    <col min="5" max="5" width="22.54296875" style="688" customWidth="1"/>
    <col min="6" max="6" width="16.81640625" style="688" customWidth="1"/>
    <col min="7" max="7" width="18.54296875" style="688" customWidth="1"/>
    <col min="8" max="8" width="21" style="688" customWidth="1"/>
    <col min="9" max="9" width="17.7265625" style="688" customWidth="1"/>
    <col min="10" max="10" width="18.54296875" style="688" customWidth="1"/>
    <col min="11" max="11" width="17.453125" style="688" customWidth="1"/>
    <col min="12" max="12" width="17.7265625" style="688" customWidth="1"/>
    <col min="13" max="13" width="15.453125" style="688" customWidth="1"/>
    <col min="14" max="14" width="16.26953125" style="688" customWidth="1"/>
    <col min="15" max="15" width="18.54296875" style="688" customWidth="1"/>
    <col min="16" max="16" width="15.26953125" style="688" customWidth="1"/>
    <col min="17" max="17" width="16.7265625" style="688" customWidth="1"/>
    <col min="18" max="18" width="16" style="688" customWidth="1"/>
    <col min="19" max="19" width="16.7265625" style="688" customWidth="1"/>
    <col min="20" max="20" width="14.54296875" style="690" bestFit="1" customWidth="1"/>
    <col min="21" max="16384" width="11.453125" style="688"/>
  </cols>
  <sheetData>
    <row r="1" spans="1:21">
      <c r="Q1" s="689"/>
    </row>
    <row r="2" spans="1:21">
      <c r="Q2" s="689"/>
    </row>
    <row r="4" spans="1:21">
      <c r="Q4" s="689"/>
    </row>
    <row r="5" spans="1:21">
      <c r="D5" s="691"/>
      <c r="E5" s="691"/>
      <c r="F5" s="691"/>
      <c r="G5" s="624" t="s">
        <v>301</v>
      </c>
      <c r="H5" s="691"/>
      <c r="I5" s="691"/>
      <c r="J5" s="691"/>
      <c r="K5" s="692"/>
      <c r="L5" s="693"/>
      <c r="M5" s="694"/>
      <c r="N5" s="694"/>
      <c r="O5" s="694"/>
      <c r="P5" s="694"/>
      <c r="Q5" s="694"/>
      <c r="R5" s="695"/>
      <c r="S5" s="695"/>
      <c r="T5" s="696"/>
      <c r="U5" s="695"/>
    </row>
    <row r="6" spans="1:21">
      <c r="D6" s="691"/>
      <c r="E6" s="697" t="s">
        <v>86</v>
      </c>
      <c r="F6" s="697"/>
      <c r="G6" s="1254" t="s">
        <v>1250</v>
      </c>
      <c r="H6" s="697"/>
      <c r="I6" s="697"/>
      <c r="J6" s="697"/>
      <c r="K6" s="692"/>
      <c r="P6" s="695"/>
      <c r="Q6" s="692"/>
      <c r="R6" s="695"/>
      <c r="S6" s="698"/>
      <c r="T6" s="696"/>
      <c r="U6" s="695"/>
    </row>
    <row r="7" spans="1:21">
      <c r="C7" s="695"/>
      <c r="D7" s="695"/>
      <c r="E7" s="695"/>
      <c r="F7" s="695"/>
      <c r="G7" s="629" t="s">
        <v>1551</v>
      </c>
      <c r="H7" s="695"/>
      <c r="I7" s="695"/>
      <c r="J7" s="695"/>
      <c r="K7" s="695"/>
      <c r="P7" s="695"/>
      <c r="Q7" s="695"/>
      <c r="R7" s="695"/>
      <c r="S7" s="699"/>
      <c r="T7" s="696"/>
      <c r="U7" s="695"/>
    </row>
    <row r="8" spans="1:21">
      <c r="A8" s="624"/>
      <c r="C8" s="695"/>
      <c r="D8" s="695"/>
      <c r="E8" s="695"/>
      <c r="F8" s="695"/>
      <c r="H8" s="695"/>
      <c r="I8" s="695"/>
      <c r="J8" s="695"/>
      <c r="K8" s="695"/>
      <c r="L8" s="695"/>
      <c r="M8" s="695"/>
      <c r="N8" s="695"/>
      <c r="O8" s="695"/>
      <c r="P8" s="695"/>
      <c r="Q8" s="695"/>
      <c r="R8" s="695"/>
      <c r="S8" s="699"/>
      <c r="T8" s="696"/>
      <c r="U8" s="695"/>
    </row>
    <row r="9" spans="1:21">
      <c r="A9" s="624"/>
      <c r="C9" s="695"/>
      <c r="D9" s="695"/>
      <c r="E9" s="695"/>
      <c r="F9" s="695"/>
      <c r="G9" s="700"/>
      <c r="H9" s="695"/>
      <c r="I9" s="695"/>
      <c r="J9" s="695"/>
      <c r="K9" s="695"/>
      <c r="L9" s="695"/>
      <c r="M9" s="695"/>
      <c r="N9" s="695"/>
      <c r="O9" s="695"/>
      <c r="P9" s="695"/>
      <c r="Q9" s="695"/>
      <c r="R9" s="695"/>
      <c r="S9" s="699"/>
      <c r="T9" s="696"/>
      <c r="U9" s="695"/>
    </row>
    <row r="10" spans="1:21">
      <c r="A10" s="624"/>
      <c r="C10" s="695" t="s">
        <v>1765</v>
      </c>
      <c r="D10" s="695"/>
      <c r="E10" s="695"/>
      <c r="F10" s="695"/>
      <c r="G10" s="700"/>
      <c r="H10" s="695"/>
      <c r="I10" s="695"/>
      <c r="J10" s="695"/>
      <c r="K10" s="695"/>
      <c r="L10" s="695"/>
      <c r="M10" s="695"/>
      <c r="N10" s="695"/>
      <c r="O10" s="695"/>
      <c r="P10" s="695"/>
      <c r="Q10" s="695"/>
      <c r="R10" s="695"/>
      <c r="S10" s="699"/>
      <c r="T10" s="696"/>
      <c r="U10" s="695"/>
    </row>
    <row r="11" spans="1:21">
      <c r="A11" s="624"/>
      <c r="C11" s="695"/>
      <c r="D11" s="695"/>
      <c r="E11" s="695"/>
      <c r="F11" s="695"/>
      <c r="G11" s="700"/>
      <c r="L11" s="695"/>
      <c r="M11" s="695"/>
      <c r="N11" s="695"/>
      <c r="O11" s="695"/>
      <c r="P11" s="695"/>
      <c r="Q11" s="695"/>
      <c r="R11" s="695"/>
      <c r="S11" s="695"/>
      <c r="T11" s="659"/>
      <c r="U11" s="695"/>
    </row>
    <row r="12" spans="1:21">
      <c r="A12" s="624"/>
      <c r="C12" s="695"/>
      <c r="D12" s="695"/>
      <c r="E12" s="695"/>
      <c r="F12" s="695"/>
      <c r="G12" s="695"/>
      <c r="L12" s="701"/>
      <c r="M12" s="701"/>
      <c r="N12" s="701"/>
      <c r="O12" s="701"/>
      <c r="P12" s="695"/>
      <c r="Q12" s="695"/>
      <c r="R12" s="695"/>
      <c r="S12" s="695"/>
      <c r="T12" s="659"/>
      <c r="U12" s="695"/>
    </row>
    <row r="13" spans="1:21">
      <c r="C13" s="702" t="s">
        <v>569</v>
      </c>
      <c r="D13" s="702"/>
      <c r="E13" s="702" t="s">
        <v>570</v>
      </c>
      <c r="F13" s="702"/>
      <c r="I13" s="702" t="s">
        <v>571</v>
      </c>
      <c r="L13" s="703" t="s">
        <v>572</v>
      </c>
      <c r="M13" s="703"/>
      <c r="N13" s="703"/>
      <c r="O13" s="703"/>
      <c r="P13" s="697"/>
      <c r="Q13" s="703"/>
      <c r="R13" s="697"/>
      <c r="S13" s="703"/>
      <c r="U13" s="704"/>
    </row>
    <row r="14" spans="1:21">
      <c r="C14" s="704"/>
      <c r="D14" s="704"/>
      <c r="E14" s="705" t="s">
        <v>1766</v>
      </c>
      <c r="F14" s="705"/>
      <c r="I14" s="697"/>
      <c r="P14" s="697"/>
      <c r="R14" s="697"/>
      <c r="S14" s="702"/>
      <c r="T14" s="660"/>
      <c r="U14" s="704"/>
    </row>
    <row r="15" spans="1:21">
      <c r="A15" s="624" t="s">
        <v>573</v>
      </c>
      <c r="C15" s="704"/>
      <c r="D15" s="704"/>
      <c r="E15" s="706" t="s">
        <v>574</v>
      </c>
      <c r="F15" s="706"/>
      <c r="I15" s="670" t="s">
        <v>228</v>
      </c>
      <c r="L15" s="670" t="s">
        <v>236</v>
      </c>
      <c r="M15" s="670"/>
      <c r="N15" s="670"/>
      <c r="O15" s="670"/>
      <c r="P15" s="697"/>
      <c r="R15" s="695"/>
      <c r="S15" s="707"/>
      <c r="T15" s="660"/>
      <c r="U15" s="704"/>
    </row>
    <row r="16" spans="1:21">
      <c r="A16" s="624" t="s">
        <v>575</v>
      </c>
      <c r="C16" s="708"/>
      <c r="D16" s="708"/>
      <c r="E16" s="697"/>
      <c r="F16" s="697"/>
      <c r="I16" s="697"/>
      <c r="L16" s="697"/>
      <c r="M16" s="697"/>
      <c r="N16" s="697"/>
      <c r="O16" s="697"/>
      <c r="P16" s="697"/>
      <c r="Q16" s="697"/>
      <c r="R16" s="695"/>
      <c r="S16" s="697"/>
      <c r="U16" s="704"/>
    </row>
    <row r="17" spans="1:21">
      <c r="A17" s="709"/>
      <c r="C17" s="704"/>
      <c r="D17" s="704"/>
      <c r="E17" s="697"/>
      <c r="F17" s="697"/>
      <c r="I17" s="697"/>
      <c r="L17" s="697"/>
      <c r="M17" s="697"/>
      <c r="N17" s="697"/>
      <c r="O17" s="697"/>
      <c r="P17" s="697"/>
      <c r="Q17" s="697"/>
      <c r="R17" s="695"/>
      <c r="S17" s="697"/>
      <c r="U17" s="704"/>
    </row>
    <row r="18" spans="1:21">
      <c r="A18" s="710">
        <v>1</v>
      </c>
      <c r="C18" s="704" t="s">
        <v>576</v>
      </c>
      <c r="D18" s="704"/>
      <c r="E18" s="711" t="s">
        <v>794</v>
      </c>
      <c r="F18" s="710"/>
      <c r="I18" s="690">
        <f>+'9 - Rate Base'!C26</f>
        <v>1597562320.5284615</v>
      </c>
      <c r="P18" s="697"/>
      <c r="Q18" s="697"/>
      <c r="R18" s="695"/>
      <c r="S18" s="697"/>
      <c r="U18" s="704"/>
    </row>
    <row r="19" spans="1:21">
      <c r="A19" s="710">
        <v>2</v>
      </c>
      <c r="C19" s="704" t="s">
        <v>577</v>
      </c>
      <c r="D19" s="704"/>
      <c r="E19" s="711" t="s">
        <v>795</v>
      </c>
      <c r="F19" s="710"/>
      <c r="I19" s="690">
        <f>+'9 - Rate Base'!K26</f>
        <v>1319690532.1561539</v>
      </c>
      <c r="P19" s="697"/>
      <c r="Q19" s="697"/>
      <c r="R19" s="695"/>
      <c r="S19" s="697"/>
      <c r="U19" s="704"/>
    </row>
    <row r="20" spans="1:21">
      <c r="A20" s="710"/>
      <c r="E20" s="711"/>
      <c r="F20" s="710"/>
      <c r="P20" s="697"/>
      <c r="Q20" s="697"/>
      <c r="R20" s="695"/>
      <c r="S20" s="697"/>
      <c r="U20" s="704"/>
    </row>
    <row r="21" spans="1:21">
      <c r="A21" s="710"/>
      <c r="C21" s="704" t="s">
        <v>578</v>
      </c>
      <c r="D21" s="704"/>
      <c r="E21" s="711"/>
      <c r="F21" s="710"/>
      <c r="I21" s="697"/>
      <c r="L21" s="697"/>
      <c r="M21" s="697"/>
      <c r="N21" s="697"/>
      <c r="O21" s="697"/>
      <c r="P21" s="697"/>
      <c r="Q21" s="697"/>
      <c r="R21" s="697"/>
      <c r="S21" s="697"/>
      <c r="U21" s="704"/>
    </row>
    <row r="22" spans="1:21">
      <c r="A22" s="710">
        <v>3</v>
      </c>
      <c r="C22" s="704" t="s">
        <v>579</v>
      </c>
      <c r="D22" s="704"/>
      <c r="E22" s="711" t="s">
        <v>1767</v>
      </c>
      <c r="F22" s="710"/>
      <c r="I22" s="690">
        <f>+'ATT H-1A'!H167</f>
        <v>35450417.602287307</v>
      </c>
      <c r="P22" s="697"/>
      <c r="Q22" s="697"/>
      <c r="R22" s="697"/>
      <c r="S22" s="697"/>
      <c r="U22" s="704"/>
    </row>
    <row r="23" spans="1:21">
      <c r="A23" s="710">
        <v>4</v>
      </c>
      <c r="C23" s="704" t="s">
        <v>580</v>
      </c>
      <c r="D23" s="704"/>
      <c r="E23" s="711" t="s">
        <v>581</v>
      </c>
      <c r="F23" s="710"/>
      <c r="I23" s="712">
        <f>IF(I$18=0,0,I22/I$18)</f>
        <v>2.2190319054696143E-2</v>
      </c>
      <c r="L23" s="713">
        <f>I23</f>
        <v>2.2190319054696143E-2</v>
      </c>
      <c r="M23" s="714"/>
      <c r="N23" s="714"/>
      <c r="O23" s="714"/>
      <c r="P23" s="697"/>
      <c r="Q23" s="715"/>
      <c r="R23" s="716"/>
      <c r="S23" s="717"/>
      <c r="U23" s="704"/>
    </row>
    <row r="24" spans="1:21">
      <c r="A24" s="710"/>
      <c r="C24" s="704"/>
      <c r="D24" s="704"/>
      <c r="E24" s="711"/>
      <c r="F24" s="710"/>
      <c r="I24" s="718"/>
      <c r="L24" s="713"/>
      <c r="M24" s="714"/>
      <c r="N24" s="714"/>
      <c r="O24" s="714"/>
      <c r="P24" s="697"/>
      <c r="Q24" s="715"/>
      <c r="R24" s="716"/>
      <c r="S24" s="717"/>
      <c r="U24" s="704"/>
    </row>
    <row r="25" spans="1:21">
      <c r="A25" s="703"/>
      <c r="C25" s="704" t="s">
        <v>582</v>
      </c>
      <c r="D25" s="704"/>
      <c r="E25" s="719"/>
      <c r="F25" s="720"/>
      <c r="I25" s="697"/>
      <c r="L25" s="712"/>
      <c r="M25" s="697"/>
      <c r="N25" s="697"/>
      <c r="O25" s="697"/>
      <c r="P25" s="697"/>
      <c r="Q25" s="715"/>
      <c r="R25" s="716"/>
      <c r="S25" s="717"/>
      <c r="U25" s="704"/>
    </row>
    <row r="26" spans="1:21">
      <c r="A26" s="703" t="s">
        <v>583</v>
      </c>
      <c r="C26" s="704" t="s">
        <v>584</v>
      </c>
      <c r="D26" s="704"/>
      <c r="E26" s="711" t="s">
        <v>1768</v>
      </c>
      <c r="F26" s="710"/>
      <c r="I26" s="690">
        <f>+'ATT H-1A'!H181+'ATT H-1A'!H187</f>
        <v>2482891.7535825041</v>
      </c>
      <c r="L26" s="712"/>
      <c r="P26" s="697"/>
      <c r="Q26" s="715"/>
      <c r="R26" s="716"/>
      <c r="S26" s="717"/>
      <c r="U26" s="704"/>
    </row>
    <row r="27" spans="1:21">
      <c r="A27" s="703" t="s">
        <v>585</v>
      </c>
      <c r="C27" s="704" t="s">
        <v>586</v>
      </c>
      <c r="D27" s="704"/>
      <c r="E27" s="711" t="s">
        <v>587</v>
      </c>
      <c r="F27" s="710"/>
      <c r="I27" s="721">
        <f>IF(I26=0,0,I26/I18)</f>
        <v>1.5541752091155871E-3</v>
      </c>
      <c r="J27" s="721"/>
      <c r="K27" s="721"/>
      <c r="L27" s="713">
        <f>I27</f>
        <v>1.5541752091155871E-3</v>
      </c>
      <c r="M27" s="714"/>
      <c r="N27" s="714"/>
      <c r="O27" s="714"/>
      <c r="P27" s="697"/>
      <c r="Q27" s="715"/>
      <c r="R27" s="716"/>
      <c r="S27" s="717"/>
      <c r="U27" s="704"/>
    </row>
    <row r="28" spans="1:21">
      <c r="A28" s="710"/>
      <c r="C28" s="704"/>
      <c r="D28" s="704"/>
      <c r="E28" s="711"/>
      <c r="F28" s="710"/>
      <c r="I28" s="721"/>
      <c r="J28" s="721"/>
      <c r="K28" s="721"/>
      <c r="L28" s="713"/>
      <c r="M28" s="714"/>
      <c r="N28" s="714"/>
      <c r="O28" s="714"/>
      <c r="P28" s="697"/>
      <c r="Q28" s="715"/>
      <c r="R28" s="716"/>
      <c r="S28" s="717"/>
      <c r="U28" s="704"/>
    </row>
    <row r="29" spans="1:21">
      <c r="A29" s="703"/>
      <c r="C29" s="704" t="s">
        <v>588</v>
      </c>
      <c r="D29" s="704"/>
      <c r="E29" s="719"/>
      <c r="F29" s="720"/>
      <c r="I29" s="721"/>
      <c r="J29" s="721"/>
      <c r="K29" s="721"/>
      <c r="L29" s="712"/>
      <c r="M29" s="697"/>
      <c r="N29" s="697"/>
      <c r="O29" s="697"/>
      <c r="P29" s="697"/>
      <c r="Q29" s="697"/>
      <c r="R29" s="697"/>
      <c r="S29" s="697"/>
      <c r="U29" s="704"/>
    </row>
    <row r="30" spans="1:21">
      <c r="A30" s="703" t="s">
        <v>589</v>
      </c>
      <c r="C30" s="704" t="s">
        <v>590</v>
      </c>
      <c r="D30" s="704"/>
      <c r="E30" s="711" t="s">
        <v>1769</v>
      </c>
      <c r="F30" s="710"/>
      <c r="I30" s="690">
        <f>+'ATT H-1A'!H196</f>
        <v>1232318.6481298045</v>
      </c>
      <c r="J30" s="721"/>
      <c r="K30" s="721"/>
      <c r="L30" s="712"/>
      <c r="P30" s="697"/>
      <c r="Q30" s="707"/>
      <c r="R30" s="697"/>
      <c r="S30" s="710"/>
      <c r="T30" s="660"/>
      <c r="U30" s="704"/>
    </row>
    <row r="31" spans="1:21">
      <c r="A31" s="703" t="s">
        <v>591</v>
      </c>
      <c r="C31" s="704" t="s">
        <v>592</v>
      </c>
      <c r="D31" s="704"/>
      <c r="E31" s="711" t="s">
        <v>593</v>
      </c>
      <c r="F31" s="710"/>
      <c r="I31" s="721">
        <f>IF(I30=0,0,I30/I18)</f>
        <v>7.7137438226645386E-4</v>
      </c>
      <c r="J31" s="721"/>
      <c r="K31" s="721"/>
      <c r="L31" s="713">
        <f>I31</f>
        <v>7.7137438226645386E-4</v>
      </c>
      <c r="M31" s="714"/>
      <c r="N31" s="714"/>
      <c r="O31" s="714"/>
      <c r="P31" s="697"/>
      <c r="Q31" s="715"/>
      <c r="R31" s="697"/>
      <c r="S31" s="717"/>
      <c r="T31" s="660"/>
      <c r="U31" s="704"/>
    </row>
    <row r="32" spans="1:21">
      <c r="A32" s="703"/>
      <c r="C32" s="704"/>
      <c r="D32" s="704"/>
      <c r="E32" s="711"/>
      <c r="F32" s="710"/>
      <c r="I32" s="697"/>
      <c r="L32" s="712"/>
      <c r="M32" s="697"/>
      <c r="N32" s="697"/>
      <c r="O32" s="697"/>
      <c r="P32" s="697"/>
      <c r="U32" s="704"/>
    </row>
    <row r="33" spans="1:21">
      <c r="A33" s="703" t="s">
        <v>594</v>
      </c>
      <c r="C33" s="704" t="s">
        <v>772</v>
      </c>
      <c r="D33" s="704"/>
      <c r="E33" s="711" t="s">
        <v>1770</v>
      </c>
      <c r="F33" s="710"/>
      <c r="I33" s="690">
        <f>-'ATT H-1A'!H292</f>
        <v>-4406382.4812927144</v>
      </c>
      <c r="L33" s="712"/>
      <c r="M33" s="697"/>
      <c r="N33" s="697"/>
      <c r="O33" s="697"/>
      <c r="P33" s="697"/>
      <c r="U33" s="704"/>
    </row>
    <row r="34" spans="1:21">
      <c r="A34" s="703" t="s">
        <v>595</v>
      </c>
      <c r="C34" s="704" t="s">
        <v>596</v>
      </c>
      <c r="D34" s="704"/>
      <c r="E34" s="711" t="s">
        <v>597</v>
      </c>
      <c r="F34" s="710"/>
      <c r="I34" s="712">
        <f>IF(I$18=0,0,I33/I$18)</f>
        <v>-2.7581912922402404E-3</v>
      </c>
      <c r="L34" s="712">
        <f>+I34</f>
        <v>-2.7581912922402404E-3</v>
      </c>
      <c r="M34" s="697"/>
      <c r="N34" s="697"/>
      <c r="O34" s="697"/>
      <c r="P34" s="697"/>
      <c r="U34" s="704"/>
    </row>
    <row r="35" spans="1:21">
      <c r="A35" s="703"/>
      <c r="C35" s="704"/>
      <c r="D35" s="704"/>
      <c r="E35" s="711"/>
      <c r="F35" s="710"/>
      <c r="I35" s="697"/>
      <c r="L35" s="712"/>
      <c r="M35" s="697"/>
      <c r="N35" s="697"/>
      <c r="O35" s="697"/>
      <c r="P35" s="697"/>
      <c r="U35" s="704"/>
    </row>
    <row r="36" spans="1:21">
      <c r="A36" s="722" t="s">
        <v>598</v>
      </c>
      <c r="B36" s="723"/>
      <c r="C36" s="708" t="s">
        <v>599</v>
      </c>
      <c r="D36" s="708"/>
      <c r="E36" s="724" t="s">
        <v>600</v>
      </c>
      <c r="F36" s="705"/>
      <c r="I36" s="716"/>
      <c r="L36" s="725">
        <f>L23+L27+L31+L34</f>
        <v>2.1757677353837945E-2</v>
      </c>
      <c r="M36" s="726"/>
      <c r="N36" s="726"/>
      <c r="O36" s="726"/>
      <c r="P36" s="697"/>
      <c r="U36" s="704"/>
    </row>
    <row r="37" spans="1:21">
      <c r="A37" s="703"/>
      <c r="C37" s="704"/>
      <c r="D37" s="704"/>
      <c r="E37" s="711"/>
      <c r="F37" s="710"/>
      <c r="I37" s="697"/>
      <c r="L37" s="712"/>
      <c r="M37" s="697"/>
      <c r="N37" s="697"/>
      <c r="O37" s="697"/>
      <c r="P37" s="697"/>
      <c r="Q37" s="697"/>
      <c r="R37" s="697"/>
      <c r="S37" s="727"/>
      <c r="U37" s="704"/>
    </row>
    <row r="38" spans="1:21">
      <c r="A38" s="703"/>
      <c r="B38" s="728"/>
      <c r="C38" s="697" t="s">
        <v>568</v>
      </c>
      <c r="D38" s="697"/>
      <c r="E38" s="711"/>
      <c r="F38" s="710"/>
      <c r="I38" s="697"/>
      <c r="L38" s="712"/>
      <c r="M38" s="697"/>
      <c r="N38" s="697"/>
      <c r="O38" s="697"/>
      <c r="P38" s="729"/>
      <c r="Q38" s="728"/>
      <c r="T38" s="660"/>
      <c r="U38" s="697" t="s">
        <v>86</v>
      </c>
    </row>
    <row r="39" spans="1:21">
      <c r="A39" s="703" t="s">
        <v>601</v>
      </c>
      <c r="B39" s="728"/>
      <c r="C39" s="697" t="s">
        <v>197</v>
      </c>
      <c r="D39" s="697"/>
      <c r="E39" s="711" t="s">
        <v>1771</v>
      </c>
      <c r="F39" s="710"/>
      <c r="I39" s="690">
        <f>+'ATT H-1A'!H279</f>
        <v>2573858.114407043</v>
      </c>
      <c r="L39" s="712"/>
      <c r="M39" s="697"/>
      <c r="N39" s="697"/>
      <c r="O39" s="697"/>
      <c r="P39" s="729"/>
      <c r="Q39" s="728"/>
      <c r="T39" s="660"/>
      <c r="U39" s="697"/>
    </row>
    <row r="40" spans="1:21">
      <c r="A40" s="703" t="s">
        <v>602</v>
      </c>
      <c r="B40" s="728"/>
      <c r="C40" s="697" t="s">
        <v>603</v>
      </c>
      <c r="D40" s="697"/>
      <c r="E40" s="711" t="s">
        <v>604</v>
      </c>
      <c r="F40" s="710"/>
      <c r="I40" s="721">
        <f>IF(I19=0,0,I39/I19)</f>
        <v>1.9503497613200184E-3</v>
      </c>
      <c r="L40" s="713">
        <f>I40</f>
        <v>1.9503497613200184E-3</v>
      </c>
      <c r="M40" s="714"/>
      <c r="N40" s="714"/>
      <c r="O40" s="714"/>
      <c r="P40" s="729"/>
      <c r="Q40" s="728"/>
      <c r="R40" s="697"/>
      <c r="S40" s="697"/>
      <c r="T40" s="660"/>
      <c r="U40" s="697"/>
    </row>
    <row r="41" spans="1:21">
      <c r="A41" s="703"/>
      <c r="C41" s="697"/>
      <c r="D41" s="697"/>
      <c r="E41" s="711"/>
      <c r="F41" s="710"/>
      <c r="I41" s="697"/>
      <c r="L41" s="712"/>
      <c r="M41" s="697"/>
      <c r="N41" s="697"/>
      <c r="O41" s="697"/>
      <c r="P41" s="697"/>
      <c r="R41" s="695"/>
      <c r="S41" s="697"/>
      <c r="T41" s="659"/>
      <c r="U41" s="704"/>
    </row>
    <row r="42" spans="1:21">
      <c r="A42" s="703"/>
      <c r="C42" s="704" t="s">
        <v>605</v>
      </c>
      <c r="D42" s="704"/>
      <c r="E42" s="730"/>
      <c r="F42" s="731"/>
      <c r="L42" s="712"/>
      <c r="P42" s="697"/>
      <c r="R42" s="697"/>
      <c r="S42" s="697"/>
      <c r="U42" s="704"/>
    </row>
    <row r="43" spans="1:21">
      <c r="A43" s="703" t="s">
        <v>606</v>
      </c>
      <c r="C43" s="704" t="s">
        <v>607</v>
      </c>
      <c r="D43" s="704"/>
      <c r="E43" s="711" t="s">
        <v>1772</v>
      </c>
      <c r="F43" s="710"/>
      <c r="I43" s="690">
        <f>+'ATT H-1A'!H278</f>
        <v>75889078.813620374</v>
      </c>
      <c r="L43" s="712"/>
      <c r="M43" s="697"/>
      <c r="N43" s="697"/>
      <c r="O43" s="697"/>
      <c r="P43" s="697"/>
      <c r="R43" s="697"/>
      <c r="S43" s="697"/>
      <c r="U43" s="704"/>
    </row>
    <row r="44" spans="1:21">
      <c r="A44" s="703" t="s">
        <v>608</v>
      </c>
      <c r="B44" s="728"/>
      <c r="C44" s="697" t="s">
        <v>609</v>
      </c>
      <c r="D44" s="697"/>
      <c r="E44" s="711" t="s">
        <v>610</v>
      </c>
      <c r="F44" s="710"/>
      <c r="I44" s="721">
        <f>IF(I19=0,0,I43/I19)</f>
        <v>5.7505208201827661E-2</v>
      </c>
      <c r="L44" s="713">
        <f>I44</f>
        <v>5.7505208201827661E-2</v>
      </c>
      <c r="M44" s="714"/>
      <c r="N44" s="714"/>
      <c r="O44" s="714"/>
      <c r="P44" s="697"/>
      <c r="S44" s="732"/>
      <c r="T44" s="660"/>
      <c r="U44" s="697"/>
    </row>
    <row r="45" spans="1:21">
      <c r="A45" s="703"/>
      <c r="C45" s="704"/>
      <c r="D45" s="704"/>
      <c r="E45" s="711"/>
      <c r="F45" s="710"/>
      <c r="I45" s="697"/>
      <c r="L45" s="712"/>
      <c r="M45" s="697"/>
      <c r="N45" s="697"/>
      <c r="O45" s="697"/>
      <c r="P45" s="697"/>
      <c r="Q45" s="731"/>
      <c r="R45" s="697"/>
      <c r="S45" s="697"/>
      <c r="U45" s="704"/>
    </row>
    <row r="46" spans="1:21">
      <c r="A46" s="722" t="s">
        <v>611</v>
      </c>
      <c r="B46" s="723"/>
      <c r="C46" s="708" t="s">
        <v>612</v>
      </c>
      <c r="D46" s="708"/>
      <c r="E46" s="724" t="s">
        <v>613</v>
      </c>
      <c r="F46" s="705"/>
      <c r="I46" s="721">
        <f>+I44+I40</f>
        <v>5.9455557963147679E-2</v>
      </c>
      <c r="L46" s="725">
        <f>L40+L44</f>
        <v>5.9455557963147679E-2</v>
      </c>
      <c r="M46" s="726"/>
      <c r="N46" s="726"/>
      <c r="O46" s="726"/>
      <c r="P46" s="697"/>
      <c r="Q46" s="731"/>
      <c r="R46" s="697"/>
      <c r="S46" s="697"/>
      <c r="U46" s="704"/>
    </row>
    <row r="47" spans="1:21">
      <c r="P47" s="733"/>
      <c r="Q47" s="733"/>
      <c r="R47" s="697"/>
      <c r="S47" s="697"/>
      <c r="U47" s="704"/>
    </row>
    <row r="48" spans="1:21">
      <c r="P48" s="733"/>
      <c r="Q48" s="733"/>
      <c r="R48" s="697"/>
      <c r="S48" s="697"/>
      <c r="U48" s="704"/>
    </row>
    <row r="49" spans="1:21">
      <c r="A49" s="734"/>
      <c r="C49" s="703"/>
      <c r="D49" s="703"/>
      <c r="E49" s="720"/>
      <c r="F49" s="720"/>
      <c r="G49" s="697"/>
      <c r="J49" s="718"/>
      <c r="P49" s="697"/>
      <c r="Q49" s="715"/>
      <c r="R49" s="735"/>
      <c r="S49" s="697"/>
      <c r="T49" s="660"/>
      <c r="U49" s="697"/>
    </row>
    <row r="50" spans="1:21">
      <c r="A50" s="624"/>
      <c r="G50" s="697"/>
      <c r="P50" s="697"/>
      <c r="Q50" s="697"/>
      <c r="R50" s="697"/>
      <c r="S50" s="697"/>
      <c r="T50" s="660"/>
      <c r="U50" s="697" t="s">
        <v>86</v>
      </c>
    </row>
    <row r="51" spans="1:21">
      <c r="Q51" s="689"/>
    </row>
    <row r="52" spans="1:21">
      <c r="Q52" s="689"/>
    </row>
    <row r="54" spans="1:21">
      <c r="A54" s="624"/>
      <c r="G54" s="697"/>
      <c r="P54" s="697"/>
      <c r="Q54" s="689"/>
      <c r="R54" s="697"/>
      <c r="S54" s="695"/>
      <c r="U54" s="704"/>
    </row>
    <row r="55" spans="1:21">
      <c r="A55" s="624"/>
      <c r="C55" s="704"/>
      <c r="D55" s="704"/>
      <c r="G55" s="720" t="s">
        <v>301</v>
      </c>
      <c r="H55" s="720"/>
      <c r="P55" s="697"/>
      <c r="Q55" s="689"/>
      <c r="R55" s="697"/>
      <c r="U55" s="704"/>
    </row>
    <row r="56" spans="1:21">
      <c r="A56" s="624"/>
      <c r="C56" s="704"/>
      <c r="D56" s="704"/>
      <c r="G56" s="1254" t="s">
        <v>1250</v>
      </c>
      <c r="H56" s="720"/>
      <c r="L56" s="697"/>
      <c r="M56" s="697"/>
      <c r="N56" s="697"/>
      <c r="O56" s="697"/>
      <c r="P56" s="697"/>
      <c r="R56" s="697"/>
      <c r="S56" s="695"/>
      <c r="U56" s="704"/>
    </row>
    <row r="57" spans="1:21" ht="14.25" customHeight="1">
      <c r="A57" s="624"/>
      <c r="G57" s="629" t="s">
        <v>1551</v>
      </c>
      <c r="P57" s="697"/>
      <c r="R57" s="697"/>
      <c r="S57" s="695"/>
      <c r="U57" s="704"/>
    </row>
    <row r="58" spans="1:21">
      <c r="A58" s="624"/>
      <c r="H58" s="720"/>
      <c r="P58" s="697"/>
      <c r="Q58" s="697"/>
      <c r="R58" s="697"/>
      <c r="S58" s="695"/>
      <c r="U58" s="704"/>
    </row>
    <row r="59" spans="1:21">
      <c r="A59" s="624"/>
      <c r="E59" s="704"/>
      <c r="F59" s="704"/>
      <c r="G59" s="704"/>
      <c r="H59" s="704"/>
      <c r="I59" s="704"/>
      <c r="J59" s="704"/>
      <c r="K59" s="704"/>
      <c r="L59" s="704"/>
      <c r="M59" s="704"/>
      <c r="N59" s="704"/>
      <c r="O59" s="704"/>
      <c r="P59" s="704"/>
      <c r="Q59" s="704"/>
      <c r="R59" s="697"/>
      <c r="S59" s="695"/>
      <c r="U59" s="704"/>
    </row>
    <row r="60" spans="1:21">
      <c r="A60" s="624"/>
      <c r="E60" s="708"/>
      <c r="F60" s="708"/>
      <c r="H60" s="704"/>
      <c r="I60" s="695"/>
      <c r="J60" s="695"/>
      <c r="K60" s="695"/>
      <c r="L60" s="695"/>
      <c r="M60" s="695"/>
      <c r="N60" s="695"/>
      <c r="O60" s="695"/>
      <c r="P60" s="697"/>
      <c r="Q60" s="697"/>
      <c r="R60" s="697"/>
      <c r="S60" s="695"/>
      <c r="U60" s="704"/>
    </row>
    <row r="61" spans="1:21">
      <c r="A61" s="624"/>
      <c r="E61" s="708"/>
      <c r="F61" s="708"/>
      <c r="G61" s="708"/>
      <c r="H61" s="704"/>
      <c r="I61" s="695"/>
      <c r="J61" s="695"/>
      <c r="K61" s="695"/>
      <c r="L61" s="695"/>
      <c r="M61" s="695"/>
      <c r="N61" s="695"/>
      <c r="O61" s="695"/>
      <c r="P61" s="697"/>
      <c r="Q61" s="697"/>
      <c r="R61" s="697"/>
      <c r="S61" s="695"/>
      <c r="U61" s="704"/>
    </row>
    <row r="62" spans="1:21">
      <c r="A62" s="624"/>
      <c r="C62" s="736">
        <v>-1</v>
      </c>
      <c r="D62" s="736">
        <v>-2</v>
      </c>
      <c r="E62" s="736">
        <v>-3</v>
      </c>
      <c r="F62" s="736">
        <v>-4</v>
      </c>
      <c r="G62" s="736">
        <v>-5</v>
      </c>
      <c r="H62" s="736">
        <v>-6</v>
      </c>
      <c r="I62" s="736">
        <v>-7</v>
      </c>
      <c r="J62" s="736">
        <v>-8</v>
      </c>
      <c r="K62" s="736">
        <v>-9</v>
      </c>
      <c r="L62" s="736">
        <v>-10</v>
      </c>
      <c r="M62" s="736">
        <v>-11</v>
      </c>
      <c r="N62" s="736">
        <v>-12</v>
      </c>
      <c r="O62" s="736">
        <v>-13</v>
      </c>
      <c r="P62" s="737" t="s">
        <v>614</v>
      </c>
      <c r="Q62" s="737" t="s">
        <v>615</v>
      </c>
      <c r="U62" s="704"/>
    </row>
    <row r="63" spans="1:21" ht="53.25" customHeight="1">
      <c r="A63" s="738" t="s">
        <v>616</v>
      </c>
      <c r="B63" s="739"/>
      <c r="C63" s="1255" t="s">
        <v>1251</v>
      </c>
      <c r="D63" s="1256" t="s">
        <v>1252</v>
      </c>
      <c r="E63" s="740" t="s">
        <v>619</v>
      </c>
      <c r="F63" s="740" t="s">
        <v>599</v>
      </c>
      <c r="G63" s="741" t="s">
        <v>620</v>
      </c>
      <c r="H63" s="740" t="s">
        <v>621</v>
      </c>
      <c r="I63" s="740" t="s">
        <v>612</v>
      </c>
      <c r="J63" s="741" t="s">
        <v>622</v>
      </c>
      <c r="K63" s="740" t="s">
        <v>623</v>
      </c>
      <c r="L63" s="742" t="s">
        <v>624</v>
      </c>
      <c r="M63" s="742" t="s">
        <v>625</v>
      </c>
      <c r="N63" s="742" t="s">
        <v>626</v>
      </c>
      <c r="O63" s="742" t="s">
        <v>627</v>
      </c>
      <c r="P63" s="742" t="s">
        <v>628</v>
      </c>
      <c r="Q63" s="742" t="s">
        <v>629</v>
      </c>
      <c r="U63" s="704"/>
    </row>
    <row r="64" spans="1:21" ht="46.5" customHeight="1">
      <c r="A64" s="743"/>
      <c r="B64" s="744"/>
      <c r="C64" s="744"/>
      <c r="D64" s="744"/>
      <c r="E64" s="745" t="s">
        <v>67</v>
      </c>
      <c r="F64" s="745" t="s">
        <v>630</v>
      </c>
      <c r="G64" s="746" t="s">
        <v>631</v>
      </c>
      <c r="H64" s="745" t="s">
        <v>632</v>
      </c>
      <c r="I64" s="745" t="s">
        <v>633</v>
      </c>
      <c r="J64" s="746" t="s">
        <v>634</v>
      </c>
      <c r="K64" s="745" t="s">
        <v>635</v>
      </c>
      <c r="L64" s="746" t="s">
        <v>636</v>
      </c>
      <c r="M64" s="745" t="s">
        <v>637</v>
      </c>
      <c r="N64" s="747" t="s">
        <v>1547</v>
      </c>
      <c r="O64" s="748" t="s">
        <v>638</v>
      </c>
      <c r="P64" s="749" t="s">
        <v>639</v>
      </c>
      <c r="Q64" s="748" t="s">
        <v>744</v>
      </c>
      <c r="U64" s="704"/>
    </row>
    <row r="65" spans="1:21">
      <c r="A65" s="750"/>
      <c r="B65" s="695"/>
      <c r="C65" s="695"/>
      <c r="D65" s="695"/>
      <c r="E65" s="695"/>
      <c r="F65" s="695"/>
      <c r="G65" s="751"/>
      <c r="H65" s="695"/>
      <c r="I65" s="695"/>
      <c r="J65" s="751"/>
      <c r="K65" s="695"/>
      <c r="L65" s="751"/>
      <c r="M65" s="752"/>
      <c r="N65" s="751"/>
      <c r="O65" s="751"/>
      <c r="P65" s="697"/>
      <c r="Q65" s="753"/>
      <c r="U65" s="704"/>
    </row>
    <row r="66" spans="1:21">
      <c r="A66" s="754" t="s">
        <v>216</v>
      </c>
      <c r="B66" s="755"/>
      <c r="C66" s="755" t="s">
        <v>640</v>
      </c>
      <c r="D66" s="1261" t="s">
        <v>641</v>
      </c>
      <c r="E66" s="760">
        <f>+'9 - Rate Base'!C26-SUM('6-Project Rev Req'!E67:E83)</f>
        <v>1487665256.5284615</v>
      </c>
      <c r="F66" s="721">
        <f t="shared" ref="F66:F75" si="0">$L$36</f>
        <v>2.1757677353837945E-2</v>
      </c>
      <c r="G66" s="757">
        <f t="shared" ref="G66:G75" si="1">E66*F66</f>
        <v>32368140.662060823</v>
      </c>
      <c r="H66" s="760">
        <f>+'9 - Rate Base'!K26-SUM(H67:H82)</f>
        <v>1236924341.7386062</v>
      </c>
      <c r="I66" s="721">
        <f>$L$46</f>
        <v>5.9455557963147679E-2</v>
      </c>
      <c r="J66" s="757">
        <f>H66*I66</f>
        <v>73542026.896267995</v>
      </c>
      <c r="K66" s="761">
        <f>+'ATT H-1A'!H173-SUM('6-Project Rev Req'!K67:K82)</f>
        <v>36935804.885714285</v>
      </c>
      <c r="L66" s="757">
        <f>G66+J66+K66</f>
        <v>142845972.4440431</v>
      </c>
      <c r="M66" s="762">
        <v>0</v>
      </c>
      <c r="N66" s="757">
        <v>0</v>
      </c>
      <c r="O66" s="757">
        <f>+L66+N66</f>
        <v>142845972.4440431</v>
      </c>
      <c r="P66" s="762"/>
      <c r="Q66" s="757">
        <f t="shared" ref="Q66:Q75" si="2">+O66+P66</f>
        <v>142845972.4440431</v>
      </c>
    </row>
    <row r="67" spans="1:21">
      <c r="A67" s="754" t="s">
        <v>160</v>
      </c>
      <c r="B67" s="755"/>
      <c r="C67" s="1542" t="s">
        <v>1562</v>
      </c>
      <c r="D67" s="759" t="s">
        <v>1563</v>
      </c>
      <c r="E67" s="760">
        <f>+'7 - Cap Add WS'!E31</f>
        <v>4854660</v>
      </c>
      <c r="F67" s="721">
        <f t="shared" si="0"/>
        <v>2.1757677353837945E-2</v>
      </c>
      <c r="G67" s="757">
        <f t="shared" si="1"/>
        <v>105626.12594258292</v>
      </c>
      <c r="H67" s="760">
        <f>AVERAGE('7 - Cap Add WS'!G57,'7 - Cap Add WS'!G59)</f>
        <v>3467614.2857142845</v>
      </c>
      <c r="I67" s="721">
        <f t="shared" ref="I67:I75" si="3">$L$46</f>
        <v>5.9455557963147679E-2</v>
      </c>
      <c r="J67" s="757">
        <f t="shared" ref="J67:J75" si="4">H67*I67</f>
        <v>206168.94215812458</v>
      </c>
      <c r="K67" s="761">
        <f>+'7 - Cap Add WS'!F59</f>
        <v>138704.57142857142</v>
      </c>
      <c r="L67" s="757">
        <f t="shared" ref="L67" si="5">G67+J67+K67</f>
        <v>450499.63952927891</v>
      </c>
      <c r="M67" s="762">
        <f>+'7 - Cap Add WS'!E28</f>
        <v>150</v>
      </c>
      <c r="N67" s="757">
        <f>+'7 - Cap Add WS'!H61-'7 - Cap Add WS'!H60</f>
        <v>26256.938918804168</v>
      </c>
      <c r="O67" s="757">
        <f>+L67+N67</f>
        <v>476756.57844808308</v>
      </c>
      <c r="P67" s="762"/>
      <c r="Q67" s="757">
        <f t="shared" si="2"/>
        <v>476756.57844808308</v>
      </c>
    </row>
    <row r="68" spans="1:21">
      <c r="A68" s="754" t="s">
        <v>218</v>
      </c>
      <c r="B68" s="755"/>
      <c r="C68" s="1542" t="s">
        <v>1564</v>
      </c>
      <c r="D68" s="759" t="s">
        <v>1565</v>
      </c>
      <c r="E68" s="760">
        <f>+'7 - Cap Add WS'!I31</f>
        <v>7878071</v>
      </c>
      <c r="F68" s="721">
        <f t="shared" si="0"/>
        <v>2.1757677353837945E-2</v>
      </c>
      <c r="G68" s="757">
        <f t="shared" si="1"/>
        <v>171408.52698862745</v>
      </c>
      <c r="H68" s="760">
        <f>AVERAGE('7 - Cap Add WS'!K57,'7 - Cap Add WS'!K59)</f>
        <v>5627193.5714285672</v>
      </c>
      <c r="I68" s="721">
        <f t="shared" si="3"/>
        <v>5.9455557963147679E-2</v>
      </c>
      <c r="J68" s="757">
        <f t="shared" si="4"/>
        <v>334567.93355592317</v>
      </c>
      <c r="K68" s="761">
        <f>+'7 - Cap Add WS'!J59</f>
        <v>225087.74285714285</v>
      </c>
      <c r="L68" s="757">
        <f>G68+J68+K68</f>
        <v>731064.20340169349</v>
      </c>
      <c r="M68" s="762">
        <f>+'7 - Cap Add WS'!I28</f>
        <v>0</v>
      </c>
      <c r="N68" s="757">
        <v>0</v>
      </c>
      <c r="O68" s="757">
        <f t="shared" ref="O68:O75" si="6">+L68+N68</f>
        <v>731064.20340169349</v>
      </c>
      <c r="P68" s="762"/>
      <c r="Q68" s="757">
        <f t="shared" si="2"/>
        <v>731064.20340169349</v>
      </c>
    </row>
    <row r="69" spans="1:21">
      <c r="A69" s="754" t="s">
        <v>219</v>
      </c>
      <c r="B69" s="755"/>
      <c r="C69" s="1542" t="s">
        <v>1566</v>
      </c>
      <c r="D69" s="759" t="s">
        <v>1567</v>
      </c>
      <c r="E69" s="760">
        <f>+'7 - Cap Add WS'!M31</f>
        <v>13722120</v>
      </c>
      <c r="F69" s="721">
        <f t="shared" si="0"/>
        <v>2.1757677353837945E-2</v>
      </c>
      <c r="G69" s="757">
        <f t="shared" si="1"/>
        <v>298561.45957064675</v>
      </c>
      <c r="H69" s="760">
        <f>AVERAGE('7 - Cap Add WS'!O57,'7 - Cap Add WS'!O59)</f>
        <v>9507468.8571428619</v>
      </c>
      <c r="I69" s="721">
        <f t="shared" si="3"/>
        <v>5.9455557963147679E-2</v>
      </c>
      <c r="J69" s="757">
        <f t="shared" si="4"/>
        <v>565271.8657186788</v>
      </c>
      <c r="K69" s="761">
        <f>+'7 - Cap Add WS'!N59</f>
        <v>392060.57142857142</v>
      </c>
      <c r="L69" s="757">
        <f>G69+J69+K69</f>
        <v>1255893.8967178969</v>
      </c>
      <c r="M69" s="762">
        <f>+'7 - Cap Add WS'!M28</f>
        <v>0</v>
      </c>
      <c r="N69" s="757">
        <v>0</v>
      </c>
      <c r="O69" s="757">
        <f t="shared" si="6"/>
        <v>1255893.8967178969</v>
      </c>
      <c r="P69" s="762"/>
      <c r="Q69" s="757">
        <f t="shared" si="2"/>
        <v>1255893.8967178969</v>
      </c>
    </row>
    <row r="70" spans="1:21">
      <c r="A70" s="754" t="s">
        <v>220</v>
      </c>
      <c r="B70" s="755"/>
      <c r="C70" s="1542" t="s">
        <v>1568</v>
      </c>
      <c r="D70" s="759" t="s">
        <v>1569</v>
      </c>
      <c r="E70" s="760">
        <f>+'7 - Cap Add WS'!Q31</f>
        <v>26046638</v>
      </c>
      <c r="F70" s="721">
        <f t="shared" si="0"/>
        <v>2.1757677353837945E-2</v>
      </c>
      <c r="G70" s="757">
        <f t="shared" si="1"/>
        <v>566714.34575621481</v>
      </c>
      <c r="H70" s="760">
        <f>AVERAGE('7 - Cap Add WS'!S57,'7 - Cap Add WS'!S59)</f>
        <v>17922567.576190498</v>
      </c>
      <c r="I70" s="721">
        <f t="shared" si="3"/>
        <v>5.9455557963147679E-2</v>
      </c>
      <c r="J70" s="757">
        <f t="shared" si="4"/>
        <v>1065596.2553746253</v>
      </c>
      <c r="K70" s="761">
        <f>+'7 - Cap Add WS'!R59</f>
        <v>744189.65714285709</v>
      </c>
      <c r="L70" s="757">
        <f t="shared" ref="L70:L75" si="7">G70+J70+K70</f>
        <v>2376500.2582736975</v>
      </c>
      <c r="M70" s="762">
        <f>+'7 - Cap Add WS'!Q28</f>
        <v>150</v>
      </c>
      <c r="N70" s="757">
        <f>+'7 - Cap Add WS'!T61-'7 - Cap Add WS'!T60</f>
        <v>135380.8172516739</v>
      </c>
      <c r="O70" s="757">
        <f t="shared" si="6"/>
        <v>2511881.0755253714</v>
      </c>
      <c r="P70" s="762"/>
      <c r="Q70" s="757">
        <f t="shared" si="2"/>
        <v>2511881.0755253714</v>
      </c>
    </row>
    <row r="71" spans="1:21">
      <c r="A71" s="754" t="s">
        <v>222</v>
      </c>
      <c r="B71" s="755"/>
      <c r="C71" s="1542" t="s">
        <v>1570</v>
      </c>
      <c r="D71" s="759" t="s">
        <v>1571</v>
      </c>
      <c r="E71" s="760">
        <f>+'7 - Cap Add WS'!U31</f>
        <v>18572212</v>
      </c>
      <c r="F71" s="721">
        <f t="shared" si="0"/>
        <v>2.1757677353837945E-2</v>
      </c>
      <c r="G71" s="757">
        <f t="shared" si="1"/>
        <v>404088.19644307729</v>
      </c>
      <c r="H71" s="760">
        <f>AVERAGE('7 - Cap Add WS'!W57,'7 - Cap Add WS'!W59)</f>
        <v>12779450.638095241</v>
      </c>
      <c r="I71" s="721">
        <f t="shared" si="3"/>
        <v>5.9455557963147679E-2</v>
      </c>
      <c r="J71" s="757">
        <f t="shared" si="4"/>
        <v>759809.36815045623</v>
      </c>
      <c r="K71" s="761">
        <f>+'7 - Cap Add WS'!V59</f>
        <v>530634.62857142859</v>
      </c>
      <c r="L71" s="757">
        <f t="shared" si="7"/>
        <v>1694532.1931649621</v>
      </c>
      <c r="M71" s="762">
        <f>+'7 - Cap Add WS'!U28</f>
        <v>150</v>
      </c>
      <c r="N71" s="757">
        <f>+'7 - Cap Add WS'!X61-'7 - Cap Add WS'!X60</f>
        <v>96531.507779673906</v>
      </c>
      <c r="O71" s="757">
        <f t="shared" si="6"/>
        <v>1791063.700944636</v>
      </c>
      <c r="P71" s="762"/>
      <c r="Q71" s="757">
        <f t="shared" si="2"/>
        <v>1791063.700944636</v>
      </c>
    </row>
    <row r="72" spans="1:21">
      <c r="A72" s="754" t="s">
        <v>223</v>
      </c>
      <c r="B72" s="755"/>
      <c r="C72" s="1542" t="s">
        <v>1572</v>
      </c>
      <c r="D72" s="759" t="s">
        <v>1573</v>
      </c>
      <c r="E72" s="760">
        <f>+'7 - Cap Add WS'!Y31</f>
        <v>6759777</v>
      </c>
      <c r="F72" s="721">
        <f t="shared" si="0"/>
        <v>2.1757677353837945E-2</v>
      </c>
      <c r="G72" s="757">
        <f t="shared" si="1"/>
        <v>147077.0469498946</v>
      </c>
      <c r="H72" s="760">
        <f>AVERAGE('7 - Cap Add WS'!AA57,'7 - Cap Add WS'!AA59)</f>
        <v>4957169.8000000007</v>
      </c>
      <c r="I72" s="721">
        <f t="shared" si="3"/>
        <v>5.9455557963147679E-2</v>
      </c>
      <c r="J72" s="757">
        <f t="shared" si="4"/>
        <v>294731.29637706524</v>
      </c>
      <c r="K72" s="761">
        <f>+'7 - Cap Add WS'!Z59</f>
        <v>193136.48571428572</v>
      </c>
      <c r="L72" s="757">
        <f t="shared" si="7"/>
        <v>634944.82904124563</v>
      </c>
      <c r="M72" s="762">
        <f>+'7 - Cap Add WS'!Y28</f>
        <v>150</v>
      </c>
      <c r="N72" s="757">
        <f>+'7 - Cap Add WS'!AB61-'7 - Cap Add WS'!AB60</f>
        <v>37598.154955614242</v>
      </c>
      <c r="O72" s="757">
        <f t="shared" si="6"/>
        <v>672542.98399685987</v>
      </c>
      <c r="P72" s="762"/>
      <c r="Q72" s="757">
        <f t="shared" si="2"/>
        <v>672542.98399685987</v>
      </c>
    </row>
    <row r="73" spans="1:21">
      <c r="A73" s="754" t="s">
        <v>642</v>
      </c>
      <c r="B73" s="755"/>
      <c r="C73" s="1542" t="s">
        <v>1574</v>
      </c>
      <c r="D73" s="759" t="s">
        <v>1575</v>
      </c>
      <c r="E73" s="760">
        <f>+'7 - Cap Add WS'!AC31</f>
        <v>4045398</v>
      </c>
      <c r="F73" s="721">
        <f t="shared" si="0"/>
        <v>2.1757677353837945E-2</v>
      </c>
      <c r="G73" s="757">
        <f t="shared" si="1"/>
        <v>88018.46445186132</v>
      </c>
      <c r="H73" s="760">
        <f>AVERAGE('7 - Cap Add WS'!AE57,'7 - Cap Add WS'!AE59)</f>
        <v>3653779.6151666669</v>
      </c>
      <c r="I73" s="721">
        <f t="shared" si="3"/>
        <v>5.9455557963147679E-2</v>
      </c>
      <c r="J73" s="757">
        <f t="shared" si="4"/>
        <v>217237.50569410919</v>
      </c>
      <c r="K73" s="761">
        <f>+'7 - Cap Add WS'!AD59</f>
        <v>115582.8</v>
      </c>
      <c r="L73" s="757">
        <f t="shared" si="7"/>
        <v>420838.77014597051</v>
      </c>
      <c r="M73" s="762">
        <f>+'7 - Cap Add WS'!AC28</f>
        <v>0</v>
      </c>
      <c r="N73" s="757">
        <v>0</v>
      </c>
      <c r="O73" s="757">
        <f t="shared" si="6"/>
        <v>420838.77014597051</v>
      </c>
      <c r="P73" s="762"/>
      <c r="Q73" s="757">
        <f t="shared" si="2"/>
        <v>420838.77014597051</v>
      </c>
    </row>
    <row r="74" spans="1:21">
      <c r="A74" s="754" t="s">
        <v>643</v>
      </c>
      <c r="B74" s="755"/>
      <c r="C74" s="1542" t="s">
        <v>1576</v>
      </c>
      <c r="D74" s="759" t="s">
        <v>1577</v>
      </c>
      <c r="E74" s="760">
        <f>+'7 - Cap Add WS'!AG31</f>
        <v>13176210</v>
      </c>
      <c r="F74" s="721">
        <f t="shared" si="0"/>
        <v>2.1757677353837945E-2</v>
      </c>
      <c r="G74" s="757">
        <f t="shared" si="1"/>
        <v>286683.72592641308</v>
      </c>
      <c r="H74" s="760">
        <f>AVERAGE('7 - Cap Add WS'!AI57,'7 - Cap Add WS'!AI59)</f>
        <v>11263697.316666663</v>
      </c>
      <c r="I74" s="721">
        <f t="shared" si="3"/>
        <v>5.9455557963147679E-2</v>
      </c>
      <c r="J74" s="757">
        <f t="shared" si="4"/>
        <v>669689.40869042568</v>
      </c>
      <c r="K74" s="761">
        <f>+'7 - Cap Add WS'!AH59</f>
        <v>376463.14285714284</v>
      </c>
      <c r="L74" s="757">
        <f t="shared" si="7"/>
        <v>1332836.2774739815</v>
      </c>
      <c r="M74" s="762">
        <f>+'7 - Cap Add WS'!AG28</f>
        <v>0</v>
      </c>
      <c r="N74" s="757">
        <v>0</v>
      </c>
      <c r="O74" s="757">
        <f t="shared" si="6"/>
        <v>1332836.2774739815</v>
      </c>
      <c r="P74" s="762"/>
      <c r="Q74" s="757">
        <f t="shared" si="2"/>
        <v>1332836.2774739815</v>
      </c>
    </row>
    <row r="75" spans="1:21">
      <c r="A75" s="754" t="s">
        <v>644</v>
      </c>
      <c r="B75" s="755"/>
      <c r="C75" s="1542" t="s">
        <v>1578</v>
      </c>
      <c r="D75" s="759" t="s">
        <v>1579</v>
      </c>
      <c r="E75" s="760">
        <f>+'7 - Cap Add WS'!AK31</f>
        <v>14841978</v>
      </c>
      <c r="F75" s="721">
        <f t="shared" si="0"/>
        <v>2.1757677353837945E-2</v>
      </c>
      <c r="G75" s="757">
        <f t="shared" si="1"/>
        <v>322926.96861676098</v>
      </c>
      <c r="H75" s="760">
        <f>AVERAGE('7 - Cap Add WS'!AM57,'7 - Cap Add WS'!AM59)</f>
        <v>13587248.757142859</v>
      </c>
      <c r="I75" s="721">
        <f t="shared" si="3"/>
        <v>5.9455557963147679E-2</v>
      </c>
      <c r="J75" s="757">
        <f t="shared" si="4"/>
        <v>807837.45604001347</v>
      </c>
      <c r="K75" s="761">
        <f>+'7 - Cap Add WS'!AL59</f>
        <v>424056.51428571431</v>
      </c>
      <c r="L75" s="757">
        <f t="shared" si="7"/>
        <v>1554820.9389424887</v>
      </c>
      <c r="M75" s="762">
        <f>+'7 - Cap Add WS'!AK28</f>
        <v>0</v>
      </c>
      <c r="N75" s="757">
        <v>0</v>
      </c>
      <c r="O75" s="757">
        <f t="shared" si="6"/>
        <v>1554820.9389424887</v>
      </c>
      <c r="P75" s="762"/>
      <c r="Q75" s="757">
        <f t="shared" si="2"/>
        <v>1554820.9389424887</v>
      </c>
    </row>
    <row r="76" spans="1:21">
      <c r="A76" s="754" t="s">
        <v>645</v>
      </c>
      <c r="B76" s="755"/>
      <c r="C76" s="758"/>
      <c r="D76" s="759"/>
      <c r="E76" s="760"/>
      <c r="F76" s="721"/>
      <c r="G76" s="757"/>
      <c r="H76" s="760"/>
      <c r="I76" s="721"/>
      <c r="J76" s="757"/>
      <c r="K76" s="761"/>
      <c r="L76" s="757"/>
      <c r="M76" s="762"/>
      <c r="N76" s="757"/>
      <c r="O76" s="757"/>
      <c r="P76" s="762"/>
      <c r="Q76" s="757"/>
    </row>
    <row r="77" spans="1:21">
      <c r="A77" s="754" t="s">
        <v>646</v>
      </c>
      <c r="B77" s="755"/>
      <c r="C77" s="758"/>
      <c r="D77" s="759"/>
      <c r="E77" s="760"/>
      <c r="F77" s="721"/>
      <c r="G77" s="757"/>
      <c r="H77" s="760"/>
      <c r="I77" s="721"/>
      <c r="J77" s="757"/>
      <c r="K77" s="761"/>
      <c r="L77" s="757"/>
      <c r="M77" s="762"/>
      <c r="N77" s="757"/>
      <c r="O77" s="757"/>
      <c r="P77" s="762"/>
      <c r="Q77" s="757"/>
    </row>
    <row r="78" spans="1:21">
      <c r="A78" s="754" t="s">
        <v>647</v>
      </c>
      <c r="B78" s="755"/>
      <c r="C78" s="758"/>
      <c r="D78" s="759"/>
      <c r="E78" s="760"/>
      <c r="F78" s="721"/>
      <c r="G78" s="757"/>
      <c r="H78" s="760"/>
      <c r="I78" s="721"/>
      <c r="J78" s="757"/>
      <c r="K78" s="761"/>
      <c r="L78" s="757"/>
      <c r="M78" s="762"/>
      <c r="N78" s="757"/>
      <c r="O78" s="757"/>
      <c r="P78" s="762"/>
      <c r="Q78" s="757"/>
    </row>
    <row r="79" spans="1:21">
      <c r="A79" s="688" t="s">
        <v>648</v>
      </c>
      <c r="B79" s="755"/>
      <c r="C79" s="758"/>
      <c r="D79" s="759"/>
      <c r="E79" s="760"/>
      <c r="F79" s="721"/>
      <c r="G79" s="757"/>
      <c r="H79" s="760"/>
      <c r="I79" s="721"/>
      <c r="J79" s="757"/>
      <c r="K79" s="761"/>
      <c r="L79" s="757"/>
      <c r="M79" s="762"/>
      <c r="N79" s="757"/>
      <c r="O79" s="757"/>
      <c r="P79" s="762"/>
      <c r="Q79" s="757"/>
    </row>
    <row r="80" spans="1:21">
      <c r="A80" s="754" t="s">
        <v>649</v>
      </c>
      <c r="B80" s="755"/>
      <c r="C80" s="758"/>
      <c r="D80" s="759"/>
      <c r="E80" s="760"/>
      <c r="F80" s="721"/>
      <c r="G80" s="757"/>
      <c r="H80" s="760"/>
      <c r="I80" s="721"/>
      <c r="J80" s="757"/>
      <c r="K80" s="761"/>
      <c r="L80" s="757"/>
      <c r="M80" s="762"/>
      <c r="N80" s="757"/>
      <c r="O80" s="757"/>
      <c r="P80" s="762"/>
      <c r="Q80" s="757"/>
    </row>
    <row r="81" spans="1:17">
      <c r="A81" s="754" t="s">
        <v>650</v>
      </c>
      <c r="B81" s="755"/>
      <c r="C81" s="758"/>
      <c r="D81" s="759"/>
      <c r="E81" s="760"/>
      <c r="F81" s="721"/>
      <c r="G81" s="757"/>
      <c r="H81" s="760"/>
      <c r="I81" s="721"/>
      <c r="J81" s="757"/>
      <c r="K81" s="761"/>
      <c r="L81" s="757"/>
      <c r="M81" s="762"/>
      <c r="N81" s="757"/>
      <c r="O81" s="757"/>
      <c r="P81" s="762"/>
      <c r="Q81" s="757"/>
    </row>
    <row r="82" spans="1:17">
      <c r="A82" s="754" t="s">
        <v>651</v>
      </c>
      <c r="B82" s="755"/>
      <c r="C82" s="758"/>
      <c r="D82" s="759"/>
      <c r="E82" s="760"/>
      <c r="F82" s="721"/>
      <c r="G82" s="757"/>
      <c r="H82" s="760"/>
      <c r="I82" s="721"/>
      <c r="J82" s="757"/>
      <c r="K82" s="761"/>
      <c r="L82" s="757"/>
      <c r="M82" s="762"/>
      <c r="N82" s="757"/>
      <c r="O82" s="757"/>
      <c r="P82" s="762"/>
      <c r="Q82" s="757"/>
    </row>
    <row r="83" spans="1:17">
      <c r="A83" s="754" t="s">
        <v>652</v>
      </c>
      <c r="B83" s="755"/>
      <c r="C83" s="758"/>
      <c r="D83" s="759"/>
      <c r="E83" s="760"/>
      <c r="F83" s="721"/>
      <c r="G83" s="757"/>
      <c r="H83" s="760"/>
      <c r="I83" s="721"/>
      <c r="J83" s="757"/>
      <c r="K83" s="761"/>
      <c r="L83" s="757"/>
      <c r="M83" s="762"/>
      <c r="N83" s="757"/>
      <c r="O83" s="757"/>
      <c r="P83" s="762"/>
      <c r="Q83" s="757"/>
    </row>
    <row r="84" spans="1:17">
      <c r="A84" s="754" t="s">
        <v>653</v>
      </c>
      <c r="B84" s="755"/>
      <c r="C84" s="758"/>
      <c r="D84" s="759"/>
      <c r="E84" s="760"/>
      <c r="F84" s="721"/>
      <c r="G84" s="756"/>
      <c r="H84" s="760"/>
      <c r="I84" s="721"/>
      <c r="J84" s="757"/>
      <c r="K84" s="761"/>
      <c r="L84" s="757"/>
      <c r="M84" s="762"/>
      <c r="N84" s="757"/>
      <c r="O84" s="757"/>
      <c r="P84" s="761"/>
      <c r="Q84" s="757"/>
    </row>
    <row r="85" spans="1:17">
      <c r="A85" s="688" t="s">
        <v>654</v>
      </c>
      <c r="B85" s="755"/>
      <c r="C85" s="767"/>
      <c r="D85" s="759"/>
      <c r="E85" s="760"/>
      <c r="F85" s="721"/>
      <c r="G85" s="756"/>
      <c r="H85" s="760"/>
      <c r="I85" s="721"/>
      <c r="J85" s="757"/>
      <c r="K85" s="761"/>
      <c r="L85" s="757"/>
      <c r="M85" s="762"/>
      <c r="N85" s="757"/>
      <c r="O85" s="757"/>
      <c r="P85" s="761"/>
      <c r="Q85" s="757"/>
    </row>
    <row r="86" spans="1:17">
      <c r="A86" s="754" t="s">
        <v>655</v>
      </c>
      <c r="B86" s="755"/>
      <c r="C86" s="758"/>
      <c r="D86" s="759"/>
      <c r="E86" s="760"/>
      <c r="F86" s="721"/>
      <c r="G86" s="756"/>
      <c r="H86" s="760"/>
      <c r="I86" s="721"/>
      <c r="J86" s="757"/>
      <c r="K86" s="761"/>
      <c r="L86" s="757"/>
      <c r="M86" s="762"/>
      <c r="N86" s="757"/>
      <c r="O86" s="757"/>
      <c r="P86" s="761"/>
      <c r="Q86" s="757"/>
    </row>
    <row r="87" spans="1:17">
      <c r="A87" s="754" t="s">
        <v>656</v>
      </c>
      <c r="B87" s="755"/>
      <c r="C87" s="758"/>
      <c r="D87" s="759"/>
      <c r="E87" s="760"/>
      <c r="F87" s="721"/>
      <c r="G87" s="756"/>
      <c r="H87" s="760"/>
      <c r="I87" s="721"/>
      <c r="J87" s="757"/>
      <c r="K87" s="761"/>
      <c r="L87" s="757"/>
      <c r="M87" s="762"/>
      <c r="N87" s="757"/>
      <c r="O87" s="757"/>
      <c r="P87" s="761"/>
      <c r="Q87" s="757"/>
    </row>
    <row r="88" spans="1:17">
      <c r="A88" s="754" t="s">
        <v>657</v>
      </c>
      <c r="C88" s="758"/>
      <c r="D88" s="759"/>
      <c r="E88" s="760"/>
      <c r="F88" s="721"/>
      <c r="G88" s="756"/>
      <c r="H88" s="760"/>
      <c r="I88" s="721"/>
      <c r="J88" s="757"/>
      <c r="K88" s="761"/>
      <c r="L88" s="757"/>
      <c r="M88" s="762"/>
      <c r="N88" s="757"/>
      <c r="O88" s="757"/>
      <c r="P88" s="761"/>
      <c r="Q88" s="757"/>
    </row>
    <row r="89" spans="1:17">
      <c r="A89" s="754" t="s">
        <v>658</v>
      </c>
      <c r="C89" s="767"/>
      <c r="D89" s="763"/>
      <c r="E89" s="760"/>
      <c r="F89" s="721"/>
      <c r="G89" s="756"/>
      <c r="H89" s="764"/>
      <c r="I89" s="721"/>
      <c r="J89" s="757"/>
      <c r="K89" s="765"/>
      <c r="L89" s="757"/>
      <c r="M89" s="762"/>
      <c r="N89" s="757"/>
      <c r="O89" s="757"/>
      <c r="P89" s="761"/>
      <c r="Q89" s="757"/>
    </row>
    <row r="90" spans="1:17">
      <c r="A90" s="754" t="s">
        <v>659</v>
      </c>
      <c r="C90" s="767"/>
      <c r="D90" s="767"/>
      <c r="E90" s="760"/>
      <c r="F90" s="721"/>
      <c r="G90" s="756"/>
      <c r="H90" s="760"/>
      <c r="I90" s="721"/>
      <c r="J90" s="757"/>
      <c r="K90" s="761"/>
      <c r="L90" s="757"/>
      <c r="M90" s="762"/>
      <c r="N90" s="757"/>
      <c r="O90" s="757"/>
      <c r="P90" s="761"/>
      <c r="Q90" s="757"/>
    </row>
    <row r="91" spans="1:17">
      <c r="A91" s="766"/>
      <c r="C91" s="767"/>
      <c r="D91" s="767"/>
      <c r="E91" s="760"/>
      <c r="F91" s="721"/>
      <c r="G91" s="756"/>
      <c r="H91" s="760"/>
      <c r="I91" s="721"/>
      <c r="J91" s="757"/>
      <c r="K91" s="761"/>
      <c r="L91" s="757"/>
      <c r="M91" s="762"/>
      <c r="N91" s="757"/>
      <c r="O91" s="757"/>
      <c r="P91" s="761"/>
      <c r="Q91" s="757"/>
    </row>
    <row r="92" spans="1:17">
      <c r="A92" s="768"/>
      <c r="B92" s="769"/>
      <c r="C92" s="770"/>
      <c r="D92" s="770"/>
      <c r="E92" s="770"/>
      <c r="F92" s="769"/>
      <c r="G92" s="771"/>
      <c r="H92" s="770"/>
      <c r="I92" s="769"/>
      <c r="J92" s="772"/>
      <c r="K92" s="773"/>
      <c r="L92" s="772"/>
      <c r="M92" s="774"/>
      <c r="N92" s="775"/>
      <c r="O92" s="775"/>
      <c r="P92" s="773"/>
      <c r="Q92" s="772"/>
    </row>
    <row r="93" spans="1:17">
      <c r="A93" s="722" t="s">
        <v>660</v>
      </c>
      <c r="B93" s="728"/>
      <c r="C93" s="704" t="s">
        <v>661</v>
      </c>
      <c r="D93" s="704"/>
      <c r="E93" s="690">
        <f>SUM(E66:E92)</f>
        <v>1597562320.5284615</v>
      </c>
      <c r="F93" s="690"/>
      <c r="G93" s="690">
        <f>SUM(G66:G92)</f>
        <v>34759245.522706911</v>
      </c>
      <c r="H93" s="690">
        <f>SUM(H66:H92)</f>
        <v>1319690532.1561537</v>
      </c>
      <c r="I93" s="697"/>
      <c r="J93" s="690">
        <f t="shared" ref="J93:O93" si="8">SUM(J66:J92)</f>
        <v>78462936.928027391</v>
      </c>
      <c r="K93" s="690">
        <f t="shared" si="8"/>
        <v>40075721</v>
      </c>
      <c r="L93" s="690">
        <f t="shared" si="8"/>
        <v>153297903.45073435</v>
      </c>
      <c r="M93" s="690"/>
      <c r="N93" s="690">
        <f t="shared" si="8"/>
        <v>295767.41890576622</v>
      </c>
      <c r="O93" s="690">
        <f t="shared" si="8"/>
        <v>153593670.86964011</v>
      </c>
      <c r="P93" s="690">
        <f>SUM(P66:P92)</f>
        <v>0</v>
      </c>
      <c r="Q93" s="690">
        <f>SUM(Q66:Q92)</f>
        <v>153593670.86964011</v>
      </c>
    </row>
    <row r="94" spans="1:17">
      <c r="E94" s="690"/>
      <c r="F94" s="690"/>
      <c r="G94" s="690"/>
      <c r="H94" s="690"/>
      <c r="I94" s="690"/>
      <c r="J94" s="690"/>
      <c r="K94" s="690"/>
      <c r="L94" s="721"/>
    </row>
    <row r="95" spans="1:17">
      <c r="A95" s="776"/>
      <c r="E95" s="690"/>
      <c r="F95" s="690"/>
      <c r="G95" s="690"/>
      <c r="H95" s="690"/>
      <c r="I95" s="690"/>
      <c r="J95" s="690"/>
      <c r="K95" s="690"/>
      <c r="L95" s="721"/>
      <c r="M95" s="732"/>
      <c r="N95" s="732"/>
      <c r="O95" s="732"/>
    </row>
    <row r="96" spans="1:17">
      <c r="K96" s="728"/>
      <c r="L96" s="728"/>
      <c r="M96" s="728"/>
      <c r="N96" s="728"/>
      <c r="O96" s="728"/>
    </row>
    <row r="97" spans="1:17">
      <c r="K97" s="728"/>
      <c r="L97" s="728"/>
      <c r="M97" s="728"/>
      <c r="N97" s="728"/>
      <c r="O97" s="728"/>
    </row>
    <row r="98" spans="1:17">
      <c r="A98" s="688" t="s">
        <v>662</v>
      </c>
    </row>
    <row r="99" spans="1:17" ht="13.5" thickBot="1">
      <c r="A99" s="777" t="s">
        <v>663</v>
      </c>
    </row>
    <row r="100" spans="1:17">
      <c r="A100" s="778" t="s">
        <v>9</v>
      </c>
      <c r="C100" s="1862" t="s">
        <v>664</v>
      </c>
      <c r="D100" s="1862"/>
      <c r="E100" s="1862"/>
      <c r="F100" s="1862"/>
      <c r="G100" s="1862"/>
      <c r="H100" s="1862"/>
      <c r="I100" s="1862"/>
      <c r="J100" s="1862"/>
      <c r="K100" s="1862"/>
      <c r="L100" s="1862"/>
      <c r="M100" s="1862"/>
      <c r="N100" s="1862"/>
      <c r="O100" s="1862"/>
      <c r="P100" s="1862"/>
      <c r="Q100" s="1862"/>
    </row>
    <row r="101" spans="1:17">
      <c r="A101" s="778" t="s">
        <v>10</v>
      </c>
      <c r="C101" s="1862" t="s">
        <v>665</v>
      </c>
      <c r="D101" s="1862"/>
      <c r="E101" s="1862"/>
      <c r="F101" s="1862"/>
      <c r="G101" s="1862"/>
      <c r="H101" s="1862"/>
      <c r="I101" s="1862"/>
      <c r="J101" s="1862"/>
      <c r="K101" s="1862"/>
      <c r="L101" s="1862"/>
      <c r="M101" s="1862"/>
      <c r="N101" s="1862"/>
      <c r="O101" s="1862"/>
      <c r="P101" s="1862"/>
      <c r="Q101" s="1862"/>
    </row>
    <row r="102" spans="1:17">
      <c r="A102" s="778" t="s">
        <v>11</v>
      </c>
      <c r="C102" s="1863" t="s">
        <v>666</v>
      </c>
      <c r="D102" s="1863"/>
      <c r="E102" s="1863"/>
      <c r="F102" s="1863"/>
      <c r="G102" s="1863"/>
      <c r="H102" s="1863"/>
      <c r="I102" s="1863"/>
      <c r="J102" s="1863"/>
      <c r="K102" s="1863"/>
      <c r="L102" s="1863"/>
      <c r="M102" s="1863"/>
      <c r="N102" s="1863"/>
      <c r="O102" s="1863"/>
      <c r="P102" s="1863"/>
      <c r="Q102" s="1863"/>
    </row>
    <row r="103" spans="1:17">
      <c r="C103" s="688" t="s">
        <v>667</v>
      </c>
    </row>
    <row r="104" spans="1:17">
      <c r="A104" s="778" t="s">
        <v>14</v>
      </c>
      <c r="C104" s="1863" t="s">
        <v>668</v>
      </c>
      <c r="D104" s="1863"/>
      <c r="E104" s="1863"/>
      <c r="F104" s="1863"/>
      <c r="G104" s="1863"/>
      <c r="H104" s="1863"/>
      <c r="I104" s="1863"/>
      <c r="J104" s="1863"/>
      <c r="K104" s="1863"/>
      <c r="L104" s="1863"/>
      <c r="M104" s="1863"/>
      <c r="N104" s="1863"/>
      <c r="O104" s="1863"/>
      <c r="P104" s="1863"/>
      <c r="Q104" s="1863"/>
    </row>
    <row r="105" spans="1:17">
      <c r="A105" s="720" t="s">
        <v>138</v>
      </c>
      <c r="C105" s="1860" t="s">
        <v>669</v>
      </c>
      <c r="D105" s="1860"/>
      <c r="E105" s="1860"/>
      <c r="F105" s="1860"/>
      <c r="G105" s="1860"/>
      <c r="H105" s="1860"/>
      <c r="I105" s="1860"/>
      <c r="J105" s="1860"/>
      <c r="K105" s="1860"/>
      <c r="L105" s="1860"/>
      <c r="M105" s="1860"/>
      <c r="N105" s="1860"/>
      <c r="O105" s="1860"/>
      <c r="P105" s="1860"/>
      <c r="Q105" s="1860"/>
    </row>
    <row r="106" spans="1:17">
      <c r="A106" s="720" t="s">
        <v>139</v>
      </c>
      <c r="C106" s="1860" t="s">
        <v>670</v>
      </c>
      <c r="D106" s="1860"/>
      <c r="E106" s="1860"/>
      <c r="F106" s="1860"/>
      <c r="G106" s="1860"/>
      <c r="H106" s="1860"/>
      <c r="I106" s="1860"/>
      <c r="J106" s="1860"/>
      <c r="K106" s="1860"/>
      <c r="L106" s="1860"/>
      <c r="M106" s="1860"/>
      <c r="N106" s="1860"/>
      <c r="O106" s="1860"/>
      <c r="P106" s="1860"/>
      <c r="Q106" s="1860"/>
    </row>
    <row r="107" spans="1:17">
      <c r="A107" s="720" t="s">
        <v>140</v>
      </c>
      <c r="C107" s="1860" t="s">
        <v>671</v>
      </c>
      <c r="D107" s="1860"/>
      <c r="E107" s="1860"/>
      <c r="F107" s="1860"/>
      <c r="G107" s="1860"/>
      <c r="H107" s="1860"/>
      <c r="I107" s="1860"/>
      <c r="J107" s="1860"/>
      <c r="K107" s="1860"/>
      <c r="L107" s="1860"/>
      <c r="M107" s="1860"/>
      <c r="N107" s="1860"/>
      <c r="O107" s="1860"/>
      <c r="P107" s="1860"/>
      <c r="Q107" s="1860"/>
    </row>
    <row r="108" spans="1:17">
      <c r="A108" s="720" t="s">
        <v>541</v>
      </c>
      <c r="C108" s="1860" t="s">
        <v>672</v>
      </c>
      <c r="D108" s="1860"/>
      <c r="E108" s="1860"/>
      <c r="F108" s="1860"/>
      <c r="G108" s="1860"/>
      <c r="H108" s="1860"/>
      <c r="I108" s="1860"/>
      <c r="J108" s="1860"/>
      <c r="K108" s="1860"/>
      <c r="L108" s="1860"/>
      <c r="M108" s="1860"/>
      <c r="N108" s="1860"/>
      <c r="O108" s="1860"/>
      <c r="P108" s="1860"/>
      <c r="Q108" s="1860"/>
    </row>
    <row r="109" spans="1:17">
      <c r="A109" s="720" t="s">
        <v>469</v>
      </c>
      <c r="C109" s="688" t="s">
        <v>673</v>
      </c>
    </row>
    <row r="110" spans="1:17">
      <c r="A110" s="703" t="s">
        <v>470</v>
      </c>
      <c r="C110" s="688" t="s">
        <v>674</v>
      </c>
      <c r="P110" s="697"/>
      <c r="Q110" s="735"/>
    </row>
    <row r="111" spans="1:17">
      <c r="A111" s="703" t="s">
        <v>471</v>
      </c>
      <c r="C111" s="688" t="s">
        <v>675</v>
      </c>
      <c r="D111" s="703"/>
      <c r="E111" s="720"/>
      <c r="F111" s="720"/>
      <c r="G111" s="697"/>
      <c r="J111" s="718"/>
      <c r="P111" s="697"/>
      <c r="Q111" s="715"/>
    </row>
    <row r="112" spans="1:17">
      <c r="A112" s="720" t="s">
        <v>475</v>
      </c>
      <c r="C112" s="779" t="s">
        <v>1773</v>
      </c>
      <c r="G112" s="780"/>
    </row>
    <row r="113" spans="1:11">
      <c r="A113" s="720" t="s">
        <v>477</v>
      </c>
      <c r="C113" s="688" t="s">
        <v>676</v>
      </c>
      <c r="K113" s="780"/>
    </row>
    <row r="114" spans="1:11">
      <c r="A114" s="720" t="s">
        <v>480</v>
      </c>
      <c r="C114" s="688" t="s">
        <v>677</v>
      </c>
    </row>
    <row r="115" spans="1:11">
      <c r="C115" s="688" t="s">
        <v>678</v>
      </c>
    </row>
    <row r="116" spans="1:11" ht="12.75" customHeight="1">
      <c r="A116" s="720" t="s">
        <v>481</v>
      </c>
      <c r="C116" s="1861" t="s">
        <v>1548</v>
      </c>
      <c r="D116" s="1861"/>
      <c r="E116" s="1861"/>
      <c r="F116" s="1861"/>
      <c r="G116" s="1861"/>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48" zoomScale="65" zoomScaleNormal="65" zoomScaleSheetLayoutView="51" workbookViewId="0">
      <selection activeCell="J140" sqref="J140:L140"/>
    </sheetView>
  </sheetViews>
  <sheetFormatPr defaultColWidth="11.453125" defaultRowHeight="13"/>
  <cols>
    <col min="1" max="1" width="7.7265625" style="688" customWidth="1"/>
    <col min="2" max="2" width="54.1796875" style="688" customWidth="1"/>
    <col min="3" max="3" width="21.81640625" style="688" customWidth="1"/>
    <col min="4" max="4" width="24" style="688" customWidth="1"/>
    <col min="5" max="5" width="28.54296875" style="688" customWidth="1"/>
    <col min="6" max="6" width="24" style="688" customWidth="1"/>
    <col min="7" max="7" width="23.54296875" style="688" customWidth="1"/>
    <col min="8" max="8" width="18.54296875" style="688" customWidth="1"/>
    <col min="9" max="9" width="23.81640625" style="688" customWidth="1"/>
    <col min="10" max="10" width="17.7265625" style="688" customWidth="1"/>
    <col min="11" max="11" width="18.54296875" style="688" customWidth="1"/>
    <col min="12" max="12" width="17.453125" style="688" customWidth="1"/>
    <col min="13" max="16384" width="11.453125" style="688"/>
  </cols>
  <sheetData>
    <row r="1" spans="1:13">
      <c r="J1" s="691"/>
    </row>
    <row r="5" spans="1:13">
      <c r="A5" s="781"/>
      <c r="D5" s="691"/>
      <c r="E5" s="624" t="s">
        <v>739</v>
      </c>
      <c r="F5" s="691"/>
      <c r="G5" s="691"/>
      <c r="I5" s="691"/>
      <c r="J5" s="691"/>
      <c r="K5" s="691"/>
      <c r="L5" s="692"/>
    </row>
    <row r="6" spans="1:13">
      <c r="A6" s="781"/>
      <c r="D6" s="691"/>
      <c r="E6" s="1257" t="s">
        <v>1253</v>
      </c>
      <c r="F6" s="697"/>
      <c r="G6" s="697"/>
      <c r="I6" s="697"/>
      <c r="J6" s="697"/>
      <c r="K6" s="697"/>
      <c r="L6" s="692"/>
    </row>
    <row r="7" spans="1:13">
      <c r="A7" s="781"/>
      <c r="C7" s="695"/>
      <c r="D7" s="695"/>
      <c r="E7" s="629" t="s">
        <v>1551</v>
      </c>
      <c r="F7" s="695"/>
      <c r="G7" s="695"/>
      <c r="I7" s="695"/>
      <c r="J7" s="695"/>
      <c r="K7" s="695"/>
      <c r="L7" s="695"/>
    </row>
    <row r="8" spans="1:13" s="783" customFormat="1">
      <c r="A8" s="782"/>
      <c r="B8" s="688"/>
      <c r="C8" s="688"/>
      <c r="D8" s="688"/>
      <c r="E8" s="708"/>
      <c r="F8" s="708"/>
      <c r="G8" s="708"/>
      <c r="H8" s="688"/>
      <c r="I8" s="695"/>
      <c r="J8" s="695"/>
      <c r="K8" s="695"/>
      <c r="L8" s="695"/>
    </row>
    <row r="9" spans="1:13" s="783" customFormat="1">
      <c r="A9" s="784"/>
      <c r="B9" s="785"/>
      <c r="C9" s="785"/>
      <c r="D9" s="785"/>
      <c r="E9" s="785"/>
      <c r="F9" s="785"/>
      <c r="G9" s="785"/>
      <c r="H9" s="785"/>
      <c r="I9" s="785"/>
      <c r="J9" s="785"/>
      <c r="K9" s="786"/>
      <c r="L9" s="785"/>
    </row>
    <row r="10" spans="1:13" s="783" customFormat="1">
      <c r="A10" s="784"/>
      <c r="B10" s="785"/>
      <c r="C10" s="785"/>
      <c r="D10" s="1865" t="s">
        <v>679</v>
      </c>
      <c r="E10" s="1866"/>
      <c r="F10" s="787"/>
      <c r="G10" s="788" t="s">
        <v>680</v>
      </c>
      <c r="H10" s="787"/>
      <c r="I10" s="789"/>
      <c r="J10" s="789"/>
      <c r="K10" s="790"/>
    </row>
    <row r="11" spans="1:13" s="783" customFormat="1" ht="15.5">
      <c r="A11" s="784">
        <v>1</v>
      </c>
      <c r="B11" s="785" t="s">
        <v>681</v>
      </c>
      <c r="C11" s="785"/>
      <c r="D11" s="1867" t="s">
        <v>682</v>
      </c>
      <c r="E11" s="1868"/>
      <c r="F11" s="791" t="s">
        <v>683</v>
      </c>
      <c r="G11" s="792" t="s">
        <v>684</v>
      </c>
      <c r="H11" s="791" t="s">
        <v>685</v>
      </c>
      <c r="I11" s="793"/>
      <c r="J11" s="793"/>
      <c r="K11" s="794"/>
    </row>
    <row r="12" spans="1:13" s="783" customFormat="1">
      <c r="A12" s="784">
        <v>2</v>
      </c>
      <c r="B12" s="785"/>
      <c r="C12" s="785"/>
      <c r="D12" s="795"/>
      <c r="E12" s="795"/>
      <c r="F12" s="657"/>
      <c r="G12" s="796"/>
      <c r="H12" s="795"/>
      <c r="I12" s="795"/>
      <c r="J12" s="795"/>
      <c r="K12" s="795"/>
    </row>
    <row r="13" spans="1:13" s="783" customFormat="1">
      <c r="B13" s="797" t="s">
        <v>9</v>
      </c>
      <c r="C13" s="797" t="s">
        <v>10</v>
      </c>
      <c r="D13" s="792" t="s">
        <v>11</v>
      </c>
      <c r="E13" s="792" t="s">
        <v>14</v>
      </c>
      <c r="F13" s="788" t="s">
        <v>138</v>
      </c>
      <c r="G13" s="797" t="s">
        <v>139</v>
      </c>
      <c r="H13" s="798" t="s">
        <v>140</v>
      </c>
      <c r="I13" s="798" t="s">
        <v>541</v>
      </c>
      <c r="J13" s="798" t="s">
        <v>469</v>
      </c>
      <c r="K13" s="792" t="s">
        <v>470</v>
      </c>
      <c r="M13" s="800"/>
    </row>
    <row r="14" spans="1:13" s="783" customFormat="1">
      <c r="A14" s="784"/>
      <c r="B14" s="795"/>
      <c r="C14" s="788"/>
      <c r="D14" s="788"/>
      <c r="E14" s="902" t="s">
        <v>686</v>
      </c>
      <c r="F14" s="788"/>
      <c r="G14" s="788"/>
      <c r="H14" s="795"/>
      <c r="I14" s="788"/>
      <c r="J14" s="795"/>
      <c r="K14" s="795"/>
    </row>
    <row r="15" spans="1:13" s="783" customFormat="1">
      <c r="A15" s="784"/>
      <c r="B15" s="795"/>
      <c r="C15" s="788"/>
      <c r="D15" s="798" t="s">
        <v>687</v>
      </c>
      <c r="E15" s="799" t="s">
        <v>44</v>
      </c>
      <c r="F15" s="798" t="s">
        <v>688</v>
      </c>
      <c r="G15" s="798" t="s">
        <v>689</v>
      </c>
      <c r="H15" s="798" t="s">
        <v>690</v>
      </c>
      <c r="I15" s="798"/>
      <c r="J15" s="798" t="s">
        <v>177</v>
      </c>
      <c r="K15" s="798"/>
    </row>
    <row r="16" spans="1:13" s="783" customFormat="1" ht="25.5" customHeight="1">
      <c r="A16" s="784"/>
      <c r="B16" s="1869" t="s">
        <v>1251</v>
      </c>
      <c r="C16" s="1871" t="s">
        <v>1252</v>
      </c>
      <c r="D16" s="798" t="s">
        <v>691</v>
      </c>
      <c r="E16" s="799" t="s">
        <v>43</v>
      </c>
      <c r="F16" s="798" t="s">
        <v>692</v>
      </c>
      <c r="G16" s="798" t="s">
        <v>691</v>
      </c>
      <c r="H16" s="798" t="s">
        <v>693</v>
      </c>
      <c r="I16" s="788" t="s">
        <v>694</v>
      </c>
      <c r="J16" s="798" t="s">
        <v>695</v>
      </c>
      <c r="K16" s="798" t="s">
        <v>696</v>
      </c>
    </row>
    <row r="17" spans="1:11" s="783" customFormat="1" ht="15.5">
      <c r="A17" s="784"/>
      <c r="B17" s="1870"/>
      <c r="C17" s="1872"/>
      <c r="D17" s="792" t="s">
        <v>697</v>
      </c>
      <c r="E17" s="799" t="s">
        <v>684</v>
      </c>
      <c r="F17" s="801" t="s">
        <v>698</v>
      </c>
      <c r="G17" s="798" t="s">
        <v>699</v>
      </c>
      <c r="H17" s="792" t="s">
        <v>700</v>
      </c>
      <c r="I17" s="798" t="s">
        <v>701</v>
      </c>
      <c r="J17" s="792" t="s">
        <v>702</v>
      </c>
      <c r="K17" s="792" t="s">
        <v>703</v>
      </c>
    </row>
    <row r="18" spans="1:11" s="783" customFormat="1">
      <c r="A18" s="784">
        <v>3</v>
      </c>
      <c r="B18" s="795" t="s">
        <v>641</v>
      </c>
      <c r="C18" s="889" t="s">
        <v>641</v>
      </c>
      <c r="D18" s="804"/>
      <c r="E18" s="1258">
        <f t="shared" ref="E18:E27" si="0">IF(D$46=0,0,D18/D$46)</f>
        <v>0</v>
      </c>
      <c r="F18" s="657">
        <f>IF(F$12=0,0,E18*F$12)</f>
        <v>0</v>
      </c>
      <c r="G18" s="1259">
        <f t="shared" ref="G18:G27" si="1">+$E$81*E18</f>
        <v>0</v>
      </c>
      <c r="H18" s="802">
        <f>+G18-F18</f>
        <v>0</v>
      </c>
      <c r="I18" s="1259">
        <v>0</v>
      </c>
      <c r="J18" s="1259" t="e">
        <f>+'6B - True-Up Interest '!G41</f>
        <v>#DIV/0!</v>
      </c>
      <c r="K18" s="803" t="e">
        <f>+H18+J18+I18</f>
        <v>#DIV/0!</v>
      </c>
    </row>
    <row r="19" spans="1:11" s="783" customFormat="1">
      <c r="A19" s="784" t="s">
        <v>704</v>
      </c>
      <c r="B19" s="1619"/>
      <c r="C19" s="759"/>
      <c r="D19" s="804"/>
      <c r="E19" s="808">
        <f t="shared" si="0"/>
        <v>0</v>
      </c>
      <c r="F19" s="657">
        <f t="shared" ref="F19:F27" si="2">IF(F$12=0,0,E19*F$12)</f>
        <v>0</v>
      </c>
      <c r="G19" s="804">
        <f t="shared" si="1"/>
        <v>0</v>
      </c>
      <c r="H19" s="802">
        <f>+G19-F19</f>
        <v>0</v>
      </c>
      <c r="I19" s="804">
        <v>0</v>
      </c>
      <c r="J19" s="804" t="e">
        <f>+'6B - True-Up Interest '!G42</f>
        <v>#DIV/0!</v>
      </c>
      <c r="K19" s="803" t="e">
        <f t="shared" ref="K19:K27" si="3">+H19+J19+I19</f>
        <v>#DIV/0!</v>
      </c>
    </row>
    <row r="20" spans="1:11" s="783" customFormat="1">
      <c r="A20" s="784" t="s">
        <v>705</v>
      </c>
      <c r="B20" s="1619"/>
      <c r="C20" s="759"/>
      <c r="D20" s="804"/>
      <c r="E20" s="808">
        <f t="shared" si="0"/>
        <v>0</v>
      </c>
      <c r="F20" s="657">
        <f t="shared" si="2"/>
        <v>0</v>
      </c>
      <c r="G20" s="804">
        <f t="shared" si="1"/>
        <v>0</v>
      </c>
      <c r="H20" s="802">
        <f t="shared" ref="H20:H27" si="4">+G20-F20</f>
        <v>0</v>
      </c>
      <c r="I20" s="804">
        <v>0</v>
      </c>
      <c r="J20" s="804" t="e">
        <f>+'6B - True-Up Interest '!G43</f>
        <v>#DIV/0!</v>
      </c>
      <c r="K20" s="803" t="e">
        <f t="shared" si="3"/>
        <v>#DIV/0!</v>
      </c>
    </row>
    <row r="21" spans="1:11" s="783" customFormat="1">
      <c r="A21" s="784" t="s">
        <v>706</v>
      </c>
      <c r="B21" s="1619"/>
      <c r="C21" s="759"/>
      <c r="D21" s="804"/>
      <c r="E21" s="808">
        <f t="shared" si="0"/>
        <v>0</v>
      </c>
      <c r="F21" s="657">
        <f t="shared" si="2"/>
        <v>0</v>
      </c>
      <c r="G21" s="804">
        <f t="shared" si="1"/>
        <v>0</v>
      </c>
      <c r="H21" s="802">
        <f t="shared" si="4"/>
        <v>0</v>
      </c>
      <c r="I21" s="804">
        <v>0</v>
      </c>
      <c r="J21" s="804" t="e">
        <f>+'6B - True-Up Interest '!G44</f>
        <v>#DIV/0!</v>
      </c>
      <c r="K21" s="803" t="e">
        <f t="shared" si="3"/>
        <v>#DIV/0!</v>
      </c>
    </row>
    <row r="22" spans="1:11" s="783" customFormat="1">
      <c r="A22" s="784" t="s">
        <v>707</v>
      </c>
      <c r="B22" s="1619"/>
      <c r="C22" s="759"/>
      <c r="D22" s="804"/>
      <c r="E22" s="808">
        <f t="shared" si="0"/>
        <v>0</v>
      </c>
      <c r="F22" s="657">
        <f t="shared" si="2"/>
        <v>0</v>
      </c>
      <c r="G22" s="804">
        <f t="shared" si="1"/>
        <v>0</v>
      </c>
      <c r="H22" s="802">
        <f t="shared" si="4"/>
        <v>0</v>
      </c>
      <c r="I22" s="804">
        <v>0</v>
      </c>
      <c r="J22" s="804" t="e">
        <f>+'6B - True-Up Interest '!G45</f>
        <v>#DIV/0!</v>
      </c>
      <c r="K22" s="803" t="e">
        <f t="shared" si="3"/>
        <v>#DIV/0!</v>
      </c>
    </row>
    <row r="23" spans="1:11">
      <c r="A23" s="784" t="s">
        <v>708</v>
      </c>
      <c r="B23" s="1619"/>
      <c r="C23" s="759"/>
      <c r="D23" s="804"/>
      <c r="E23" s="808">
        <f t="shared" si="0"/>
        <v>0</v>
      </c>
      <c r="F23" s="657">
        <f t="shared" si="2"/>
        <v>0</v>
      </c>
      <c r="G23" s="804">
        <f t="shared" si="1"/>
        <v>0</v>
      </c>
      <c r="H23" s="802">
        <f t="shared" si="4"/>
        <v>0</v>
      </c>
      <c r="I23" s="804">
        <v>0</v>
      </c>
      <c r="J23" s="804" t="e">
        <f>+'6B - True-Up Interest '!G46</f>
        <v>#DIV/0!</v>
      </c>
      <c r="K23" s="803" t="e">
        <f t="shared" si="3"/>
        <v>#DIV/0!</v>
      </c>
    </row>
    <row r="24" spans="1:11">
      <c r="A24" s="784" t="s">
        <v>709</v>
      </c>
      <c r="B24" s="1619"/>
      <c r="C24" s="759"/>
      <c r="D24" s="804"/>
      <c r="E24" s="808">
        <f t="shared" si="0"/>
        <v>0</v>
      </c>
      <c r="F24" s="657">
        <f t="shared" si="2"/>
        <v>0</v>
      </c>
      <c r="G24" s="804">
        <f t="shared" si="1"/>
        <v>0</v>
      </c>
      <c r="H24" s="802">
        <f t="shared" si="4"/>
        <v>0</v>
      </c>
      <c r="I24" s="804">
        <v>0</v>
      </c>
      <c r="J24" s="804" t="e">
        <f>+'6B - True-Up Interest '!G47</f>
        <v>#DIV/0!</v>
      </c>
      <c r="K24" s="803" t="e">
        <f t="shared" si="3"/>
        <v>#DIV/0!</v>
      </c>
    </row>
    <row r="25" spans="1:11">
      <c r="A25" s="784" t="s">
        <v>710</v>
      </c>
      <c r="B25" s="1619"/>
      <c r="C25" s="759"/>
      <c r="D25" s="804"/>
      <c r="E25" s="808">
        <f t="shared" si="0"/>
        <v>0</v>
      </c>
      <c r="F25" s="657">
        <f t="shared" si="2"/>
        <v>0</v>
      </c>
      <c r="G25" s="804">
        <f t="shared" si="1"/>
        <v>0</v>
      </c>
      <c r="H25" s="802">
        <f t="shared" si="4"/>
        <v>0</v>
      </c>
      <c r="I25" s="804">
        <v>0</v>
      </c>
      <c r="J25" s="804" t="e">
        <f>+'6B - True-Up Interest '!G48</f>
        <v>#DIV/0!</v>
      </c>
      <c r="K25" s="803" t="e">
        <f t="shared" si="3"/>
        <v>#DIV/0!</v>
      </c>
    </row>
    <row r="26" spans="1:11" ht="12.75" customHeight="1">
      <c r="A26" s="784" t="s">
        <v>711</v>
      </c>
      <c r="B26" s="1619"/>
      <c r="C26" s="759"/>
      <c r="D26" s="804"/>
      <c r="E26" s="808">
        <f t="shared" si="0"/>
        <v>0</v>
      </c>
      <c r="F26" s="657">
        <f t="shared" si="2"/>
        <v>0</v>
      </c>
      <c r="G26" s="804">
        <f t="shared" si="1"/>
        <v>0</v>
      </c>
      <c r="H26" s="802">
        <f t="shared" si="4"/>
        <v>0</v>
      </c>
      <c r="I26" s="804">
        <v>0</v>
      </c>
      <c r="J26" s="804" t="e">
        <f>+'6B - True-Up Interest '!G49</f>
        <v>#DIV/0!</v>
      </c>
      <c r="K26" s="803" t="e">
        <f t="shared" si="3"/>
        <v>#DIV/0!</v>
      </c>
    </row>
    <row r="27" spans="1:11">
      <c r="A27" s="784" t="s">
        <v>712</v>
      </c>
      <c r="B27" s="1619"/>
      <c r="C27" s="759"/>
      <c r="D27" s="804"/>
      <c r="E27" s="808">
        <f t="shared" si="0"/>
        <v>0</v>
      </c>
      <c r="F27" s="657">
        <f t="shared" si="2"/>
        <v>0</v>
      </c>
      <c r="G27" s="804">
        <f t="shared" si="1"/>
        <v>0</v>
      </c>
      <c r="H27" s="802">
        <f t="shared" si="4"/>
        <v>0</v>
      </c>
      <c r="I27" s="804">
        <v>0</v>
      </c>
      <c r="J27" s="804" t="e">
        <f>+'6B - True-Up Interest '!G50</f>
        <v>#DIV/0!</v>
      </c>
      <c r="K27" s="803" t="e">
        <f t="shared" si="3"/>
        <v>#DIV/0!</v>
      </c>
    </row>
    <row r="28" spans="1:11">
      <c r="A28" s="784" t="s">
        <v>713</v>
      </c>
      <c r="B28" s="890"/>
      <c r="C28" s="759"/>
      <c r="D28" s="804"/>
      <c r="E28" s="808"/>
      <c r="F28" s="657"/>
      <c r="G28" s="804"/>
      <c r="H28" s="802"/>
      <c r="I28" s="804"/>
      <c r="J28" s="804"/>
      <c r="K28" s="803"/>
    </row>
    <row r="29" spans="1:11">
      <c r="A29" s="784" t="s">
        <v>714</v>
      </c>
      <c r="B29" s="890"/>
      <c r="C29" s="759"/>
      <c r="D29" s="804"/>
      <c r="E29" s="808"/>
      <c r="F29" s="657"/>
      <c r="G29" s="804"/>
      <c r="H29" s="802"/>
      <c r="I29" s="804"/>
      <c r="J29" s="804"/>
      <c r="K29" s="803"/>
    </row>
    <row r="30" spans="1:11">
      <c r="A30" s="784" t="s">
        <v>715</v>
      </c>
      <c r="B30" s="890"/>
      <c r="C30" s="759"/>
      <c r="D30" s="804"/>
      <c r="E30" s="808"/>
      <c r="F30" s="657"/>
      <c r="G30" s="804"/>
      <c r="H30" s="802"/>
      <c r="I30" s="804"/>
      <c r="J30" s="804"/>
      <c r="K30" s="803"/>
    </row>
    <row r="31" spans="1:11">
      <c r="A31" s="784" t="s">
        <v>716</v>
      </c>
      <c r="B31" s="890"/>
      <c r="C31" s="759"/>
      <c r="D31" s="804"/>
      <c r="E31" s="808"/>
      <c r="F31" s="657"/>
      <c r="G31" s="804"/>
      <c r="H31" s="802"/>
      <c r="I31" s="804"/>
      <c r="J31" s="804"/>
      <c r="K31" s="803"/>
    </row>
    <row r="32" spans="1:11">
      <c r="A32" s="784" t="s">
        <v>717</v>
      </c>
      <c r="B32" s="890"/>
      <c r="C32" s="759"/>
      <c r="D32" s="804"/>
      <c r="E32" s="808"/>
      <c r="F32" s="657"/>
      <c r="G32" s="804"/>
      <c r="H32" s="802"/>
      <c r="I32" s="804"/>
      <c r="J32" s="804"/>
      <c r="K32" s="803"/>
    </row>
    <row r="33" spans="1:11">
      <c r="A33" s="784" t="s">
        <v>718</v>
      </c>
      <c r="B33" s="890"/>
      <c r="C33" s="759"/>
      <c r="D33" s="804"/>
      <c r="E33" s="808"/>
      <c r="F33" s="657"/>
      <c r="G33" s="804"/>
      <c r="H33" s="802"/>
      <c r="I33" s="804"/>
      <c r="J33" s="804"/>
      <c r="K33" s="803"/>
    </row>
    <row r="34" spans="1:11">
      <c r="A34" s="784" t="s">
        <v>719</v>
      </c>
      <c r="B34" s="890"/>
      <c r="C34" s="759"/>
      <c r="D34" s="804"/>
      <c r="E34" s="808"/>
      <c r="F34" s="657"/>
      <c r="G34" s="804"/>
      <c r="H34" s="802"/>
      <c r="I34" s="804"/>
      <c r="J34" s="804"/>
      <c r="K34" s="803"/>
    </row>
    <row r="35" spans="1:11">
      <c r="A35" s="784" t="s">
        <v>720</v>
      </c>
      <c r="B35" s="890"/>
      <c r="C35" s="759"/>
      <c r="D35" s="804"/>
      <c r="E35" s="808"/>
      <c r="F35" s="657"/>
      <c r="G35" s="804"/>
      <c r="H35" s="802"/>
      <c r="I35" s="804"/>
      <c r="J35" s="804"/>
      <c r="K35" s="803"/>
    </row>
    <row r="36" spans="1:11">
      <c r="A36" s="784" t="s">
        <v>721</v>
      </c>
      <c r="B36" s="890"/>
      <c r="C36" s="759"/>
      <c r="D36" s="804"/>
      <c r="E36" s="808"/>
      <c r="F36" s="657"/>
      <c r="G36" s="804"/>
      <c r="H36" s="802"/>
      <c r="I36" s="804"/>
      <c r="J36" s="804"/>
      <c r="K36" s="803"/>
    </row>
    <row r="37" spans="1:11">
      <c r="A37" s="784" t="s">
        <v>722</v>
      </c>
      <c r="B37" s="890"/>
      <c r="C37" s="759"/>
      <c r="D37" s="804"/>
      <c r="E37" s="808"/>
      <c r="F37" s="657"/>
      <c r="G37" s="804"/>
      <c r="H37" s="802"/>
      <c r="I37" s="804"/>
      <c r="J37" s="804"/>
      <c r="K37" s="803"/>
    </row>
    <row r="38" spans="1:11">
      <c r="A38" s="784" t="s">
        <v>723</v>
      </c>
      <c r="B38" s="890"/>
      <c r="C38" s="759"/>
      <c r="D38" s="804"/>
      <c r="E38" s="808"/>
      <c r="F38" s="657"/>
      <c r="G38" s="804"/>
      <c r="H38" s="802"/>
      <c r="I38" s="804"/>
      <c r="J38" s="804"/>
      <c r="K38" s="803"/>
    </row>
    <row r="39" spans="1:11">
      <c r="A39" s="784" t="s">
        <v>724</v>
      </c>
      <c r="B39" s="890"/>
      <c r="C39" s="759"/>
      <c r="D39" s="804"/>
      <c r="E39" s="808"/>
      <c r="F39" s="657"/>
      <c r="G39" s="804"/>
      <c r="H39" s="802"/>
      <c r="I39" s="804"/>
      <c r="J39" s="804"/>
      <c r="K39" s="803"/>
    </row>
    <row r="40" spans="1:11">
      <c r="A40" s="784" t="s">
        <v>725</v>
      </c>
      <c r="B40" s="890"/>
      <c r="C40" s="759"/>
      <c r="D40" s="805"/>
      <c r="E40" s="808"/>
      <c r="F40" s="657"/>
      <c r="G40" s="804"/>
      <c r="H40" s="802"/>
      <c r="I40" s="804"/>
      <c r="J40" s="804"/>
      <c r="K40" s="803"/>
    </row>
    <row r="41" spans="1:11">
      <c r="A41" s="784" t="s">
        <v>726</v>
      </c>
      <c r="B41" s="806"/>
      <c r="C41" s="891"/>
      <c r="D41" s="805"/>
      <c r="E41" s="808"/>
      <c r="F41" s="807"/>
      <c r="G41" s="804"/>
      <c r="H41" s="802"/>
      <c r="I41" s="804"/>
      <c r="J41" s="804"/>
      <c r="K41" s="803"/>
    </row>
    <row r="42" spans="1:11" ht="13.5" customHeight="1">
      <c r="A42" s="784" t="s">
        <v>727</v>
      </c>
      <c r="B42" s="806"/>
      <c r="C42" s="891"/>
      <c r="D42" s="805"/>
      <c r="E42" s="808"/>
      <c r="F42" s="807"/>
      <c r="G42" s="805"/>
      <c r="H42" s="808"/>
      <c r="I42" s="805"/>
      <c r="J42" s="805"/>
      <c r="K42" s="809"/>
    </row>
    <row r="43" spans="1:11" ht="13.5" customHeight="1">
      <c r="A43" s="784"/>
      <c r="B43" s="806"/>
      <c r="C43" s="891"/>
      <c r="D43" s="805"/>
      <c r="E43" s="808"/>
      <c r="F43" s="807"/>
      <c r="G43" s="805"/>
      <c r="H43" s="808"/>
      <c r="I43" s="805"/>
      <c r="J43" s="805"/>
      <c r="K43" s="809"/>
    </row>
    <row r="44" spans="1:11">
      <c r="A44" s="784"/>
      <c r="B44" s="806"/>
      <c r="C44" s="891"/>
      <c r="D44" s="805"/>
      <c r="E44" s="808"/>
      <c r="F44" s="807"/>
      <c r="G44" s="805"/>
      <c r="H44" s="808"/>
      <c r="I44" s="805"/>
      <c r="J44" s="805"/>
      <c r="K44" s="809"/>
    </row>
    <row r="45" spans="1:11">
      <c r="A45" s="784"/>
      <c r="B45" s="810"/>
      <c r="C45" s="811"/>
      <c r="D45" s="812"/>
      <c r="E45" s="892"/>
      <c r="F45" s="811"/>
      <c r="G45" s="812"/>
      <c r="H45" s="813"/>
      <c r="I45" s="810"/>
      <c r="J45" s="810"/>
      <c r="K45" s="810"/>
    </row>
    <row r="46" spans="1:11">
      <c r="A46" s="784">
        <v>4</v>
      </c>
      <c r="B46" s="785" t="s">
        <v>728</v>
      </c>
      <c r="C46" s="785"/>
      <c r="D46" s="814">
        <f>SUM(D18:D45)</f>
        <v>0</v>
      </c>
      <c r="E46" s="893">
        <f>SUM(E18:E45)</f>
        <v>0</v>
      </c>
      <c r="F46" s="814">
        <f>SUM(F18:F45)</f>
        <v>0</v>
      </c>
      <c r="G46" s="814">
        <f>SUM(G18:G45)</f>
        <v>0</v>
      </c>
      <c r="H46" s="814">
        <f>SUM(H18:H45)</f>
        <v>0</v>
      </c>
      <c r="I46" s="815"/>
      <c r="J46" s="814" t="e">
        <f>SUM(J18:J45)</f>
        <v>#DIV/0!</v>
      </c>
      <c r="K46" s="814" t="e">
        <f>SUM(K18:K45)</f>
        <v>#DIV/0!</v>
      </c>
    </row>
    <row r="47" spans="1:11">
      <c r="A47" s="784"/>
      <c r="B47" s="785"/>
      <c r="C47" s="785"/>
      <c r="D47" s="815"/>
      <c r="E47" s="815"/>
      <c r="F47" s="815"/>
      <c r="G47" s="815"/>
      <c r="H47" s="815"/>
      <c r="I47" s="815"/>
      <c r="J47" s="815"/>
      <c r="K47" s="815"/>
    </row>
    <row r="48" spans="1:11">
      <c r="A48" s="784"/>
      <c r="B48" s="785"/>
      <c r="C48" s="785"/>
      <c r="D48" s="815"/>
      <c r="E48" s="815"/>
      <c r="F48" s="815"/>
      <c r="G48" s="815" t="s">
        <v>729</v>
      </c>
      <c r="H48" s="815"/>
      <c r="I48" s="815"/>
      <c r="J48" s="816" t="e">
        <f>'6B - True-Up Interest '!E26</f>
        <v>#DIV/0!</v>
      </c>
      <c r="K48" s="815"/>
    </row>
    <row r="49" spans="1:12">
      <c r="A49" s="784"/>
      <c r="B49" s="785"/>
      <c r="C49" s="785"/>
      <c r="D49" s="815"/>
      <c r="E49" s="815"/>
      <c r="F49" s="815"/>
      <c r="G49" s="815" t="s">
        <v>730</v>
      </c>
      <c r="H49" s="815"/>
      <c r="I49" s="815"/>
      <c r="J49" s="814" t="e">
        <f>+J46</f>
        <v>#DIV/0!</v>
      </c>
      <c r="K49" s="815"/>
    </row>
    <row r="50" spans="1:12">
      <c r="A50" s="784"/>
      <c r="B50" s="785" t="s">
        <v>537</v>
      </c>
      <c r="C50" s="785"/>
      <c r="D50" s="785"/>
      <c r="E50" s="785"/>
      <c r="F50" s="785"/>
      <c r="G50" s="785"/>
      <c r="H50" s="785"/>
      <c r="I50" s="785"/>
      <c r="J50" s="785"/>
      <c r="K50" s="785"/>
      <c r="L50" s="785"/>
    </row>
    <row r="51" spans="1:12">
      <c r="A51" s="784"/>
      <c r="B51" s="785" t="s">
        <v>853</v>
      </c>
      <c r="C51" s="785"/>
      <c r="D51" s="785"/>
      <c r="E51" s="785"/>
      <c r="F51" s="785"/>
      <c r="G51" s="785"/>
      <c r="H51" s="785"/>
      <c r="I51" s="785"/>
      <c r="J51" s="785"/>
      <c r="K51" s="785"/>
      <c r="L51" s="785"/>
    </row>
    <row r="52" spans="1:12">
      <c r="A52" s="784"/>
      <c r="B52" s="785" t="s">
        <v>854</v>
      </c>
      <c r="C52" s="785"/>
      <c r="D52" s="785"/>
      <c r="E52" s="785"/>
      <c r="F52" s="785"/>
      <c r="G52" s="785"/>
      <c r="H52" s="785"/>
      <c r="I52" s="785"/>
      <c r="J52" s="785"/>
      <c r="K52" s="785"/>
      <c r="L52" s="785"/>
    </row>
    <row r="53" spans="1:12">
      <c r="A53" s="784"/>
      <c r="B53" s="785" t="s">
        <v>731</v>
      </c>
      <c r="C53" s="785"/>
      <c r="D53" s="785"/>
      <c r="E53" s="785"/>
      <c r="F53" s="785"/>
      <c r="G53" s="785"/>
      <c r="H53" s="785"/>
      <c r="I53" s="785"/>
      <c r="J53" s="785"/>
      <c r="K53" s="785"/>
      <c r="L53" s="785"/>
    </row>
    <row r="54" spans="1:12">
      <c r="A54" s="784"/>
      <c r="B54" s="688" t="s">
        <v>732</v>
      </c>
      <c r="C54" s="785"/>
      <c r="D54" s="785"/>
      <c r="E54" s="785"/>
      <c r="F54" s="785"/>
      <c r="G54" s="785"/>
      <c r="H54" s="785"/>
      <c r="I54" s="785"/>
      <c r="J54" s="785"/>
      <c r="K54" s="785"/>
      <c r="L54" s="785"/>
    </row>
    <row r="55" spans="1:12">
      <c r="A55" s="784"/>
      <c r="B55" s="688" t="s">
        <v>733</v>
      </c>
      <c r="C55" s="785"/>
      <c r="D55" s="785"/>
      <c r="E55" s="785"/>
      <c r="F55" s="785"/>
      <c r="G55" s="785"/>
      <c r="H55" s="785"/>
      <c r="I55" s="785"/>
      <c r="J55" s="785"/>
      <c r="K55" s="785"/>
      <c r="L55" s="785"/>
    </row>
    <row r="56" spans="1:12">
      <c r="A56" s="784"/>
      <c r="B56" s="785" t="s">
        <v>734</v>
      </c>
      <c r="C56" s="785"/>
      <c r="D56" s="785"/>
      <c r="E56" s="785"/>
      <c r="F56" s="785"/>
      <c r="G56" s="785"/>
      <c r="H56" s="785"/>
      <c r="I56" s="785"/>
      <c r="J56" s="785"/>
      <c r="K56" s="785"/>
      <c r="L56" s="785"/>
    </row>
    <row r="57" spans="1:12">
      <c r="A57" s="784"/>
      <c r="B57" s="817" t="s">
        <v>735</v>
      </c>
      <c r="C57" s="785"/>
      <c r="D57" s="785"/>
      <c r="E57" s="785"/>
      <c r="F57" s="785"/>
      <c r="G57" s="785"/>
      <c r="H57" s="785"/>
      <c r="I57" s="785"/>
      <c r="J57" s="785"/>
      <c r="K57" s="785"/>
      <c r="L57" s="785"/>
    </row>
    <row r="58" spans="1:12">
      <c r="A58" s="784"/>
      <c r="J58" s="785"/>
      <c r="K58" s="785"/>
      <c r="L58" s="785"/>
    </row>
    <row r="59" spans="1:12">
      <c r="A59" s="784"/>
      <c r="C59" s="785"/>
      <c r="D59" s="785"/>
      <c r="E59" s="785"/>
      <c r="F59" s="785"/>
      <c r="G59" s="785"/>
      <c r="H59" s="785"/>
      <c r="I59" s="785"/>
      <c r="J59" s="785"/>
      <c r="K59" s="785"/>
      <c r="L59" s="785"/>
    </row>
    <row r="60" spans="1:12">
      <c r="A60" s="784"/>
      <c r="C60" s="785"/>
      <c r="D60" s="785"/>
      <c r="E60" s="785"/>
      <c r="F60" s="785"/>
      <c r="G60" s="785"/>
      <c r="H60" s="785"/>
      <c r="I60" s="785"/>
      <c r="J60" s="785"/>
      <c r="K60" s="785"/>
      <c r="L60" s="785"/>
    </row>
    <row r="61" spans="1:12">
      <c r="A61" s="784"/>
      <c r="B61" s="818"/>
      <c r="C61" s="818"/>
      <c r="D61" s="819"/>
      <c r="E61" s="819"/>
      <c r="F61" s="819"/>
      <c r="G61" s="819"/>
      <c r="H61" s="819"/>
      <c r="I61" s="818"/>
      <c r="J61" s="818"/>
    </row>
    <row r="62" spans="1:12">
      <c r="A62" s="820" t="s">
        <v>736</v>
      </c>
      <c r="C62" s="818"/>
      <c r="D62" s="819"/>
      <c r="E62" s="819"/>
      <c r="F62" s="819"/>
      <c r="G62" s="819"/>
      <c r="H62" s="819"/>
      <c r="I62" s="818"/>
      <c r="J62" s="818"/>
    </row>
    <row r="63" spans="1:12">
      <c r="A63" s="784"/>
      <c r="B63" s="720" t="s">
        <v>510</v>
      </c>
      <c r="C63" s="821" t="s">
        <v>511</v>
      </c>
      <c r="D63" s="822" t="s">
        <v>512</v>
      </c>
      <c r="E63" s="822" t="s">
        <v>513</v>
      </c>
      <c r="F63" s="720"/>
      <c r="J63" s="818"/>
    </row>
    <row r="64" spans="1:12">
      <c r="A64" s="784"/>
      <c r="B64" s="823" t="str">
        <f>+A62</f>
        <v>Prior Period Adjustments</v>
      </c>
      <c r="C64" s="824" t="s">
        <v>109</v>
      </c>
      <c r="D64" s="824" t="s">
        <v>177</v>
      </c>
      <c r="E64" s="824" t="s">
        <v>44</v>
      </c>
      <c r="J64" s="818"/>
    </row>
    <row r="65" spans="1:10">
      <c r="A65" s="784"/>
      <c r="B65" s="825" t="s">
        <v>321</v>
      </c>
      <c r="C65" s="826" t="s">
        <v>737</v>
      </c>
      <c r="D65" s="825" t="s">
        <v>321</v>
      </c>
      <c r="E65" s="826" t="s">
        <v>738</v>
      </c>
      <c r="J65" s="818"/>
    </row>
    <row r="66" spans="1:10">
      <c r="A66" s="784" t="s">
        <v>583</v>
      </c>
      <c r="B66" s="827"/>
      <c r="C66" s="828">
        <f>SUM(I36:I38)</f>
        <v>0</v>
      </c>
      <c r="D66" s="828">
        <f>SUM(J36:J38)</f>
        <v>0</v>
      </c>
      <c r="E66" s="828">
        <f>+C66+D66</f>
        <v>0</v>
      </c>
      <c r="J66" s="818"/>
    </row>
    <row r="67" spans="1:10">
      <c r="A67" s="784"/>
      <c r="B67" s="829"/>
      <c r="C67" s="771"/>
      <c r="D67" s="771"/>
      <c r="E67" s="772"/>
      <c r="J67" s="818"/>
    </row>
    <row r="68" spans="1:10">
      <c r="A68" s="784"/>
      <c r="B68" s="720"/>
      <c r="E68" s="690"/>
      <c r="J68" s="818"/>
    </row>
    <row r="69" spans="1:10">
      <c r="A69" s="784"/>
      <c r="B69" s="720"/>
      <c r="E69" s="690"/>
      <c r="J69" s="818"/>
    </row>
    <row r="70" spans="1:10">
      <c r="A70" s="784"/>
      <c r="C70" s="818"/>
      <c r="D70" s="818"/>
      <c r="E70" s="818"/>
      <c r="F70" s="818"/>
      <c r="G70" s="818"/>
      <c r="H70" s="830"/>
      <c r="J70" s="818"/>
    </row>
    <row r="71" spans="1:10">
      <c r="A71" s="784">
        <v>6</v>
      </c>
      <c r="B71" s="219" t="s">
        <v>1011</v>
      </c>
      <c r="C71" s="217"/>
      <c r="D71" s="217"/>
      <c r="E71" s="217"/>
      <c r="F71" s="217"/>
      <c r="G71" s="818"/>
      <c r="H71" s="830"/>
      <c r="J71" s="818"/>
    </row>
    <row r="72" spans="1:10">
      <c r="A72" s="784"/>
      <c r="B72" s="219"/>
      <c r="C72" s="217"/>
      <c r="D72" s="217"/>
      <c r="E72" s="217"/>
      <c r="F72" s="217"/>
      <c r="G72" s="818"/>
      <c r="H72" s="830"/>
      <c r="J72" s="818"/>
    </row>
    <row r="73" spans="1:10" ht="14.5">
      <c r="A73" s="784">
        <v>7</v>
      </c>
      <c r="B73" s="219"/>
      <c r="C73" s="216" t="s">
        <v>174</v>
      </c>
      <c r="D73" s="216" t="s">
        <v>175</v>
      </c>
      <c r="E73" s="216" t="s">
        <v>176</v>
      </c>
      <c r="F73"/>
      <c r="G73"/>
      <c r="H73" s="830"/>
      <c r="J73" s="818"/>
    </row>
    <row r="74" spans="1:10" ht="14.5">
      <c r="A74" s="784">
        <v>8</v>
      </c>
      <c r="B74" s="211"/>
      <c r="C74" s="1148" t="s">
        <v>1092</v>
      </c>
      <c r="D74" s="212" t="s">
        <v>567</v>
      </c>
      <c r="E74" s="212" t="s">
        <v>770</v>
      </c>
      <c r="F74"/>
      <c r="G74"/>
      <c r="H74"/>
      <c r="I74"/>
      <c r="J74"/>
    </row>
    <row r="75" spans="1:10" ht="14.5">
      <c r="A75" s="784">
        <v>9</v>
      </c>
      <c r="B75" s="214" t="s">
        <v>565</v>
      </c>
      <c r="C75" s="942"/>
      <c r="D75" s="942"/>
      <c r="E75" s="939">
        <f>+C75-D75</f>
        <v>0</v>
      </c>
      <c r="F75"/>
      <c r="G75"/>
      <c r="H75"/>
      <c r="I75"/>
      <c r="J75"/>
    </row>
    <row r="76" spans="1:10" ht="14.5">
      <c r="A76" s="784">
        <v>10</v>
      </c>
      <c r="B76" s="214" t="s">
        <v>566</v>
      </c>
      <c r="C76" s="942"/>
      <c r="D76" s="942"/>
      <c r="E76" s="939">
        <f>+C76-D76</f>
        <v>0</v>
      </c>
      <c r="F76"/>
      <c r="G76"/>
      <c r="H76"/>
      <c r="I76"/>
      <c r="J76"/>
    </row>
    <row r="77" spans="1:10" ht="14.5">
      <c r="A77" s="784">
        <v>11</v>
      </c>
      <c r="B77" s="214"/>
      <c r="C77" s="217"/>
      <c r="D77" s="217"/>
      <c r="E77" s="939">
        <f>SUM(E75:E76)</f>
        <v>0</v>
      </c>
      <c r="F77" s="213"/>
      <c r="G77"/>
      <c r="H77"/>
      <c r="I77"/>
      <c r="J77"/>
    </row>
    <row r="78" spans="1:10" ht="14.5">
      <c r="A78" s="784"/>
      <c r="B78" s="214"/>
      <c r="C78" s="217"/>
      <c r="D78" s="217"/>
      <c r="E78" s="213"/>
      <c r="F78" s="213"/>
      <c r="G78"/>
      <c r="H78"/>
      <c r="I78"/>
      <c r="J78"/>
    </row>
    <row r="79" spans="1:10" ht="14.5">
      <c r="A79" s="784">
        <v>12</v>
      </c>
      <c r="B79" s="219" t="s">
        <v>1010</v>
      </c>
      <c r="C79" s="217"/>
      <c r="D79" s="217"/>
      <c r="E79" s="213"/>
      <c r="F79" s="213"/>
      <c r="G79"/>
      <c r="H79"/>
      <c r="I79"/>
      <c r="J79"/>
    </row>
    <row r="80" spans="1:10" ht="14.5">
      <c r="A80" s="784"/>
      <c r="B80" s="215"/>
      <c r="C80" s="217"/>
      <c r="D80" s="217"/>
      <c r="E80" s="213"/>
      <c r="F80" s="213"/>
      <c r="G80"/>
      <c r="H80"/>
      <c r="I80"/>
      <c r="J80"/>
    </row>
    <row r="81" spans="1:10" ht="14.5">
      <c r="A81" s="784">
        <v>13</v>
      </c>
      <c r="B81" s="214" t="s">
        <v>771</v>
      </c>
      <c r="C81" s="942"/>
      <c r="D81" s="942"/>
      <c r="E81" s="938">
        <f>+C81-D81</f>
        <v>0</v>
      </c>
      <c r="F81" s="818"/>
      <c r="G81"/>
      <c r="H81"/>
      <c r="I81"/>
      <c r="J81"/>
    </row>
    <row r="82" spans="1:10" ht="14.5">
      <c r="A82" s="784"/>
      <c r="C82" s="818"/>
      <c r="D82" s="818"/>
      <c r="E82" s="818"/>
      <c r="F82" s="818"/>
      <c r="G82"/>
      <c r="H82"/>
      <c r="I82"/>
      <c r="J82"/>
    </row>
    <row r="83" spans="1:10" ht="14.5">
      <c r="A83" s="784"/>
      <c r="C83" s="818"/>
      <c r="D83" s="818"/>
      <c r="E83" s="818"/>
      <c r="F83" s="818"/>
      <c r="G83"/>
      <c r="H83"/>
      <c r="I83"/>
      <c r="J83"/>
    </row>
    <row r="84" spans="1:10" ht="66" customHeight="1">
      <c r="A84" s="784"/>
      <c r="C84" s="779"/>
      <c r="D84" s="831"/>
      <c r="E84" s="831"/>
      <c r="F84" s="831"/>
      <c r="G84" s="964"/>
      <c r="H84" s="831"/>
      <c r="I84" s="831"/>
      <c r="J84" s="818"/>
    </row>
    <row r="85" spans="1:10" ht="56.25" customHeight="1">
      <c r="A85" s="832" t="s">
        <v>537</v>
      </c>
      <c r="B85" s="778" t="s">
        <v>9</v>
      </c>
      <c r="C85" s="1873" t="s">
        <v>1774</v>
      </c>
      <c r="D85" s="1873"/>
      <c r="E85" s="1873"/>
      <c r="F85" s="1873"/>
      <c r="G85" s="1873"/>
      <c r="H85" s="1873"/>
      <c r="I85" s="1873"/>
      <c r="J85" s="1873"/>
    </row>
    <row r="86" spans="1:10" ht="27" customHeight="1">
      <c r="A86" s="784"/>
      <c r="B86" s="833" t="s">
        <v>10</v>
      </c>
      <c r="C86" s="1864" t="s">
        <v>1257</v>
      </c>
      <c r="D86" s="1864"/>
      <c r="E86" s="1864"/>
      <c r="F86" s="1864"/>
      <c r="G86" s="1864"/>
      <c r="H86" s="1864"/>
      <c r="I86" s="1864"/>
      <c r="J86" s="1260"/>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38" zoomScaleNormal="100" workbookViewId="0">
      <selection activeCell="J140" sqref="J140:L140"/>
    </sheetView>
  </sheetViews>
  <sheetFormatPr defaultColWidth="11.453125" defaultRowHeight="13"/>
  <cols>
    <col min="1" max="1" width="5.1796875" style="834" customWidth="1"/>
    <col min="2" max="2" width="47.81640625" style="834" customWidth="1"/>
    <col min="3" max="3" width="24.26953125" style="834" customWidth="1"/>
    <col min="4" max="4" width="22.1796875" style="834" customWidth="1"/>
    <col min="5" max="5" width="12.1796875" style="834" customWidth="1"/>
    <col min="6" max="6" width="10" style="834" customWidth="1"/>
    <col min="7" max="7" width="16.54296875" style="834" customWidth="1"/>
    <col min="8" max="16" width="10" style="834" customWidth="1"/>
    <col min="17" max="17" width="13.7265625" style="834" bestFit="1" customWidth="1"/>
    <col min="18" max="16384" width="11.453125" style="834"/>
  </cols>
  <sheetData>
    <row r="1" spans="1:27">
      <c r="E1" s="624" t="s">
        <v>740</v>
      </c>
      <c r="I1" s="835"/>
      <c r="P1" s="971"/>
    </row>
    <row r="2" spans="1:27">
      <c r="E2" s="836" t="s">
        <v>745</v>
      </c>
      <c r="I2" s="971"/>
    </row>
    <row r="3" spans="1:27">
      <c r="E3" s="629" t="s">
        <v>1551</v>
      </c>
    </row>
    <row r="4" spans="1:27">
      <c r="I4" s="629"/>
    </row>
    <row r="5" spans="1:27">
      <c r="F5" s="837"/>
      <c r="G5" s="837"/>
      <c r="H5" s="837"/>
      <c r="I5" s="629"/>
    </row>
    <row r="6" spans="1:27" ht="15.5">
      <c r="E6" s="838" t="s">
        <v>746</v>
      </c>
      <c r="F6" s="839"/>
      <c r="G6" s="840"/>
      <c r="H6" s="839"/>
    </row>
    <row r="7" spans="1:27" ht="46.5" customHeight="1">
      <c r="A7" s="841"/>
      <c r="B7" s="842"/>
      <c r="C7" s="843" t="s">
        <v>747</v>
      </c>
      <c r="D7" s="843"/>
      <c r="E7" s="844" t="s">
        <v>748</v>
      </c>
      <c r="F7" s="845"/>
      <c r="G7" s="845"/>
      <c r="H7" s="845"/>
      <c r="S7" s="837"/>
      <c r="T7" s="837"/>
      <c r="U7" s="837"/>
      <c r="V7" s="837"/>
      <c r="W7" s="837"/>
      <c r="X7" s="837"/>
      <c r="Y7" s="837"/>
      <c r="Z7" s="837"/>
      <c r="AA7" s="837"/>
    </row>
    <row r="8" spans="1:27" ht="15.5">
      <c r="A8" s="1522">
        <v>1</v>
      </c>
      <c r="B8" s="1523"/>
      <c r="C8" s="834" t="s">
        <v>525</v>
      </c>
      <c r="D8" s="847"/>
      <c r="E8" s="848"/>
      <c r="F8" s="970"/>
      <c r="G8" s="850"/>
      <c r="H8" s="850"/>
      <c r="S8" s="851"/>
      <c r="T8" s="851"/>
      <c r="U8" s="851"/>
      <c r="V8" s="852"/>
      <c r="W8" s="839"/>
      <c r="X8" s="840"/>
      <c r="Y8" s="839"/>
      <c r="Z8" s="851"/>
      <c r="AA8" s="837"/>
    </row>
    <row r="9" spans="1:27" ht="15.5">
      <c r="A9" s="1522">
        <v>2</v>
      </c>
      <c r="B9" s="1523"/>
      <c r="C9" s="834" t="s">
        <v>526</v>
      </c>
      <c r="D9" s="847"/>
      <c r="E9" s="848"/>
      <c r="F9" s="970"/>
      <c r="G9" s="850"/>
      <c r="H9" s="850"/>
      <c r="S9" s="851"/>
      <c r="T9" s="853"/>
      <c r="U9" s="853"/>
      <c r="V9" s="845"/>
      <c r="W9" s="845"/>
      <c r="X9" s="845"/>
      <c r="Y9" s="845"/>
      <c r="Z9" s="845"/>
      <c r="AA9" s="837"/>
    </row>
    <row r="10" spans="1:27" ht="15.5">
      <c r="A10" s="1522">
        <v>3</v>
      </c>
      <c r="B10" s="1523"/>
      <c r="C10" s="834" t="s">
        <v>545</v>
      </c>
      <c r="D10" s="847"/>
      <c r="E10" s="848"/>
      <c r="F10" s="970"/>
      <c r="G10" s="850"/>
      <c r="H10" s="850"/>
      <c r="S10" s="851"/>
      <c r="T10" s="853"/>
      <c r="U10" s="853"/>
      <c r="V10" s="849"/>
      <c r="W10" s="849"/>
      <c r="X10" s="854"/>
      <c r="Y10" s="854"/>
      <c r="Z10" s="854"/>
      <c r="AA10" s="837"/>
    </row>
    <row r="11" spans="1:27" ht="15.5">
      <c r="A11" s="1522">
        <v>4</v>
      </c>
      <c r="B11" s="1523"/>
      <c r="C11" s="834" t="s">
        <v>171</v>
      </c>
      <c r="D11" s="847"/>
      <c r="E11" s="848"/>
      <c r="F11" s="970"/>
      <c r="G11" s="850"/>
      <c r="H11" s="850"/>
      <c r="S11" s="851"/>
      <c r="T11" s="853"/>
      <c r="U11" s="853"/>
      <c r="V11" s="849"/>
      <c r="W11" s="849"/>
      <c r="X11" s="854"/>
      <c r="Y11" s="854"/>
      <c r="Z11" s="854"/>
      <c r="AA11" s="837"/>
    </row>
    <row r="12" spans="1:27" ht="15.75" customHeight="1">
      <c r="A12" s="1522">
        <v>5</v>
      </c>
      <c r="B12" s="1523"/>
      <c r="C12" s="834" t="s">
        <v>172</v>
      </c>
      <c r="D12" s="847"/>
      <c r="E12" s="848"/>
      <c r="F12" s="970"/>
      <c r="G12" s="850"/>
      <c r="H12" s="850"/>
      <c r="S12" s="851"/>
      <c r="T12" s="853"/>
      <c r="U12" s="853"/>
      <c r="V12" s="849"/>
      <c r="W12" s="849"/>
      <c r="X12" s="854"/>
      <c r="Y12" s="854"/>
      <c r="Z12" s="854"/>
      <c r="AA12" s="837"/>
    </row>
    <row r="13" spans="1:27" ht="15.5">
      <c r="A13" s="1522">
        <v>6</v>
      </c>
      <c r="B13" s="1523"/>
      <c r="C13" s="834" t="s">
        <v>173</v>
      </c>
      <c r="D13" s="847"/>
      <c r="E13" s="848"/>
      <c r="F13" s="970"/>
      <c r="G13" s="850"/>
      <c r="H13" s="850"/>
      <c r="S13" s="851"/>
      <c r="T13" s="853"/>
      <c r="U13" s="853"/>
      <c r="V13" s="849"/>
      <c r="W13" s="849"/>
      <c r="X13" s="854"/>
      <c r="Y13" s="854"/>
      <c r="Z13" s="854"/>
      <c r="AA13" s="837"/>
    </row>
    <row r="14" spans="1:27" ht="15.5">
      <c r="A14" s="1522">
        <v>7</v>
      </c>
      <c r="B14" s="1523"/>
      <c r="C14" s="834" t="s">
        <v>528</v>
      </c>
      <c r="D14" s="847"/>
      <c r="E14" s="848"/>
      <c r="F14" s="970"/>
      <c r="G14" s="850"/>
      <c r="H14" s="850"/>
      <c r="S14" s="851"/>
      <c r="T14" s="851"/>
      <c r="U14" s="851"/>
      <c r="V14" s="851"/>
      <c r="W14" s="851"/>
      <c r="X14" s="851"/>
      <c r="Y14" s="851"/>
      <c r="Z14" s="851"/>
      <c r="AA14" s="837"/>
    </row>
    <row r="15" spans="1:27" ht="15.5">
      <c r="A15" s="1522">
        <v>8</v>
      </c>
      <c r="B15" s="1523"/>
      <c r="C15" s="834" t="s">
        <v>546</v>
      </c>
      <c r="D15" s="847"/>
      <c r="E15" s="848"/>
      <c r="F15" s="970"/>
      <c r="G15" s="850"/>
      <c r="H15" s="850"/>
      <c r="S15" s="851"/>
      <c r="T15" s="851"/>
      <c r="U15" s="851"/>
      <c r="V15" s="851"/>
      <c r="W15" s="851"/>
      <c r="X15" s="851"/>
      <c r="Y15" s="851"/>
      <c r="Z15" s="851"/>
      <c r="AA15" s="837"/>
    </row>
    <row r="16" spans="1:27" ht="15.5">
      <c r="A16" s="1522">
        <v>9</v>
      </c>
      <c r="B16" s="1523"/>
      <c r="C16" s="834" t="s">
        <v>530</v>
      </c>
      <c r="D16" s="847"/>
      <c r="E16" s="848"/>
      <c r="F16" s="970"/>
      <c r="G16" s="850"/>
      <c r="H16" s="850"/>
      <c r="S16" s="851"/>
      <c r="T16" s="851"/>
      <c r="U16" s="851"/>
      <c r="V16" s="851"/>
      <c r="W16" s="851"/>
      <c r="X16" s="851"/>
      <c r="Y16" s="851"/>
      <c r="Z16" s="851"/>
      <c r="AA16" s="837"/>
    </row>
    <row r="17" spans="1:27" ht="15.5">
      <c r="A17" s="1522">
        <v>10</v>
      </c>
      <c r="B17" s="1523"/>
      <c r="C17" s="834" t="s">
        <v>531</v>
      </c>
      <c r="D17" s="847"/>
      <c r="E17" s="848"/>
      <c r="F17" s="970"/>
      <c r="H17" s="850"/>
      <c r="S17" s="851"/>
      <c r="T17" s="851"/>
      <c r="U17" s="851"/>
      <c r="V17" s="851"/>
      <c r="W17" s="851"/>
      <c r="X17" s="851"/>
      <c r="Y17" s="851"/>
      <c r="Z17" s="851"/>
      <c r="AA17" s="837"/>
    </row>
    <row r="18" spans="1:27" ht="15.5">
      <c r="A18" s="1522">
        <v>11</v>
      </c>
      <c r="B18" s="1523"/>
      <c r="C18" s="834" t="s">
        <v>532</v>
      </c>
      <c r="D18" s="847"/>
      <c r="E18" s="848"/>
      <c r="F18" s="970"/>
      <c r="G18" s="850"/>
      <c r="H18" s="850"/>
      <c r="S18" s="851"/>
      <c r="T18" s="851"/>
      <c r="U18" s="851"/>
      <c r="V18" s="851"/>
      <c r="W18" s="851"/>
      <c r="X18" s="851"/>
      <c r="Y18" s="851"/>
      <c r="Z18" s="851"/>
      <c r="AA18" s="837"/>
    </row>
    <row r="19" spans="1:27" ht="15.5">
      <c r="A19" s="1522">
        <v>12</v>
      </c>
      <c r="B19" s="1523"/>
      <c r="C19" s="834" t="s">
        <v>749</v>
      </c>
      <c r="D19" s="847"/>
      <c r="E19" s="848"/>
      <c r="F19" s="970"/>
      <c r="S19" s="851"/>
      <c r="T19" s="851"/>
      <c r="U19" s="851"/>
      <c r="V19" s="851"/>
      <c r="W19" s="851"/>
      <c r="X19" s="851"/>
      <c r="Y19" s="851"/>
      <c r="Z19" s="851"/>
      <c r="AA19" s="837"/>
    </row>
    <row r="20" spans="1:27" ht="15.5">
      <c r="A20" s="1522">
        <v>13</v>
      </c>
      <c r="B20" s="1523"/>
      <c r="C20" s="834" t="s">
        <v>525</v>
      </c>
      <c r="D20" s="847"/>
      <c r="E20" s="848"/>
      <c r="F20" s="970"/>
      <c r="G20" s="850"/>
      <c r="S20" s="851"/>
      <c r="T20" s="851"/>
      <c r="U20" s="851"/>
      <c r="V20" s="851"/>
      <c r="W20" s="851"/>
      <c r="X20" s="851"/>
      <c r="Y20" s="851"/>
      <c r="Z20" s="851"/>
      <c r="AA20" s="837"/>
    </row>
    <row r="21" spans="1:27" ht="15.5">
      <c r="A21" s="1522">
        <v>14</v>
      </c>
      <c r="B21" s="1523"/>
      <c r="C21" s="834" t="s">
        <v>526</v>
      </c>
      <c r="D21" s="847"/>
      <c r="E21" s="848"/>
      <c r="F21" s="970"/>
      <c r="G21" s="850"/>
      <c r="H21" s="850"/>
      <c r="S21" s="851"/>
      <c r="T21" s="851"/>
      <c r="U21" s="851"/>
      <c r="V21" s="851"/>
      <c r="W21" s="851"/>
      <c r="X21" s="851"/>
      <c r="Y21" s="851"/>
      <c r="Z21" s="851"/>
      <c r="AA21" s="837"/>
    </row>
    <row r="22" spans="1:27" ht="15.5">
      <c r="A22" s="1522">
        <v>15</v>
      </c>
      <c r="B22" s="1523"/>
      <c r="C22" s="834" t="s">
        <v>545</v>
      </c>
      <c r="D22" s="847"/>
      <c r="E22" s="848"/>
      <c r="F22" s="970"/>
      <c r="G22" s="850"/>
      <c r="H22" s="850"/>
      <c r="S22" s="851"/>
      <c r="T22" s="851"/>
      <c r="U22" s="851"/>
      <c r="V22" s="851"/>
      <c r="W22" s="851"/>
      <c r="X22" s="851"/>
      <c r="Y22" s="851"/>
      <c r="Z22" s="851"/>
      <c r="AA22" s="837"/>
    </row>
    <row r="23" spans="1:27" ht="15.5">
      <c r="A23" s="1522">
        <v>16</v>
      </c>
      <c r="B23" s="1523"/>
      <c r="C23" s="834" t="s">
        <v>171</v>
      </c>
      <c r="D23" s="847"/>
      <c r="E23" s="848"/>
      <c r="F23" s="970"/>
      <c r="G23" s="850"/>
      <c r="H23" s="850"/>
      <c r="S23" s="851"/>
      <c r="T23" s="851"/>
      <c r="U23" s="851"/>
      <c r="V23" s="851"/>
      <c r="W23" s="851"/>
      <c r="X23" s="851"/>
      <c r="Y23" s="851"/>
      <c r="Z23" s="851"/>
      <c r="AA23" s="837"/>
    </row>
    <row r="24" spans="1:27" ht="15.5">
      <c r="A24" s="1522">
        <v>17</v>
      </c>
      <c r="B24" s="1523"/>
      <c r="C24" s="834" t="s">
        <v>172</v>
      </c>
      <c r="D24" s="847"/>
      <c r="E24" s="848"/>
      <c r="F24" s="970"/>
      <c r="G24" s="850"/>
      <c r="H24" s="850"/>
      <c r="S24" s="851"/>
      <c r="T24" s="851"/>
      <c r="U24" s="851"/>
      <c r="V24" s="851"/>
      <c r="W24" s="851"/>
      <c r="X24" s="851"/>
      <c r="Y24" s="851"/>
      <c r="Z24" s="851"/>
      <c r="AA24" s="837"/>
    </row>
    <row r="25" spans="1:27" ht="15.5">
      <c r="A25" s="1522"/>
      <c r="B25" s="1523"/>
      <c r="C25" s="855"/>
      <c r="D25" s="856"/>
      <c r="E25" s="856"/>
      <c r="F25" s="856"/>
      <c r="G25" s="856"/>
      <c r="H25" s="856"/>
      <c r="S25" s="851"/>
      <c r="T25" s="851"/>
      <c r="U25" s="851"/>
      <c r="V25" s="857"/>
      <c r="W25" s="854"/>
      <c r="X25" s="851"/>
      <c r="Y25" s="851"/>
      <c r="Z25" s="851"/>
      <c r="AA25" s="837"/>
    </row>
    <row r="26" spans="1:27" ht="15.5">
      <c r="A26" s="1522">
        <v>18</v>
      </c>
      <c r="B26" s="1524" t="s">
        <v>750</v>
      </c>
      <c r="C26" s="858"/>
      <c r="D26" s="856"/>
      <c r="E26" s="1525" t="e">
        <f>AVERAGE(E8:E24)</f>
        <v>#DIV/0!</v>
      </c>
      <c r="F26" s="856"/>
      <c r="G26" s="856"/>
      <c r="H26" s="856"/>
      <c r="S26" s="851"/>
      <c r="T26" s="851"/>
      <c r="U26" s="851"/>
      <c r="V26" s="857"/>
      <c r="W26" s="854"/>
      <c r="X26" s="851"/>
      <c r="Y26" s="851"/>
      <c r="Z26" s="851"/>
      <c r="AA26" s="837"/>
    </row>
    <row r="27" spans="1:27" ht="15.5">
      <c r="A27" s="1523"/>
      <c r="B27" s="1523"/>
      <c r="C27" s="858"/>
      <c r="D27" s="856"/>
      <c r="E27" s="856"/>
      <c r="F27" s="847"/>
      <c r="G27" s="847"/>
      <c r="H27" s="847"/>
      <c r="S27" s="851"/>
      <c r="T27" s="851"/>
      <c r="U27" s="851"/>
      <c r="V27" s="851"/>
      <c r="W27" s="851"/>
      <c r="X27" s="851"/>
      <c r="Y27" s="851"/>
      <c r="Z27" s="851"/>
      <c r="AA27" s="837"/>
    </row>
    <row r="28" spans="1:27" ht="15.5">
      <c r="A28" s="1523" t="s">
        <v>751</v>
      </c>
      <c r="B28" s="1523"/>
      <c r="C28" s="846"/>
      <c r="D28" s="846"/>
      <c r="E28" s="846"/>
      <c r="F28" s="846"/>
      <c r="G28" s="846"/>
      <c r="H28" s="846"/>
      <c r="S28" s="851"/>
      <c r="T28" s="851"/>
      <c r="U28" s="851"/>
      <c r="V28" s="851"/>
      <c r="W28" s="851"/>
      <c r="X28" s="851"/>
      <c r="Y28" s="851"/>
      <c r="Z28" s="851"/>
      <c r="AA28" s="837"/>
    </row>
    <row r="29" spans="1:27" ht="15.5">
      <c r="A29" s="846"/>
      <c r="B29" s="859" t="s">
        <v>752</v>
      </c>
      <c r="C29" s="846"/>
      <c r="D29" s="846"/>
      <c r="E29" s="846"/>
      <c r="F29" s="846"/>
      <c r="G29" s="846"/>
      <c r="H29" s="846"/>
      <c r="S29" s="853"/>
      <c r="T29" s="837"/>
      <c r="U29" s="851"/>
      <c r="V29" s="851"/>
      <c r="W29" s="851"/>
      <c r="X29" s="851"/>
      <c r="Y29" s="851"/>
      <c r="Z29" s="851"/>
      <c r="AA29" s="837"/>
    </row>
    <row r="30" spans="1:27" ht="15.5">
      <c r="A30" s="846"/>
      <c r="B30" s="859"/>
      <c r="C30" s="846"/>
      <c r="D30" s="846"/>
      <c r="E30" s="846"/>
      <c r="F30" s="846"/>
      <c r="G30" s="846"/>
      <c r="H30" s="846"/>
      <c r="S30" s="859"/>
      <c r="U30" s="859"/>
      <c r="V30" s="859"/>
      <c r="W30" s="859"/>
      <c r="X30" s="859"/>
      <c r="Y30" s="859"/>
      <c r="Z30" s="859"/>
    </row>
    <row r="31" spans="1:27" ht="15.5">
      <c r="A31" s="846"/>
      <c r="B31" s="859"/>
      <c r="C31" s="846"/>
      <c r="D31" s="846"/>
      <c r="E31" s="846"/>
      <c r="F31" s="846"/>
      <c r="G31" s="846"/>
      <c r="H31" s="846"/>
      <c r="S31" s="859"/>
      <c r="T31" s="859"/>
      <c r="U31" s="859"/>
      <c r="V31" s="859"/>
      <c r="W31" s="859"/>
      <c r="X31" s="859"/>
      <c r="Y31" s="859"/>
      <c r="Z31" s="859"/>
    </row>
    <row r="32" spans="1:27" ht="15.5">
      <c r="A32" s="846"/>
      <c r="B32" s="846"/>
      <c r="C32" s="846"/>
      <c r="D32" s="846"/>
      <c r="E32" s="846"/>
      <c r="F32" s="846"/>
      <c r="G32" s="846"/>
      <c r="H32" s="846"/>
    </row>
    <row r="33" spans="1:17">
      <c r="A33" s="784"/>
      <c r="B33" s="860"/>
      <c r="C33" s="860"/>
      <c r="D33" s="1874"/>
      <c r="E33" s="1874"/>
      <c r="F33" s="861"/>
      <c r="G33" s="861"/>
      <c r="H33" s="903"/>
      <c r="I33" s="861"/>
      <c r="J33" s="861"/>
      <c r="K33" s="861"/>
    </row>
    <row r="34" spans="1:17">
      <c r="A34" s="784">
        <v>19</v>
      </c>
      <c r="B34" s="860" t="s">
        <v>170</v>
      </c>
      <c r="C34" s="860"/>
      <c r="D34" s="1874"/>
      <c r="E34" s="1874"/>
      <c r="F34" s="1874"/>
      <c r="G34" s="1874"/>
      <c r="H34" s="903"/>
      <c r="I34" s="1874"/>
      <c r="J34" s="1874"/>
      <c r="K34" s="1874"/>
      <c r="L34" s="1874"/>
    </row>
    <row r="35" spans="1:17">
      <c r="A35" s="784">
        <v>20</v>
      </c>
      <c r="B35" s="860"/>
      <c r="C35" s="860"/>
      <c r="D35" s="861"/>
      <c r="E35" s="861"/>
      <c r="F35" s="862"/>
      <c r="G35" s="861"/>
      <c r="H35" s="861"/>
      <c r="I35" s="861"/>
      <c r="J35" s="861"/>
      <c r="K35" s="861"/>
      <c r="L35" s="861"/>
    </row>
    <row r="36" spans="1:17">
      <c r="A36" s="783"/>
      <c r="B36" s="863" t="s">
        <v>9</v>
      </c>
      <c r="C36" s="864" t="s">
        <v>10</v>
      </c>
      <c r="D36" s="864" t="s">
        <v>11</v>
      </c>
      <c r="E36" s="864" t="s">
        <v>14</v>
      </c>
      <c r="F36" s="864" t="s">
        <v>138</v>
      </c>
      <c r="G36" s="865" t="s">
        <v>139</v>
      </c>
      <c r="H36" s="903"/>
      <c r="I36" s="903"/>
      <c r="J36" s="903"/>
      <c r="K36" s="903"/>
      <c r="L36" s="903"/>
      <c r="M36" s="903"/>
      <c r="N36" s="903"/>
      <c r="O36" s="903"/>
      <c r="P36" s="903"/>
      <c r="Q36" s="903"/>
    </row>
    <row r="37" spans="1:17">
      <c r="A37" s="784"/>
      <c r="B37" s="866"/>
      <c r="C37" s="903"/>
      <c r="D37" s="903"/>
      <c r="E37" s="903"/>
      <c r="F37" s="903"/>
      <c r="G37" s="867"/>
      <c r="H37" s="903"/>
      <c r="I37" s="861"/>
      <c r="J37" s="903"/>
      <c r="K37" s="861"/>
      <c r="L37" s="861"/>
      <c r="M37" s="837"/>
      <c r="N37" s="837"/>
      <c r="O37" s="837"/>
      <c r="P37" s="837"/>
      <c r="Q37" s="837"/>
    </row>
    <row r="38" spans="1:17">
      <c r="A38" s="784"/>
      <c r="B38" s="868"/>
      <c r="C38" s="903"/>
      <c r="D38" s="903"/>
      <c r="E38" s="903"/>
      <c r="F38" s="903"/>
      <c r="G38" s="869"/>
      <c r="H38" s="903"/>
      <c r="I38" s="903"/>
      <c r="J38" s="903"/>
      <c r="K38" s="903"/>
      <c r="L38" s="903"/>
      <c r="M38" s="903"/>
      <c r="N38" s="903"/>
      <c r="O38" s="903"/>
      <c r="P38" s="903"/>
      <c r="Q38" s="903"/>
    </row>
    <row r="39" spans="1:17" ht="26">
      <c r="A39" s="784"/>
      <c r="B39" s="766" t="s">
        <v>617</v>
      </c>
      <c r="C39" s="870" t="s">
        <v>618</v>
      </c>
      <c r="D39" s="871" t="s">
        <v>109</v>
      </c>
      <c r="E39" s="903" t="s">
        <v>753</v>
      </c>
      <c r="F39" s="872" t="s">
        <v>729</v>
      </c>
      <c r="G39" s="873" t="s">
        <v>177</v>
      </c>
      <c r="H39" s="837"/>
      <c r="I39" s="837"/>
      <c r="J39" s="837"/>
      <c r="K39" s="837"/>
      <c r="L39" s="837"/>
      <c r="M39" s="837"/>
      <c r="N39" s="837"/>
      <c r="O39" s="837"/>
      <c r="P39" s="903"/>
      <c r="Q39" s="903"/>
    </row>
    <row r="40" spans="1:17" ht="30" customHeight="1">
      <c r="A40" s="784"/>
      <c r="B40" s="868"/>
      <c r="C40" s="903"/>
      <c r="D40" s="871" t="s">
        <v>793</v>
      </c>
      <c r="E40" s="903"/>
      <c r="F40" s="871" t="s">
        <v>754</v>
      </c>
      <c r="G40" s="874" t="s">
        <v>755</v>
      </c>
      <c r="H40" s="903"/>
      <c r="I40" s="903"/>
      <c r="J40" s="903"/>
      <c r="K40" s="903"/>
      <c r="L40" s="903"/>
      <c r="M40" s="903"/>
      <c r="N40" s="903"/>
      <c r="O40" s="903"/>
      <c r="P40" s="903"/>
      <c r="Q40" s="903"/>
    </row>
    <row r="41" spans="1:17">
      <c r="A41" s="784">
        <v>21</v>
      </c>
      <c r="B41" s="866" t="s">
        <v>44</v>
      </c>
      <c r="C41" s="861" t="s">
        <v>641</v>
      </c>
      <c r="D41" s="659">
        <f>+'6A-Project True-up'!H18+'6A-Project True-up'!I18</f>
        <v>0</v>
      </c>
      <c r="E41" s="659">
        <v>17</v>
      </c>
      <c r="F41" s="876" t="e">
        <f>+E26</f>
        <v>#DIV/0!</v>
      </c>
      <c r="G41" s="884" t="e">
        <f>+D41*E41*F41</f>
        <v>#DIV/0!</v>
      </c>
      <c r="H41" s="875"/>
      <c r="I41" s="658"/>
      <c r="J41" s="658"/>
      <c r="K41" s="658"/>
      <c r="L41" s="658"/>
      <c r="M41" s="837"/>
      <c r="N41" s="837"/>
      <c r="O41" s="837"/>
      <c r="P41" s="837"/>
      <c r="Q41" s="837"/>
    </row>
    <row r="42" spans="1:17">
      <c r="A42" s="784" t="s">
        <v>756</v>
      </c>
      <c r="B42" s="878"/>
      <c r="C42" s="878">
        <f>+'6A-Project True-up'!C19</f>
        <v>0</v>
      </c>
      <c r="D42" s="659">
        <f>+'6A-Project True-up'!H19+'6A-Project True-up'!I19</f>
        <v>0</v>
      </c>
      <c r="E42" s="659">
        <v>17</v>
      </c>
      <c r="F42" s="876" t="e">
        <f>+F41</f>
        <v>#DIV/0!</v>
      </c>
      <c r="G42" s="884" t="e">
        <f>+D42*E42*F42</f>
        <v>#DIV/0!</v>
      </c>
      <c r="H42" s="875"/>
      <c r="I42" s="861"/>
      <c r="J42" s="875"/>
      <c r="K42" s="658"/>
      <c r="L42" s="658"/>
      <c r="M42" s="837"/>
      <c r="N42" s="837"/>
      <c r="O42" s="837"/>
      <c r="P42" s="721"/>
      <c r="Q42" s="880"/>
    </row>
    <row r="43" spans="1:17">
      <c r="A43" s="784" t="s">
        <v>757</v>
      </c>
      <c r="B43" s="878"/>
      <c r="C43" s="878">
        <f>+'6A-Project True-up'!C20</f>
        <v>0</v>
      </c>
      <c r="D43" s="659">
        <f>+'6A-Project True-up'!H20+'6A-Project True-up'!I20</f>
        <v>0</v>
      </c>
      <c r="E43" s="659">
        <v>17</v>
      </c>
      <c r="F43" s="876" t="e">
        <f t="shared" ref="F43:F61" si="0">+F42</f>
        <v>#DIV/0!</v>
      </c>
      <c r="G43" s="884" t="e">
        <f t="shared" ref="G43:G50" si="1">+D43*E43*F43</f>
        <v>#DIV/0!</v>
      </c>
      <c r="H43" s="875"/>
      <c r="I43" s="861"/>
      <c r="J43" s="875"/>
      <c r="K43" s="658"/>
      <c r="L43" s="658"/>
      <c r="M43" s="837"/>
      <c r="N43" s="837"/>
      <c r="O43" s="837"/>
      <c r="P43" s="721"/>
      <c r="Q43" s="880"/>
    </row>
    <row r="44" spans="1:17">
      <c r="A44" s="784" t="s">
        <v>758</v>
      </c>
      <c r="B44" s="878"/>
      <c r="C44" s="878">
        <f>+'6A-Project True-up'!C21</f>
        <v>0</v>
      </c>
      <c r="D44" s="659">
        <f>+'6A-Project True-up'!H21+'6A-Project True-up'!I21</f>
        <v>0</v>
      </c>
      <c r="E44" s="659">
        <v>17</v>
      </c>
      <c r="F44" s="876" t="e">
        <f t="shared" si="0"/>
        <v>#DIV/0!</v>
      </c>
      <c r="G44" s="884" t="e">
        <f t="shared" si="1"/>
        <v>#DIV/0!</v>
      </c>
      <c r="H44" s="875"/>
      <c r="I44" s="861"/>
      <c r="J44" s="875"/>
      <c r="K44" s="658"/>
      <c r="L44" s="658"/>
      <c r="M44" s="837"/>
      <c r="N44" s="837"/>
      <c r="O44" s="837"/>
      <c r="P44" s="721"/>
      <c r="Q44" s="880"/>
    </row>
    <row r="45" spans="1:17">
      <c r="A45" s="784" t="s">
        <v>773</v>
      </c>
      <c r="B45" s="878"/>
      <c r="C45" s="878">
        <f>+'6A-Project True-up'!C22</f>
        <v>0</v>
      </c>
      <c r="D45" s="659">
        <f>+'6A-Project True-up'!H22+'6A-Project True-up'!I22</f>
        <v>0</v>
      </c>
      <c r="E45" s="659">
        <v>17</v>
      </c>
      <c r="F45" s="876" t="e">
        <f t="shared" si="0"/>
        <v>#DIV/0!</v>
      </c>
      <c r="G45" s="884" t="e">
        <f t="shared" si="1"/>
        <v>#DIV/0!</v>
      </c>
      <c r="H45" s="875"/>
      <c r="I45" s="861"/>
      <c r="J45" s="875"/>
      <c r="K45" s="658"/>
      <c r="L45" s="658"/>
      <c r="M45" s="837"/>
      <c r="N45" s="837"/>
      <c r="O45" s="837"/>
      <c r="P45" s="721"/>
      <c r="Q45" s="880"/>
    </row>
    <row r="46" spans="1:17">
      <c r="A46" s="784" t="s">
        <v>774</v>
      </c>
      <c r="B46" s="878"/>
      <c r="C46" s="878">
        <f>+'6A-Project True-up'!C23</f>
        <v>0</v>
      </c>
      <c r="D46" s="659">
        <f>+'6A-Project True-up'!H23+'6A-Project True-up'!I23</f>
        <v>0</v>
      </c>
      <c r="E46" s="659">
        <v>17</v>
      </c>
      <c r="F46" s="876" t="e">
        <f t="shared" si="0"/>
        <v>#DIV/0!</v>
      </c>
      <c r="G46" s="884" t="e">
        <f t="shared" si="1"/>
        <v>#DIV/0!</v>
      </c>
      <c r="H46" s="875"/>
      <c r="I46" s="861"/>
      <c r="J46" s="875"/>
      <c r="K46" s="658"/>
      <c r="L46" s="658"/>
      <c r="M46" s="837"/>
      <c r="N46" s="837"/>
      <c r="O46" s="837"/>
      <c r="P46" s="721"/>
      <c r="Q46" s="880"/>
    </row>
    <row r="47" spans="1:17">
      <c r="A47" s="784" t="s">
        <v>775</v>
      </c>
      <c r="B47" s="878"/>
      <c r="C47" s="878">
        <f>+'6A-Project True-up'!C24</f>
        <v>0</v>
      </c>
      <c r="D47" s="659">
        <f>+'6A-Project True-up'!H24+'6A-Project True-up'!I24</f>
        <v>0</v>
      </c>
      <c r="E47" s="659">
        <v>17</v>
      </c>
      <c r="F47" s="876" t="e">
        <f t="shared" si="0"/>
        <v>#DIV/0!</v>
      </c>
      <c r="G47" s="884" t="e">
        <f t="shared" si="1"/>
        <v>#DIV/0!</v>
      </c>
      <c r="H47" s="875"/>
      <c r="I47" s="861"/>
      <c r="J47" s="875"/>
      <c r="K47" s="658"/>
      <c r="L47" s="658"/>
      <c r="M47" s="837"/>
      <c r="N47" s="837"/>
      <c r="O47" s="837"/>
      <c r="P47" s="721"/>
      <c r="Q47" s="880"/>
    </row>
    <row r="48" spans="1:17">
      <c r="A48" s="784" t="s">
        <v>776</v>
      </c>
      <c r="B48" s="878"/>
      <c r="C48" s="878">
        <f>+'6A-Project True-up'!C25</f>
        <v>0</v>
      </c>
      <c r="D48" s="659">
        <f>+'6A-Project True-up'!H25+'6A-Project True-up'!I25</f>
        <v>0</v>
      </c>
      <c r="E48" s="659">
        <v>17</v>
      </c>
      <c r="F48" s="876" t="e">
        <f t="shared" si="0"/>
        <v>#DIV/0!</v>
      </c>
      <c r="G48" s="884" t="e">
        <f t="shared" si="1"/>
        <v>#DIV/0!</v>
      </c>
      <c r="H48" s="875"/>
      <c r="I48" s="861"/>
      <c r="J48" s="875"/>
      <c r="K48" s="658"/>
      <c r="L48" s="658"/>
      <c r="M48" s="837"/>
      <c r="N48" s="837"/>
      <c r="O48" s="837"/>
      <c r="P48" s="721"/>
      <c r="Q48" s="880"/>
    </row>
    <row r="49" spans="1:17">
      <c r="A49" s="784" t="s">
        <v>777</v>
      </c>
      <c r="B49" s="878"/>
      <c r="C49" s="878">
        <f>+'6A-Project True-up'!C26</f>
        <v>0</v>
      </c>
      <c r="D49" s="659">
        <f>+'6A-Project True-up'!H26+'6A-Project True-up'!I26</f>
        <v>0</v>
      </c>
      <c r="E49" s="659">
        <v>17</v>
      </c>
      <c r="F49" s="876" t="e">
        <f t="shared" si="0"/>
        <v>#DIV/0!</v>
      </c>
      <c r="G49" s="884" t="e">
        <f t="shared" si="1"/>
        <v>#DIV/0!</v>
      </c>
      <c r="H49" s="875"/>
      <c r="I49" s="861"/>
      <c r="J49" s="875"/>
      <c r="K49" s="658"/>
      <c r="L49" s="658"/>
      <c r="M49" s="837"/>
      <c r="N49" s="837"/>
      <c r="O49" s="837"/>
      <c r="P49" s="721"/>
      <c r="Q49" s="880"/>
    </row>
    <row r="50" spans="1:17">
      <c r="A50" s="784" t="s">
        <v>778</v>
      </c>
      <c r="B50" s="878"/>
      <c r="C50" s="878">
        <f>+'6A-Project True-up'!C27</f>
        <v>0</v>
      </c>
      <c r="D50" s="659">
        <f>+'6A-Project True-up'!H27+'6A-Project True-up'!I27</f>
        <v>0</v>
      </c>
      <c r="E50" s="659">
        <v>17</v>
      </c>
      <c r="F50" s="876" t="e">
        <f t="shared" si="0"/>
        <v>#DIV/0!</v>
      </c>
      <c r="G50" s="884" t="e">
        <f t="shared" si="1"/>
        <v>#DIV/0!</v>
      </c>
      <c r="H50" s="875"/>
      <c r="I50" s="861"/>
      <c r="J50" s="875"/>
      <c r="K50" s="658"/>
      <c r="L50" s="658"/>
      <c r="M50" s="837"/>
      <c r="N50" s="837"/>
      <c r="O50" s="837"/>
      <c r="P50" s="721"/>
      <c r="Q50" s="880"/>
    </row>
    <row r="51" spans="1:17">
      <c r="A51" s="784" t="s">
        <v>779</v>
      </c>
      <c r="B51" s="878"/>
      <c r="C51" s="878">
        <f>+'6A-Project True-up'!C28</f>
        <v>0</v>
      </c>
      <c r="D51" s="659">
        <f>+'6A-Project True-up'!H28+'6A-Project True-up'!I28</f>
        <v>0</v>
      </c>
      <c r="E51" s="659">
        <v>17</v>
      </c>
      <c r="F51" s="876" t="e">
        <f t="shared" si="0"/>
        <v>#DIV/0!</v>
      </c>
      <c r="G51" s="884" t="e">
        <f t="shared" ref="G51:G58" si="2">+D51*E51*F51</f>
        <v>#DIV/0!</v>
      </c>
      <c r="H51" s="875"/>
      <c r="I51" s="861"/>
      <c r="J51" s="875"/>
      <c r="K51" s="658"/>
      <c r="L51" s="658"/>
      <c r="M51" s="837"/>
      <c r="N51" s="837"/>
      <c r="O51" s="837"/>
      <c r="P51" s="721"/>
      <c r="Q51" s="880"/>
    </row>
    <row r="52" spans="1:17">
      <c r="A52" s="784" t="s">
        <v>780</v>
      </c>
      <c r="B52" s="878"/>
      <c r="C52" s="878">
        <f>+'6A-Project True-up'!C29</f>
        <v>0</v>
      </c>
      <c r="D52" s="659">
        <f>+'6A-Project True-up'!H29+'6A-Project True-up'!I29</f>
        <v>0</v>
      </c>
      <c r="E52" s="659">
        <v>17</v>
      </c>
      <c r="F52" s="876" t="e">
        <f t="shared" si="0"/>
        <v>#DIV/0!</v>
      </c>
      <c r="G52" s="884" t="e">
        <f t="shared" si="2"/>
        <v>#DIV/0!</v>
      </c>
      <c r="H52" s="875"/>
      <c r="I52" s="861"/>
      <c r="J52" s="875"/>
      <c r="K52" s="658"/>
      <c r="L52" s="658"/>
      <c r="M52" s="837"/>
      <c r="N52" s="837"/>
      <c r="O52" s="837"/>
      <c r="P52" s="721"/>
      <c r="Q52" s="880"/>
    </row>
    <row r="53" spans="1:17">
      <c r="A53" s="784" t="s">
        <v>781</v>
      </c>
      <c r="B53" s="878"/>
      <c r="C53" s="878">
        <f>+'6A-Project True-up'!C30</f>
        <v>0</v>
      </c>
      <c r="D53" s="659">
        <f>+'6A-Project True-up'!H30+'6A-Project True-up'!I30</f>
        <v>0</v>
      </c>
      <c r="E53" s="659">
        <v>17</v>
      </c>
      <c r="F53" s="876" t="e">
        <f t="shared" si="0"/>
        <v>#DIV/0!</v>
      </c>
      <c r="G53" s="884" t="e">
        <f t="shared" si="2"/>
        <v>#DIV/0!</v>
      </c>
      <c r="H53" s="875"/>
      <c r="I53" s="861"/>
      <c r="J53" s="875"/>
      <c r="K53" s="658"/>
      <c r="L53" s="658"/>
      <c r="M53" s="837"/>
      <c r="N53" s="837"/>
      <c r="O53" s="837"/>
      <c r="P53" s="721"/>
      <c r="Q53" s="880"/>
    </row>
    <row r="54" spans="1:17">
      <c r="A54" s="784" t="s">
        <v>782</v>
      </c>
      <c r="B54" s="878"/>
      <c r="C54" s="878">
        <f>+'6A-Project True-up'!C31</f>
        <v>0</v>
      </c>
      <c r="D54" s="659">
        <f>+'6A-Project True-up'!H31+'6A-Project True-up'!I31</f>
        <v>0</v>
      </c>
      <c r="E54" s="659">
        <v>17</v>
      </c>
      <c r="F54" s="876" t="e">
        <f t="shared" si="0"/>
        <v>#DIV/0!</v>
      </c>
      <c r="G54" s="884" t="e">
        <f t="shared" si="2"/>
        <v>#DIV/0!</v>
      </c>
      <c r="H54" s="875"/>
      <c r="I54" s="861"/>
      <c r="J54" s="875"/>
      <c r="K54" s="658"/>
      <c r="L54" s="658"/>
      <c r="M54" s="837"/>
      <c r="N54" s="837"/>
      <c r="O54" s="837"/>
      <c r="P54" s="721"/>
      <c r="Q54" s="880"/>
    </row>
    <row r="55" spans="1:17">
      <c r="A55" s="784" t="s">
        <v>783</v>
      </c>
      <c r="B55" s="878"/>
      <c r="C55" s="878">
        <f>+'6A-Project True-up'!C32</f>
        <v>0</v>
      </c>
      <c r="D55" s="659">
        <f>+'6A-Project True-up'!H32+'6A-Project True-up'!I32</f>
        <v>0</v>
      </c>
      <c r="E55" s="659">
        <v>17</v>
      </c>
      <c r="F55" s="876" t="e">
        <f t="shared" si="0"/>
        <v>#DIV/0!</v>
      </c>
      <c r="G55" s="884" t="e">
        <f t="shared" si="2"/>
        <v>#DIV/0!</v>
      </c>
      <c r="H55" s="875"/>
      <c r="I55" s="861"/>
      <c r="J55" s="875"/>
      <c r="K55" s="658"/>
      <c r="L55" s="658"/>
      <c r="M55" s="837"/>
      <c r="N55" s="837"/>
      <c r="O55" s="837"/>
      <c r="P55" s="721"/>
      <c r="Q55" s="880"/>
    </row>
    <row r="56" spans="1:17">
      <c r="A56" s="784" t="s">
        <v>784</v>
      </c>
      <c r="B56" s="878"/>
      <c r="C56" s="878">
        <f>+'6A-Project True-up'!C33</f>
        <v>0</v>
      </c>
      <c r="D56" s="659">
        <f>+'6A-Project True-up'!H33+'6A-Project True-up'!I33</f>
        <v>0</v>
      </c>
      <c r="E56" s="659">
        <v>17</v>
      </c>
      <c r="F56" s="876" t="e">
        <f t="shared" si="0"/>
        <v>#DIV/0!</v>
      </c>
      <c r="G56" s="884" t="e">
        <f t="shared" si="2"/>
        <v>#DIV/0!</v>
      </c>
      <c r="H56" s="875"/>
      <c r="I56" s="861"/>
      <c r="J56" s="875"/>
      <c r="K56" s="658"/>
      <c r="L56" s="658"/>
      <c r="M56" s="837"/>
      <c r="N56" s="837"/>
      <c r="O56" s="837"/>
      <c r="P56" s="721"/>
      <c r="Q56" s="880"/>
    </row>
    <row r="57" spans="1:17">
      <c r="A57" s="784" t="s">
        <v>785</v>
      </c>
      <c r="B57" s="878"/>
      <c r="C57" s="878">
        <f>+'6A-Project True-up'!C34</f>
        <v>0</v>
      </c>
      <c r="D57" s="659">
        <f>+'6A-Project True-up'!H34+'6A-Project True-up'!I34</f>
        <v>0</v>
      </c>
      <c r="E57" s="659">
        <v>17</v>
      </c>
      <c r="F57" s="876" t="e">
        <f t="shared" si="0"/>
        <v>#DIV/0!</v>
      </c>
      <c r="G57" s="884" t="e">
        <f t="shared" si="2"/>
        <v>#DIV/0!</v>
      </c>
      <c r="H57" s="875"/>
      <c r="I57" s="861"/>
      <c r="J57" s="875"/>
      <c r="K57" s="658"/>
      <c r="L57" s="658"/>
      <c r="M57" s="837"/>
      <c r="N57" s="837"/>
      <c r="O57" s="837"/>
      <c r="P57" s="721"/>
      <c r="Q57" s="880"/>
    </row>
    <row r="58" spans="1:17">
      <c r="A58" s="784" t="s">
        <v>1258</v>
      </c>
      <c r="B58" s="878"/>
      <c r="C58" s="878">
        <f>+'6A-Project True-up'!C35</f>
        <v>0</v>
      </c>
      <c r="D58" s="659">
        <f>+'6A-Project True-up'!H35+'6A-Project True-up'!I35</f>
        <v>0</v>
      </c>
      <c r="E58" s="659">
        <v>17</v>
      </c>
      <c r="F58" s="876" t="e">
        <f t="shared" si="0"/>
        <v>#DIV/0!</v>
      </c>
      <c r="G58" s="884" t="e">
        <f t="shared" si="2"/>
        <v>#DIV/0!</v>
      </c>
      <c r="H58" s="875"/>
      <c r="I58" s="837"/>
      <c r="J58" s="837"/>
      <c r="K58" s="658"/>
      <c r="L58" s="658"/>
      <c r="M58" s="837"/>
      <c r="N58" s="837"/>
      <c r="O58" s="837"/>
      <c r="P58" s="721"/>
      <c r="Q58" s="880"/>
    </row>
    <row r="59" spans="1:17">
      <c r="A59" s="784" t="s">
        <v>1287</v>
      </c>
      <c r="B59" s="878"/>
      <c r="C59" s="878">
        <f>+'6A-Project True-up'!B36</f>
        <v>0</v>
      </c>
      <c r="D59" s="659">
        <f>+'6A-Project True-up'!H36+'6A-Project True-up'!I36</f>
        <v>0</v>
      </c>
      <c r="E59" s="659">
        <v>17</v>
      </c>
      <c r="F59" s="876" t="e">
        <f t="shared" si="0"/>
        <v>#DIV/0!</v>
      </c>
      <c r="G59" s="884" t="e">
        <f t="shared" ref="G59" si="3">+D59*E59*F59</f>
        <v>#DIV/0!</v>
      </c>
      <c r="H59" s="875"/>
      <c r="I59" s="837"/>
      <c r="J59" s="837"/>
      <c r="K59" s="658"/>
      <c r="L59" s="658"/>
      <c r="M59" s="837"/>
      <c r="N59" s="837"/>
      <c r="O59" s="837"/>
      <c r="P59" s="721"/>
      <c r="Q59" s="880"/>
    </row>
    <row r="60" spans="1:17">
      <c r="A60" s="784" t="s">
        <v>1288</v>
      </c>
      <c r="B60" s="878"/>
      <c r="C60" s="878">
        <f>+'6A-Project True-up'!B37</f>
        <v>0</v>
      </c>
      <c r="D60" s="659">
        <f>+'6A-Project True-up'!H37+'6A-Project True-up'!I37</f>
        <v>0</v>
      </c>
      <c r="E60" s="659">
        <v>17</v>
      </c>
      <c r="F60" s="876" t="e">
        <f t="shared" si="0"/>
        <v>#DIV/0!</v>
      </c>
      <c r="G60" s="884" t="e">
        <f t="shared" ref="G60:G61" si="4">+D60*E60*F60</f>
        <v>#DIV/0!</v>
      </c>
      <c r="H60" s="875"/>
      <c r="I60" s="837"/>
      <c r="J60" s="837"/>
      <c r="K60" s="658"/>
      <c r="L60" s="658"/>
      <c r="M60" s="837"/>
      <c r="N60" s="837"/>
      <c r="O60" s="837"/>
      <c r="P60" s="721"/>
      <c r="Q60" s="880"/>
    </row>
    <row r="61" spans="1:17">
      <c r="A61" s="784" t="s">
        <v>1289</v>
      </c>
      <c r="B61" s="878"/>
      <c r="C61" s="878">
        <f>+'6A-Project True-up'!B39</f>
        <v>0</v>
      </c>
      <c r="D61" s="875">
        <f>+'6A-Project True-up'!I39</f>
        <v>0</v>
      </c>
      <c r="E61" s="659">
        <v>17</v>
      </c>
      <c r="F61" s="876" t="e">
        <f t="shared" si="0"/>
        <v>#DIV/0!</v>
      </c>
      <c r="G61" s="884" t="e">
        <f t="shared" si="4"/>
        <v>#DIV/0!</v>
      </c>
      <c r="H61" s="875"/>
      <c r="K61" s="658"/>
      <c r="L61" s="658"/>
      <c r="M61" s="837"/>
      <c r="N61" s="837"/>
      <c r="O61" s="837"/>
      <c r="P61" s="721"/>
      <c r="Q61" s="880"/>
    </row>
    <row r="62" spans="1:17">
      <c r="A62" s="784"/>
      <c r="B62" s="878"/>
      <c r="C62" s="878"/>
      <c r="D62" s="875"/>
      <c r="E62" s="659"/>
      <c r="F62" s="876"/>
      <c r="G62" s="877"/>
      <c r="H62" s="875"/>
      <c r="K62" s="658"/>
      <c r="L62" s="658"/>
      <c r="M62" s="837"/>
      <c r="N62" s="837"/>
      <c r="O62" s="837"/>
      <c r="P62" s="721"/>
      <c r="Q62" s="880"/>
    </row>
    <row r="63" spans="1:17">
      <c r="A63" s="784"/>
      <c r="B63" s="878"/>
      <c r="C63" s="878"/>
      <c r="D63" s="875"/>
      <c r="E63" s="659"/>
      <c r="F63" s="876"/>
      <c r="G63" s="877"/>
      <c r="H63" s="875"/>
      <c r="K63" s="658"/>
      <c r="L63" s="658"/>
      <c r="M63" s="837"/>
      <c r="N63" s="837"/>
      <c r="O63" s="837"/>
      <c r="P63" s="721"/>
      <c r="Q63" s="880"/>
    </row>
    <row r="64" spans="1:17">
      <c r="A64" s="784"/>
      <c r="B64" s="878"/>
      <c r="C64" s="878"/>
      <c r="D64" s="875"/>
      <c r="E64" s="659"/>
      <c r="F64" s="876"/>
      <c r="G64" s="877"/>
      <c r="H64" s="875"/>
      <c r="K64" s="658"/>
      <c r="L64" s="658"/>
      <c r="M64" s="837"/>
      <c r="N64" s="837"/>
      <c r="O64" s="837"/>
      <c r="P64" s="721"/>
      <c r="Q64" s="880"/>
    </row>
    <row r="65" spans="1:17">
      <c r="A65" s="784"/>
      <c r="B65" s="878"/>
      <c r="C65" s="878"/>
      <c r="D65" s="875"/>
      <c r="E65" s="659"/>
      <c r="F65" s="876"/>
      <c r="G65" s="877"/>
      <c r="H65" s="875"/>
      <c r="K65" s="658"/>
      <c r="L65" s="658"/>
      <c r="M65" s="837"/>
      <c r="N65" s="837"/>
      <c r="O65" s="837"/>
      <c r="P65" s="721"/>
      <c r="Q65" s="880"/>
    </row>
    <row r="66" spans="1:17">
      <c r="A66" s="784"/>
      <c r="B66" s="1264"/>
      <c r="C66" s="879"/>
      <c r="D66" s="875"/>
      <c r="E66" s="659"/>
      <c r="F66" s="876"/>
      <c r="G66" s="877"/>
      <c r="H66" s="875"/>
      <c r="K66" s="658"/>
      <c r="L66" s="658"/>
      <c r="M66" s="837"/>
      <c r="N66" s="837"/>
      <c r="O66" s="837"/>
      <c r="P66" s="721"/>
      <c r="Q66" s="880"/>
    </row>
    <row r="67" spans="1:17">
      <c r="A67" s="784"/>
      <c r="B67" s="1264"/>
      <c r="C67" s="759"/>
      <c r="D67" s="875"/>
      <c r="E67" s="659"/>
      <c r="F67" s="876"/>
      <c r="G67" s="877"/>
      <c r="H67" s="875"/>
      <c r="K67" s="658"/>
      <c r="L67" s="658"/>
      <c r="M67" s="837"/>
      <c r="N67" s="837"/>
      <c r="O67" s="837"/>
      <c r="P67" s="721"/>
      <c r="Q67" s="880"/>
    </row>
    <row r="68" spans="1:17">
      <c r="A68" s="784"/>
      <c r="B68" s="1264"/>
      <c r="C68" s="759"/>
      <c r="D68" s="875"/>
      <c r="E68" s="659"/>
      <c r="F68" s="876"/>
      <c r="G68" s="877"/>
      <c r="H68" s="875"/>
      <c r="K68" s="658"/>
      <c r="L68" s="658"/>
      <c r="M68" s="837"/>
      <c r="N68" s="837"/>
      <c r="O68" s="837"/>
      <c r="P68" s="721"/>
      <c r="Q68" s="880"/>
    </row>
    <row r="69" spans="1:17">
      <c r="A69" s="784"/>
      <c r="B69" s="1264"/>
      <c r="C69" s="879"/>
      <c r="D69" s="875"/>
      <c r="E69" s="659"/>
      <c r="F69" s="876"/>
      <c r="G69" s="877"/>
      <c r="H69" s="875"/>
      <c r="K69" s="658"/>
      <c r="L69" s="658"/>
      <c r="M69" s="837"/>
      <c r="N69" s="837"/>
      <c r="O69" s="837"/>
      <c r="P69" s="721"/>
      <c r="Q69" s="880"/>
    </row>
    <row r="70" spans="1:17">
      <c r="A70" s="784">
        <v>22</v>
      </c>
      <c r="B70" s="1265" t="s">
        <v>44</v>
      </c>
      <c r="C70" s="881"/>
      <c r="D70" s="885">
        <f>SUM(D41:D69)</f>
        <v>0</v>
      </c>
      <c r="E70" s="882"/>
      <c r="F70" s="882"/>
      <c r="G70" s="886" t="e">
        <f>SUM(G41:G69)</f>
        <v>#DIV/0!</v>
      </c>
      <c r="H70" s="875"/>
      <c r="K70" s="658"/>
      <c r="L70" s="658"/>
      <c r="M70" s="837"/>
      <c r="N70" s="837"/>
      <c r="O70" s="837"/>
      <c r="P70" s="721"/>
      <c r="Q70" s="880"/>
    </row>
    <row r="71" spans="1:17">
      <c r="A71" s="784"/>
      <c r="B71" s="861"/>
      <c r="C71" s="861"/>
      <c r="D71" s="862"/>
      <c r="E71" s="883"/>
      <c r="F71" s="861"/>
      <c r="G71" s="883"/>
      <c r="H71" s="862"/>
      <c r="K71" s="861"/>
      <c r="L71" s="861"/>
      <c r="M71" s="837"/>
      <c r="N71" s="837"/>
      <c r="O71" s="837"/>
      <c r="P71" s="721"/>
      <c r="Q71" s="837"/>
    </row>
    <row r="72" spans="1:17">
      <c r="A72" s="784"/>
      <c r="B72" s="860"/>
      <c r="C72" s="860"/>
      <c r="D72" s="875"/>
      <c r="E72" s="875"/>
      <c r="F72" s="875"/>
      <c r="G72" s="875"/>
      <c r="H72" s="875"/>
      <c r="K72" s="875"/>
      <c r="L72" s="875"/>
      <c r="M72" s="837"/>
      <c r="N72" s="837"/>
      <c r="O72" s="837"/>
      <c r="P72" s="837"/>
      <c r="Q72" s="837"/>
    </row>
    <row r="73" spans="1:17">
      <c r="A73" s="784"/>
      <c r="B73" s="860"/>
      <c r="C73" s="860"/>
      <c r="D73" s="815"/>
      <c r="E73" s="815"/>
      <c r="F73" s="815"/>
      <c r="G73" s="815"/>
      <c r="H73" s="815"/>
      <c r="K73" s="815"/>
      <c r="L73" s="815"/>
    </row>
    <row r="74" spans="1:17">
      <c r="A74" s="784"/>
      <c r="B74" s="860"/>
      <c r="C74" s="860"/>
      <c r="D74" s="815"/>
      <c r="E74" s="815"/>
      <c r="F74" s="815"/>
      <c r="G74" s="815"/>
      <c r="H74" s="815"/>
      <c r="K74" s="815"/>
      <c r="L74" s="815"/>
    </row>
    <row r="75" spans="1:17">
      <c r="A75" s="784"/>
      <c r="B75" s="860"/>
      <c r="C75" s="860"/>
      <c r="D75" s="815"/>
      <c r="E75" s="815"/>
      <c r="F75" s="815"/>
      <c r="G75" s="815"/>
      <c r="H75" s="815"/>
      <c r="K75" s="815"/>
      <c r="L75" s="815"/>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46B3-EB52-4458-8564-291632EA1398}">
  <sheetPr>
    <pageSetUpPr fitToPage="1"/>
  </sheetPr>
  <dimension ref="A1:BB318"/>
  <sheetViews>
    <sheetView topLeftCell="A20" zoomScale="90" zoomScaleNormal="90" zoomScaleSheetLayoutView="100" workbookViewId="0">
      <selection activeCell="P68" sqref="P68"/>
    </sheetView>
  </sheetViews>
  <sheetFormatPr defaultColWidth="9.1796875" defaultRowHeight="12.5"/>
  <cols>
    <col min="1" max="1" width="9.26953125" style="1543" bestFit="1" customWidth="1"/>
    <col min="2" max="2" width="27.54296875" style="1543" customWidth="1"/>
    <col min="3" max="3" width="15.1796875" style="1543" customWidth="1"/>
    <col min="4" max="4" width="13" style="1548" customWidth="1"/>
    <col min="5" max="5" width="13.453125" style="1543" customWidth="1"/>
    <col min="6" max="6" width="12.7265625" style="1543" customWidth="1"/>
    <col min="7" max="7" width="9.81640625" style="1543" bestFit="1" customWidth="1"/>
    <col min="8" max="8" width="9.81640625" style="1549" bestFit="1" customWidth="1"/>
    <col min="9" max="9" width="11.1796875" style="1543" bestFit="1" customWidth="1"/>
    <col min="10" max="10" width="12.7265625" style="1543" customWidth="1"/>
    <col min="11" max="11" width="10" style="1543" bestFit="1" customWidth="1"/>
    <col min="12" max="12" width="11.453125" style="1549" customWidth="1"/>
    <col min="13" max="14" width="12.26953125" style="1543" customWidth="1"/>
    <col min="15" max="15" width="12.81640625" style="1543" customWidth="1"/>
    <col min="16" max="16" width="12.453125" style="1543" customWidth="1"/>
    <col min="17" max="18" width="12.26953125" style="1543" customWidth="1"/>
    <col min="19" max="19" width="12.81640625" style="1543" customWidth="1"/>
    <col min="20" max="20" width="12.453125" style="1543" customWidth="1"/>
    <col min="21" max="21" width="12" style="1543" customWidth="1"/>
    <col min="22" max="22" width="12.54296875" style="1543" customWidth="1"/>
    <col min="23" max="23" width="11.26953125" style="1543" customWidth="1"/>
    <col min="24" max="24" width="10.453125" style="1543" customWidth="1"/>
    <col min="25" max="25" width="12" style="1543" customWidth="1"/>
    <col min="26" max="26" width="12.54296875" style="1543" customWidth="1"/>
    <col min="27" max="27" width="11.26953125" style="1543" customWidth="1"/>
    <col min="28" max="28" width="10.26953125" style="1543" customWidth="1"/>
    <col min="29" max="29" width="12" style="1543" customWidth="1"/>
    <col min="30" max="30" width="12.54296875" style="1543" customWidth="1"/>
    <col min="31" max="31" width="11.26953125" style="1543" customWidth="1"/>
    <col min="32" max="32" width="10.26953125" style="1543" customWidth="1"/>
    <col min="33" max="33" width="12" style="1543" customWidth="1"/>
    <col min="34" max="34" width="12.54296875" style="1543" customWidth="1"/>
    <col min="35" max="35" width="11.26953125" style="1543" customWidth="1"/>
    <col min="36" max="36" width="10.26953125" style="1543" customWidth="1"/>
    <col min="37" max="37" width="12" style="1543" customWidth="1"/>
    <col min="38" max="38" width="12.54296875" style="1543" customWidth="1"/>
    <col min="39" max="39" width="11.26953125" style="1543" customWidth="1"/>
    <col min="40" max="48" width="10.26953125" style="1543" customWidth="1"/>
    <col min="49" max="49" width="13.7265625" style="1543" bestFit="1" customWidth="1"/>
    <col min="50" max="50" width="21.81640625" style="1543" customWidth="1"/>
    <col min="51" max="51" width="18.453125" style="1543" customWidth="1"/>
    <col min="52" max="52" width="12.7265625" style="1543" customWidth="1"/>
    <col min="53" max="53" width="13.26953125" style="1543" bestFit="1" customWidth="1"/>
    <col min="54" max="54" width="10.54296875" style="1543" bestFit="1" customWidth="1"/>
    <col min="55" max="16384" width="9.1796875" style="1543"/>
  </cols>
  <sheetData>
    <row r="1" spans="1:51" ht="18">
      <c r="C1" s="1544" t="str">
        <f>'ATT H-1A'!A4</f>
        <v>Atlantic City Electric Company</v>
      </c>
      <c r="D1" s="1545"/>
      <c r="E1" s="1545"/>
      <c r="F1" s="1545"/>
      <c r="G1" s="1545"/>
      <c r="H1" s="1545"/>
      <c r="I1" s="1545"/>
      <c r="J1" s="1545"/>
      <c r="K1" s="1545"/>
      <c r="L1" s="1545"/>
      <c r="M1" s="1545"/>
      <c r="N1" s="1545"/>
      <c r="O1" s="1545"/>
      <c r="P1" s="1545"/>
    </row>
    <row r="3" spans="1:51" ht="15.5">
      <c r="C3" s="1546" t="s">
        <v>5</v>
      </c>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c r="AD3" s="1546"/>
      <c r="AE3" s="1546"/>
      <c r="AF3" s="1546"/>
      <c r="AG3" s="1546"/>
      <c r="AH3" s="1546"/>
      <c r="AI3" s="1546"/>
      <c r="AJ3" s="1546"/>
      <c r="AK3" s="1546"/>
      <c r="AL3" s="1546"/>
      <c r="AM3" s="1546"/>
      <c r="AN3" s="1546"/>
      <c r="AO3" s="1546"/>
      <c r="AP3" s="1546"/>
      <c r="AQ3" s="1546"/>
      <c r="AR3" s="1546"/>
      <c r="AS3" s="1546"/>
      <c r="AT3" s="1546"/>
      <c r="AU3" s="1546"/>
      <c r="AV3" s="1546"/>
      <c r="AW3" s="1546"/>
      <c r="AX3" s="1546"/>
      <c r="AY3" s="1546"/>
    </row>
    <row r="5" spans="1:51" ht="13">
      <c r="C5" s="1547"/>
    </row>
    <row r="8" spans="1:51">
      <c r="A8" s="1543">
        <v>1</v>
      </c>
      <c r="C8" s="1543" t="s">
        <v>6</v>
      </c>
    </row>
    <row r="10" spans="1:51" ht="13">
      <c r="A10" s="1543">
        <v>2</v>
      </c>
      <c r="C10" s="1550" t="s">
        <v>7</v>
      </c>
    </row>
    <row r="11" spans="1:51" ht="13">
      <c r="A11" s="1543">
        <v>3</v>
      </c>
      <c r="C11" s="1550"/>
      <c r="D11" s="1548" t="s">
        <v>8</v>
      </c>
    </row>
    <row r="12" spans="1:51">
      <c r="A12" s="1543">
        <v>4</v>
      </c>
      <c r="C12" s="1548" t="s">
        <v>9</v>
      </c>
      <c r="D12" s="1548">
        <f>+'ATT H-1A'!A264</f>
        <v>137</v>
      </c>
      <c r="E12" s="1551">
        <f>+'ATT H-1A'!C264</f>
        <v>0</v>
      </c>
      <c r="H12" s="1552"/>
      <c r="K12" s="14">
        <f>+'ATT H-1A'!H301</f>
        <v>8.5794494763668724E-2</v>
      </c>
    </row>
    <row r="13" spans="1:51">
      <c r="A13" s="1543">
        <v>5</v>
      </c>
      <c r="C13" s="1548" t="s">
        <v>10</v>
      </c>
      <c r="D13" s="1548">
        <f>+'ATT H-1A'!A274</f>
        <v>0</v>
      </c>
      <c r="E13" s="1551">
        <f>+'ATT H-1A'!C274</f>
        <v>0</v>
      </c>
      <c r="H13" s="1552"/>
      <c r="K13" s="14">
        <f>+'ATT H-1A'!H311</f>
        <v>9.1164740979438344E-2</v>
      </c>
    </row>
    <row r="14" spans="1:51">
      <c r="A14" s="1543">
        <v>6</v>
      </c>
      <c r="C14" s="1548" t="s">
        <v>11</v>
      </c>
      <c r="E14" s="1543" t="s">
        <v>12</v>
      </c>
      <c r="H14" s="1552"/>
      <c r="K14" s="14">
        <f>+K13-K12</f>
        <v>5.3702462157696196E-3</v>
      </c>
    </row>
    <row r="15" spans="1:51">
      <c r="H15" s="1552"/>
      <c r="K15" s="14"/>
    </row>
    <row r="16" spans="1:51" ht="13">
      <c r="A16" s="1543">
        <v>7</v>
      </c>
      <c r="C16" s="1550" t="s">
        <v>13</v>
      </c>
      <c r="H16" s="1552"/>
      <c r="K16" s="14"/>
    </row>
    <row r="17" spans="1:51" ht="13">
      <c r="C17" s="1550"/>
      <c r="H17" s="1552"/>
      <c r="K17" s="14"/>
    </row>
    <row r="18" spans="1:51">
      <c r="A18" s="1543">
        <v>8</v>
      </c>
      <c r="C18" s="1548" t="s">
        <v>14</v>
      </c>
      <c r="D18" s="1548">
        <f>+'ATT H-1A'!A265</f>
        <v>0</v>
      </c>
      <c r="E18" s="1551">
        <f>+'ATT H-1A'!C265</f>
        <v>0</v>
      </c>
      <c r="H18" s="1552"/>
      <c r="K18" s="14">
        <f>+'ATT H-1A'!H302</f>
        <v>2.6338936800521035E-2</v>
      </c>
    </row>
    <row r="19" spans="1:51">
      <c r="C19" s="1548"/>
      <c r="E19" s="1551"/>
      <c r="H19" s="1552"/>
      <c r="N19" s="14"/>
      <c r="R19" s="14"/>
    </row>
    <row r="20" spans="1:51" ht="15.5">
      <c r="C20" s="1553"/>
    </row>
    <row r="21" spans="1:51" ht="13">
      <c r="A21" s="1543">
        <v>9</v>
      </c>
      <c r="C21" s="1547" t="s">
        <v>15</v>
      </c>
    </row>
    <row r="22" spans="1:51" ht="13">
      <c r="A22" s="1543">
        <v>10</v>
      </c>
      <c r="C22" s="1547" t="s">
        <v>16</v>
      </c>
    </row>
    <row r="23" spans="1:51" ht="25.5" customHeight="1" thickBot="1">
      <c r="A23" s="1543">
        <v>11</v>
      </c>
      <c r="C23" s="1877" t="s">
        <v>17</v>
      </c>
      <c r="D23" s="1878"/>
      <c r="E23" s="1878"/>
      <c r="F23" s="1878"/>
      <c r="G23" s="1878"/>
      <c r="H23" s="1878"/>
      <c r="I23" s="1878"/>
      <c r="J23" s="1878"/>
      <c r="K23" s="1878"/>
      <c r="L23" s="1878"/>
      <c r="M23" s="1878"/>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c r="AT23" s="1878"/>
      <c r="AU23" s="1878"/>
      <c r="AV23" s="1878"/>
      <c r="AW23" s="1878"/>
      <c r="AX23" s="1554"/>
      <c r="AY23" s="1554"/>
    </row>
    <row r="24" spans="1:51" ht="13">
      <c r="C24" s="1555" t="s">
        <v>18</v>
      </c>
      <c r="D24" s="1556"/>
      <c r="E24" s="1879" t="s">
        <v>1580</v>
      </c>
      <c r="F24" s="1880"/>
      <c r="G24" s="1880"/>
      <c r="H24" s="1881"/>
      <c r="I24" s="1879" t="s">
        <v>1581</v>
      </c>
      <c r="J24" s="1880"/>
      <c r="K24" s="1880"/>
      <c r="L24" s="1881"/>
      <c r="M24" s="1879" t="s">
        <v>1582</v>
      </c>
      <c r="N24" s="1880"/>
      <c r="O24" s="1880"/>
      <c r="P24" s="1881"/>
      <c r="Q24" s="1879" t="s">
        <v>1583</v>
      </c>
      <c r="R24" s="1880"/>
      <c r="S24" s="1880"/>
      <c r="T24" s="1881"/>
      <c r="U24" s="1557" t="s">
        <v>1584</v>
      </c>
      <c r="V24" s="1558"/>
      <c r="W24" s="1558"/>
      <c r="X24" s="1559"/>
      <c r="Y24" s="1560" t="s">
        <v>1585</v>
      </c>
      <c r="Z24" s="1561"/>
      <c r="AA24" s="1561"/>
      <c r="AB24" s="1562"/>
      <c r="AC24" s="1560" t="s">
        <v>1586</v>
      </c>
      <c r="AD24" s="1561"/>
      <c r="AE24" s="1561"/>
      <c r="AF24" s="1562"/>
      <c r="AG24" s="1560" t="s">
        <v>1587</v>
      </c>
      <c r="AH24" s="1561"/>
      <c r="AI24" s="1561"/>
      <c r="AJ24" s="1562"/>
      <c r="AK24" s="1879" t="s">
        <v>1588</v>
      </c>
      <c r="AL24" s="1882"/>
      <c r="AM24" s="1882"/>
      <c r="AN24" s="1883"/>
      <c r="AO24" s="1884" t="s">
        <v>1809</v>
      </c>
      <c r="AP24" s="1885"/>
      <c r="AQ24" s="1885"/>
      <c r="AR24" s="1886"/>
      <c r="AS24" s="1884" t="s">
        <v>1810</v>
      </c>
      <c r="AT24" s="1885"/>
      <c r="AU24" s="1885"/>
      <c r="AV24" s="1886"/>
      <c r="AW24" s="1561"/>
      <c r="AX24" s="1555"/>
      <c r="AY24" s="1563"/>
    </row>
    <row r="25" spans="1:51" ht="37.5">
      <c r="A25" s="1543">
        <v>12</v>
      </c>
      <c r="B25" s="17" t="s">
        <v>19</v>
      </c>
      <c r="C25" s="1564" t="s">
        <v>20</v>
      </c>
      <c r="D25" s="1565" t="s">
        <v>21</v>
      </c>
      <c r="E25" s="1566" t="s">
        <v>22</v>
      </c>
      <c r="F25" s="1548"/>
      <c r="G25" s="1548"/>
      <c r="H25" s="1567"/>
      <c r="I25" s="1566" t="s">
        <v>22</v>
      </c>
      <c r="J25" s="1568"/>
      <c r="K25" s="1568"/>
      <c r="L25" s="1569"/>
      <c r="M25" s="1566" t="s">
        <v>22</v>
      </c>
      <c r="N25" s="1548"/>
      <c r="O25" s="1548"/>
      <c r="P25" s="1567"/>
      <c r="Q25" s="1566" t="s">
        <v>22</v>
      </c>
      <c r="R25" s="1548"/>
      <c r="S25" s="1548"/>
      <c r="T25" s="1567"/>
      <c r="U25" s="1570" t="s">
        <v>22</v>
      </c>
      <c r="V25" s="1571"/>
      <c r="W25" s="1571"/>
      <c r="X25" s="1572"/>
      <c r="Y25" s="1570" t="s">
        <v>23</v>
      </c>
      <c r="Z25" s="1571"/>
      <c r="AA25" s="1571"/>
      <c r="AB25" s="1572"/>
      <c r="AC25" s="1570" t="s">
        <v>22</v>
      </c>
      <c r="AD25" s="1571"/>
      <c r="AE25" s="1571"/>
      <c r="AF25" s="1572"/>
      <c r="AG25" s="1570" t="s">
        <v>22</v>
      </c>
      <c r="AH25" s="1571"/>
      <c r="AI25" s="1571"/>
      <c r="AJ25" s="1572"/>
      <c r="AK25" s="1570" t="s">
        <v>22</v>
      </c>
      <c r="AL25" s="1571"/>
      <c r="AM25" s="1571"/>
      <c r="AN25" s="1572"/>
      <c r="AO25" s="146" t="s">
        <v>22</v>
      </c>
      <c r="AP25" s="1623"/>
      <c r="AQ25" s="1623"/>
      <c r="AR25" s="1720"/>
      <c r="AS25" s="146" t="s">
        <v>22</v>
      </c>
      <c r="AT25" s="1623"/>
      <c r="AU25" s="1623"/>
      <c r="AV25" s="1720"/>
      <c r="AW25" s="1571"/>
      <c r="AX25" s="1564"/>
      <c r="AY25" s="1573"/>
    </row>
    <row r="26" spans="1:51" ht="13">
      <c r="A26" s="1543">
        <v>13</v>
      </c>
      <c r="B26" s="1543" t="s">
        <v>24</v>
      </c>
      <c r="C26" s="1564" t="s">
        <v>25</v>
      </c>
      <c r="D26" s="1565"/>
      <c r="E26" s="1566">
        <v>35</v>
      </c>
      <c r="F26" s="1574"/>
      <c r="G26" s="1574"/>
      <c r="H26" s="24"/>
      <c r="I26" s="1566">
        <v>35</v>
      </c>
      <c r="J26" s="1574"/>
      <c r="K26" s="1574"/>
      <c r="L26" s="24"/>
      <c r="M26" s="1566">
        <v>35</v>
      </c>
      <c r="N26" s="1574"/>
      <c r="O26" s="1574"/>
      <c r="P26" s="1565"/>
      <c r="Q26" s="1566">
        <v>35</v>
      </c>
      <c r="R26" s="1574"/>
      <c r="S26" s="1574"/>
      <c r="T26" s="1565"/>
      <c r="U26" s="1566">
        <v>35</v>
      </c>
      <c r="V26" s="1574"/>
      <c r="W26" s="1574"/>
      <c r="X26" s="1565"/>
      <c r="Y26" s="1566">
        <v>35</v>
      </c>
      <c r="Z26" s="1574"/>
      <c r="AA26" s="1574"/>
      <c r="AB26" s="1565"/>
      <c r="AC26" s="1566">
        <v>35</v>
      </c>
      <c r="AD26" s="1574"/>
      <c r="AE26" s="1574"/>
      <c r="AF26" s="1565"/>
      <c r="AG26" s="1566">
        <v>35</v>
      </c>
      <c r="AH26" s="1574"/>
      <c r="AI26" s="1574"/>
      <c r="AJ26" s="1565"/>
      <c r="AK26" s="1566">
        <v>35</v>
      </c>
      <c r="AL26" s="1574"/>
      <c r="AM26" s="1574"/>
      <c r="AN26" s="1565"/>
      <c r="AO26" s="1721">
        <v>35</v>
      </c>
      <c r="AP26" s="1722"/>
      <c r="AQ26" s="1722"/>
      <c r="AR26" s="1723"/>
      <c r="AS26" s="1721">
        <v>35</v>
      </c>
      <c r="AT26" s="1722"/>
      <c r="AU26" s="1722"/>
      <c r="AV26" s="1723"/>
      <c r="AW26" s="1574"/>
      <c r="AX26" s="1564"/>
      <c r="AY26" s="1573"/>
    </row>
    <row r="27" spans="1:51" ht="50">
      <c r="A27" s="1543">
        <v>14</v>
      </c>
      <c r="B27" s="17" t="s">
        <v>26</v>
      </c>
      <c r="C27" s="1564" t="s">
        <v>27</v>
      </c>
      <c r="D27" s="1565" t="s">
        <v>21</v>
      </c>
      <c r="E27" s="1566" t="s">
        <v>23</v>
      </c>
      <c r="F27" s="1574"/>
      <c r="G27" s="1574"/>
      <c r="H27" s="24"/>
      <c r="I27" s="1566" t="s">
        <v>23</v>
      </c>
      <c r="J27" s="1574"/>
      <c r="K27" s="1574"/>
      <c r="L27" s="24"/>
      <c r="M27" s="1566" t="s">
        <v>23</v>
      </c>
      <c r="N27" s="1574"/>
      <c r="O27" s="1574"/>
      <c r="P27" s="1565"/>
      <c r="Q27" s="1566" t="s">
        <v>23</v>
      </c>
      <c r="R27" s="1574"/>
      <c r="S27" s="1574"/>
      <c r="T27" s="1565"/>
      <c r="U27" s="1566" t="s">
        <v>23</v>
      </c>
      <c r="V27" s="1574"/>
      <c r="W27" s="1574"/>
      <c r="X27" s="1565"/>
      <c r="Y27" s="1566" t="s">
        <v>23</v>
      </c>
      <c r="Z27" s="1574"/>
      <c r="AA27" s="1574"/>
      <c r="AB27" s="1565"/>
      <c r="AC27" s="1566" t="s">
        <v>23</v>
      </c>
      <c r="AD27" s="1574"/>
      <c r="AE27" s="1574"/>
      <c r="AF27" s="1565"/>
      <c r="AG27" s="1566" t="s">
        <v>23</v>
      </c>
      <c r="AH27" s="1574"/>
      <c r="AI27" s="1574"/>
      <c r="AJ27" s="1565"/>
      <c r="AK27" s="1566" t="s">
        <v>23</v>
      </c>
      <c r="AL27" s="1574"/>
      <c r="AM27" s="1574"/>
      <c r="AN27" s="1565"/>
      <c r="AO27" s="1721" t="s">
        <v>23</v>
      </c>
      <c r="AP27" s="1722"/>
      <c r="AQ27" s="1722"/>
      <c r="AR27" s="1723"/>
      <c r="AS27" s="1721" t="s">
        <v>23</v>
      </c>
      <c r="AT27" s="1722"/>
      <c r="AU27" s="1722"/>
      <c r="AV27" s="1723"/>
      <c r="AW27" s="1574"/>
      <c r="AX27" s="1564"/>
      <c r="AY27" s="1573"/>
    </row>
    <row r="28" spans="1:51" ht="13">
      <c r="A28" s="1543">
        <v>15</v>
      </c>
      <c r="B28" s="17" t="s">
        <v>28</v>
      </c>
      <c r="C28" s="1564" t="s">
        <v>29</v>
      </c>
      <c r="D28" s="1565"/>
      <c r="E28" s="1566">
        <v>150</v>
      </c>
      <c r="F28" s="1574"/>
      <c r="G28" s="1574"/>
      <c r="H28" s="24"/>
      <c r="I28" s="1566">
        <v>0</v>
      </c>
      <c r="J28" s="1574"/>
      <c r="K28" s="1574"/>
      <c r="L28" s="24"/>
      <c r="M28" s="1566">
        <v>0</v>
      </c>
      <c r="N28" s="1574"/>
      <c r="O28" s="1574"/>
      <c r="P28" s="1565"/>
      <c r="Q28" s="1566">
        <v>150</v>
      </c>
      <c r="R28" s="1574"/>
      <c r="S28" s="1574"/>
      <c r="T28" s="1565"/>
      <c r="U28" s="1566">
        <v>150</v>
      </c>
      <c r="V28" s="1574"/>
      <c r="W28" s="1574"/>
      <c r="X28" s="1565"/>
      <c r="Y28" s="1566">
        <v>150</v>
      </c>
      <c r="Z28" s="1574"/>
      <c r="AA28" s="1574"/>
      <c r="AB28" s="1565"/>
      <c r="AC28" s="1566">
        <v>0</v>
      </c>
      <c r="AD28" s="1574"/>
      <c r="AE28" s="1574"/>
      <c r="AF28" s="1565"/>
      <c r="AG28" s="1566">
        <v>0</v>
      </c>
      <c r="AH28" s="1574"/>
      <c r="AI28" s="1574"/>
      <c r="AJ28" s="1565"/>
      <c r="AK28" s="1566">
        <v>0</v>
      </c>
      <c r="AL28" s="1574"/>
      <c r="AM28" s="1574"/>
      <c r="AN28" s="1565"/>
      <c r="AO28" s="1721">
        <v>0</v>
      </c>
      <c r="AP28" s="1722"/>
      <c r="AQ28" s="1722"/>
      <c r="AR28" s="1723"/>
      <c r="AS28" s="1721">
        <v>0</v>
      </c>
      <c r="AT28" s="1722"/>
      <c r="AU28" s="1722"/>
      <c r="AV28" s="1723"/>
      <c r="AW28" s="1574"/>
      <c r="AX28" s="1564"/>
      <c r="AY28" s="1573"/>
    </row>
    <row r="29" spans="1:51" ht="37.5">
      <c r="A29" s="1543">
        <v>16</v>
      </c>
      <c r="B29" s="17" t="s">
        <v>30</v>
      </c>
      <c r="C29" s="1564" t="s">
        <v>31</v>
      </c>
      <c r="D29" s="1565"/>
      <c r="E29" s="1575">
        <f>K12</f>
        <v>8.5794494763668724E-2</v>
      </c>
      <c r="F29" s="1576"/>
      <c r="G29" s="1577">
        <f>+E30-E29</f>
        <v>8.0553693236544294E-3</v>
      </c>
      <c r="H29" s="25"/>
      <c r="I29" s="1575">
        <f>$K$12</f>
        <v>8.5794494763668724E-2</v>
      </c>
      <c r="J29" s="1576"/>
      <c r="K29" s="1576"/>
      <c r="L29" s="25"/>
      <c r="M29" s="1575">
        <f>$K$12</f>
        <v>8.5794494763668724E-2</v>
      </c>
      <c r="N29" s="1574"/>
      <c r="O29" s="1574"/>
      <c r="P29" s="1565"/>
      <c r="Q29" s="1575">
        <f>$K$12</f>
        <v>8.5794494763668724E-2</v>
      </c>
      <c r="R29" s="1574"/>
      <c r="S29" s="1574"/>
      <c r="T29" s="1565"/>
      <c r="U29" s="1575">
        <f>$K$12</f>
        <v>8.5794494763668724E-2</v>
      </c>
      <c r="V29" s="1576"/>
      <c r="W29" s="1576"/>
      <c r="X29" s="1573"/>
      <c r="Y29" s="1575">
        <f>$K$12</f>
        <v>8.5794494763668724E-2</v>
      </c>
      <c r="Z29" s="1576"/>
      <c r="AA29" s="1576"/>
      <c r="AB29" s="1573"/>
      <c r="AC29" s="1575">
        <f>$K$12</f>
        <v>8.5794494763668724E-2</v>
      </c>
      <c r="AD29" s="1576"/>
      <c r="AE29" s="1576"/>
      <c r="AF29" s="1573"/>
      <c r="AG29" s="1575">
        <f>$K$12</f>
        <v>8.5794494763668724E-2</v>
      </c>
      <c r="AH29" s="1576"/>
      <c r="AI29" s="1576"/>
      <c r="AJ29" s="1573"/>
      <c r="AK29" s="1575">
        <f>$K$12</f>
        <v>8.5794494763668724E-2</v>
      </c>
      <c r="AL29" s="1576"/>
      <c r="AM29" s="1576"/>
      <c r="AN29" s="1573"/>
      <c r="AO29" s="1724">
        <f>$K$12</f>
        <v>8.5794494763668724E-2</v>
      </c>
      <c r="AP29" s="43"/>
      <c r="AQ29" s="43"/>
      <c r="AR29" s="22"/>
      <c r="AS29" s="1724">
        <f>$K$12</f>
        <v>8.5794494763668724E-2</v>
      </c>
      <c r="AT29" s="43"/>
      <c r="AU29" s="43"/>
      <c r="AV29" s="22"/>
      <c r="AW29" s="1576"/>
      <c r="AX29" s="1564"/>
      <c r="AY29" s="1573"/>
    </row>
    <row r="30" spans="1:51" ht="25">
      <c r="A30" s="1543">
        <v>17</v>
      </c>
      <c r="B30" s="17" t="s">
        <v>32</v>
      </c>
      <c r="C30" s="1564" t="s">
        <v>33</v>
      </c>
      <c r="D30" s="1578"/>
      <c r="E30" s="1579">
        <f>+$K14*E28/100+E29</f>
        <v>9.3849864087323154E-2</v>
      </c>
      <c r="F30" s="1580"/>
      <c r="G30" s="1580"/>
      <c r="H30" s="1581"/>
      <c r="I30" s="1579">
        <f>+$K14*I28/100+I29</f>
        <v>8.5794494763668724E-2</v>
      </c>
      <c r="J30" s="1580"/>
      <c r="K30" s="1580"/>
      <c r="L30" s="1581"/>
      <c r="M30" s="1579">
        <f>+$K14*M28/100+M29</f>
        <v>8.5794494763668724E-2</v>
      </c>
      <c r="N30" s="1576"/>
      <c r="O30" s="1576"/>
      <c r="P30" s="1573"/>
      <c r="Q30" s="1579">
        <f>+$K14*Q28/100+Q29</f>
        <v>9.3849864087323154E-2</v>
      </c>
      <c r="R30" s="1576"/>
      <c r="S30" s="1576"/>
      <c r="T30" s="1573"/>
      <c r="U30" s="1579">
        <f>+$K14*U28/100+U29</f>
        <v>9.3849864087323154E-2</v>
      </c>
      <c r="V30" s="1576"/>
      <c r="W30" s="1576"/>
      <c r="X30" s="1573"/>
      <c r="Y30" s="1579">
        <f>+$K14*Y28/100+Y29</f>
        <v>9.3849864087323154E-2</v>
      </c>
      <c r="Z30" s="1576"/>
      <c r="AA30" s="1576"/>
      <c r="AB30" s="1573"/>
      <c r="AC30" s="1579">
        <f>+$K14*AC28/100+AC29</f>
        <v>8.5794494763668724E-2</v>
      </c>
      <c r="AD30" s="1576"/>
      <c r="AE30" s="1576"/>
      <c r="AF30" s="1573"/>
      <c r="AG30" s="1579">
        <f>+$K14*AG28/100+AG29</f>
        <v>8.5794494763668724E-2</v>
      </c>
      <c r="AH30" s="1576"/>
      <c r="AI30" s="1576"/>
      <c r="AJ30" s="1573"/>
      <c r="AK30" s="1579">
        <f>+$K14*AK28/100+AK29</f>
        <v>8.5794494763668724E-2</v>
      </c>
      <c r="AL30" s="1576"/>
      <c r="AM30" s="1576"/>
      <c r="AN30" s="1573"/>
      <c r="AO30" s="1579">
        <f>+$K14*AO28/100+AO29</f>
        <v>8.5794494763668724E-2</v>
      </c>
      <c r="AP30" s="43"/>
      <c r="AQ30" s="43"/>
      <c r="AR30" s="22"/>
      <c r="AS30" s="1579">
        <f>+$K14*AS28/100+AS29</f>
        <v>8.5794494763668724E-2</v>
      </c>
      <c r="AT30" s="43"/>
      <c r="AU30" s="43"/>
      <c r="AV30" s="22"/>
      <c r="AW30" s="1576"/>
      <c r="AX30" s="1564"/>
      <c r="AY30" s="1573"/>
    </row>
    <row r="31" spans="1:51" ht="25.5">
      <c r="A31" s="1543">
        <v>18</v>
      </c>
      <c r="B31" s="1582" t="s">
        <v>34</v>
      </c>
      <c r="C31" s="1564" t="s">
        <v>35</v>
      </c>
      <c r="D31" s="1565"/>
      <c r="E31" s="1583">
        <v>4854660</v>
      </c>
      <c r="F31" s="1584" t="s">
        <v>1589</v>
      </c>
      <c r="G31" s="1584"/>
      <c r="H31" s="1585"/>
      <c r="I31" s="26">
        <v>7878071</v>
      </c>
      <c r="J31" s="27"/>
      <c r="K31" s="27"/>
      <c r="L31" s="25"/>
      <c r="M31" s="26">
        <v>13722120</v>
      </c>
      <c r="N31" s="27"/>
      <c r="O31" s="27"/>
      <c r="P31" s="25"/>
      <c r="Q31" s="26">
        <v>26046638</v>
      </c>
      <c r="R31" s="27"/>
      <c r="S31" s="27"/>
      <c r="T31" s="25"/>
      <c r="U31" s="26">
        <v>18572212</v>
      </c>
      <c r="V31" s="27"/>
      <c r="W31" s="27"/>
      <c r="X31" s="25"/>
      <c r="Y31" s="26">
        <v>6759777</v>
      </c>
      <c r="Z31" s="27"/>
      <c r="AA31" s="27"/>
      <c r="AB31" s="25"/>
      <c r="AC31" s="26">
        <v>4045398</v>
      </c>
      <c r="AD31" s="27"/>
      <c r="AE31" s="27"/>
      <c r="AF31" s="25"/>
      <c r="AG31" s="26">
        <v>13176210</v>
      </c>
      <c r="AH31" s="27"/>
      <c r="AI31" s="27"/>
      <c r="AJ31" s="25"/>
      <c r="AK31" s="26">
        <v>14841978</v>
      </c>
      <c r="AL31" s="27"/>
      <c r="AM31" s="27"/>
      <c r="AN31" s="25"/>
      <c r="AO31" s="26">
        <v>13000000</v>
      </c>
      <c r="AP31" s="27"/>
      <c r="AQ31" s="27"/>
      <c r="AR31" s="25"/>
      <c r="AS31" s="26">
        <f>0.07*1000000</f>
        <v>70000</v>
      </c>
      <c r="AT31" s="27"/>
      <c r="AU31" s="27"/>
      <c r="AV31" s="25"/>
      <c r="AW31" s="27"/>
      <c r="AX31" s="1564"/>
      <c r="AY31" s="1573"/>
    </row>
    <row r="32" spans="1:51" ht="13">
      <c r="A32" s="1543">
        <v>19</v>
      </c>
      <c r="B32" s="1586" t="s">
        <v>36</v>
      </c>
      <c r="C32" s="1564" t="s">
        <v>1590</v>
      </c>
      <c r="D32" s="1565"/>
      <c r="E32" s="29">
        <f>IF(E31=0,0,E31/E26)</f>
        <v>138704.57142857142</v>
      </c>
      <c r="F32" s="27"/>
      <c r="G32" s="27"/>
      <c r="H32" s="25"/>
      <c r="I32" s="29">
        <f>IF(I31=0,0,I31/I26)</f>
        <v>225087.74285714285</v>
      </c>
      <c r="J32" s="27"/>
      <c r="K32" s="27"/>
      <c r="L32" s="25"/>
      <c r="M32" s="29">
        <f>IF(M26=0,0,M31/M26)</f>
        <v>392060.57142857142</v>
      </c>
      <c r="N32" s="27"/>
      <c r="O32" s="27"/>
      <c r="P32" s="25"/>
      <c r="Q32" s="29">
        <f>IF(Q31=0,0,Q31/Q26)</f>
        <v>744189.65714285709</v>
      </c>
      <c r="R32" s="27"/>
      <c r="S32" s="27"/>
      <c r="T32" s="25"/>
      <c r="U32" s="29">
        <f>IF(U31=0,0,U31/U26)</f>
        <v>530634.62857142859</v>
      </c>
      <c r="V32" s="27"/>
      <c r="W32" s="27"/>
      <c r="X32" s="25"/>
      <c r="Y32" s="29">
        <f>IF(Y31=0,0,Y31/Y26)</f>
        <v>193136.48571428572</v>
      </c>
      <c r="Z32" s="27"/>
      <c r="AA32" s="27"/>
      <c r="AB32" s="25"/>
      <c r="AC32" s="29">
        <f>IF(AC31=0,0,AC31/AC26)</f>
        <v>115582.8</v>
      </c>
      <c r="AD32" s="27"/>
      <c r="AE32" s="27"/>
      <c r="AF32" s="25"/>
      <c r="AG32" s="29">
        <f>IF(AG31=0,0,AG31/AG26)</f>
        <v>376463.14285714284</v>
      </c>
      <c r="AH32" s="27"/>
      <c r="AI32" s="27"/>
      <c r="AJ32" s="25"/>
      <c r="AK32" s="29">
        <f>IF(AK31=0,0,AK31/AK26)</f>
        <v>424056.51428571431</v>
      </c>
      <c r="AL32" s="27"/>
      <c r="AM32" s="27"/>
      <c r="AN32" s="25"/>
      <c r="AO32" s="29">
        <f>IF(AO31=0,0,AO31/AO26)</f>
        <v>371428.57142857142</v>
      </c>
      <c r="AP32" s="27"/>
      <c r="AQ32" s="27"/>
      <c r="AR32" s="25"/>
      <c r="AS32" s="29">
        <f>IF(AS31=0,0,AS31/AS26)</f>
        <v>2000</v>
      </c>
      <c r="AT32" s="27"/>
      <c r="AU32" s="27"/>
      <c r="AV32" s="25"/>
      <c r="AW32" s="27"/>
      <c r="AX32" s="1564"/>
      <c r="AY32" s="1573"/>
    </row>
    <row r="33" spans="1:52" ht="27" customHeight="1">
      <c r="A33" s="1543">
        <f>+A32+1</f>
        <v>20</v>
      </c>
      <c r="B33" s="17" t="s">
        <v>37</v>
      </c>
      <c r="C33" s="1875" t="s">
        <v>38</v>
      </c>
      <c r="D33" s="1876"/>
      <c r="E33" s="1587">
        <v>6</v>
      </c>
      <c r="F33" s="1588"/>
      <c r="G33" s="1588"/>
      <c r="H33" s="1589"/>
      <c r="I33" s="1587">
        <v>6</v>
      </c>
      <c r="J33" s="1588"/>
      <c r="K33" s="1588"/>
      <c r="L33" s="1589"/>
      <c r="M33" s="1587">
        <v>9</v>
      </c>
      <c r="N33" s="1588"/>
      <c r="O33" s="1588"/>
      <c r="P33" s="1589"/>
      <c r="Q33" s="1587">
        <v>7</v>
      </c>
      <c r="R33" s="1263"/>
      <c r="S33" s="1263"/>
      <c r="T33" s="1262"/>
      <c r="U33" s="26">
        <v>7</v>
      </c>
      <c r="V33" s="1263"/>
      <c r="W33" s="1263"/>
      <c r="X33" s="1262"/>
      <c r="Y33" s="26">
        <v>2</v>
      </c>
      <c r="Z33" s="1263"/>
      <c r="AA33" s="1263"/>
      <c r="AB33" s="1262"/>
      <c r="AC33" s="26">
        <v>5</v>
      </c>
      <c r="AD33" s="1263"/>
      <c r="AE33" s="1263"/>
      <c r="AF33" s="1262"/>
      <c r="AG33" s="26">
        <v>5</v>
      </c>
      <c r="AH33" s="1263"/>
      <c r="AI33" s="1263"/>
      <c r="AJ33" s="1262"/>
      <c r="AK33" s="26">
        <v>6</v>
      </c>
      <c r="AL33" s="1263"/>
      <c r="AM33" s="1263"/>
      <c r="AN33" s="1262"/>
      <c r="AO33" s="26">
        <v>1</v>
      </c>
      <c r="AP33" s="1263"/>
      <c r="AQ33" s="1263"/>
      <c r="AR33" s="1262"/>
      <c r="AS33" s="26">
        <v>3</v>
      </c>
      <c r="AT33" s="1263"/>
      <c r="AU33" s="1263"/>
      <c r="AV33" s="1262"/>
      <c r="AW33" s="1263"/>
      <c r="AX33" s="1564"/>
      <c r="AY33" s="1573"/>
    </row>
    <row r="34" spans="1:52" ht="13.5" thickBot="1">
      <c r="C34" s="1590"/>
      <c r="D34" s="1591"/>
      <c r="E34" s="34"/>
      <c r="F34" s="35"/>
      <c r="G34" s="35"/>
      <c r="H34" s="36"/>
      <c r="I34" s="34"/>
      <c r="J34" s="35"/>
      <c r="K34" s="35"/>
      <c r="L34" s="36"/>
      <c r="M34" s="34"/>
      <c r="N34" s="35"/>
      <c r="O34" s="35"/>
      <c r="P34" s="36"/>
      <c r="Q34" s="34"/>
      <c r="R34" s="35"/>
      <c r="S34" s="35"/>
      <c r="T34" s="36"/>
      <c r="U34" s="34"/>
      <c r="V34" s="35"/>
      <c r="W34" s="35"/>
      <c r="X34" s="36"/>
      <c r="Y34" s="34"/>
      <c r="Z34" s="35"/>
      <c r="AA34" s="35"/>
      <c r="AB34" s="36"/>
      <c r="AC34" s="34"/>
      <c r="AD34" s="35"/>
      <c r="AE34" s="35"/>
      <c r="AF34" s="36"/>
      <c r="AG34" s="34"/>
      <c r="AH34" s="35"/>
      <c r="AI34" s="35"/>
      <c r="AJ34" s="36"/>
      <c r="AK34" s="34"/>
      <c r="AL34" s="35"/>
      <c r="AM34" s="35"/>
      <c r="AN34" s="36"/>
      <c r="AO34" s="35"/>
      <c r="AP34" s="35"/>
      <c r="AQ34" s="35"/>
      <c r="AR34" s="35"/>
      <c r="AS34" s="34"/>
      <c r="AT34" s="35"/>
      <c r="AU34" s="35"/>
      <c r="AV34" s="36"/>
      <c r="AW34" s="35"/>
      <c r="AX34" s="1590"/>
      <c r="AY34" s="1592"/>
    </row>
    <row r="35" spans="1:52" ht="13">
      <c r="C35" s="1555"/>
      <c r="D35" s="1593" t="s">
        <v>39</v>
      </c>
      <c r="E35" s="1594" t="s">
        <v>40</v>
      </c>
      <c r="F35" s="1594" t="s">
        <v>41</v>
      </c>
      <c r="G35" s="1594" t="s">
        <v>42</v>
      </c>
      <c r="H35" s="1595" t="s">
        <v>43</v>
      </c>
      <c r="I35" s="1594" t="s">
        <v>40</v>
      </c>
      <c r="J35" s="1594" t="s">
        <v>41</v>
      </c>
      <c r="K35" s="1594" t="s">
        <v>42</v>
      </c>
      <c r="L35" s="1596" t="s">
        <v>43</v>
      </c>
      <c r="M35" s="1597" t="s">
        <v>40</v>
      </c>
      <c r="N35" s="1594" t="s">
        <v>41</v>
      </c>
      <c r="O35" s="1594" t="s">
        <v>42</v>
      </c>
      <c r="P35" s="1596" t="s">
        <v>43</v>
      </c>
      <c r="Q35" s="1597" t="s">
        <v>40</v>
      </c>
      <c r="R35" s="1594" t="s">
        <v>41</v>
      </c>
      <c r="S35" s="1594" t="s">
        <v>42</v>
      </c>
      <c r="T35" s="1596" t="s">
        <v>43</v>
      </c>
      <c r="U35" s="1597" t="s">
        <v>40</v>
      </c>
      <c r="V35" s="1594" t="s">
        <v>41</v>
      </c>
      <c r="W35" s="1594" t="s">
        <v>42</v>
      </c>
      <c r="X35" s="1596" t="s">
        <v>43</v>
      </c>
      <c r="Y35" s="1597" t="s">
        <v>40</v>
      </c>
      <c r="Z35" s="1594" t="s">
        <v>41</v>
      </c>
      <c r="AA35" s="1594" t="s">
        <v>42</v>
      </c>
      <c r="AB35" s="1596" t="s">
        <v>43</v>
      </c>
      <c r="AC35" s="1597" t="s">
        <v>40</v>
      </c>
      <c r="AD35" s="1594" t="s">
        <v>41</v>
      </c>
      <c r="AE35" s="1594" t="s">
        <v>42</v>
      </c>
      <c r="AF35" s="1596" t="s">
        <v>43</v>
      </c>
      <c r="AG35" s="1597" t="s">
        <v>40</v>
      </c>
      <c r="AH35" s="1594" t="s">
        <v>41</v>
      </c>
      <c r="AI35" s="1594" t="s">
        <v>42</v>
      </c>
      <c r="AJ35" s="1596" t="s">
        <v>43</v>
      </c>
      <c r="AK35" s="1597" t="s">
        <v>40</v>
      </c>
      <c r="AL35" s="1594" t="s">
        <v>41</v>
      </c>
      <c r="AM35" s="1594" t="s">
        <v>42</v>
      </c>
      <c r="AN35" s="1596" t="s">
        <v>43</v>
      </c>
      <c r="AO35" s="1717" t="s">
        <v>40</v>
      </c>
      <c r="AP35" s="1718" t="s">
        <v>41</v>
      </c>
      <c r="AQ35" s="1718" t="s">
        <v>42</v>
      </c>
      <c r="AR35" s="1719" t="s">
        <v>43</v>
      </c>
      <c r="AS35" s="1717" t="s">
        <v>40</v>
      </c>
      <c r="AT35" s="1718" t="s">
        <v>41</v>
      </c>
      <c r="AU35" s="1718" t="s">
        <v>42</v>
      </c>
      <c r="AV35" s="1719" t="s">
        <v>43</v>
      </c>
      <c r="AW35" s="1593" t="s">
        <v>44</v>
      </c>
      <c r="AX35" s="1571" t="s">
        <v>45</v>
      </c>
      <c r="AY35" s="1572" t="s">
        <v>46</v>
      </c>
    </row>
    <row r="36" spans="1:52" ht="12.75" hidden="1" customHeight="1">
      <c r="A36" s="1543">
        <f>+A33+1</f>
        <v>21</v>
      </c>
      <c r="C36" s="1564" t="str">
        <f>+C29</f>
        <v>Base FCR</v>
      </c>
      <c r="D36" s="1598">
        <v>2008</v>
      </c>
      <c r="E36" s="1599"/>
      <c r="F36" s="27"/>
      <c r="G36" s="1599">
        <v>0</v>
      </c>
      <c r="H36" s="25">
        <v>0</v>
      </c>
      <c r="I36" s="1599"/>
      <c r="J36" s="1263"/>
      <c r="K36" s="1599">
        <v>0</v>
      </c>
      <c r="L36" s="1262">
        <v>0</v>
      </c>
      <c r="M36" s="1599">
        <v>13722120</v>
      </c>
      <c r="N36" s="1263">
        <v>98015.142857142855</v>
      </c>
      <c r="O36" s="1599">
        <v>13624104.857142856</v>
      </c>
      <c r="P36" s="1262">
        <v>605809.1932136229</v>
      </c>
      <c r="Q36" s="1599">
        <v>26046638</v>
      </c>
      <c r="R36" s="1263">
        <v>310079.02380952379</v>
      </c>
      <c r="S36" s="1599">
        <v>25736558.976190478</v>
      </c>
      <c r="T36" s="1262">
        <v>1748948.4022156682</v>
      </c>
      <c r="U36" s="1599">
        <v>18572212</v>
      </c>
      <c r="V36" s="1263">
        <v>221097.76190476189</v>
      </c>
      <c r="W36" s="1599">
        <v>18351114.238095239</v>
      </c>
      <c r="X36" s="1262">
        <v>1247064.6116788916</v>
      </c>
      <c r="Y36" s="1564"/>
      <c r="Z36" s="1576"/>
      <c r="AA36" s="1576"/>
      <c r="AB36" s="25"/>
      <c r="AC36" s="1564"/>
      <c r="AD36" s="1576"/>
      <c r="AE36" s="1576"/>
      <c r="AF36" s="25"/>
      <c r="AG36" s="1564"/>
      <c r="AH36" s="1576"/>
      <c r="AI36" s="1576"/>
      <c r="AJ36" s="25"/>
      <c r="AK36" s="1564"/>
      <c r="AL36" s="1576"/>
      <c r="AM36" s="1576"/>
      <c r="AN36" s="25"/>
      <c r="AO36" s="1564"/>
      <c r="AP36" s="1576"/>
      <c r="AQ36" s="1576"/>
      <c r="AR36" s="25"/>
      <c r="AS36" s="1564"/>
      <c r="AT36" s="1576"/>
      <c r="AU36" s="1576"/>
      <c r="AV36" s="25"/>
      <c r="AW36" s="1600">
        <f t="shared" ref="AW36:AW41" si="0">+X36+T36+P36+L36+H36</f>
        <v>3601822.2071081828</v>
      </c>
      <c r="AX36" s="1576"/>
      <c r="AY36" s="1601">
        <f>+AW36</f>
        <v>3601822.2071081828</v>
      </c>
    </row>
    <row r="37" spans="1:52" ht="12.75" hidden="1" customHeight="1">
      <c r="A37" s="1543">
        <f>+A36+1</f>
        <v>22</v>
      </c>
      <c r="C37" s="1564" t="s">
        <v>47</v>
      </c>
      <c r="D37" s="1598">
        <v>2008</v>
      </c>
      <c r="E37" s="1599"/>
      <c r="F37" s="27"/>
      <c r="G37" s="1599">
        <v>0</v>
      </c>
      <c r="H37" s="25">
        <v>0</v>
      </c>
      <c r="I37" s="1599"/>
      <c r="J37" s="1263"/>
      <c r="K37" s="1599">
        <v>0</v>
      </c>
      <c r="L37" s="1262">
        <v>0</v>
      </c>
      <c r="M37" s="1599">
        <v>13722120</v>
      </c>
      <c r="N37" s="1263">
        <v>98015.142857142855</v>
      </c>
      <c r="O37" s="1599">
        <v>13624104.857142856</v>
      </c>
      <c r="P37" s="1262">
        <v>605809.1932136229</v>
      </c>
      <c r="Q37" s="1599">
        <v>26046638</v>
      </c>
      <c r="R37" s="1263">
        <v>310079.02380952379</v>
      </c>
      <c r="S37" s="1599">
        <v>25736558.976190478</v>
      </c>
      <c r="T37" s="1262">
        <v>1882305.814125001</v>
      </c>
      <c r="U37" s="1599">
        <v>18572212</v>
      </c>
      <c r="V37" s="1263">
        <v>221097.76190476189</v>
      </c>
      <c r="W37" s="1599">
        <v>18351114.238095239</v>
      </c>
      <c r="X37" s="1262">
        <v>1342153.3569423475</v>
      </c>
      <c r="Y37" s="1564"/>
      <c r="Z37" s="1576"/>
      <c r="AA37" s="1576"/>
      <c r="AB37" s="25"/>
      <c r="AC37" s="1564"/>
      <c r="AD37" s="1576"/>
      <c r="AE37" s="1576"/>
      <c r="AF37" s="25"/>
      <c r="AG37" s="1564"/>
      <c r="AH37" s="1576"/>
      <c r="AI37" s="1576"/>
      <c r="AJ37" s="25"/>
      <c r="AK37" s="1564"/>
      <c r="AL37" s="1576"/>
      <c r="AM37" s="1576"/>
      <c r="AN37" s="25"/>
      <c r="AO37" s="1564"/>
      <c r="AP37" s="1576"/>
      <c r="AQ37" s="1576"/>
      <c r="AR37" s="25"/>
      <c r="AS37" s="1564"/>
      <c r="AT37" s="1576"/>
      <c r="AU37" s="1576"/>
      <c r="AV37" s="25"/>
      <c r="AW37" s="1600">
        <f t="shared" si="0"/>
        <v>3830268.3642809717</v>
      </c>
      <c r="AX37" s="1602">
        <f>+AW37</f>
        <v>3830268.3642809717</v>
      </c>
      <c r="AY37" s="1573"/>
    </row>
    <row r="38" spans="1:52" ht="12.75" hidden="1" customHeight="1">
      <c r="A38" s="1543">
        <f t="shared" ref="A38:A77" si="1">+A37+1</f>
        <v>23</v>
      </c>
      <c r="C38" s="1564" t="str">
        <f>+C36</f>
        <v>Base FCR</v>
      </c>
      <c r="D38" s="1598">
        <f t="shared" ref="D38:D75" si="2">+D36+1</f>
        <v>2009</v>
      </c>
      <c r="E38" s="1599">
        <v>4854660</v>
      </c>
      <c r="F38" s="27">
        <v>69352.28571428571</v>
      </c>
      <c r="G38" s="1599">
        <v>4785307.7142857146</v>
      </c>
      <c r="H38" s="25">
        <v>604422.47460055421</v>
      </c>
      <c r="I38" s="1599">
        <v>7878071</v>
      </c>
      <c r="J38" s="1263">
        <v>112543.87142857142</v>
      </c>
      <c r="K38" s="1599">
        <v>7765527.1285714284</v>
      </c>
      <c r="L38" s="1262">
        <v>980847.92115181335</v>
      </c>
      <c r="M38" s="1599">
        <v>13624104.857142856</v>
      </c>
      <c r="N38" s="1599">
        <v>392060.57142857142</v>
      </c>
      <c r="O38" s="1599">
        <v>13232044.285714285</v>
      </c>
      <c r="P38" s="1262">
        <v>1871604.3872154376</v>
      </c>
      <c r="Q38" s="1599">
        <v>25736558.976190478</v>
      </c>
      <c r="R38" s="1599">
        <v>744189.65714285709</v>
      </c>
      <c r="S38" s="1599">
        <v>24992369.319047622</v>
      </c>
      <c r="T38" s="1262">
        <v>3538716.6908665984</v>
      </c>
      <c r="U38" s="1599">
        <v>18351114.238095239</v>
      </c>
      <c r="V38" s="1599">
        <v>530634.62857142859</v>
      </c>
      <c r="W38" s="1599">
        <v>17820479.60952381</v>
      </c>
      <c r="X38" s="1262">
        <v>2523235.3054821482</v>
      </c>
      <c r="Y38" s="1599"/>
      <c r="Z38" s="27"/>
      <c r="AA38" s="1599"/>
      <c r="AB38" s="25"/>
      <c r="AC38" s="1599"/>
      <c r="AD38" s="27"/>
      <c r="AE38" s="1599"/>
      <c r="AF38" s="25"/>
      <c r="AG38" s="1599"/>
      <c r="AH38" s="27"/>
      <c r="AI38" s="1599"/>
      <c r="AJ38" s="25"/>
      <c r="AK38" s="1599"/>
      <c r="AL38" s="27"/>
      <c r="AM38" s="1599"/>
      <c r="AN38" s="25"/>
      <c r="AO38" s="1599"/>
      <c r="AP38" s="27"/>
      <c r="AQ38" s="1599"/>
      <c r="AR38" s="25"/>
      <c r="AS38" s="1599"/>
      <c r="AT38" s="27"/>
      <c r="AU38" s="1599"/>
      <c r="AV38" s="25"/>
      <c r="AW38" s="1600">
        <f t="shared" si="0"/>
        <v>9518826.7793165501</v>
      </c>
      <c r="AX38" s="1576"/>
      <c r="AY38" s="1601">
        <f>+AW38</f>
        <v>9518826.7793165501</v>
      </c>
    </row>
    <row r="39" spans="1:52" ht="12.75" hidden="1" customHeight="1">
      <c r="A39" s="1543">
        <f t="shared" si="1"/>
        <v>24</v>
      </c>
      <c r="C39" s="1564" t="str">
        <f>+C37</f>
        <v>W Increased ROE</v>
      </c>
      <c r="D39" s="1598">
        <f t="shared" si="2"/>
        <v>2009</v>
      </c>
      <c r="E39" s="1599">
        <v>4854660</v>
      </c>
      <c r="F39" s="1599">
        <v>69352.28571428571</v>
      </c>
      <c r="G39" s="1599">
        <v>4785307.7142857146</v>
      </c>
      <c r="H39" s="25">
        <v>654013.8945380277</v>
      </c>
      <c r="I39" s="1599">
        <v>7878071</v>
      </c>
      <c r="J39" s="1263">
        <v>112543.87142857142</v>
      </c>
      <c r="K39" s="1599">
        <v>7765527.1285714284</v>
      </c>
      <c r="L39" s="1262">
        <v>980847.92115181335</v>
      </c>
      <c r="M39" s="1599">
        <v>13624104.857142856</v>
      </c>
      <c r="N39" s="1263">
        <v>392060.57142857142</v>
      </c>
      <c r="O39" s="1599">
        <v>13232044.285714285</v>
      </c>
      <c r="P39" s="1262">
        <v>1871604.3872154376</v>
      </c>
      <c r="Q39" s="1599">
        <v>25736558.976190478</v>
      </c>
      <c r="R39" s="1263">
        <v>744189.65714285709</v>
      </c>
      <c r="S39" s="1599">
        <v>24992369.319047622</v>
      </c>
      <c r="T39" s="1262">
        <v>3797719.2788158082</v>
      </c>
      <c r="U39" s="1599">
        <v>18351114.238095239</v>
      </c>
      <c r="V39" s="1263">
        <v>530634.62857142859</v>
      </c>
      <c r="W39" s="1599">
        <v>17820479.60952381</v>
      </c>
      <c r="X39" s="1262">
        <v>2707913.687849246</v>
      </c>
      <c r="Y39" s="1599"/>
      <c r="Z39" s="1599"/>
      <c r="AA39" s="1599"/>
      <c r="AB39" s="25"/>
      <c r="AC39" s="1599"/>
      <c r="AD39" s="1599"/>
      <c r="AE39" s="1599"/>
      <c r="AF39" s="25"/>
      <c r="AG39" s="1599"/>
      <c r="AH39" s="1599"/>
      <c r="AI39" s="1599"/>
      <c r="AJ39" s="25"/>
      <c r="AK39" s="1599"/>
      <c r="AL39" s="1599"/>
      <c r="AM39" s="1599"/>
      <c r="AN39" s="25"/>
      <c r="AO39" s="1599"/>
      <c r="AP39" s="1599"/>
      <c r="AQ39" s="1599"/>
      <c r="AR39" s="25"/>
      <c r="AS39" s="1599"/>
      <c r="AT39" s="1599"/>
      <c r="AU39" s="1599"/>
      <c r="AV39" s="25"/>
      <c r="AW39" s="1600">
        <f t="shared" si="0"/>
        <v>10012099.169570332</v>
      </c>
      <c r="AX39" s="1602">
        <f>+AW39</f>
        <v>10012099.169570332</v>
      </c>
      <c r="AY39" s="1573"/>
      <c r="AZ39" s="1603"/>
    </row>
    <row r="40" spans="1:52" ht="12.75" hidden="1" customHeight="1">
      <c r="A40" s="1543">
        <f t="shared" si="1"/>
        <v>25</v>
      </c>
      <c r="C40" s="1564" t="str">
        <f t="shared" ref="C40:C75" si="3">+C38</f>
        <v>Base FCR</v>
      </c>
      <c r="D40" s="1598">
        <f t="shared" si="2"/>
        <v>2010</v>
      </c>
      <c r="E40" s="1599">
        <v>4785307.7142857146</v>
      </c>
      <c r="F40" s="1599">
        <v>138704.57142857142</v>
      </c>
      <c r="G40" s="1599">
        <v>4646603.1428571427</v>
      </c>
      <c r="H40" s="25">
        <v>658265.47947755677</v>
      </c>
      <c r="I40" s="1599">
        <v>7765527.1285714284</v>
      </c>
      <c r="J40" s="1599">
        <v>225087.74285714285</v>
      </c>
      <c r="K40" s="1599">
        <v>7540439.3857142851</v>
      </c>
      <c r="L40" s="25">
        <v>1068223.5592550735</v>
      </c>
      <c r="M40" s="1604">
        <v>13232044.285714285</v>
      </c>
      <c r="N40" s="1599">
        <v>392060.57142857142</v>
      </c>
      <c r="O40" s="1599">
        <v>12839983.714285715</v>
      </c>
      <c r="P40" s="25">
        <v>1827766.0519328637</v>
      </c>
      <c r="Q40" s="1604">
        <v>24992369.319047622</v>
      </c>
      <c r="R40" s="1599">
        <v>744189.65714285709</v>
      </c>
      <c r="S40" s="1599">
        <v>24248179.661904767</v>
      </c>
      <c r="T40" s="25">
        <v>3455504.9677780503</v>
      </c>
      <c r="U40" s="1604">
        <v>17820479.60952381</v>
      </c>
      <c r="V40" s="1599">
        <v>530634.62857142859</v>
      </c>
      <c r="W40" s="1599">
        <v>17289844.980952382</v>
      </c>
      <c r="X40" s="25">
        <v>2463902.2828446077</v>
      </c>
      <c r="Y40" s="1599">
        <v>6759777</v>
      </c>
      <c r="Z40" s="27">
        <v>160947.07142857142</v>
      </c>
      <c r="AA40" s="1599">
        <v>6598829.9285714282</v>
      </c>
      <c r="AB40" s="1262">
        <v>1068486.5704335223</v>
      </c>
      <c r="AC40" s="1599"/>
      <c r="AD40" s="27"/>
      <c r="AE40" s="1599"/>
      <c r="AF40" s="1262"/>
      <c r="AG40" s="1599"/>
      <c r="AH40" s="27"/>
      <c r="AI40" s="1599"/>
      <c r="AJ40" s="1262"/>
      <c r="AK40" s="1599"/>
      <c r="AL40" s="27"/>
      <c r="AM40" s="1599"/>
      <c r="AN40" s="1262"/>
      <c r="AO40" s="1599"/>
      <c r="AP40" s="27"/>
      <c r="AQ40" s="1599"/>
      <c r="AR40" s="1262"/>
      <c r="AS40" s="1599"/>
      <c r="AT40" s="27"/>
      <c r="AU40" s="1599"/>
      <c r="AV40" s="1262"/>
      <c r="AW40" s="1600">
        <f t="shared" si="0"/>
        <v>9473662.3412881512</v>
      </c>
      <c r="AX40" s="1576"/>
      <c r="AY40" s="1601">
        <f>+AW40</f>
        <v>9473662.3412881512</v>
      </c>
    </row>
    <row r="41" spans="1:52" ht="12.75" hidden="1" customHeight="1">
      <c r="A41" s="1543">
        <f t="shared" si="1"/>
        <v>26</v>
      </c>
      <c r="C41" s="1564" t="str">
        <f t="shared" si="3"/>
        <v>W Increased ROE</v>
      </c>
      <c r="D41" s="1598">
        <f t="shared" si="2"/>
        <v>2010</v>
      </c>
      <c r="E41" s="1599">
        <v>4785307.7142857146</v>
      </c>
      <c r="F41" s="1599">
        <v>138704.57142857142</v>
      </c>
      <c r="G41" s="1599">
        <v>4646603.1428571427</v>
      </c>
      <c r="H41" s="25">
        <v>706419.46695307456</v>
      </c>
      <c r="I41" s="1599">
        <v>7765527.1285714284</v>
      </c>
      <c r="J41" s="1599">
        <v>225087.74285714285</v>
      </c>
      <c r="K41" s="1599">
        <v>7540439.3857142851</v>
      </c>
      <c r="L41" s="25">
        <v>1068223.5592550735</v>
      </c>
      <c r="M41" s="1604">
        <v>13232044.285714285</v>
      </c>
      <c r="N41" s="1599">
        <v>392060.57142857142</v>
      </c>
      <c r="O41" s="1599">
        <v>12839983.714285715</v>
      </c>
      <c r="P41" s="25">
        <v>1827766.0519328637</v>
      </c>
      <c r="Q41" s="1604">
        <v>24992369.319047622</v>
      </c>
      <c r="R41" s="1599">
        <v>744189.65714285709</v>
      </c>
      <c r="S41" s="1599">
        <v>24248179.661904767</v>
      </c>
      <c r="T41" s="25">
        <v>3706795.319857805</v>
      </c>
      <c r="U41" s="1604">
        <v>17820479.60952381</v>
      </c>
      <c r="V41" s="1599">
        <v>530634.62857142859</v>
      </c>
      <c r="W41" s="1599">
        <v>17289844.980952382</v>
      </c>
      <c r="X41" s="25">
        <v>2643081.5570518915</v>
      </c>
      <c r="Y41" s="1599">
        <v>6759777</v>
      </c>
      <c r="Z41" s="1599">
        <v>160947.07142857142</v>
      </c>
      <c r="AA41" s="1599">
        <v>6598829.9285714282</v>
      </c>
      <c r="AB41" s="1262">
        <v>1139692.0871697967</v>
      </c>
      <c r="AC41" s="1599"/>
      <c r="AD41" s="1599"/>
      <c r="AE41" s="1599"/>
      <c r="AF41" s="1262"/>
      <c r="AG41" s="1599"/>
      <c r="AH41" s="1599"/>
      <c r="AI41" s="1599"/>
      <c r="AJ41" s="1262"/>
      <c r="AK41" s="1599"/>
      <c r="AL41" s="1599"/>
      <c r="AM41" s="1599"/>
      <c r="AN41" s="1262"/>
      <c r="AO41" s="1599"/>
      <c r="AP41" s="1599"/>
      <c r="AQ41" s="1599"/>
      <c r="AR41" s="1262"/>
      <c r="AS41" s="1599"/>
      <c r="AT41" s="1599"/>
      <c r="AU41" s="1599"/>
      <c r="AV41" s="1262"/>
      <c r="AW41" s="1600">
        <f t="shared" si="0"/>
        <v>9952285.9550507087</v>
      </c>
      <c r="AX41" s="1602">
        <f>+AW41</f>
        <v>9952285.9550507087</v>
      </c>
      <c r="AY41" s="1573"/>
      <c r="AZ41" s="1605"/>
    </row>
    <row r="42" spans="1:52" ht="13" hidden="1">
      <c r="A42" s="1543">
        <f t="shared" si="1"/>
        <v>27</v>
      </c>
      <c r="C42" s="1564" t="str">
        <f t="shared" si="3"/>
        <v>Base FCR</v>
      </c>
      <c r="D42" s="1598">
        <f t="shared" si="2"/>
        <v>2011</v>
      </c>
      <c r="E42" s="1599">
        <v>4646603.1428571427</v>
      </c>
      <c r="F42" s="1599">
        <v>138704.57142857142</v>
      </c>
      <c r="G42" s="1599">
        <v>4507898.5714285709</v>
      </c>
      <c r="H42" s="25">
        <v>724371.60599023197</v>
      </c>
      <c r="I42" s="1599">
        <v>7540439.3857142851</v>
      </c>
      <c r="J42" s="1599">
        <v>225087.74285714285</v>
      </c>
      <c r="K42" s="1599">
        <v>7315351.6428571418</v>
      </c>
      <c r="L42" s="25">
        <v>1175499.611172579</v>
      </c>
      <c r="M42" s="1604">
        <v>12839983.714285715</v>
      </c>
      <c r="N42" s="1599">
        <v>392060.57142857142</v>
      </c>
      <c r="O42" s="1599">
        <v>12447923.142857144</v>
      </c>
      <c r="P42" s="25">
        <v>2009297.0992722472</v>
      </c>
      <c r="Q42" s="1604">
        <v>24248179.661904767</v>
      </c>
      <c r="R42" s="1599">
        <v>744189.65714285709</v>
      </c>
      <c r="S42" s="1599">
        <v>23503990.004761912</v>
      </c>
      <c r="T42" s="25">
        <v>3797832.4816959109</v>
      </c>
      <c r="U42" s="1604">
        <v>17289844.980952382</v>
      </c>
      <c r="V42" s="1599">
        <v>530634.62857142859</v>
      </c>
      <c r="W42" s="1599">
        <v>16759210.352380954</v>
      </c>
      <c r="X42" s="25">
        <v>2707994.4056711877</v>
      </c>
      <c r="Y42" s="1604">
        <v>6598829.9285714282</v>
      </c>
      <c r="Z42" s="1599">
        <v>193136.48571428572</v>
      </c>
      <c r="AA42" s="1599">
        <v>6405693.4428571425</v>
      </c>
      <c r="AB42" s="25">
        <v>1025365.3887262535</v>
      </c>
      <c r="AC42" s="1604"/>
      <c r="AD42" s="1599"/>
      <c r="AE42" s="1599"/>
      <c r="AF42" s="25"/>
      <c r="AG42" s="1604"/>
      <c r="AH42" s="1599"/>
      <c r="AI42" s="1599"/>
      <c r="AJ42" s="25"/>
      <c r="AK42" s="1604"/>
      <c r="AL42" s="1599"/>
      <c r="AM42" s="1599"/>
      <c r="AN42" s="25"/>
      <c r="AO42" s="1604"/>
      <c r="AP42" s="1599"/>
      <c r="AQ42" s="1599"/>
      <c r="AR42" s="25"/>
      <c r="AS42" s="1604"/>
      <c r="AT42" s="1599"/>
      <c r="AU42" s="1599"/>
      <c r="AV42" s="25"/>
      <c r="AW42" s="1606">
        <v>11440360.59252841</v>
      </c>
      <c r="AX42" s="1576"/>
      <c r="AY42" s="1601">
        <v>11440360.59252841</v>
      </c>
      <c r="AZ42" s="1603"/>
    </row>
    <row r="43" spans="1:52" ht="13" hidden="1">
      <c r="A43" s="1543">
        <f t="shared" si="1"/>
        <v>28</v>
      </c>
      <c r="C43" s="1564" t="str">
        <f t="shared" si="3"/>
        <v>W Increased ROE</v>
      </c>
      <c r="D43" s="1598">
        <f t="shared" si="2"/>
        <v>2011</v>
      </c>
      <c r="E43" s="1599">
        <v>4646603.1428571427</v>
      </c>
      <c r="F43" s="1599">
        <v>138704.57142857142</v>
      </c>
      <c r="G43" s="1599">
        <v>4507898.5714285709</v>
      </c>
      <c r="H43" s="25">
        <v>768454.1853166935</v>
      </c>
      <c r="I43" s="1599">
        <v>7540439.3857142851</v>
      </c>
      <c r="J43" s="1599">
        <v>225087.74285714285</v>
      </c>
      <c r="K43" s="1599">
        <v>7315351.6428571418</v>
      </c>
      <c r="L43" s="25">
        <v>1175499.611172579</v>
      </c>
      <c r="M43" s="1604">
        <v>12839983.714285715</v>
      </c>
      <c r="N43" s="1599">
        <v>392060.57142857142</v>
      </c>
      <c r="O43" s="1599">
        <v>12447923.142857144</v>
      </c>
      <c r="P43" s="25">
        <v>2009297.0992722472</v>
      </c>
      <c r="Q43" s="1604">
        <v>24248179.661904767</v>
      </c>
      <c r="R43" s="1599">
        <v>744189.65714285709</v>
      </c>
      <c r="S43" s="1599">
        <v>23503990.004761912</v>
      </c>
      <c r="T43" s="25">
        <v>4027677.1615297184</v>
      </c>
      <c r="U43" s="1604">
        <v>17289844.980952382</v>
      </c>
      <c r="V43" s="1599">
        <v>530634.62857142859</v>
      </c>
      <c r="W43" s="1599">
        <v>16759210.352380954</v>
      </c>
      <c r="X43" s="25">
        <v>2871882.1258808207</v>
      </c>
      <c r="Y43" s="1604">
        <v>6598829.9285714282</v>
      </c>
      <c r="Z43" s="1599">
        <v>193136.48571428572</v>
      </c>
      <c r="AA43" s="1599">
        <v>6405693.4428571425</v>
      </c>
      <c r="AB43" s="25">
        <v>1088006.4364032107</v>
      </c>
      <c r="AC43" s="1604"/>
      <c r="AD43" s="1599"/>
      <c r="AE43" s="1599"/>
      <c r="AF43" s="25"/>
      <c r="AG43" s="1604"/>
      <c r="AH43" s="1599"/>
      <c r="AI43" s="1599"/>
      <c r="AJ43" s="25"/>
      <c r="AK43" s="1604"/>
      <c r="AL43" s="1599"/>
      <c r="AM43" s="1599"/>
      <c r="AN43" s="25"/>
      <c r="AO43" s="1604"/>
      <c r="AP43" s="1599"/>
      <c r="AQ43" s="1599"/>
      <c r="AR43" s="25"/>
      <c r="AS43" s="1604"/>
      <c r="AT43" s="1599"/>
      <c r="AU43" s="1599"/>
      <c r="AV43" s="25"/>
      <c r="AW43" s="1606">
        <v>11940816.61957527</v>
      </c>
      <c r="AX43" s="1602">
        <v>11940816.61957527</v>
      </c>
      <c r="AY43" s="1573"/>
      <c r="AZ43" s="1603"/>
    </row>
    <row r="44" spans="1:52" ht="13" hidden="1">
      <c r="A44" s="1543">
        <f t="shared" si="1"/>
        <v>29</v>
      </c>
      <c r="C44" s="1564" t="str">
        <f t="shared" si="3"/>
        <v>Base FCR</v>
      </c>
      <c r="D44" s="1598">
        <f t="shared" si="2"/>
        <v>2012</v>
      </c>
      <c r="E44" s="1599">
        <v>4507898.5714285709</v>
      </c>
      <c r="F44" s="1599">
        <v>138704.57142857142</v>
      </c>
      <c r="G44" s="1599">
        <v>4369193.9999999991</v>
      </c>
      <c r="H44" s="25">
        <v>711157.72630461515</v>
      </c>
      <c r="I44" s="1599">
        <v>7315351.6428571418</v>
      </c>
      <c r="J44" s="1599">
        <v>225087.74285714285</v>
      </c>
      <c r="K44" s="1599">
        <v>7090263.8999999985</v>
      </c>
      <c r="L44" s="25">
        <v>1154056.3211484069</v>
      </c>
      <c r="M44" s="1604">
        <v>12447923.142857144</v>
      </c>
      <c r="N44" s="1599">
        <v>392060.57142857142</v>
      </c>
      <c r="O44" s="1599">
        <v>12055862.571428573</v>
      </c>
      <c r="P44" s="25">
        <v>1971623.4298794207</v>
      </c>
      <c r="Q44" s="1604">
        <v>23503990.004761912</v>
      </c>
      <c r="R44" s="1599">
        <v>744189.65714285709</v>
      </c>
      <c r="S44" s="1599">
        <v>22759800.347619057</v>
      </c>
      <c r="T44" s="25">
        <v>3726185.7674880158</v>
      </c>
      <c r="U44" s="1604">
        <v>16759210.352380954</v>
      </c>
      <c r="V44" s="1599">
        <v>530634.62857142859</v>
      </c>
      <c r="W44" s="1599">
        <v>16228575.723809525</v>
      </c>
      <c r="X44" s="25">
        <v>2656907.6602197234</v>
      </c>
      <c r="Y44" s="1604">
        <v>6405693.4428571425</v>
      </c>
      <c r="Z44" s="1599">
        <v>193136.48571428572</v>
      </c>
      <c r="AA44" s="1599">
        <v>6212556.9571428569</v>
      </c>
      <c r="AB44" s="25">
        <v>1007107.6277518201</v>
      </c>
      <c r="AC44" s="1604"/>
      <c r="AD44" s="1599"/>
      <c r="AE44" s="1599"/>
      <c r="AF44" s="25"/>
      <c r="AG44" s="1604"/>
      <c r="AH44" s="1599"/>
      <c r="AI44" s="1599"/>
      <c r="AJ44" s="25"/>
      <c r="AK44" s="1604"/>
      <c r="AL44" s="1599"/>
      <c r="AM44" s="1599"/>
      <c r="AN44" s="25"/>
      <c r="AO44" s="1604"/>
      <c r="AP44" s="1599"/>
      <c r="AQ44" s="1599"/>
      <c r="AR44" s="25"/>
      <c r="AS44" s="1604"/>
      <c r="AT44" s="1599"/>
      <c r="AU44" s="1599"/>
      <c r="AV44" s="25"/>
      <c r="AW44" s="1606">
        <v>11227038.532792002</v>
      </c>
      <c r="AX44" s="1576"/>
      <c r="AY44" s="1601">
        <v>11227038.532792002</v>
      </c>
      <c r="AZ44" s="1603"/>
    </row>
    <row r="45" spans="1:52" ht="13" hidden="1">
      <c r="A45" s="1543">
        <f t="shared" si="1"/>
        <v>30</v>
      </c>
      <c r="C45" s="1564" t="str">
        <f t="shared" si="3"/>
        <v>W Increased ROE</v>
      </c>
      <c r="D45" s="1598">
        <f t="shared" si="2"/>
        <v>2012</v>
      </c>
      <c r="E45" s="1599">
        <v>4507898.5714285709</v>
      </c>
      <c r="F45" s="1599">
        <v>138704.57142857142</v>
      </c>
      <c r="G45" s="1599">
        <v>4369193.9999999991</v>
      </c>
      <c r="H45" s="25">
        <v>753764.35658099083</v>
      </c>
      <c r="I45" s="1599">
        <v>7315351.6428571418</v>
      </c>
      <c r="J45" s="1599">
        <v>225087.74285714285</v>
      </c>
      <c r="K45" s="1599">
        <v>7090263.8999999985</v>
      </c>
      <c r="L45" s="25">
        <v>1154056.3211484069</v>
      </c>
      <c r="M45" s="1604">
        <v>12447923.142857144</v>
      </c>
      <c r="N45" s="1599">
        <v>392060.57142857142</v>
      </c>
      <c r="O45" s="1599">
        <v>12055862.571428573</v>
      </c>
      <c r="P45" s="25">
        <v>1971623.4298794207</v>
      </c>
      <c r="Q45" s="1604">
        <v>23503990.004761912</v>
      </c>
      <c r="R45" s="1599">
        <v>744189.65714285709</v>
      </c>
      <c r="S45" s="1599">
        <v>22759800.347619057</v>
      </c>
      <c r="T45" s="25">
        <v>3948130.22648323</v>
      </c>
      <c r="U45" s="1604">
        <v>16759210.352380954</v>
      </c>
      <c r="V45" s="1599">
        <v>530634.62857142859</v>
      </c>
      <c r="W45" s="1599">
        <v>16228575.723809525</v>
      </c>
      <c r="X45" s="25">
        <v>2815162.2320644427</v>
      </c>
      <c r="Y45" s="1604">
        <v>6405693.4428571425</v>
      </c>
      <c r="Z45" s="1599">
        <v>193136.48571428572</v>
      </c>
      <c r="AA45" s="1599">
        <v>6212556.9571428569</v>
      </c>
      <c r="AB45" s="25">
        <v>1067689.9954251053</v>
      </c>
      <c r="AC45" s="1604"/>
      <c r="AD45" s="1599"/>
      <c r="AE45" s="1599"/>
      <c r="AF45" s="25"/>
      <c r="AG45" s="1604"/>
      <c r="AH45" s="1599"/>
      <c r="AI45" s="1599"/>
      <c r="AJ45" s="25"/>
      <c r="AK45" s="1604"/>
      <c r="AL45" s="1599"/>
      <c r="AM45" s="1599"/>
      <c r="AN45" s="25"/>
      <c r="AO45" s="1604"/>
      <c r="AP45" s="1599"/>
      <c r="AQ45" s="1599"/>
      <c r="AR45" s="25"/>
      <c r="AS45" s="1604"/>
      <c r="AT45" s="1599"/>
      <c r="AU45" s="1599"/>
      <c r="AV45" s="25"/>
      <c r="AW45" s="1606">
        <v>11710426.561581597</v>
      </c>
      <c r="AX45" s="1602">
        <v>11710426.561581597</v>
      </c>
      <c r="AY45" s="1573"/>
    </row>
    <row r="46" spans="1:52" ht="13" hidden="1">
      <c r="A46" s="1543">
        <f t="shared" si="1"/>
        <v>31</v>
      </c>
      <c r="C46" s="1564" t="str">
        <f t="shared" si="3"/>
        <v>Base FCR</v>
      </c>
      <c r="D46" s="1598">
        <f t="shared" si="2"/>
        <v>2013</v>
      </c>
      <c r="E46" s="1599">
        <v>4369193.9999999991</v>
      </c>
      <c r="F46" s="1599">
        <v>138704.57142857142</v>
      </c>
      <c r="G46" s="1599">
        <v>4230489.4285714272</v>
      </c>
      <c r="H46" s="25">
        <v>654304.47924942314</v>
      </c>
      <c r="I46" s="1599">
        <v>7090263.8999999985</v>
      </c>
      <c r="J46" s="1599">
        <v>225087.74285714285</v>
      </c>
      <c r="K46" s="1599">
        <v>6865176.1571428552</v>
      </c>
      <c r="L46" s="25">
        <v>1061795.7062173216</v>
      </c>
      <c r="M46" s="1604">
        <v>12055862.571428573</v>
      </c>
      <c r="N46" s="1599">
        <v>392060.57142857142</v>
      </c>
      <c r="O46" s="1599">
        <v>11663802.000000002</v>
      </c>
      <c r="P46" s="25">
        <v>1813611.2779319216</v>
      </c>
      <c r="Q46" s="1604">
        <v>22759800.347619057</v>
      </c>
      <c r="R46" s="1599">
        <v>744189.65714285709</v>
      </c>
      <c r="S46" s="1599">
        <v>22015610.690476201</v>
      </c>
      <c r="T46" s="25">
        <v>3427389.0916968002</v>
      </c>
      <c r="U46" s="1604">
        <v>16228575.723809525</v>
      </c>
      <c r="V46" s="1599">
        <v>530634.62857142859</v>
      </c>
      <c r="W46" s="1599">
        <v>15697941.095238097</v>
      </c>
      <c r="X46" s="25">
        <v>2443854.6278978651</v>
      </c>
      <c r="Y46" s="1604">
        <v>6212556.9571428569</v>
      </c>
      <c r="Z46" s="1599">
        <v>193136.48571428572</v>
      </c>
      <c r="AA46" s="1599">
        <v>6019420.4714285713</v>
      </c>
      <c r="AB46" s="25">
        <v>926766.17386400013</v>
      </c>
      <c r="AC46" s="1604"/>
      <c r="AD46" s="1599"/>
      <c r="AE46" s="1599"/>
      <c r="AF46" s="25"/>
      <c r="AG46" s="1604"/>
      <c r="AH46" s="1599"/>
      <c r="AI46" s="1599"/>
      <c r="AJ46" s="25"/>
      <c r="AK46" s="1604"/>
      <c r="AL46" s="1599"/>
      <c r="AM46" s="1599"/>
      <c r="AN46" s="25"/>
      <c r="AO46" s="1604"/>
      <c r="AP46" s="1599"/>
      <c r="AQ46" s="1599"/>
      <c r="AR46" s="25"/>
      <c r="AS46" s="1604"/>
      <c r="AT46" s="1599"/>
      <c r="AU46" s="1599"/>
      <c r="AV46" s="25"/>
      <c r="AW46" s="1606">
        <v>10327721.356857331</v>
      </c>
      <c r="AX46" s="1576"/>
      <c r="AY46" s="1601">
        <f>+AW46</f>
        <v>10327721.356857331</v>
      </c>
    </row>
    <row r="47" spans="1:52" ht="13" hidden="1">
      <c r="A47" s="1543">
        <f t="shared" si="1"/>
        <v>32</v>
      </c>
      <c r="C47" s="1564" t="str">
        <f t="shared" si="3"/>
        <v>W Increased ROE</v>
      </c>
      <c r="D47" s="1598">
        <f t="shared" si="2"/>
        <v>2013</v>
      </c>
      <c r="E47" s="1599">
        <v>4369193.9999999991</v>
      </c>
      <c r="F47" s="1599">
        <v>138704.57142857142</v>
      </c>
      <c r="G47" s="1599">
        <v>4230489.4285714272</v>
      </c>
      <c r="H47" s="25">
        <v>694414.99211606081</v>
      </c>
      <c r="I47" s="1599">
        <v>7090263.8999999985</v>
      </c>
      <c r="J47" s="1599">
        <v>225087.74285714285</v>
      </c>
      <c r="K47" s="1599">
        <v>6865176.1571428552</v>
      </c>
      <c r="L47" s="25">
        <v>1061795.7062173216</v>
      </c>
      <c r="M47" s="1604">
        <v>12055862.571428573</v>
      </c>
      <c r="N47" s="1599">
        <v>392060.57142857142</v>
      </c>
      <c r="O47" s="1599">
        <v>11663802.000000002</v>
      </c>
      <c r="P47" s="25">
        <v>1813611.2779319216</v>
      </c>
      <c r="Q47" s="1604">
        <v>22759800.347619057</v>
      </c>
      <c r="R47" s="1599">
        <v>744189.65714285709</v>
      </c>
      <c r="S47" s="1599">
        <v>22015610.690476201</v>
      </c>
      <c r="T47" s="25">
        <v>3636125.5631564218</v>
      </c>
      <c r="U47" s="1604">
        <v>16228575.723809525</v>
      </c>
      <c r="V47" s="1599">
        <v>530634.62857142859</v>
      </c>
      <c r="W47" s="1599">
        <v>15697941.095238097</v>
      </c>
      <c r="X47" s="25">
        <v>2592691.4182767244</v>
      </c>
      <c r="Y47" s="1604">
        <v>6212556.9571428569</v>
      </c>
      <c r="Z47" s="1599">
        <v>193136.48571428572</v>
      </c>
      <c r="AA47" s="1599">
        <v>6019420.4714285713</v>
      </c>
      <c r="AB47" s="25">
        <v>983838.06739913381</v>
      </c>
      <c r="AC47" s="1604"/>
      <c r="AD47" s="1599"/>
      <c r="AE47" s="1599"/>
      <c r="AF47" s="25"/>
      <c r="AG47" s="1604"/>
      <c r="AH47" s="1599"/>
      <c r="AI47" s="1599"/>
      <c r="AJ47" s="25"/>
      <c r="AK47" s="1604"/>
      <c r="AL47" s="1599"/>
      <c r="AM47" s="1599"/>
      <c r="AN47" s="25"/>
      <c r="AO47" s="1604"/>
      <c r="AP47" s="1599"/>
      <c r="AQ47" s="1599"/>
      <c r="AR47" s="25"/>
      <c r="AS47" s="1604"/>
      <c r="AT47" s="1599"/>
      <c r="AU47" s="1599"/>
      <c r="AV47" s="25"/>
      <c r="AW47" s="1606">
        <v>10782477.025097582</v>
      </c>
      <c r="AX47" s="1602">
        <f>+AW47</f>
        <v>10782477.025097582</v>
      </c>
      <c r="AY47" s="1573"/>
      <c r="AZ47" s="1603"/>
    </row>
    <row r="48" spans="1:52" ht="13" hidden="1">
      <c r="A48" s="1543">
        <f t="shared" si="1"/>
        <v>33</v>
      </c>
      <c r="C48" s="1564" t="str">
        <f t="shared" si="3"/>
        <v>Base FCR</v>
      </c>
      <c r="D48" s="1598">
        <f t="shared" si="2"/>
        <v>2014</v>
      </c>
      <c r="E48" s="1599">
        <v>4230489.4285714272</v>
      </c>
      <c r="F48" s="1599">
        <v>138704.57142857142</v>
      </c>
      <c r="G48" s="1599">
        <v>4091784.8571428559</v>
      </c>
      <c r="H48" s="25">
        <v>622701.96133218415</v>
      </c>
      <c r="I48" s="1599">
        <v>6865176.1571428552</v>
      </c>
      <c r="J48" s="1599">
        <v>225087.74285714285</v>
      </c>
      <c r="K48" s="1599">
        <v>6640088.4142857119</v>
      </c>
      <c r="L48" s="25">
        <v>1010511.6039463527</v>
      </c>
      <c r="M48" s="1604">
        <v>11663802.000000002</v>
      </c>
      <c r="N48" s="1599">
        <v>392060.57142857142</v>
      </c>
      <c r="O48" s="1599">
        <v>11271741.428571431</v>
      </c>
      <c r="P48" s="25">
        <v>1725340.2089377544</v>
      </c>
      <c r="Q48" s="1604">
        <v>22015610.690476201</v>
      </c>
      <c r="R48" s="1599">
        <v>744189.65714285709</v>
      </c>
      <c r="S48" s="1599">
        <v>21271421.033333346</v>
      </c>
      <c r="T48" s="25">
        <v>3260282.9071831317</v>
      </c>
      <c r="U48" s="1604">
        <v>15697941.095238097</v>
      </c>
      <c r="V48" s="1599">
        <v>530634.62857142859</v>
      </c>
      <c r="W48" s="1599">
        <v>15167306.466666669</v>
      </c>
      <c r="X48" s="25">
        <v>2324701.7650485802</v>
      </c>
      <c r="Y48" s="1604">
        <v>6019420.4714285713</v>
      </c>
      <c r="Z48" s="1599">
        <v>193136.48571428572</v>
      </c>
      <c r="AA48" s="1599">
        <v>5826283.9857142856</v>
      </c>
      <c r="AB48" s="25">
        <v>882299.36704230588</v>
      </c>
      <c r="AC48" s="1604"/>
      <c r="AD48" s="1599"/>
      <c r="AE48" s="1599"/>
      <c r="AF48" s="25"/>
      <c r="AG48" s="1604"/>
      <c r="AH48" s="1599"/>
      <c r="AI48" s="1599"/>
      <c r="AJ48" s="25"/>
      <c r="AK48" s="1604"/>
      <c r="AL48" s="1599"/>
      <c r="AM48" s="1599"/>
      <c r="AN48" s="25"/>
      <c r="AO48" s="1604"/>
      <c r="AP48" s="1599"/>
      <c r="AQ48" s="1599"/>
      <c r="AR48" s="25"/>
      <c r="AS48" s="1604"/>
      <c r="AT48" s="1599"/>
      <c r="AU48" s="1599"/>
      <c r="AV48" s="25"/>
      <c r="AW48" s="1606">
        <f>+AB48+X48+T48+P48+L48+H48</f>
        <v>9825837.8134903088</v>
      </c>
      <c r="AX48" s="1576"/>
      <c r="AY48" s="1601">
        <f>+AW48</f>
        <v>9825837.8134903088</v>
      </c>
    </row>
    <row r="49" spans="1:54" ht="13" hidden="1">
      <c r="A49" s="1543">
        <f t="shared" si="1"/>
        <v>34</v>
      </c>
      <c r="C49" s="1564" t="str">
        <f t="shared" si="3"/>
        <v>W Increased ROE</v>
      </c>
      <c r="D49" s="1598">
        <f t="shared" si="2"/>
        <v>2014</v>
      </c>
      <c r="E49" s="1599">
        <v>4230489.4285714272</v>
      </c>
      <c r="F49" s="1599">
        <v>138704.57142857142</v>
      </c>
      <c r="G49" s="1599">
        <v>4091784.8571428559</v>
      </c>
      <c r="H49" s="25">
        <v>661363.83044789499</v>
      </c>
      <c r="I49" s="1599">
        <v>6865176.1571428552</v>
      </c>
      <c r="J49" s="1599">
        <v>225087.74285714285</v>
      </c>
      <c r="K49" s="1599">
        <v>6640088.4142857119</v>
      </c>
      <c r="L49" s="25">
        <v>1010511.6039463527</v>
      </c>
      <c r="M49" s="1604">
        <v>11663802.000000002</v>
      </c>
      <c r="N49" s="1599">
        <v>392060.57142857142</v>
      </c>
      <c r="O49" s="1599">
        <v>11271741.428571431</v>
      </c>
      <c r="P49" s="25">
        <v>1725340.2089377544</v>
      </c>
      <c r="Q49" s="1604">
        <v>22015610.690476201</v>
      </c>
      <c r="R49" s="1599">
        <v>744189.65714285709</v>
      </c>
      <c r="S49" s="1599">
        <v>21271421.033333346</v>
      </c>
      <c r="T49" s="25">
        <v>3461269.2553437133</v>
      </c>
      <c r="U49" s="1604">
        <v>15697941.095238097</v>
      </c>
      <c r="V49" s="1599">
        <v>530634.62857142859</v>
      </c>
      <c r="W49" s="1599">
        <v>15167306.466666669</v>
      </c>
      <c r="X49" s="25">
        <v>2468012.4321352169</v>
      </c>
      <c r="Y49" s="1604">
        <v>6019420.4714285713</v>
      </c>
      <c r="Z49" s="1599">
        <v>193136.48571428572</v>
      </c>
      <c r="AA49" s="1599">
        <v>5826283.9857142856</v>
      </c>
      <c r="AB49" s="25">
        <v>937349.92242364003</v>
      </c>
      <c r="AC49" s="1604"/>
      <c r="AD49" s="1599"/>
      <c r="AE49" s="1599"/>
      <c r="AF49" s="25"/>
      <c r="AG49" s="1604"/>
      <c r="AH49" s="1599"/>
      <c r="AI49" s="1599"/>
      <c r="AJ49" s="25"/>
      <c r="AK49" s="1604"/>
      <c r="AL49" s="1599"/>
      <c r="AM49" s="1599"/>
      <c r="AN49" s="25"/>
      <c r="AO49" s="1604"/>
      <c r="AP49" s="1599"/>
      <c r="AQ49" s="1599"/>
      <c r="AR49" s="25"/>
      <c r="AS49" s="1604"/>
      <c r="AT49" s="1599"/>
      <c r="AU49" s="1599"/>
      <c r="AV49" s="25"/>
      <c r="AW49" s="1606">
        <f>+AB49+X49+T49+P49+L49+H49</f>
        <v>10263847.253234573</v>
      </c>
      <c r="AX49" s="1602">
        <f>+AW49</f>
        <v>10263847.253234573</v>
      </c>
      <c r="AY49" s="1573"/>
      <c r="AZ49" s="1603"/>
    </row>
    <row r="50" spans="1:54" ht="13" hidden="1">
      <c r="A50" s="1543">
        <f t="shared" si="1"/>
        <v>35</v>
      </c>
      <c r="C50" s="1564" t="str">
        <f t="shared" si="3"/>
        <v>Base FCR</v>
      </c>
      <c r="D50" s="1598">
        <f t="shared" si="2"/>
        <v>2015</v>
      </c>
      <c r="E50" s="1599">
        <v>4091784.8571428559</v>
      </c>
      <c r="F50" s="1599">
        <v>138704.57142857142</v>
      </c>
      <c r="G50" s="1599">
        <v>3953080.2857142845</v>
      </c>
      <c r="H50" s="25">
        <v>625383.57977263792</v>
      </c>
      <c r="I50" s="1599">
        <v>6640088.4142857119</v>
      </c>
      <c r="J50" s="1599">
        <v>225087.74285714285</v>
      </c>
      <c r="K50" s="1599">
        <v>6415000.6714285687</v>
      </c>
      <c r="L50" s="25">
        <v>1014863.294995531</v>
      </c>
      <c r="M50" s="1604">
        <v>11271741.428571431</v>
      </c>
      <c r="N50" s="1599">
        <v>392060.57142857142</v>
      </c>
      <c r="O50" s="1599">
        <v>10879680.85714286</v>
      </c>
      <c r="P50" s="25">
        <v>1731500.1749673772</v>
      </c>
      <c r="Q50" s="1604">
        <v>21271421.033333346</v>
      </c>
      <c r="R50" s="1599">
        <v>744189.65714285709</v>
      </c>
      <c r="S50" s="1599">
        <v>20527231.376190491</v>
      </c>
      <c r="T50" s="25">
        <v>3271376.5312157837</v>
      </c>
      <c r="U50" s="1604">
        <v>15167306.466666669</v>
      </c>
      <c r="V50" s="1599">
        <v>530634.62857142859</v>
      </c>
      <c r="W50" s="1599">
        <v>14636671.83809524</v>
      </c>
      <c r="X50" s="25">
        <v>2332611.9274803959</v>
      </c>
      <c r="Y50" s="1604">
        <v>5826283.9857142856</v>
      </c>
      <c r="Z50" s="1599">
        <v>193136.48571428572</v>
      </c>
      <c r="AA50" s="1599">
        <v>5633147.5</v>
      </c>
      <c r="AB50" s="25">
        <v>886655.06894753466</v>
      </c>
      <c r="AC50" s="1599">
        <v>4127104.4899999998</v>
      </c>
      <c r="AD50" s="27">
        <v>68785.074833333332</v>
      </c>
      <c r="AE50" s="1599">
        <v>4058319.4151666663</v>
      </c>
      <c r="AF50" s="1262">
        <v>610056.76330008102</v>
      </c>
      <c r="AG50" s="1599">
        <v>12794561</v>
      </c>
      <c r="AH50" s="27">
        <v>213242.68333333335</v>
      </c>
      <c r="AI50" s="1599">
        <v>12581318.316666666</v>
      </c>
      <c r="AJ50" s="1262">
        <v>1891255.3560051606</v>
      </c>
      <c r="AK50" s="1599"/>
      <c r="AL50" s="27"/>
      <c r="AM50" s="1599"/>
      <c r="AN50" s="1262"/>
      <c r="AO50" s="1599"/>
      <c r="AP50" s="27"/>
      <c r="AQ50" s="1599"/>
      <c r="AR50" s="1262"/>
      <c r="AS50" s="1599"/>
      <c r="AT50" s="27"/>
      <c r="AU50" s="1599"/>
      <c r="AV50" s="1262"/>
      <c r="AW50" s="1606">
        <f>+AB50+X50+T50+P50+L50+H50+AF50+AJ50</f>
        <v>12363702.696684502</v>
      </c>
      <c r="AX50" s="1576"/>
      <c r="AY50" s="1601">
        <f>+AW50</f>
        <v>12363702.696684502</v>
      </c>
    </row>
    <row r="51" spans="1:54" ht="13" hidden="1">
      <c r="A51" s="1543">
        <f t="shared" si="1"/>
        <v>36</v>
      </c>
      <c r="C51" s="1564" t="str">
        <f t="shared" si="3"/>
        <v>W Increased ROE</v>
      </c>
      <c r="D51" s="1598">
        <f t="shared" si="2"/>
        <v>2015</v>
      </c>
      <c r="E51" s="1599">
        <v>4091784.8571428559</v>
      </c>
      <c r="F51" s="1599">
        <v>138704.57142857142</v>
      </c>
      <c r="G51" s="1599">
        <v>3953080.2857142845</v>
      </c>
      <c r="H51" s="25">
        <v>664237.14409720595</v>
      </c>
      <c r="I51" s="1599">
        <v>6640088.4142857119</v>
      </c>
      <c r="J51" s="1599">
        <v>225087.74285714285</v>
      </c>
      <c r="K51" s="1599">
        <v>6415000.6714285687</v>
      </c>
      <c r="L51" s="25">
        <v>1014863.294995531</v>
      </c>
      <c r="M51" s="1604">
        <v>11271741.428571431</v>
      </c>
      <c r="N51" s="1599">
        <v>392060.57142857142</v>
      </c>
      <c r="O51" s="1599">
        <v>10879680.85714286</v>
      </c>
      <c r="P51" s="25">
        <v>1731500.1749673772</v>
      </c>
      <c r="Q51" s="1604">
        <v>21271421.033333346</v>
      </c>
      <c r="R51" s="1599">
        <v>744189.65714285709</v>
      </c>
      <c r="S51" s="1599">
        <v>20527231.376190491</v>
      </c>
      <c r="T51" s="25">
        <v>3473132.1362214121</v>
      </c>
      <c r="U51" s="1604">
        <v>15167306.466666669</v>
      </c>
      <c r="V51" s="1599">
        <v>530634.62857142859</v>
      </c>
      <c r="W51" s="1599">
        <v>14636671.83809524</v>
      </c>
      <c r="X51" s="25">
        <v>2476471.1030236194</v>
      </c>
      <c r="Y51" s="1604">
        <v>5826283.9857142856</v>
      </c>
      <c r="Z51" s="1599">
        <v>193136.48571428572</v>
      </c>
      <c r="AA51" s="1599">
        <v>5633147.5</v>
      </c>
      <c r="AB51" s="25">
        <v>942021.4776521537</v>
      </c>
      <c r="AC51" s="1599">
        <v>4127104.4899999998</v>
      </c>
      <c r="AD51" s="1599">
        <v>68785.074833333332</v>
      </c>
      <c r="AE51" s="1599">
        <v>4058319.4151666663</v>
      </c>
      <c r="AF51" s="1262">
        <v>610056.76330008102</v>
      </c>
      <c r="AG51" s="1599">
        <v>12794561</v>
      </c>
      <c r="AH51" s="1599">
        <v>213242.68333333335</v>
      </c>
      <c r="AI51" s="1599">
        <v>12581318.316666666</v>
      </c>
      <c r="AJ51" s="1262">
        <v>1891255.3560051606</v>
      </c>
      <c r="AK51" s="1599"/>
      <c r="AL51" s="1599"/>
      <c r="AM51" s="1599"/>
      <c r="AN51" s="1262"/>
      <c r="AO51" s="1599"/>
      <c r="AP51" s="1599"/>
      <c r="AQ51" s="1599"/>
      <c r="AR51" s="1262"/>
      <c r="AS51" s="1599"/>
      <c r="AT51" s="1599"/>
      <c r="AU51" s="1599"/>
      <c r="AV51" s="1262"/>
      <c r="AW51" s="1606">
        <f>+AB51+X51+T51+P51+L51+H51+AF51+AJ51</f>
        <v>12803537.450262541</v>
      </c>
      <c r="AX51" s="1602">
        <f>+AW51</f>
        <v>12803537.450262541</v>
      </c>
      <c r="AY51" s="1573"/>
      <c r="AZ51" s="1603"/>
      <c r="BA51" s="1603"/>
    </row>
    <row r="52" spans="1:54" ht="13" hidden="1">
      <c r="A52" s="1543">
        <f t="shared" si="1"/>
        <v>37</v>
      </c>
      <c r="C52" s="1564" t="str">
        <f t="shared" si="3"/>
        <v>Base FCR</v>
      </c>
      <c r="D52" s="1598">
        <f t="shared" si="2"/>
        <v>2016</v>
      </c>
      <c r="E52" s="1599">
        <v>3953080.2857142845</v>
      </c>
      <c r="F52" s="1599">
        <v>138704.57142857142</v>
      </c>
      <c r="G52" s="1599">
        <v>3814375.7142857132</v>
      </c>
      <c r="H52" s="25">
        <v>561127.25376284029</v>
      </c>
      <c r="I52" s="1599">
        <v>6415000.6714285687</v>
      </c>
      <c r="J52" s="1599">
        <v>225087.74285714285</v>
      </c>
      <c r="K52" s="1599">
        <v>6189912.9285714254</v>
      </c>
      <c r="L52" s="25">
        <v>910589.07218603813</v>
      </c>
      <c r="M52" s="1604">
        <v>10879680.85714286</v>
      </c>
      <c r="N52" s="1599">
        <v>392060.57142857142</v>
      </c>
      <c r="O52" s="1599">
        <v>10487620.285714289</v>
      </c>
      <c r="P52" s="25">
        <v>1553511.1007517767</v>
      </c>
      <c r="Q52" s="1604">
        <v>20527231.376190491</v>
      </c>
      <c r="R52" s="1599">
        <v>744189.65714285709</v>
      </c>
      <c r="S52" s="1599">
        <v>19783041.719047636</v>
      </c>
      <c r="T52" s="25">
        <v>2935060.7651967099</v>
      </c>
      <c r="U52" s="1604">
        <v>14636671.83809524</v>
      </c>
      <c r="V52" s="1599">
        <v>530634.62857142859</v>
      </c>
      <c r="W52" s="1599">
        <v>14106037.209523812</v>
      </c>
      <c r="X52" s="25">
        <v>2092806.4022740859</v>
      </c>
      <c r="Y52" s="1604">
        <v>5633147.5</v>
      </c>
      <c r="Z52" s="1599">
        <v>193136.48571428572</v>
      </c>
      <c r="AA52" s="1599">
        <v>5440011.0142857144</v>
      </c>
      <c r="AB52" s="25">
        <v>795589.99756317353</v>
      </c>
      <c r="AC52" s="1604">
        <v>4058319.4151666663</v>
      </c>
      <c r="AD52" s="1599">
        <v>115582.8</v>
      </c>
      <c r="AE52" s="1599">
        <v>3942736.6151666665</v>
      </c>
      <c r="AF52" s="25">
        <v>552220.79831740586</v>
      </c>
      <c r="AG52" s="1604">
        <v>12581318.316666666</v>
      </c>
      <c r="AH52" s="1599">
        <v>376463.14285714284</v>
      </c>
      <c r="AI52" s="1599">
        <v>12204855.173809523</v>
      </c>
      <c r="AJ52" s="25">
        <v>1728088.689526015</v>
      </c>
      <c r="AK52" s="1599">
        <v>13621157</v>
      </c>
      <c r="AL52" s="27">
        <v>194587.95714285714</v>
      </c>
      <c r="AM52" s="1599">
        <v>13426569.042857142</v>
      </c>
      <c r="AN52" s="1262">
        <v>1061960.3692415874</v>
      </c>
      <c r="AO52" s="1599">
        <v>13621157</v>
      </c>
      <c r="AP52" s="27">
        <v>194587.95714285714</v>
      </c>
      <c r="AQ52" s="1599">
        <v>13426569.042857142</v>
      </c>
      <c r="AR52" s="1262">
        <v>1061960.3692415874</v>
      </c>
      <c r="AS52" s="1599">
        <v>13621157</v>
      </c>
      <c r="AT52" s="27">
        <v>194587.95714285714</v>
      </c>
      <c r="AU52" s="1599">
        <v>13426569.042857142</v>
      </c>
      <c r="AV52" s="1262">
        <v>1061960.3692415874</v>
      </c>
      <c r="AW52" s="1606">
        <f>H52+L52+P52+T52+X52+AB52+AF52+AJ52+AN52</f>
        <v>12190954.448819634</v>
      </c>
      <c r="AX52" s="1576"/>
      <c r="AY52" s="1601">
        <f>+AW52</f>
        <v>12190954.448819634</v>
      </c>
      <c r="AZ52" s="1603"/>
      <c r="BA52" s="1603"/>
    </row>
    <row r="53" spans="1:54" ht="13" hidden="1">
      <c r="A53" s="1543">
        <f t="shared" si="1"/>
        <v>38</v>
      </c>
      <c r="C53" s="1564" t="str">
        <f t="shared" si="3"/>
        <v>W Increased ROE</v>
      </c>
      <c r="D53" s="1598">
        <f t="shared" si="2"/>
        <v>2016</v>
      </c>
      <c r="E53" s="1599">
        <v>3953080.2857142845</v>
      </c>
      <c r="F53" s="1599">
        <v>138704.57142857142</v>
      </c>
      <c r="G53" s="1599">
        <v>3814375.7142857132</v>
      </c>
      <c r="H53" s="25">
        <v>596772.02049812861</v>
      </c>
      <c r="I53" s="1599">
        <v>6415000.6714285687</v>
      </c>
      <c r="J53" s="1599">
        <v>225087.74285714285</v>
      </c>
      <c r="K53" s="1599">
        <v>6189912.9285714254</v>
      </c>
      <c r="L53" s="25">
        <v>910589.07218603813</v>
      </c>
      <c r="M53" s="1604">
        <v>10879680.85714286</v>
      </c>
      <c r="N53" s="1599">
        <v>392060.57142857142</v>
      </c>
      <c r="O53" s="1599">
        <v>10487620.285714289</v>
      </c>
      <c r="P53" s="25">
        <v>1553511.1007517767</v>
      </c>
      <c r="Q53" s="1604">
        <v>20527231.376190491</v>
      </c>
      <c r="R53" s="1599">
        <v>744189.65714285709</v>
      </c>
      <c r="S53" s="1599">
        <v>19783041.719047636</v>
      </c>
      <c r="T53" s="25">
        <v>3119930.3114107698</v>
      </c>
      <c r="U53" s="1604">
        <v>14636671.83809524</v>
      </c>
      <c r="V53" s="1599">
        <v>530634.62857142859</v>
      </c>
      <c r="W53" s="1599">
        <v>14106037.209523812</v>
      </c>
      <c r="X53" s="25">
        <v>2224625.1961096404</v>
      </c>
      <c r="Y53" s="1604">
        <v>5633147.5</v>
      </c>
      <c r="Z53" s="1599">
        <v>193136.48571428572</v>
      </c>
      <c r="AA53" s="1599">
        <v>5440011.0142857144</v>
      </c>
      <c r="AB53" s="25">
        <v>846426.08141180547</v>
      </c>
      <c r="AC53" s="1604">
        <v>4058319.4151666663</v>
      </c>
      <c r="AD53" s="1599">
        <v>115582.8</v>
      </c>
      <c r="AE53" s="1599">
        <v>3942736.6151666665</v>
      </c>
      <c r="AF53" s="25">
        <v>552220.79831740586</v>
      </c>
      <c r="AG53" s="1604">
        <v>12581318.316666666</v>
      </c>
      <c r="AH53" s="1599">
        <v>376463.14285714284</v>
      </c>
      <c r="AI53" s="1599">
        <v>12204855.173809523</v>
      </c>
      <c r="AJ53" s="25">
        <v>1728088.689526015</v>
      </c>
      <c r="AK53" s="1599">
        <v>13621157</v>
      </c>
      <c r="AL53" s="1599">
        <v>194587.95714285714</v>
      </c>
      <c r="AM53" s="1599">
        <v>13426569.042857142</v>
      </c>
      <c r="AN53" s="1262">
        <v>1061960.3692415874</v>
      </c>
      <c r="AO53" s="1599">
        <v>13621157</v>
      </c>
      <c r="AP53" s="1599">
        <v>194587.95714285714</v>
      </c>
      <c r="AQ53" s="1599">
        <v>13426569.042857142</v>
      </c>
      <c r="AR53" s="1262">
        <v>1061960.3692415874</v>
      </c>
      <c r="AS53" s="1599">
        <v>13621157</v>
      </c>
      <c r="AT53" s="1599">
        <v>194587.95714285714</v>
      </c>
      <c r="AU53" s="1599">
        <v>13426569.042857142</v>
      </c>
      <c r="AV53" s="1262">
        <v>1061960.3692415874</v>
      </c>
      <c r="AW53" s="1606">
        <f>H53+L53+P53+T53+X53+AB53+AF53+AJ53+AN53</f>
        <v>12594123.639453169</v>
      </c>
      <c r="AX53" s="1602">
        <f>+AW53</f>
        <v>12594123.639453169</v>
      </c>
      <c r="AY53" s="1573"/>
      <c r="AZ53" s="1603"/>
      <c r="BA53" s="1603"/>
    </row>
    <row r="54" spans="1:54" ht="13" hidden="1">
      <c r="A54" s="1543">
        <v>39</v>
      </c>
      <c r="C54" s="1564" t="s">
        <v>31</v>
      </c>
      <c r="D54" s="1598">
        <v>2017</v>
      </c>
      <c r="E54" s="1599">
        <v>3814375.7142857132</v>
      </c>
      <c r="F54" s="1599">
        <v>138704.57142857142</v>
      </c>
      <c r="G54" s="1599">
        <v>3675671.1428571418</v>
      </c>
      <c r="H54" s="25">
        <v>540960.18987904279</v>
      </c>
      <c r="I54" s="1599">
        <v>6189912.9285714254</v>
      </c>
      <c r="J54" s="1599">
        <v>225087.74285714285</v>
      </c>
      <c r="K54" s="1599">
        <v>5964825.1857142821</v>
      </c>
      <c r="L54" s="25">
        <v>877862.25689143606</v>
      </c>
      <c r="M54" s="1604">
        <v>10487620.285714289</v>
      </c>
      <c r="N54" s="1599">
        <v>392060.57142857142</v>
      </c>
      <c r="O54" s="1599">
        <v>10095559.714285718</v>
      </c>
      <c r="P54" s="25">
        <v>1496891.6236747215</v>
      </c>
      <c r="Q54" s="1604">
        <v>19783041.719047636</v>
      </c>
      <c r="R54" s="1599">
        <v>744189.65714285709</v>
      </c>
      <c r="S54" s="1599">
        <v>19038852.061904781</v>
      </c>
      <c r="T54" s="25">
        <v>2827750.703029979</v>
      </c>
      <c r="U54" s="1604">
        <v>14106037.209523812</v>
      </c>
      <c r="V54" s="1599">
        <v>530634.62857142859</v>
      </c>
      <c r="W54" s="1599">
        <v>13575402.580952384</v>
      </c>
      <c r="X54" s="25">
        <v>2016290.3765093132</v>
      </c>
      <c r="Y54" s="1604">
        <v>5440011.0142857144</v>
      </c>
      <c r="Z54" s="1599">
        <v>193136.48571428572</v>
      </c>
      <c r="AA54" s="1599">
        <v>5246874.5285714287</v>
      </c>
      <c r="AB54" s="25">
        <v>767340.40015423298</v>
      </c>
      <c r="AC54" s="1604">
        <v>3942736.6151666665</v>
      </c>
      <c r="AD54" s="1599">
        <v>115582.8</v>
      </c>
      <c r="AE54" s="1599">
        <v>3827153.8151666666</v>
      </c>
      <c r="AF54" s="25">
        <v>534416.27693294501</v>
      </c>
      <c r="AG54" s="1604">
        <v>12204855.173809523</v>
      </c>
      <c r="AH54" s="1599">
        <v>376463.14285714284</v>
      </c>
      <c r="AI54" s="1599">
        <v>11828392.030952379</v>
      </c>
      <c r="AJ54" s="25">
        <v>1670930.7289826246</v>
      </c>
      <c r="AK54" s="1604">
        <v>14647390.042857142</v>
      </c>
      <c r="AL54" s="1599">
        <v>424056.51428571431</v>
      </c>
      <c r="AM54" s="1599">
        <v>14223333.528571429</v>
      </c>
      <c r="AN54" s="25">
        <v>1980620.0920913997</v>
      </c>
      <c r="AO54" s="1604">
        <v>14647390.042857142</v>
      </c>
      <c r="AP54" s="1599">
        <v>424056.51428571431</v>
      </c>
      <c r="AQ54" s="1599">
        <v>14223333.528571429</v>
      </c>
      <c r="AR54" s="25">
        <v>1980620.0920913997</v>
      </c>
      <c r="AS54" s="1604">
        <v>14647390.042857142</v>
      </c>
      <c r="AT54" s="1599">
        <v>424056.51428571431</v>
      </c>
      <c r="AU54" s="1599">
        <v>14223333.528571429</v>
      </c>
      <c r="AV54" s="25">
        <v>1980620.0920913997</v>
      </c>
      <c r="AW54" s="1606">
        <v>12713062.648145698</v>
      </c>
      <c r="AX54" s="1576"/>
      <c r="AY54" s="1601">
        <v>12713062.648145698</v>
      </c>
      <c r="BA54" s="1603"/>
      <c r="BB54" s="1603"/>
    </row>
    <row r="55" spans="1:54" ht="13" hidden="1">
      <c r="A55" s="1543">
        <v>40</v>
      </c>
      <c r="C55" s="1564" t="s">
        <v>47</v>
      </c>
      <c r="D55" s="1598">
        <v>2017</v>
      </c>
      <c r="E55" s="1599">
        <v>3814375.7142857132</v>
      </c>
      <c r="F55" s="1599">
        <v>138704.57142857142</v>
      </c>
      <c r="G55" s="1599">
        <v>3675671.1428571418</v>
      </c>
      <c r="H55" s="25">
        <v>573924.99717319966</v>
      </c>
      <c r="I55" s="1599">
        <v>6189912.9285714254</v>
      </c>
      <c r="J55" s="1599">
        <v>225087.74285714285</v>
      </c>
      <c r="K55" s="1599">
        <v>5964825.1857142821</v>
      </c>
      <c r="L55" s="25">
        <v>877862.25689143606</v>
      </c>
      <c r="M55" s="1604">
        <v>10487620.285714289</v>
      </c>
      <c r="N55" s="1599">
        <v>392060.57142857142</v>
      </c>
      <c r="O55" s="1599">
        <v>10095559.714285718</v>
      </c>
      <c r="P55" s="25">
        <v>1496891.6236747215</v>
      </c>
      <c r="Q55" s="1604">
        <v>19783041.719047636</v>
      </c>
      <c r="R55" s="1599">
        <v>744189.65714285709</v>
      </c>
      <c r="S55" s="1599">
        <v>19038852.061904781</v>
      </c>
      <c r="T55" s="25">
        <v>2998498.3202487496</v>
      </c>
      <c r="U55" s="1604">
        <v>14106037.209523812</v>
      </c>
      <c r="V55" s="1599">
        <v>530634.62857142859</v>
      </c>
      <c r="W55" s="1599">
        <v>13575402.580952384</v>
      </c>
      <c r="X55" s="25">
        <v>2138039.7149645048</v>
      </c>
      <c r="Y55" s="1604">
        <v>5440011.0142857144</v>
      </c>
      <c r="Z55" s="1599">
        <v>193136.48571428572</v>
      </c>
      <c r="AA55" s="1599">
        <v>5246874.5285714287</v>
      </c>
      <c r="AB55" s="25">
        <v>814396.35293365701</v>
      </c>
      <c r="AC55" s="1604">
        <v>3942736.6151666665</v>
      </c>
      <c r="AD55" s="1599">
        <v>115582.8</v>
      </c>
      <c r="AE55" s="1599">
        <v>3827153.8151666666</v>
      </c>
      <c r="AF55" s="25">
        <v>534416.27693294501</v>
      </c>
      <c r="AG55" s="1604">
        <v>12204855.173809523</v>
      </c>
      <c r="AH55" s="1599">
        <v>376463.14285714284</v>
      </c>
      <c r="AI55" s="1599">
        <v>11828392.030952379</v>
      </c>
      <c r="AJ55" s="25">
        <v>1670930.7289826246</v>
      </c>
      <c r="AK55" s="1604">
        <v>14647390.042857142</v>
      </c>
      <c r="AL55" s="1599">
        <v>424056.51428571431</v>
      </c>
      <c r="AM55" s="1599">
        <v>14223333.528571429</v>
      </c>
      <c r="AN55" s="25">
        <v>1980620.0920913997</v>
      </c>
      <c r="AO55" s="1604">
        <v>14647390.042857142</v>
      </c>
      <c r="AP55" s="1599">
        <v>424056.51428571431</v>
      </c>
      <c r="AQ55" s="1599">
        <v>14223333.528571429</v>
      </c>
      <c r="AR55" s="25">
        <v>1980620.0920913997</v>
      </c>
      <c r="AS55" s="1604">
        <v>14647390.042857142</v>
      </c>
      <c r="AT55" s="1599">
        <v>424056.51428571431</v>
      </c>
      <c r="AU55" s="1599">
        <v>14223333.528571429</v>
      </c>
      <c r="AV55" s="25">
        <v>1980620.0920913997</v>
      </c>
      <c r="AW55" s="1606">
        <v>13085580.363893237</v>
      </c>
      <c r="AX55" s="1602">
        <v>13085580.363893237</v>
      </c>
      <c r="AY55" s="1573"/>
      <c r="BA55" s="1603"/>
    </row>
    <row r="56" spans="1:54" ht="13" hidden="1">
      <c r="A56" s="1543">
        <f t="shared" si="1"/>
        <v>41</v>
      </c>
      <c r="C56" s="1564" t="str">
        <f t="shared" si="3"/>
        <v>Base FCR</v>
      </c>
      <c r="D56" s="1598">
        <f t="shared" si="2"/>
        <v>2018</v>
      </c>
      <c r="E56" s="1599">
        <v>3675671.1428571418</v>
      </c>
      <c r="F56" s="1599">
        <v>138704.57142857142</v>
      </c>
      <c r="G56" s="1599">
        <v>3536966.5714285704</v>
      </c>
      <c r="H56" s="25">
        <v>476074.62410992192</v>
      </c>
      <c r="I56" s="1599">
        <v>5964825.1857142821</v>
      </c>
      <c r="J56" s="1599">
        <v>225087.74285714285</v>
      </c>
      <c r="K56" s="1599">
        <v>5739737.4428571388</v>
      </c>
      <c r="L56" s="25">
        <v>772566.91303536715</v>
      </c>
      <c r="M56" s="1604">
        <v>10095559.714285718</v>
      </c>
      <c r="N56" s="1599">
        <v>392060.57142857142</v>
      </c>
      <c r="O56" s="1599">
        <v>9703499.1428571474</v>
      </c>
      <c r="P56" s="25">
        <v>1317619.224841835</v>
      </c>
      <c r="Q56" s="1604">
        <v>19038852.061904781</v>
      </c>
      <c r="R56" s="1599">
        <v>744189.65714285709</v>
      </c>
      <c r="S56" s="1599">
        <v>18294662.404761925</v>
      </c>
      <c r="T56" s="25">
        <v>2489207.9078494711</v>
      </c>
      <c r="U56" s="1604">
        <v>13575402.580952384</v>
      </c>
      <c r="V56" s="1599">
        <v>530634.62857142859</v>
      </c>
      <c r="W56" s="1599">
        <v>13044767.952380955</v>
      </c>
      <c r="X56" s="25">
        <v>1774896.8975058051</v>
      </c>
      <c r="Y56" s="1604">
        <v>5246874.5285714287</v>
      </c>
      <c r="Z56" s="1599">
        <v>193136.48571428572</v>
      </c>
      <c r="AA56" s="1599">
        <v>5053738.0428571431</v>
      </c>
      <c r="AB56" s="25">
        <v>675182.28267747932</v>
      </c>
      <c r="AC56" s="1604">
        <v>3827153.8151666666</v>
      </c>
      <c r="AD56" s="1599">
        <v>115582.8</v>
      </c>
      <c r="AE56" s="1599">
        <v>3711571.0151666668</v>
      </c>
      <c r="AF56" s="25">
        <v>469607.32458339265</v>
      </c>
      <c r="AG56" s="1604">
        <v>11828392.030952379</v>
      </c>
      <c r="AH56" s="1599">
        <v>376463.14285714284</v>
      </c>
      <c r="AI56" s="1599">
        <v>11451928.888095235</v>
      </c>
      <c r="AJ56" s="25">
        <v>1468794.0355178835</v>
      </c>
      <c r="AK56" s="1604">
        <v>14223333.528571429</v>
      </c>
      <c r="AL56" s="1599">
        <v>424056.51428571431</v>
      </c>
      <c r="AM56" s="1599">
        <v>13799277.014285715</v>
      </c>
      <c r="AN56" s="25">
        <v>1740286.8826699406</v>
      </c>
      <c r="AO56" s="1604">
        <v>14223333.528571429</v>
      </c>
      <c r="AP56" s="1599">
        <v>424056.51428571431</v>
      </c>
      <c r="AQ56" s="1599">
        <v>13799277.014285715</v>
      </c>
      <c r="AR56" s="25">
        <v>1740286.8826699406</v>
      </c>
      <c r="AS56" s="1604">
        <v>14223333.528571429</v>
      </c>
      <c r="AT56" s="1599">
        <v>424056.51428571431</v>
      </c>
      <c r="AU56" s="1599">
        <v>13799277.014285715</v>
      </c>
      <c r="AV56" s="25">
        <v>1740286.8826699406</v>
      </c>
      <c r="AW56" s="1606">
        <f>H56+L56+P56+T56+X56+AB56+AF56+AJ56+AN56</f>
        <v>11184236.092791095</v>
      </c>
      <c r="AX56" s="1576"/>
      <c r="AY56" s="1601">
        <f>+AW56</f>
        <v>11184236.092791095</v>
      </c>
      <c r="BA56" s="1603"/>
      <c r="BB56" s="1603"/>
    </row>
    <row r="57" spans="1:54" ht="13" hidden="1">
      <c r="A57" s="1543">
        <f t="shared" si="1"/>
        <v>42</v>
      </c>
      <c r="C57" s="1564" t="str">
        <f t="shared" si="3"/>
        <v>W Increased ROE</v>
      </c>
      <c r="D57" s="1598">
        <f t="shared" si="2"/>
        <v>2018</v>
      </c>
      <c r="E57" s="1599">
        <v>3675671.1428571418</v>
      </c>
      <c r="F57" s="1599">
        <v>138704.57142857142</v>
      </c>
      <c r="G57" s="1599">
        <v>3536966.5714285704</v>
      </c>
      <c r="H57" s="25">
        <v>501689.62916241743</v>
      </c>
      <c r="I57" s="1599">
        <v>5964825.1857142821</v>
      </c>
      <c r="J57" s="1599">
        <v>225087.74285714285</v>
      </c>
      <c r="K57" s="1599">
        <v>5739737.4428571388</v>
      </c>
      <c r="L57" s="25">
        <v>772566.91303536715</v>
      </c>
      <c r="M57" s="1604">
        <v>10095559.714285718</v>
      </c>
      <c r="N57" s="1599">
        <v>392060.57142857142</v>
      </c>
      <c r="O57" s="1599">
        <v>9703499.1428571474</v>
      </c>
      <c r="P57" s="25">
        <v>1317619.224841835</v>
      </c>
      <c r="Q57" s="1604">
        <v>19038852.061904781</v>
      </c>
      <c r="R57" s="1599">
        <v>744189.65714285709</v>
      </c>
      <c r="S57" s="1599">
        <v>18294662.404761925</v>
      </c>
      <c r="T57" s="25">
        <v>2621699.3692382062</v>
      </c>
      <c r="U57" s="1604">
        <v>13575402.580952384</v>
      </c>
      <c r="V57" s="1599">
        <v>530634.62857142859</v>
      </c>
      <c r="W57" s="1599">
        <v>13044767.952380955</v>
      </c>
      <c r="X57" s="25">
        <v>1869368.18816149</v>
      </c>
      <c r="Y57" s="1604">
        <v>5246874.5285714287</v>
      </c>
      <c r="Z57" s="1599">
        <v>193136.48571428572</v>
      </c>
      <c r="AA57" s="1599">
        <v>5053738.0428571431</v>
      </c>
      <c r="AB57" s="25">
        <v>711781.87243540271</v>
      </c>
      <c r="AC57" s="1604">
        <v>3827153.8151666666</v>
      </c>
      <c r="AD57" s="1599">
        <v>115582.8</v>
      </c>
      <c r="AE57" s="1599">
        <v>3711571.0151666668</v>
      </c>
      <c r="AF57" s="25">
        <v>469607.32458339265</v>
      </c>
      <c r="AG57" s="1604">
        <v>11828392.030952379</v>
      </c>
      <c r="AH57" s="1599">
        <v>376463.14285714284</v>
      </c>
      <c r="AI57" s="1599">
        <v>11451928.888095235</v>
      </c>
      <c r="AJ57" s="25">
        <v>1468794.0355178835</v>
      </c>
      <c r="AK57" s="1604">
        <v>14223333.528571429</v>
      </c>
      <c r="AL57" s="1599">
        <v>424056.51428571431</v>
      </c>
      <c r="AM57" s="1599">
        <v>13799277.014285715</v>
      </c>
      <c r="AN57" s="25">
        <v>1740286.8826699406</v>
      </c>
      <c r="AO57" s="1604">
        <v>14223333.528571429</v>
      </c>
      <c r="AP57" s="1599">
        <v>424056.51428571431</v>
      </c>
      <c r="AQ57" s="1599">
        <v>13799277.014285715</v>
      </c>
      <c r="AR57" s="25">
        <v>1740286.8826699406</v>
      </c>
      <c r="AS57" s="1604">
        <v>14223333.528571429</v>
      </c>
      <c r="AT57" s="1599">
        <v>424056.51428571431</v>
      </c>
      <c r="AU57" s="1599">
        <v>13799277.014285715</v>
      </c>
      <c r="AV57" s="25">
        <v>1740286.8826699406</v>
      </c>
      <c r="AW57" s="1606">
        <f>H57+L57+P57+T57+X57+AB57+AF57+AJ57+AN57</f>
        <v>11473413.439645935</v>
      </c>
      <c r="AX57" s="1602">
        <f>+AW57</f>
        <v>11473413.439645935</v>
      </c>
      <c r="AY57" s="1573"/>
    </row>
    <row r="58" spans="1:54" ht="13">
      <c r="A58" s="1543">
        <f t="shared" si="1"/>
        <v>43</v>
      </c>
      <c r="C58" s="1564" t="str">
        <f t="shared" si="3"/>
        <v>Base FCR</v>
      </c>
      <c r="D58" s="1598">
        <f t="shared" si="2"/>
        <v>2019</v>
      </c>
      <c r="E58" s="1599">
        <f>+G57</f>
        <v>3536966.5714285704</v>
      </c>
      <c r="F58" s="1599">
        <f>+E$32</f>
        <v>138704.57142857142</v>
      </c>
      <c r="G58" s="1599">
        <f t="shared" ref="G58:G75" si="4">+E58-F58</f>
        <v>3398261.9999999991</v>
      </c>
      <c r="H58" s="25">
        <f>+E$29*G58+F58</f>
        <v>430256.74279314576</v>
      </c>
      <c r="I58" s="1599">
        <f>+K57</f>
        <v>5739737.4428571388</v>
      </c>
      <c r="J58" s="1599">
        <f>+I$32</f>
        <v>225087.74285714285</v>
      </c>
      <c r="K58" s="1599">
        <f t="shared" ref="K58:K75" si="5">+I58-J58</f>
        <v>5514649.6999999955</v>
      </c>
      <c r="L58" s="25">
        <f>+I$29*K58+J58</f>
        <v>698214.32766725973</v>
      </c>
      <c r="M58" s="1604">
        <f>+O57</f>
        <v>9703499.1428571474</v>
      </c>
      <c r="N58" s="1599">
        <f>+M$32</f>
        <v>392060.57142857142</v>
      </c>
      <c r="O58" s="1599">
        <f t="shared" ref="O58:O75" si="6">+M58-N58</f>
        <v>9311438.5714285765</v>
      </c>
      <c r="P58" s="25">
        <f>+M$29*O58+N58</f>
        <v>1190930.7391872234</v>
      </c>
      <c r="Q58" s="1604">
        <f>+S57</f>
        <v>18294662.404761925</v>
      </c>
      <c r="R58" s="1599">
        <f>+Q$32</f>
        <v>744189.65714285709</v>
      </c>
      <c r="S58" s="1599">
        <f t="shared" ref="S58:S75" si="7">+Q58-R58</f>
        <v>17550472.74761907</v>
      </c>
      <c r="T58" s="25">
        <f>+Q$29*S58+R58</f>
        <v>2249923.5993883722</v>
      </c>
      <c r="U58" s="1604">
        <f>+W57</f>
        <v>13044767.952380955</v>
      </c>
      <c r="V58" s="1599">
        <f>+U$32</f>
        <v>530634.62857142859</v>
      </c>
      <c r="W58" s="1599">
        <f t="shared" ref="W58:W75" si="8">+U58-V58</f>
        <v>12514133.323809527</v>
      </c>
      <c r="X58" s="25">
        <f>+U$29*W58+V58</f>
        <v>1604278.3744928574</v>
      </c>
      <c r="Y58" s="1604">
        <f>+AA57</f>
        <v>5053738.0428571431</v>
      </c>
      <c r="Z58" s="1599">
        <f>+Y$32</f>
        <v>193136.48571428572</v>
      </c>
      <c r="AA58" s="1599">
        <f t="shared" ref="AA58:AA75" si="9">+Y58-Z58</f>
        <v>4860601.5571428575</v>
      </c>
      <c r="AB58" s="25">
        <f>+Y$29*AA58+Z58</f>
        <v>610149.34055685869</v>
      </c>
      <c r="AC58" s="1604">
        <f>+AE57</f>
        <v>3711571.0151666668</v>
      </c>
      <c r="AD58" s="1599">
        <f>+AC$32</f>
        <v>115582.8</v>
      </c>
      <c r="AE58" s="1599">
        <f t="shared" ref="AE58:AE75" si="10">+AC58-AD58</f>
        <v>3595988.215166667</v>
      </c>
      <c r="AF58" s="25">
        <f>+AC$29*AE58+AD58</f>
        <v>424098.79209633102</v>
      </c>
      <c r="AG58" s="1604">
        <f>+AI57</f>
        <v>11451928.888095235</v>
      </c>
      <c r="AH58" s="1599">
        <f>+AG$32</f>
        <v>376463.14285714284</v>
      </c>
      <c r="AI58" s="1599">
        <f t="shared" ref="AI58:AI75" si="11">+AG58-AH58</f>
        <v>11075465.745238092</v>
      </c>
      <c r="AJ58" s="25">
        <f>+AG$29*AI58+AH58</f>
        <v>1326677.1307421648</v>
      </c>
      <c r="AK58" s="1604">
        <f>+AM57</f>
        <v>13799277.014285715</v>
      </c>
      <c r="AL58" s="1599">
        <f>+AK$32</f>
        <v>424056.51428571431</v>
      </c>
      <c r="AM58" s="1599">
        <f t="shared" ref="AM58:AM75" si="12">+AK58-AL58</f>
        <v>13375220.500000002</v>
      </c>
      <c r="AN58" s="25">
        <f>+AK$29*AM58+AL58</f>
        <v>1571576.7994358791</v>
      </c>
      <c r="AO58" s="1725">
        <v>11885714.285714287</v>
      </c>
      <c r="AP58" s="1599">
        <f>+AO$32</f>
        <v>371428.57142857142</v>
      </c>
      <c r="AQ58" s="1599">
        <f t="shared" ref="AQ58:AQ75" si="13">+AO58-AP58</f>
        <v>11514285.714285716</v>
      </c>
      <c r="AR58" s="25">
        <f>+AO$29*AQ58+AP58</f>
        <v>1359290.896850243</v>
      </c>
      <c r="AS58" s="1725">
        <v>48500</v>
      </c>
      <c r="AT58" s="1599">
        <f>+AS$32</f>
        <v>2000</v>
      </c>
      <c r="AU58" s="1599">
        <f t="shared" ref="AU58:AU75" si="14">+AS58-AT58</f>
        <v>46500</v>
      </c>
      <c r="AV58" s="25">
        <f>+AS$29*AU58+AT58</f>
        <v>5989.4440065105955</v>
      </c>
      <c r="AW58" s="1606">
        <f>H58+L58+P58+T58+X58+AB58+AF58+AJ58+AN58+AR58+AV58</f>
        <v>11471386.187216844</v>
      </c>
      <c r="AX58" s="1576"/>
      <c r="AY58" s="1601">
        <f>+AW58</f>
        <v>11471386.187216844</v>
      </c>
    </row>
    <row r="59" spans="1:54" ht="13">
      <c r="A59" s="1543">
        <f t="shared" si="1"/>
        <v>44</v>
      </c>
      <c r="C59" s="1564" t="str">
        <f t="shared" si="3"/>
        <v>W Increased ROE</v>
      </c>
      <c r="D59" s="1598">
        <f t="shared" si="2"/>
        <v>2019</v>
      </c>
      <c r="E59" s="1599">
        <f>+E58</f>
        <v>3536966.5714285704</v>
      </c>
      <c r="F59" s="1599">
        <f>+F58</f>
        <v>138704.57142857142</v>
      </c>
      <c r="G59" s="1599">
        <f t="shared" si="4"/>
        <v>3398261.9999999991</v>
      </c>
      <c r="H59" s="25">
        <f>+E$30*G59+F59</f>
        <v>457630.9982616863</v>
      </c>
      <c r="I59" s="1599">
        <f>+I58</f>
        <v>5739737.4428571388</v>
      </c>
      <c r="J59" s="1599">
        <f>+J58</f>
        <v>225087.74285714285</v>
      </c>
      <c r="K59" s="1599">
        <f t="shared" si="5"/>
        <v>5514649.6999999955</v>
      </c>
      <c r="L59" s="25">
        <f>+I$30*K59+J59</f>
        <v>698214.32766725973</v>
      </c>
      <c r="M59" s="1604">
        <f>+M58</f>
        <v>9703499.1428571474</v>
      </c>
      <c r="N59" s="1599">
        <f>+N58</f>
        <v>392060.57142857142</v>
      </c>
      <c r="O59" s="1599">
        <f t="shared" si="6"/>
        <v>9311438.5714285765</v>
      </c>
      <c r="P59" s="25">
        <f>+M$30*O59+N59</f>
        <v>1190930.7391872234</v>
      </c>
      <c r="Q59" s="1604">
        <f>+Q58</f>
        <v>18294662.404761925</v>
      </c>
      <c r="R59" s="1599">
        <f>+R58</f>
        <v>744189.65714285709</v>
      </c>
      <c r="S59" s="1599">
        <f t="shared" si="7"/>
        <v>17550472.74761907</v>
      </c>
      <c r="T59" s="25">
        <f>+Q$30*S59+R59</f>
        <v>2391299.1391751757</v>
      </c>
      <c r="U59" s="1604">
        <f>+U58</f>
        <v>13044767.952380955</v>
      </c>
      <c r="V59" s="1599">
        <f>+V58</f>
        <v>530634.62857142859</v>
      </c>
      <c r="W59" s="1599">
        <f t="shared" si="8"/>
        <v>12514133.323809527</v>
      </c>
      <c r="X59" s="25">
        <f>+U$30*W59+V59</f>
        <v>1705084.3401815942</v>
      </c>
      <c r="Y59" s="1604">
        <f>+Y58</f>
        <v>5053738.0428571431</v>
      </c>
      <c r="Z59" s="1599">
        <f>+Z58</f>
        <v>193136.48571428572</v>
      </c>
      <c r="AA59" s="1599">
        <f t="shared" si="9"/>
        <v>4860601.5571428575</v>
      </c>
      <c r="AB59" s="25">
        <f>+Y$30*AA59+Z59</f>
        <v>649303.28123477416</v>
      </c>
      <c r="AC59" s="1604">
        <f>+AC58</f>
        <v>3711571.0151666668</v>
      </c>
      <c r="AD59" s="1599">
        <f>+AD58</f>
        <v>115582.8</v>
      </c>
      <c r="AE59" s="1599">
        <f t="shared" si="10"/>
        <v>3595988.215166667</v>
      </c>
      <c r="AF59" s="25">
        <f>+AC$30*AE59+AD59</f>
        <v>424098.79209633102</v>
      </c>
      <c r="AG59" s="1604">
        <f>+AG58</f>
        <v>11451928.888095235</v>
      </c>
      <c r="AH59" s="1599">
        <f>+AH58</f>
        <v>376463.14285714284</v>
      </c>
      <c r="AI59" s="1599">
        <f t="shared" si="11"/>
        <v>11075465.745238092</v>
      </c>
      <c r="AJ59" s="25">
        <f>+AG$30*AI59+AH59</f>
        <v>1326677.1307421648</v>
      </c>
      <c r="AK59" s="1604">
        <f>+AK58</f>
        <v>13799277.014285715</v>
      </c>
      <c r="AL59" s="1599">
        <f>+AL58</f>
        <v>424056.51428571431</v>
      </c>
      <c r="AM59" s="1599">
        <f t="shared" si="12"/>
        <v>13375220.500000002</v>
      </c>
      <c r="AN59" s="25">
        <f>+AK$30*AM59+AL59</f>
        <v>1571576.7994358791</v>
      </c>
      <c r="AO59" s="1604">
        <f>+AO58</f>
        <v>11885714.285714287</v>
      </c>
      <c r="AP59" s="1599">
        <f>+AP58</f>
        <v>371428.57142857142</v>
      </c>
      <c r="AQ59" s="1599">
        <f t="shared" si="13"/>
        <v>11514285.714285716</v>
      </c>
      <c r="AR59" s="25">
        <f>+AO$30*AQ59+AP59</f>
        <v>1359290.896850243</v>
      </c>
      <c r="AS59" s="1604">
        <f>+AS58</f>
        <v>48500</v>
      </c>
      <c r="AT59" s="1599">
        <f>+AT58</f>
        <v>2000</v>
      </c>
      <c r="AU59" s="1599">
        <f t="shared" si="14"/>
        <v>46500</v>
      </c>
      <c r="AV59" s="25">
        <f>+AS$30*AU59+AT59</f>
        <v>5989.4440065105955</v>
      </c>
      <c r="AW59" s="1606">
        <f t="shared" ref="AW59:AW75" si="15">H59+L59+P59+T59+X59+AB59+AF59+AJ59+AN59+AR59+AV59</f>
        <v>11780095.888838843</v>
      </c>
      <c r="AX59" s="1602">
        <f>+AW59</f>
        <v>11780095.888838843</v>
      </c>
      <c r="AY59" s="1573"/>
      <c r="BA59" s="1603"/>
    </row>
    <row r="60" spans="1:54" ht="13">
      <c r="A60" s="1543">
        <f t="shared" si="1"/>
        <v>45</v>
      </c>
      <c r="C60" s="1564" t="str">
        <f t="shared" si="3"/>
        <v>Base FCR</v>
      </c>
      <c r="D60" s="1598">
        <f t="shared" si="2"/>
        <v>2020</v>
      </c>
      <c r="E60" s="1599">
        <f>+G59</f>
        <v>3398261.9999999991</v>
      </c>
      <c r="F60" s="1599">
        <f>+E$32</f>
        <v>138704.57142857142</v>
      </c>
      <c r="G60" s="1599">
        <f t="shared" si="4"/>
        <v>3259557.4285714277</v>
      </c>
      <c r="H60" s="25">
        <f>+E$29*G60+F60</f>
        <v>418356.65416602028</v>
      </c>
      <c r="I60" s="1599">
        <f>+K59</f>
        <v>5514649.6999999955</v>
      </c>
      <c r="J60" s="1599">
        <f>+I$32</f>
        <v>225087.74285714285</v>
      </c>
      <c r="K60" s="1599">
        <f t="shared" si="5"/>
        <v>5289561.9571428522</v>
      </c>
      <c r="L60" s="25">
        <f>+I$29*K60+J60</f>
        <v>678903.03849133663</v>
      </c>
      <c r="M60" s="1604">
        <f>+O59</f>
        <v>9311438.5714285765</v>
      </c>
      <c r="N60" s="1599">
        <f>+M$32</f>
        <v>392060.57142857142</v>
      </c>
      <c r="O60" s="1599">
        <f t="shared" si="6"/>
        <v>8919378.0000000056</v>
      </c>
      <c r="P60" s="25">
        <f>+M$29*O60+N60</f>
        <v>1157294.100544754</v>
      </c>
      <c r="Q60" s="1604">
        <f>+S59</f>
        <v>17550472.74761907</v>
      </c>
      <c r="R60" s="1599">
        <f>+Q$32</f>
        <v>744189.65714285709</v>
      </c>
      <c r="S60" s="1599">
        <f t="shared" si="7"/>
        <v>16806283.090476215</v>
      </c>
      <c r="T60" s="25">
        <f>+Q$29*S60+R60</f>
        <v>2186076.2237454532</v>
      </c>
      <c r="U60" s="1604">
        <f>+W59</f>
        <v>12514133.323809527</v>
      </c>
      <c r="V60" s="1599">
        <f>+U$32</f>
        <v>530634.62857142859</v>
      </c>
      <c r="W60" s="1599">
        <f t="shared" si="8"/>
        <v>11983498.695238099</v>
      </c>
      <c r="X60" s="25">
        <f>+U$29*W60+V60</f>
        <v>1558752.8446304647</v>
      </c>
      <c r="Y60" s="1604">
        <f>+AA59</f>
        <v>4860601.5571428575</v>
      </c>
      <c r="Z60" s="1599">
        <f>+Y$32</f>
        <v>193136.48571428572</v>
      </c>
      <c r="AA60" s="1599">
        <f t="shared" si="9"/>
        <v>4667465.0714285718</v>
      </c>
      <c r="AB60" s="25">
        <f>+Y$29*AA60+Z60</f>
        <v>593579.29334457102</v>
      </c>
      <c r="AC60" s="1604">
        <f>+AE59</f>
        <v>3595988.215166667</v>
      </c>
      <c r="AD60" s="1599">
        <f>+AC$32</f>
        <v>115582.8</v>
      </c>
      <c r="AE60" s="1599">
        <f t="shared" si="10"/>
        <v>3480405.4151666672</v>
      </c>
      <c r="AF60" s="25">
        <f>+AC$29*AE60+AD60</f>
        <v>414182.42416696087</v>
      </c>
      <c r="AG60" s="1604">
        <f>+AI59</f>
        <v>11075465.745238092</v>
      </c>
      <c r="AH60" s="1599">
        <f>+AG$32</f>
        <v>376463.14285714284</v>
      </c>
      <c r="AI60" s="1599">
        <f t="shared" si="11"/>
        <v>10699002.602380948</v>
      </c>
      <c r="AJ60" s="25">
        <f>+AG$29*AI60+AH60</f>
        <v>1294378.665603593</v>
      </c>
      <c r="AK60" s="1604">
        <f>+AM59</f>
        <v>13375220.500000002</v>
      </c>
      <c r="AL60" s="1599">
        <f>+AK$32</f>
        <v>424056.51428571431</v>
      </c>
      <c r="AM60" s="1599">
        <f t="shared" si="12"/>
        <v>12951163.985714288</v>
      </c>
      <c r="AN60" s="25">
        <f>+AK$29*AM60+AL60</f>
        <v>1535195.0850414939</v>
      </c>
      <c r="AO60" s="1604">
        <f>+AQ59</f>
        <v>11514285.714285716</v>
      </c>
      <c r="AP60" s="1599">
        <f>+AO$32</f>
        <v>371428.57142857142</v>
      </c>
      <c r="AQ60" s="1599">
        <f t="shared" si="13"/>
        <v>11142857.142857146</v>
      </c>
      <c r="AR60" s="25">
        <f>+AO$29*AQ60+AP60</f>
        <v>1327424.3702237373</v>
      </c>
      <c r="AS60" s="1604">
        <f>+AU59</f>
        <v>46500</v>
      </c>
      <c r="AT60" s="1599">
        <f>+AS$32</f>
        <v>2000</v>
      </c>
      <c r="AU60" s="1599">
        <f t="shared" si="14"/>
        <v>44500</v>
      </c>
      <c r="AV60" s="25">
        <f>+AS$29*AU60+AT60</f>
        <v>5817.8550169832579</v>
      </c>
      <c r="AW60" s="1606">
        <f t="shared" si="15"/>
        <v>11169960.554975368</v>
      </c>
      <c r="AX60" s="1576"/>
      <c r="AY60" s="1601">
        <f>+AW60</f>
        <v>11169960.554975368</v>
      </c>
    </row>
    <row r="61" spans="1:54" ht="13">
      <c r="A61" s="1543">
        <f t="shared" si="1"/>
        <v>46</v>
      </c>
      <c r="C61" s="1564" t="str">
        <f t="shared" si="3"/>
        <v>W Increased ROE</v>
      </c>
      <c r="D61" s="1598">
        <f t="shared" si="2"/>
        <v>2020</v>
      </c>
      <c r="E61" s="1599">
        <f>+E60</f>
        <v>3398261.9999999991</v>
      </c>
      <c r="F61" s="1599">
        <f>+F60</f>
        <v>138704.57142857142</v>
      </c>
      <c r="G61" s="1599">
        <f t="shared" si="4"/>
        <v>3259557.4285714277</v>
      </c>
      <c r="H61" s="25">
        <f>+E$30*G61+F61</f>
        <v>444613.59308482445</v>
      </c>
      <c r="I61" s="1599">
        <f>+I60</f>
        <v>5514649.6999999955</v>
      </c>
      <c r="J61" s="1599">
        <f>+J60</f>
        <v>225087.74285714285</v>
      </c>
      <c r="K61" s="1599">
        <f t="shared" si="5"/>
        <v>5289561.9571428522</v>
      </c>
      <c r="L61" s="25">
        <f>+I$30*K61+J61</f>
        <v>678903.03849133663</v>
      </c>
      <c r="M61" s="1604">
        <f>+M60</f>
        <v>9311438.5714285765</v>
      </c>
      <c r="N61" s="1599">
        <f>+N60</f>
        <v>392060.57142857142</v>
      </c>
      <c r="O61" s="1599">
        <f t="shared" si="6"/>
        <v>8919378.0000000056</v>
      </c>
      <c r="P61" s="25">
        <f>+M$30*O61+N61</f>
        <v>1157294.100544754</v>
      </c>
      <c r="Q61" s="1604">
        <f>+Q60</f>
        <v>17550472.74761907</v>
      </c>
      <c r="R61" s="1599">
        <f>+R60</f>
        <v>744189.65714285709</v>
      </c>
      <c r="S61" s="1599">
        <f t="shared" si="7"/>
        <v>16806283.090476215</v>
      </c>
      <c r="T61" s="25">
        <f>+Q$30*S61+R61</f>
        <v>2321457.0409971271</v>
      </c>
      <c r="U61" s="1604">
        <f>+U60</f>
        <v>12514133.323809527</v>
      </c>
      <c r="V61" s="1599">
        <f>+V60</f>
        <v>530634.62857142859</v>
      </c>
      <c r="W61" s="1599">
        <f t="shared" si="8"/>
        <v>11983498.695238099</v>
      </c>
      <c r="X61" s="25">
        <f>+U$30*W61+V61</f>
        <v>1655284.3524101386</v>
      </c>
      <c r="Y61" s="1604">
        <f>+Y60</f>
        <v>4860601.5571428575</v>
      </c>
      <c r="Z61" s="1599">
        <f>+Z60</f>
        <v>193136.48571428572</v>
      </c>
      <c r="AA61" s="1599">
        <f t="shared" si="9"/>
        <v>4667465.0714285718</v>
      </c>
      <c r="AB61" s="25">
        <f>+Y$30*AA61+Z61</f>
        <v>631177.44830018526</v>
      </c>
      <c r="AC61" s="1604">
        <f>+AC60</f>
        <v>3595988.215166667</v>
      </c>
      <c r="AD61" s="1599">
        <f>+AD60</f>
        <v>115582.8</v>
      </c>
      <c r="AE61" s="1599">
        <f t="shared" si="10"/>
        <v>3480405.4151666672</v>
      </c>
      <c r="AF61" s="25">
        <f>+AC$30*AE61+AD61</f>
        <v>414182.42416696087</v>
      </c>
      <c r="AG61" s="1604">
        <f>+AG60</f>
        <v>11075465.745238092</v>
      </c>
      <c r="AH61" s="1599">
        <f>+AH60</f>
        <v>376463.14285714284</v>
      </c>
      <c r="AI61" s="1599">
        <f t="shared" si="11"/>
        <v>10699002.602380948</v>
      </c>
      <c r="AJ61" s="25">
        <f>+AG$30*AI61+AH61</f>
        <v>1294378.665603593</v>
      </c>
      <c r="AK61" s="1604">
        <f>+AK60</f>
        <v>13375220.500000002</v>
      </c>
      <c r="AL61" s="1599">
        <f>+AL60</f>
        <v>424056.51428571431</v>
      </c>
      <c r="AM61" s="1599">
        <f t="shared" si="12"/>
        <v>12951163.985714288</v>
      </c>
      <c r="AN61" s="25">
        <f>+AK$30*AM61+AL61</f>
        <v>1535195.0850414939</v>
      </c>
      <c r="AO61" s="1604">
        <f>+AO60</f>
        <v>11514285.714285716</v>
      </c>
      <c r="AP61" s="1599">
        <f>+AP60</f>
        <v>371428.57142857142</v>
      </c>
      <c r="AQ61" s="1599">
        <f t="shared" si="13"/>
        <v>11142857.142857146</v>
      </c>
      <c r="AR61" s="25">
        <f>+AO$30*AQ61+AP61</f>
        <v>1327424.3702237373</v>
      </c>
      <c r="AS61" s="1604">
        <f>+AS60</f>
        <v>46500</v>
      </c>
      <c r="AT61" s="1599">
        <f>+AT60</f>
        <v>2000</v>
      </c>
      <c r="AU61" s="1599">
        <f t="shared" si="14"/>
        <v>44500</v>
      </c>
      <c r="AV61" s="25">
        <f>+AS$30*AU61+AT61</f>
        <v>5817.8550169832579</v>
      </c>
      <c r="AW61" s="1606">
        <f t="shared" si="15"/>
        <v>11465727.973881137</v>
      </c>
      <c r="AX61" s="1602">
        <f>+AW61</f>
        <v>11465727.973881137</v>
      </c>
      <c r="AY61" s="1573"/>
    </row>
    <row r="62" spans="1:54" ht="13">
      <c r="A62" s="1543">
        <f t="shared" si="1"/>
        <v>47</v>
      </c>
      <c r="C62" s="1564" t="str">
        <f t="shared" si="3"/>
        <v>Base FCR</v>
      </c>
      <c r="D62" s="1598">
        <f t="shared" si="2"/>
        <v>2021</v>
      </c>
      <c r="E62" s="1599">
        <f>+G61</f>
        <v>3259557.4285714277</v>
      </c>
      <c r="F62" s="1599">
        <f>+E$32</f>
        <v>138704.57142857142</v>
      </c>
      <c r="G62" s="1599">
        <f t="shared" si="4"/>
        <v>3120852.8571428563</v>
      </c>
      <c r="H62" s="25">
        <f>+E$29*G62+F62</f>
        <v>406456.56553889479</v>
      </c>
      <c r="I62" s="1599">
        <f>+K61</f>
        <v>5289561.9571428522</v>
      </c>
      <c r="J62" s="1599">
        <f>+I$32</f>
        <v>225087.74285714285</v>
      </c>
      <c r="K62" s="1599">
        <f t="shared" si="5"/>
        <v>5064474.214285709</v>
      </c>
      <c r="L62" s="25">
        <f>+I$29*K62+J62</f>
        <v>659591.74931541341</v>
      </c>
      <c r="M62" s="1604">
        <f>+O61</f>
        <v>8919378.0000000056</v>
      </c>
      <c r="N62" s="1599">
        <f>+M$32</f>
        <v>392060.57142857142</v>
      </c>
      <c r="O62" s="1599">
        <f t="shared" si="6"/>
        <v>8527317.4285714347</v>
      </c>
      <c r="P62" s="25">
        <f>+M$29*O62+N62</f>
        <v>1123657.4619022845</v>
      </c>
      <c r="Q62" s="1604">
        <f>+S61</f>
        <v>16806283.090476215</v>
      </c>
      <c r="R62" s="1599">
        <f>+Q$32</f>
        <v>744189.65714285709</v>
      </c>
      <c r="S62" s="1599">
        <f t="shared" si="7"/>
        <v>16062093.433333358</v>
      </c>
      <c r="T62" s="25">
        <f>+Q$29*S62+R62</f>
        <v>2122228.8481025337</v>
      </c>
      <c r="U62" s="1604">
        <f>+W61</f>
        <v>11983498.695238099</v>
      </c>
      <c r="V62" s="1599">
        <f>+U$32</f>
        <v>530634.62857142859</v>
      </c>
      <c r="W62" s="1599">
        <f t="shared" si="8"/>
        <v>11452864.06666667</v>
      </c>
      <c r="X62" s="25">
        <f>+U$29*W62+V62</f>
        <v>1513227.3147680718</v>
      </c>
      <c r="Y62" s="1604">
        <f>+AA61</f>
        <v>4667465.0714285718</v>
      </c>
      <c r="Z62" s="1599">
        <f>+Y$32</f>
        <v>193136.48571428572</v>
      </c>
      <c r="AA62" s="1599">
        <f t="shared" si="9"/>
        <v>4474328.5857142862</v>
      </c>
      <c r="AB62" s="25">
        <f>+Y$29*AA62+Z62</f>
        <v>577009.24613228336</v>
      </c>
      <c r="AC62" s="1604">
        <f>+AE61</f>
        <v>3480405.4151666672</v>
      </c>
      <c r="AD62" s="1599">
        <f>+AC$32</f>
        <v>115582.8</v>
      </c>
      <c r="AE62" s="1599">
        <f t="shared" si="10"/>
        <v>3364822.6151666674</v>
      </c>
      <c r="AF62" s="25">
        <f>+AC$29*AE62+AD62</f>
        <v>404266.05623759073</v>
      </c>
      <c r="AG62" s="1604">
        <f>+AI61</f>
        <v>10699002.602380948</v>
      </c>
      <c r="AH62" s="1599">
        <f>+AG$32</f>
        <v>376463.14285714284</v>
      </c>
      <c r="AI62" s="1599">
        <f t="shared" si="11"/>
        <v>10322539.459523804</v>
      </c>
      <c r="AJ62" s="25">
        <f>+AG$29*AI62+AH62</f>
        <v>1262080.2004650217</v>
      </c>
      <c r="AK62" s="1604">
        <f>+AM61</f>
        <v>12951163.985714288</v>
      </c>
      <c r="AL62" s="1599">
        <f>+AK$32</f>
        <v>424056.51428571431</v>
      </c>
      <c r="AM62" s="1599">
        <f t="shared" si="12"/>
        <v>12527107.471428575</v>
      </c>
      <c r="AN62" s="25">
        <f>+AK$29*AM62+AL62</f>
        <v>1498813.3706471086</v>
      </c>
      <c r="AO62" s="1604">
        <f>+AQ61</f>
        <v>11142857.142857146</v>
      </c>
      <c r="AP62" s="1599">
        <f>+AO$32</f>
        <v>371428.57142857142</v>
      </c>
      <c r="AQ62" s="1599">
        <f t="shared" si="13"/>
        <v>10771428.571428575</v>
      </c>
      <c r="AR62" s="25">
        <f>+AO$29*AQ62+AP62</f>
        <v>1295557.8435972319</v>
      </c>
      <c r="AS62" s="1604">
        <f>+AU61</f>
        <v>44500</v>
      </c>
      <c r="AT62" s="1599">
        <f>+AS$32</f>
        <v>2000</v>
      </c>
      <c r="AU62" s="1599">
        <f t="shared" si="14"/>
        <v>42500</v>
      </c>
      <c r="AV62" s="25">
        <f>+AS$29*AU62+AT62</f>
        <v>5646.2660274559203</v>
      </c>
      <c r="AW62" s="1606">
        <f t="shared" si="15"/>
        <v>10868534.92273389</v>
      </c>
      <c r="AX62" s="1576"/>
      <c r="AY62" s="1601">
        <f>+AW62</f>
        <v>10868534.92273389</v>
      </c>
    </row>
    <row r="63" spans="1:54" ht="13">
      <c r="A63" s="1543">
        <f t="shared" si="1"/>
        <v>48</v>
      </c>
      <c r="C63" s="1564" t="str">
        <f t="shared" si="3"/>
        <v>W Increased ROE</v>
      </c>
      <c r="D63" s="1598">
        <f t="shared" si="2"/>
        <v>2021</v>
      </c>
      <c r="E63" s="1599">
        <f>+E62</f>
        <v>3259557.4285714277</v>
      </c>
      <c r="F63" s="1599">
        <f>+F62</f>
        <v>138704.57142857142</v>
      </c>
      <c r="G63" s="1599">
        <f t="shared" si="4"/>
        <v>3120852.8571428563</v>
      </c>
      <c r="H63" s="25">
        <f>+E$30*G63+F63</f>
        <v>431596.18790796265</v>
      </c>
      <c r="I63" s="1599">
        <f>+I62</f>
        <v>5289561.9571428522</v>
      </c>
      <c r="J63" s="1599">
        <f>+J62</f>
        <v>225087.74285714285</v>
      </c>
      <c r="K63" s="1599">
        <f t="shared" si="5"/>
        <v>5064474.214285709</v>
      </c>
      <c r="L63" s="25">
        <f>+I$30*K63+J63</f>
        <v>659591.74931541341</v>
      </c>
      <c r="M63" s="1604">
        <f>+M62</f>
        <v>8919378.0000000056</v>
      </c>
      <c r="N63" s="1599">
        <f>+N62</f>
        <v>392060.57142857142</v>
      </c>
      <c r="O63" s="1599">
        <f t="shared" si="6"/>
        <v>8527317.4285714347</v>
      </c>
      <c r="P63" s="25">
        <f>+M$30*O63+N63</f>
        <v>1123657.4619022845</v>
      </c>
      <c r="Q63" s="1604">
        <f>+Q62</f>
        <v>16806283.090476215</v>
      </c>
      <c r="R63" s="1599">
        <f>+R62</f>
        <v>744189.65714285709</v>
      </c>
      <c r="S63" s="1599">
        <f t="shared" si="7"/>
        <v>16062093.433333358</v>
      </c>
      <c r="T63" s="25">
        <f>+Q$30*S63+R63</f>
        <v>2251614.9428190785</v>
      </c>
      <c r="U63" s="1604">
        <f>+U62</f>
        <v>11983498.695238099</v>
      </c>
      <c r="V63" s="1599">
        <f>+V62</f>
        <v>530634.62857142859</v>
      </c>
      <c r="W63" s="1599">
        <f t="shared" si="8"/>
        <v>11452864.06666667</v>
      </c>
      <c r="X63" s="25">
        <f>+U$30*W63+V63</f>
        <v>1605484.3646386827</v>
      </c>
      <c r="Y63" s="1604">
        <f>+Y62</f>
        <v>4667465.0714285718</v>
      </c>
      <c r="Z63" s="1599">
        <f>+Z62</f>
        <v>193136.48571428572</v>
      </c>
      <c r="AA63" s="1599">
        <f t="shared" si="9"/>
        <v>4474328.5857142862</v>
      </c>
      <c r="AB63" s="25">
        <f>+Y$30*AA63+Z63</f>
        <v>613051.61536559626</v>
      </c>
      <c r="AC63" s="1604">
        <f>+AC62</f>
        <v>3480405.4151666672</v>
      </c>
      <c r="AD63" s="1599">
        <f>+AD62</f>
        <v>115582.8</v>
      </c>
      <c r="AE63" s="1599">
        <f t="shared" si="10"/>
        <v>3364822.6151666674</v>
      </c>
      <c r="AF63" s="25">
        <f>+AC$30*AE63+AD63</f>
        <v>404266.05623759073</v>
      </c>
      <c r="AG63" s="1604">
        <f>+AG62</f>
        <v>10699002.602380948</v>
      </c>
      <c r="AH63" s="1599">
        <f>+AH62</f>
        <v>376463.14285714284</v>
      </c>
      <c r="AI63" s="1599">
        <f t="shared" si="11"/>
        <v>10322539.459523804</v>
      </c>
      <c r="AJ63" s="25">
        <f>+AG$30*AI63+AH63</f>
        <v>1262080.2004650217</v>
      </c>
      <c r="AK63" s="1604">
        <f>+AK62</f>
        <v>12951163.985714288</v>
      </c>
      <c r="AL63" s="1599">
        <f>+AL62</f>
        <v>424056.51428571431</v>
      </c>
      <c r="AM63" s="1599">
        <f t="shared" si="12"/>
        <v>12527107.471428575</v>
      </c>
      <c r="AN63" s="25">
        <f>+AK$30*AM63+AL63</f>
        <v>1498813.3706471086</v>
      </c>
      <c r="AO63" s="1604">
        <f>+AO62</f>
        <v>11142857.142857146</v>
      </c>
      <c r="AP63" s="1599">
        <f>+AP62</f>
        <v>371428.57142857142</v>
      </c>
      <c r="AQ63" s="1599">
        <f t="shared" si="13"/>
        <v>10771428.571428575</v>
      </c>
      <c r="AR63" s="25">
        <f>+AO$30*AQ63+AP63</f>
        <v>1295557.8435972319</v>
      </c>
      <c r="AS63" s="1604">
        <f>+AS62</f>
        <v>44500</v>
      </c>
      <c r="AT63" s="1599">
        <f>+AT62</f>
        <v>2000</v>
      </c>
      <c r="AU63" s="1599">
        <f t="shared" si="14"/>
        <v>42500</v>
      </c>
      <c r="AV63" s="25">
        <f>+AS$30*AU63+AT63</f>
        <v>5646.2660274559203</v>
      </c>
      <c r="AW63" s="1606">
        <f t="shared" si="15"/>
        <v>11151360.058923427</v>
      </c>
      <c r="AX63" s="1602">
        <f>+AW63</f>
        <v>11151360.058923427</v>
      </c>
      <c r="AY63" s="1573"/>
    </row>
    <row r="64" spans="1:54" ht="13">
      <c r="A64" s="1543">
        <f t="shared" si="1"/>
        <v>49</v>
      </c>
      <c r="C64" s="1564" t="str">
        <f t="shared" si="3"/>
        <v>Base FCR</v>
      </c>
      <c r="D64" s="1598">
        <f t="shared" si="2"/>
        <v>2022</v>
      </c>
      <c r="E64" s="1599">
        <f>+G63</f>
        <v>3120852.8571428563</v>
      </c>
      <c r="F64" s="1599">
        <f>+E$32</f>
        <v>138704.57142857142</v>
      </c>
      <c r="G64" s="1599">
        <f t="shared" si="4"/>
        <v>2982148.285714285</v>
      </c>
      <c r="H64" s="25">
        <f>+E$29*G64+F64</f>
        <v>394556.47691176931</v>
      </c>
      <c r="I64" s="1599">
        <f>+K63</f>
        <v>5064474.214285709</v>
      </c>
      <c r="J64" s="1599">
        <f>+I$32</f>
        <v>225087.74285714285</v>
      </c>
      <c r="K64" s="1599">
        <f t="shared" si="5"/>
        <v>4839386.4714285657</v>
      </c>
      <c r="L64" s="25">
        <f>+I$29*K64+J64</f>
        <v>640280.4601394902</v>
      </c>
      <c r="M64" s="1604">
        <f>+O63</f>
        <v>8527317.4285714347</v>
      </c>
      <c r="N64" s="1599">
        <f>+M$32</f>
        <v>392060.57142857142</v>
      </c>
      <c r="O64" s="1599">
        <f t="shared" si="6"/>
        <v>8135256.8571428629</v>
      </c>
      <c r="P64" s="25">
        <f>+M$29*O64+N64</f>
        <v>1090020.8232598149</v>
      </c>
      <c r="Q64" s="1604">
        <f>+S63</f>
        <v>16062093.433333358</v>
      </c>
      <c r="R64" s="1599">
        <f>+Q$32</f>
        <v>744189.65714285709</v>
      </c>
      <c r="S64" s="1599">
        <f t="shared" si="7"/>
        <v>15317903.776190501</v>
      </c>
      <c r="T64" s="25">
        <f>+Q$29*S64+R64</f>
        <v>2058381.4724596143</v>
      </c>
      <c r="U64" s="1604">
        <f>+W63</f>
        <v>11452864.06666667</v>
      </c>
      <c r="V64" s="1599">
        <f>+U$32</f>
        <v>530634.62857142859</v>
      </c>
      <c r="W64" s="1599">
        <f t="shared" si="8"/>
        <v>10922229.438095242</v>
      </c>
      <c r="X64" s="25">
        <f>+U$29*W64+V64</f>
        <v>1467701.7849056791</v>
      </c>
      <c r="Y64" s="1604">
        <f>+AA63</f>
        <v>4474328.5857142862</v>
      </c>
      <c r="Z64" s="1599">
        <f>+Y$32</f>
        <v>193136.48571428572</v>
      </c>
      <c r="AA64" s="1599">
        <f t="shared" si="9"/>
        <v>4281192.1000000006</v>
      </c>
      <c r="AB64" s="25">
        <f>+Y$29*AA64+Z64</f>
        <v>560439.19891999569</v>
      </c>
      <c r="AC64" s="1604">
        <f>+AE63</f>
        <v>3364822.6151666674</v>
      </c>
      <c r="AD64" s="1599">
        <f>+AC$32</f>
        <v>115582.8</v>
      </c>
      <c r="AE64" s="1599">
        <f t="shared" si="10"/>
        <v>3249239.8151666676</v>
      </c>
      <c r="AF64" s="25">
        <f>+AC$29*AE64+AD64</f>
        <v>394349.68830822059</v>
      </c>
      <c r="AG64" s="1604">
        <f>+AI63</f>
        <v>10322539.459523804</v>
      </c>
      <c r="AH64" s="1599">
        <f>+AG$32</f>
        <v>376463.14285714284</v>
      </c>
      <c r="AI64" s="1599">
        <f t="shared" si="11"/>
        <v>9946076.3166666608</v>
      </c>
      <c r="AJ64" s="25">
        <f>+AG$29*AI64+AH64</f>
        <v>1229781.7353264503</v>
      </c>
      <c r="AK64" s="1604">
        <f>+AM63</f>
        <v>12527107.471428575</v>
      </c>
      <c r="AL64" s="1599">
        <f>+AK$32</f>
        <v>424056.51428571431</v>
      </c>
      <c r="AM64" s="1599">
        <f t="shared" si="12"/>
        <v>12103050.957142862</v>
      </c>
      <c r="AN64" s="25">
        <f>+AK$29*AM64+AL64</f>
        <v>1462431.6562527232</v>
      </c>
      <c r="AO64" s="1604">
        <f>+AQ63</f>
        <v>10771428.571428575</v>
      </c>
      <c r="AP64" s="1599">
        <f>+AO$32</f>
        <v>371428.57142857142</v>
      </c>
      <c r="AQ64" s="1599">
        <f t="shared" si="13"/>
        <v>10400000.000000004</v>
      </c>
      <c r="AR64" s="25">
        <f>+AO$29*AQ64+AP64</f>
        <v>1263691.3169707265</v>
      </c>
      <c r="AS64" s="1604">
        <f>+AU63</f>
        <v>42500</v>
      </c>
      <c r="AT64" s="1599">
        <f>+AS$32</f>
        <v>2000</v>
      </c>
      <c r="AU64" s="1599">
        <f t="shared" si="14"/>
        <v>40500</v>
      </c>
      <c r="AV64" s="25">
        <f>+AS$29*AU64+AT64</f>
        <v>5474.6770379285836</v>
      </c>
      <c r="AW64" s="1606">
        <f t="shared" si="15"/>
        <v>10567109.290492414</v>
      </c>
      <c r="AX64" s="1576"/>
      <c r="AY64" s="1601">
        <f>+AW64</f>
        <v>10567109.290492414</v>
      </c>
    </row>
    <row r="65" spans="1:51" ht="13">
      <c r="A65" s="1543">
        <f t="shared" si="1"/>
        <v>50</v>
      </c>
      <c r="C65" s="1564" t="str">
        <f t="shared" si="3"/>
        <v>W Increased ROE</v>
      </c>
      <c r="D65" s="1598">
        <f t="shared" si="2"/>
        <v>2022</v>
      </c>
      <c r="E65" s="1599">
        <f>+E64</f>
        <v>3120852.8571428563</v>
      </c>
      <c r="F65" s="1599">
        <f>+F64</f>
        <v>138704.57142857142</v>
      </c>
      <c r="G65" s="1599">
        <f t="shared" si="4"/>
        <v>2982148.285714285</v>
      </c>
      <c r="H65" s="25">
        <f>+E$30*G65+F65</f>
        <v>418578.7827311008</v>
      </c>
      <c r="I65" s="1599">
        <f>+I64</f>
        <v>5064474.214285709</v>
      </c>
      <c r="J65" s="1599">
        <f>+J64</f>
        <v>225087.74285714285</v>
      </c>
      <c r="K65" s="1599">
        <f t="shared" si="5"/>
        <v>4839386.4714285657</v>
      </c>
      <c r="L65" s="25">
        <f>+I$30*K65+J65</f>
        <v>640280.4601394902</v>
      </c>
      <c r="M65" s="1604">
        <f>+M64</f>
        <v>8527317.4285714347</v>
      </c>
      <c r="N65" s="1599">
        <f>+N64</f>
        <v>392060.57142857142</v>
      </c>
      <c r="O65" s="1599">
        <f t="shared" si="6"/>
        <v>8135256.8571428629</v>
      </c>
      <c r="P65" s="25">
        <f>+M$30*O65+N65</f>
        <v>1090020.8232598149</v>
      </c>
      <c r="Q65" s="1604">
        <f>+Q64</f>
        <v>16062093.433333358</v>
      </c>
      <c r="R65" s="1599">
        <f>+R64</f>
        <v>744189.65714285709</v>
      </c>
      <c r="S65" s="1599">
        <f t="shared" si="7"/>
        <v>15317903.776190501</v>
      </c>
      <c r="T65" s="25">
        <f>+Q$30*S65+R65</f>
        <v>2181772.8446410298</v>
      </c>
      <c r="U65" s="1604">
        <f>+U64</f>
        <v>11452864.06666667</v>
      </c>
      <c r="V65" s="1599">
        <f>+V64</f>
        <v>530634.62857142859</v>
      </c>
      <c r="W65" s="1599">
        <f t="shared" si="8"/>
        <v>10922229.438095242</v>
      </c>
      <c r="X65" s="25">
        <f>+U$30*W65+V65</f>
        <v>1555684.376867227</v>
      </c>
      <c r="Y65" s="1604">
        <f>+Y64</f>
        <v>4474328.5857142862</v>
      </c>
      <c r="Z65" s="1599">
        <f>+Z64</f>
        <v>193136.48571428572</v>
      </c>
      <c r="AA65" s="1599">
        <f t="shared" si="9"/>
        <v>4281192.1000000006</v>
      </c>
      <c r="AB65" s="25">
        <f>+Y$30*AA65+Z65</f>
        <v>594925.78243100736</v>
      </c>
      <c r="AC65" s="1604">
        <f>+AC64</f>
        <v>3364822.6151666674</v>
      </c>
      <c r="AD65" s="1599">
        <f>+AD64</f>
        <v>115582.8</v>
      </c>
      <c r="AE65" s="1599">
        <f t="shared" si="10"/>
        <v>3249239.8151666676</v>
      </c>
      <c r="AF65" s="25">
        <f>+AC$30*AE65+AD65</f>
        <v>394349.68830822059</v>
      </c>
      <c r="AG65" s="1604">
        <f>+AG64</f>
        <v>10322539.459523804</v>
      </c>
      <c r="AH65" s="1599">
        <f>+AH64</f>
        <v>376463.14285714284</v>
      </c>
      <c r="AI65" s="1599">
        <f t="shared" si="11"/>
        <v>9946076.3166666608</v>
      </c>
      <c r="AJ65" s="25">
        <f>+AG$30*AI65+AH65</f>
        <v>1229781.7353264503</v>
      </c>
      <c r="AK65" s="1604">
        <f>+AK64</f>
        <v>12527107.471428575</v>
      </c>
      <c r="AL65" s="1599">
        <f>+AL64</f>
        <v>424056.51428571431</v>
      </c>
      <c r="AM65" s="1599">
        <f t="shared" si="12"/>
        <v>12103050.957142862</v>
      </c>
      <c r="AN65" s="25">
        <f>+AK$30*AM65+AL65</f>
        <v>1462431.6562527232</v>
      </c>
      <c r="AO65" s="1604">
        <f>+AO64</f>
        <v>10771428.571428575</v>
      </c>
      <c r="AP65" s="1599">
        <f>+AP64</f>
        <v>371428.57142857142</v>
      </c>
      <c r="AQ65" s="1599">
        <f t="shared" si="13"/>
        <v>10400000.000000004</v>
      </c>
      <c r="AR65" s="25">
        <f>+AO$30*AQ65+AP65</f>
        <v>1263691.3169707265</v>
      </c>
      <c r="AS65" s="1604">
        <f>+AS64</f>
        <v>42500</v>
      </c>
      <c r="AT65" s="1599">
        <f>+AT64</f>
        <v>2000</v>
      </c>
      <c r="AU65" s="1599">
        <f t="shared" si="14"/>
        <v>40500</v>
      </c>
      <c r="AV65" s="25">
        <f>+AS$30*AU65+AT65</f>
        <v>5474.6770379285836</v>
      </c>
      <c r="AW65" s="1606">
        <f t="shared" si="15"/>
        <v>10836992.143965719</v>
      </c>
      <c r="AX65" s="1602">
        <f>+AW65</f>
        <v>10836992.143965719</v>
      </c>
      <c r="AY65" s="1573"/>
    </row>
    <row r="66" spans="1:51" ht="13">
      <c r="A66" s="1543">
        <f t="shared" si="1"/>
        <v>51</v>
      </c>
      <c r="C66" s="1564" t="str">
        <f t="shared" si="3"/>
        <v>Base FCR</v>
      </c>
      <c r="D66" s="1598">
        <f t="shared" si="2"/>
        <v>2023</v>
      </c>
      <c r="E66" s="1599">
        <f>+G65</f>
        <v>2982148.285714285</v>
      </c>
      <c r="F66" s="1599">
        <f>+E$32</f>
        <v>138704.57142857142</v>
      </c>
      <c r="G66" s="1599">
        <f t="shared" si="4"/>
        <v>2843443.7142857136</v>
      </c>
      <c r="H66" s="25">
        <f>+E$29*G66+F66</f>
        <v>382656.38828464382</v>
      </c>
      <c r="I66" s="1599">
        <f>+K65</f>
        <v>4839386.4714285657</v>
      </c>
      <c r="J66" s="1599">
        <f>+I$32</f>
        <v>225087.74285714285</v>
      </c>
      <c r="K66" s="1599">
        <f t="shared" si="5"/>
        <v>4614298.7285714224</v>
      </c>
      <c r="L66" s="25">
        <f>+I$29*K66+J66</f>
        <v>620969.17096356698</v>
      </c>
      <c r="M66" s="1604">
        <f>+O65</f>
        <v>8135256.8571428629</v>
      </c>
      <c r="N66" s="1599">
        <f>+M$32</f>
        <v>392060.57142857142</v>
      </c>
      <c r="O66" s="1599">
        <f t="shared" si="6"/>
        <v>7743196.285714291</v>
      </c>
      <c r="P66" s="25">
        <f>+M$29*O66+N66</f>
        <v>1056384.1846173452</v>
      </c>
      <c r="Q66" s="1604">
        <f>+S65</f>
        <v>15317903.776190501</v>
      </c>
      <c r="R66" s="1599">
        <f>+Q$32</f>
        <v>744189.65714285709</v>
      </c>
      <c r="S66" s="1599">
        <f t="shared" si="7"/>
        <v>14573714.119047644</v>
      </c>
      <c r="T66" s="25">
        <f>+Q$29*S66+R66</f>
        <v>1994534.0968166951</v>
      </c>
      <c r="U66" s="1604">
        <f>+W65</f>
        <v>10922229.438095242</v>
      </c>
      <c r="V66" s="1599">
        <f>+U$32</f>
        <v>530634.62857142859</v>
      </c>
      <c r="W66" s="1599">
        <f t="shared" si="8"/>
        <v>10391594.809523813</v>
      </c>
      <c r="X66" s="25">
        <f>+U$29*W66+V66</f>
        <v>1422176.2550432864</v>
      </c>
      <c r="Y66" s="1604">
        <f>+AA65</f>
        <v>4281192.1000000006</v>
      </c>
      <c r="Z66" s="1599">
        <f>+Y$32</f>
        <v>193136.48571428572</v>
      </c>
      <c r="AA66" s="1599">
        <f t="shared" si="9"/>
        <v>4088055.6142857149</v>
      </c>
      <c r="AB66" s="25">
        <f>+Y$29*AA66+Z66</f>
        <v>543869.15170770802</v>
      </c>
      <c r="AC66" s="1604">
        <f>+AE65</f>
        <v>3249239.8151666676</v>
      </c>
      <c r="AD66" s="1599">
        <f>+AC$32</f>
        <v>115582.8</v>
      </c>
      <c r="AE66" s="1599">
        <f t="shared" si="10"/>
        <v>3133657.0151666678</v>
      </c>
      <c r="AF66" s="25">
        <f>+AC$29*AE66+AD66</f>
        <v>384433.32037885045</v>
      </c>
      <c r="AG66" s="1604">
        <f>+AI65</f>
        <v>9946076.3166666608</v>
      </c>
      <c r="AH66" s="1599">
        <f>+AG$32</f>
        <v>376463.14285714284</v>
      </c>
      <c r="AI66" s="1599">
        <f t="shared" si="11"/>
        <v>9569613.1738095172</v>
      </c>
      <c r="AJ66" s="25">
        <f>+AG$29*AI66+AH66</f>
        <v>1197483.2701878787</v>
      </c>
      <c r="AK66" s="1604">
        <f>+AM65</f>
        <v>12103050.957142862</v>
      </c>
      <c r="AL66" s="1599">
        <f>+AK$32</f>
        <v>424056.51428571431</v>
      </c>
      <c r="AM66" s="1599">
        <f t="shared" si="12"/>
        <v>11678994.442857148</v>
      </c>
      <c r="AN66" s="25">
        <f>+AK$29*AM66+AL66</f>
        <v>1426049.941858338</v>
      </c>
      <c r="AO66" s="1604">
        <f>+AQ65</f>
        <v>10400000.000000004</v>
      </c>
      <c r="AP66" s="1599">
        <f>+AO$32</f>
        <v>371428.57142857142</v>
      </c>
      <c r="AQ66" s="1599">
        <f t="shared" si="13"/>
        <v>10028571.428571433</v>
      </c>
      <c r="AR66" s="25">
        <f>+AO$29*AQ66+AP66</f>
        <v>1231824.7903442211</v>
      </c>
      <c r="AS66" s="1604">
        <f>+AU65</f>
        <v>40500</v>
      </c>
      <c r="AT66" s="1599">
        <f>+AS$32</f>
        <v>2000</v>
      </c>
      <c r="AU66" s="1599">
        <f t="shared" si="14"/>
        <v>38500</v>
      </c>
      <c r="AV66" s="25">
        <f>+AS$29*AU66+AT66</f>
        <v>5303.0880484012459</v>
      </c>
      <c r="AW66" s="1606">
        <f t="shared" si="15"/>
        <v>10265683.658250935</v>
      </c>
      <c r="AX66" s="1576"/>
      <c r="AY66" s="1601">
        <f>+AW66</f>
        <v>10265683.658250935</v>
      </c>
    </row>
    <row r="67" spans="1:51" ht="13">
      <c r="A67" s="1543">
        <f t="shared" si="1"/>
        <v>52</v>
      </c>
      <c r="C67" s="1564" t="str">
        <f t="shared" si="3"/>
        <v>W Increased ROE</v>
      </c>
      <c r="D67" s="1598">
        <f t="shared" si="2"/>
        <v>2023</v>
      </c>
      <c r="E67" s="1599">
        <f>+E66</f>
        <v>2982148.285714285</v>
      </c>
      <c r="F67" s="1599">
        <f>+F66</f>
        <v>138704.57142857142</v>
      </c>
      <c r="G67" s="1599">
        <f t="shared" si="4"/>
        <v>2843443.7142857136</v>
      </c>
      <c r="H67" s="25">
        <f>+E$30*G67+F67</f>
        <v>405561.37755423895</v>
      </c>
      <c r="I67" s="1599">
        <f>+I66</f>
        <v>4839386.4714285657</v>
      </c>
      <c r="J67" s="1599">
        <f>+J66</f>
        <v>225087.74285714285</v>
      </c>
      <c r="K67" s="1599">
        <f t="shared" si="5"/>
        <v>4614298.7285714224</v>
      </c>
      <c r="L67" s="25">
        <f>+I$30*K67+J67</f>
        <v>620969.17096356698</v>
      </c>
      <c r="M67" s="1604">
        <f>+M66</f>
        <v>8135256.8571428629</v>
      </c>
      <c r="N67" s="1599">
        <f>+N66</f>
        <v>392060.57142857142</v>
      </c>
      <c r="O67" s="1599">
        <f t="shared" si="6"/>
        <v>7743196.285714291</v>
      </c>
      <c r="P67" s="25">
        <f>+M$30*O67+N67</f>
        <v>1056384.1846173452</v>
      </c>
      <c r="Q67" s="1604">
        <f>+Q66</f>
        <v>15317903.776190501</v>
      </c>
      <c r="R67" s="1599">
        <f>+R66</f>
        <v>744189.65714285709</v>
      </c>
      <c r="S67" s="1599">
        <f t="shared" si="7"/>
        <v>14573714.119047644</v>
      </c>
      <c r="T67" s="25">
        <f>+Q$30*S67+R67</f>
        <v>2111930.7464629812</v>
      </c>
      <c r="U67" s="1604">
        <f>+U66</f>
        <v>10922229.438095242</v>
      </c>
      <c r="V67" s="1599">
        <f>+V66</f>
        <v>530634.62857142859</v>
      </c>
      <c r="W67" s="1599">
        <f t="shared" si="8"/>
        <v>10391594.809523813</v>
      </c>
      <c r="X67" s="25">
        <f>+U$30*W67+V67</f>
        <v>1505884.3890957711</v>
      </c>
      <c r="Y67" s="1604">
        <f>+Y66</f>
        <v>4281192.1000000006</v>
      </c>
      <c r="Z67" s="1599">
        <f>+Z66</f>
        <v>193136.48571428572</v>
      </c>
      <c r="AA67" s="1599">
        <f t="shared" si="9"/>
        <v>4088055.6142857149</v>
      </c>
      <c r="AB67" s="25">
        <f>+Y$30*AA67+Z67</f>
        <v>576799.94949641847</v>
      </c>
      <c r="AC67" s="1604">
        <f>+AC66</f>
        <v>3249239.8151666676</v>
      </c>
      <c r="AD67" s="1599">
        <f>+AD66</f>
        <v>115582.8</v>
      </c>
      <c r="AE67" s="1599">
        <f t="shared" si="10"/>
        <v>3133657.0151666678</v>
      </c>
      <c r="AF67" s="25">
        <f>+AC$30*AE67+AD67</f>
        <v>384433.32037885045</v>
      </c>
      <c r="AG67" s="1604">
        <f>+AG66</f>
        <v>9946076.3166666608</v>
      </c>
      <c r="AH67" s="1599">
        <f>+AH66</f>
        <v>376463.14285714284</v>
      </c>
      <c r="AI67" s="1599">
        <f t="shared" si="11"/>
        <v>9569613.1738095172</v>
      </c>
      <c r="AJ67" s="25">
        <f>+AG$30*AI67+AH67</f>
        <v>1197483.2701878787</v>
      </c>
      <c r="AK67" s="1604">
        <f>+AK66</f>
        <v>12103050.957142862</v>
      </c>
      <c r="AL67" s="1599">
        <f>+AL66</f>
        <v>424056.51428571431</v>
      </c>
      <c r="AM67" s="1599">
        <f t="shared" si="12"/>
        <v>11678994.442857148</v>
      </c>
      <c r="AN67" s="25">
        <f>+AK$30*AM67+AL67</f>
        <v>1426049.941858338</v>
      </c>
      <c r="AO67" s="1604">
        <f>+AO66</f>
        <v>10400000.000000004</v>
      </c>
      <c r="AP67" s="1599">
        <f>+AP66</f>
        <v>371428.57142857142</v>
      </c>
      <c r="AQ67" s="1599">
        <f t="shared" si="13"/>
        <v>10028571.428571433</v>
      </c>
      <c r="AR67" s="25">
        <f>+AO$30*AQ67+AP67</f>
        <v>1231824.7903442211</v>
      </c>
      <c r="AS67" s="1604">
        <f>+AS66</f>
        <v>40500</v>
      </c>
      <c r="AT67" s="1599">
        <f>+AT66</f>
        <v>2000</v>
      </c>
      <c r="AU67" s="1599">
        <f t="shared" si="14"/>
        <v>38500</v>
      </c>
      <c r="AV67" s="25">
        <f>+AS$30*AU67+AT67</f>
        <v>5303.0880484012459</v>
      </c>
      <c r="AW67" s="1606">
        <f t="shared" si="15"/>
        <v>10522624.229008012</v>
      </c>
      <c r="AX67" s="1602">
        <f>+AW67</f>
        <v>10522624.229008012</v>
      </c>
      <c r="AY67" s="1573"/>
    </row>
    <row r="68" spans="1:51" ht="13">
      <c r="A68" s="1543">
        <f t="shared" si="1"/>
        <v>53</v>
      </c>
      <c r="C68" s="1564" t="str">
        <f t="shared" si="3"/>
        <v>Base FCR</v>
      </c>
      <c r="D68" s="1598">
        <f t="shared" si="2"/>
        <v>2024</v>
      </c>
      <c r="E68" s="1599">
        <f>+G67</f>
        <v>2843443.7142857136</v>
      </c>
      <c r="F68" s="1599">
        <f>+E$32</f>
        <v>138704.57142857142</v>
      </c>
      <c r="G68" s="1599">
        <f t="shared" si="4"/>
        <v>2704739.1428571423</v>
      </c>
      <c r="H68" s="25">
        <f>+E$29*G68+F68</f>
        <v>370756.29965751834</v>
      </c>
      <c r="I68" s="1599">
        <f>+K67</f>
        <v>4614298.7285714224</v>
      </c>
      <c r="J68" s="1599">
        <f>+I$32</f>
        <v>225087.74285714285</v>
      </c>
      <c r="K68" s="1599">
        <f t="shared" si="5"/>
        <v>4389210.9857142791</v>
      </c>
      <c r="L68" s="25">
        <f>+I$29*K68+J68</f>
        <v>601657.88178764377</v>
      </c>
      <c r="M68" s="1604">
        <f>+O67</f>
        <v>7743196.285714291</v>
      </c>
      <c r="N68" s="1599">
        <f>+M$32</f>
        <v>392060.57142857142</v>
      </c>
      <c r="O68" s="1599">
        <f t="shared" si="6"/>
        <v>7351135.7142857192</v>
      </c>
      <c r="P68" s="25">
        <f>+M$29*O68+N68</f>
        <v>1022747.5459748758</v>
      </c>
      <c r="Q68" s="1604">
        <f>+S67</f>
        <v>14573714.119047644</v>
      </c>
      <c r="R68" s="1599">
        <f>+Q$32</f>
        <v>744189.65714285709</v>
      </c>
      <c r="S68" s="1599">
        <f t="shared" si="7"/>
        <v>13829524.461904787</v>
      </c>
      <c r="T68" s="25">
        <f>+Q$29*S68+R68</f>
        <v>1930686.7211737758</v>
      </c>
      <c r="U68" s="1604">
        <f>+W67</f>
        <v>10391594.809523813</v>
      </c>
      <c r="V68" s="1599">
        <f>+U$32</f>
        <v>530634.62857142859</v>
      </c>
      <c r="W68" s="1599">
        <f t="shared" si="8"/>
        <v>9860960.1809523851</v>
      </c>
      <c r="X68" s="25">
        <f>+U$29*W68+V68</f>
        <v>1376650.7251808937</v>
      </c>
      <c r="Y68" s="1604">
        <f>+AA67</f>
        <v>4088055.6142857149</v>
      </c>
      <c r="Z68" s="1599">
        <f>+Y$32</f>
        <v>193136.48571428572</v>
      </c>
      <c r="AA68" s="1599">
        <f t="shared" si="9"/>
        <v>3894919.1285714293</v>
      </c>
      <c r="AB68" s="25">
        <f>+Y$29*AA68+Z68</f>
        <v>527299.10449542035</v>
      </c>
      <c r="AC68" s="1604">
        <f>+AE67</f>
        <v>3133657.0151666678</v>
      </c>
      <c r="AD68" s="1599">
        <f>+AC$32</f>
        <v>115582.8</v>
      </c>
      <c r="AE68" s="1599">
        <f t="shared" si="10"/>
        <v>3018074.2151666679</v>
      </c>
      <c r="AF68" s="25">
        <f>+AC$29*AE68+AD68</f>
        <v>374516.9524494803</v>
      </c>
      <c r="AG68" s="1604">
        <f>+AI67</f>
        <v>9569613.1738095172</v>
      </c>
      <c r="AH68" s="1599">
        <f>+AG$32</f>
        <v>376463.14285714284</v>
      </c>
      <c r="AI68" s="1599">
        <f t="shared" si="11"/>
        <v>9193150.0309523735</v>
      </c>
      <c r="AJ68" s="25">
        <f>+AG$29*AI68+AH68</f>
        <v>1165184.8050493072</v>
      </c>
      <c r="AK68" s="1604">
        <f>+AM67</f>
        <v>11678994.442857148</v>
      </c>
      <c r="AL68" s="1599">
        <f>+AK$32</f>
        <v>424056.51428571431</v>
      </c>
      <c r="AM68" s="1599">
        <f t="shared" si="12"/>
        <v>11254937.928571435</v>
      </c>
      <c r="AN68" s="25">
        <f>+AK$29*AM68+AL68</f>
        <v>1389668.2274639527</v>
      </c>
      <c r="AO68" s="1604">
        <f>+AQ67</f>
        <v>10028571.428571433</v>
      </c>
      <c r="AP68" s="1599">
        <f>+AO$32</f>
        <v>371428.57142857142</v>
      </c>
      <c r="AQ68" s="1599">
        <f t="shared" si="13"/>
        <v>9657142.8571428619</v>
      </c>
      <c r="AR68" s="25">
        <f>+AO$29*AQ68+AP68</f>
        <v>1199958.2637177156</v>
      </c>
      <c r="AS68" s="1604">
        <f>+AU67</f>
        <v>38500</v>
      </c>
      <c r="AT68" s="1599">
        <f>+AS$32</f>
        <v>2000</v>
      </c>
      <c r="AU68" s="1599">
        <f t="shared" si="14"/>
        <v>36500</v>
      </c>
      <c r="AV68" s="25">
        <f>+AS$29*AU68+AT68</f>
        <v>5131.4990588739083</v>
      </c>
      <c r="AW68" s="1606">
        <f t="shared" si="15"/>
        <v>9964258.0260094572</v>
      </c>
      <c r="AX68" s="1576"/>
      <c r="AY68" s="1601">
        <f>+AW68</f>
        <v>9964258.0260094572</v>
      </c>
    </row>
    <row r="69" spans="1:51" ht="13">
      <c r="A69" s="1543">
        <f t="shared" si="1"/>
        <v>54</v>
      </c>
      <c r="C69" s="1564" t="str">
        <f t="shared" si="3"/>
        <v>W Increased ROE</v>
      </c>
      <c r="D69" s="1598">
        <f t="shared" si="2"/>
        <v>2024</v>
      </c>
      <c r="E69" s="1599">
        <f>+E68</f>
        <v>2843443.7142857136</v>
      </c>
      <c r="F69" s="1599">
        <f>+F68</f>
        <v>138704.57142857142</v>
      </c>
      <c r="G69" s="1599">
        <f t="shared" si="4"/>
        <v>2704739.1428571423</v>
      </c>
      <c r="H69" s="25">
        <f>+E$30*G69+F69</f>
        <v>392543.97237737715</v>
      </c>
      <c r="I69" s="1599">
        <f>+I68</f>
        <v>4614298.7285714224</v>
      </c>
      <c r="J69" s="1599">
        <f>+J68</f>
        <v>225087.74285714285</v>
      </c>
      <c r="K69" s="1599">
        <f t="shared" si="5"/>
        <v>4389210.9857142791</v>
      </c>
      <c r="L69" s="25">
        <f>+I$30*K69+J69</f>
        <v>601657.88178764377</v>
      </c>
      <c r="M69" s="1604">
        <f>+M68</f>
        <v>7743196.285714291</v>
      </c>
      <c r="N69" s="1599">
        <f>+N68</f>
        <v>392060.57142857142</v>
      </c>
      <c r="O69" s="1599">
        <f t="shared" si="6"/>
        <v>7351135.7142857192</v>
      </c>
      <c r="P69" s="25">
        <f>+M$30*O69+N69</f>
        <v>1022747.5459748758</v>
      </c>
      <c r="Q69" s="1604">
        <f>+Q68</f>
        <v>14573714.119047644</v>
      </c>
      <c r="R69" s="1599">
        <f>+R68</f>
        <v>744189.65714285709</v>
      </c>
      <c r="S69" s="1599">
        <f t="shared" si="7"/>
        <v>13829524.461904787</v>
      </c>
      <c r="T69" s="25">
        <f>+Q$30*S69+R69</f>
        <v>2042088.6482849321</v>
      </c>
      <c r="U69" s="1604">
        <f>+U68</f>
        <v>10391594.809523813</v>
      </c>
      <c r="V69" s="1599">
        <f>+V68</f>
        <v>530634.62857142859</v>
      </c>
      <c r="W69" s="1599">
        <f t="shared" si="8"/>
        <v>9860960.1809523851</v>
      </c>
      <c r="X69" s="25">
        <f>+U$30*W69+V69</f>
        <v>1456084.4013243155</v>
      </c>
      <c r="Y69" s="1604">
        <f>+Y68</f>
        <v>4088055.6142857149</v>
      </c>
      <c r="Z69" s="1599">
        <f>+Z68</f>
        <v>193136.48571428572</v>
      </c>
      <c r="AA69" s="1599">
        <f t="shared" si="9"/>
        <v>3894919.1285714293</v>
      </c>
      <c r="AB69" s="25">
        <f>+Y$30*AA69+Z69</f>
        <v>558674.11656182946</v>
      </c>
      <c r="AC69" s="1604">
        <f>+AC68</f>
        <v>3133657.0151666678</v>
      </c>
      <c r="AD69" s="1599">
        <f>+AD68</f>
        <v>115582.8</v>
      </c>
      <c r="AE69" s="1599">
        <f t="shared" si="10"/>
        <v>3018074.2151666679</v>
      </c>
      <c r="AF69" s="25">
        <f>+AC$30*AE69+AD69</f>
        <v>374516.9524494803</v>
      </c>
      <c r="AG69" s="1604">
        <f>+AG68</f>
        <v>9569613.1738095172</v>
      </c>
      <c r="AH69" s="1599">
        <f>+AH68</f>
        <v>376463.14285714284</v>
      </c>
      <c r="AI69" s="1599">
        <f t="shared" si="11"/>
        <v>9193150.0309523735</v>
      </c>
      <c r="AJ69" s="25">
        <f>+AG$30*AI69+AH69</f>
        <v>1165184.8050493072</v>
      </c>
      <c r="AK69" s="1604">
        <f>+AK68</f>
        <v>11678994.442857148</v>
      </c>
      <c r="AL69" s="1599">
        <f>+AL68</f>
        <v>424056.51428571431</v>
      </c>
      <c r="AM69" s="1599">
        <f t="shared" si="12"/>
        <v>11254937.928571435</v>
      </c>
      <c r="AN69" s="25">
        <f>+AK$30*AM69+AL69</f>
        <v>1389668.2274639527</v>
      </c>
      <c r="AO69" s="1604">
        <f>+AO68</f>
        <v>10028571.428571433</v>
      </c>
      <c r="AP69" s="1599">
        <f>+AP68</f>
        <v>371428.57142857142</v>
      </c>
      <c r="AQ69" s="1599">
        <f t="shared" si="13"/>
        <v>9657142.8571428619</v>
      </c>
      <c r="AR69" s="25">
        <f>+AO$30*AQ69+AP69</f>
        <v>1199958.2637177156</v>
      </c>
      <c r="AS69" s="1604">
        <f>+AS68</f>
        <v>38500</v>
      </c>
      <c r="AT69" s="1599">
        <f>+AT68</f>
        <v>2000</v>
      </c>
      <c r="AU69" s="1599">
        <f t="shared" si="14"/>
        <v>36500</v>
      </c>
      <c r="AV69" s="25">
        <f>+AS$30*AU69+AT69</f>
        <v>5131.4990588739083</v>
      </c>
      <c r="AW69" s="1606">
        <f t="shared" si="15"/>
        <v>10208256.314050304</v>
      </c>
      <c r="AX69" s="1602">
        <f>+AW69</f>
        <v>10208256.314050304</v>
      </c>
      <c r="AY69" s="1573"/>
    </row>
    <row r="70" spans="1:51" ht="13">
      <c r="A70" s="1543">
        <f t="shared" si="1"/>
        <v>55</v>
      </c>
      <c r="C70" s="1564" t="str">
        <f t="shared" si="3"/>
        <v>Base FCR</v>
      </c>
      <c r="D70" s="1598">
        <f t="shared" si="2"/>
        <v>2025</v>
      </c>
      <c r="E70" s="1599">
        <f>+G69</f>
        <v>2704739.1428571423</v>
      </c>
      <c r="F70" s="1599">
        <f>+E$32</f>
        <v>138704.57142857142</v>
      </c>
      <c r="G70" s="1599">
        <f t="shared" si="4"/>
        <v>2566034.5714285709</v>
      </c>
      <c r="H70" s="25">
        <f>+E$29*G70+F70</f>
        <v>358856.21103039291</v>
      </c>
      <c r="I70" s="1599">
        <f>+K69</f>
        <v>4389210.9857142791</v>
      </c>
      <c r="J70" s="1599">
        <f>+I$32</f>
        <v>225087.74285714285</v>
      </c>
      <c r="K70" s="1599">
        <f t="shared" si="5"/>
        <v>4164123.2428571363</v>
      </c>
      <c r="L70" s="25">
        <f>+I$29*K70+J70</f>
        <v>582346.59261172067</v>
      </c>
      <c r="M70" s="1604">
        <f>+O69</f>
        <v>7351135.7142857192</v>
      </c>
      <c r="N70" s="1599">
        <f>+M$32</f>
        <v>392060.57142857142</v>
      </c>
      <c r="O70" s="1599">
        <f t="shared" si="6"/>
        <v>6959075.1428571474</v>
      </c>
      <c r="P70" s="25">
        <f>+M$29*O70+N70</f>
        <v>989110.90733240615</v>
      </c>
      <c r="Q70" s="1604">
        <f>+S69</f>
        <v>13829524.461904787</v>
      </c>
      <c r="R70" s="1599">
        <f>+Q$32</f>
        <v>744189.65714285709</v>
      </c>
      <c r="S70" s="1599">
        <f t="shared" si="7"/>
        <v>13085334.804761929</v>
      </c>
      <c r="T70" s="25">
        <f>+Q$29*S70+R70</f>
        <v>1866839.3455308566</v>
      </c>
      <c r="U70" s="1604">
        <f>+W69</f>
        <v>9860960.1809523851</v>
      </c>
      <c r="V70" s="1599">
        <f>+U$32</f>
        <v>530634.62857142859</v>
      </c>
      <c r="W70" s="1599">
        <f t="shared" si="8"/>
        <v>9330325.5523809567</v>
      </c>
      <c r="X70" s="25">
        <f>+U$29*W70+V70</f>
        <v>1331125.195318501</v>
      </c>
      <c r="Y70" s="1604">
        <f>+AA69</f>
        <v>3894919.1285714293</v>
      </c>
      <c r="Z70" s="1599">
        <f>+Y$32</f>
        <v>193136.48571428572</v>
      </c>
      <c r="AA70" s="1599">
        <f t="shared" si="9"/>
        <v>3701782.6428571437</v>
      </c>
      <c r="AB70" s="25">
        <f>+Y$29*AA70+Z70</f>
        <v>510729.05728313269</v>
      </c>
      <c r="AC70" s="1604">
        <f>+AE69</f>
        <v>3018074.2151666679</v>
      </c>
      <c r="AD70" s="1599">
        <f>+AC$32</f>
        <v>115582.8</v>
      </c>
      <c r="AE70" s="1599">
        <f t="shared" si="10"/>
        <v>2902491.4151666681</v>
      </c>
      <c r="AF70" s="25">
        <f>+AC$29*AE70+AD70</f>
        <v>364600.58452011016</v>
      </c>
      <c r="AG70" s="1604">
        <f>+AI69</f>
        <v>9193150.0309523735</v>
      </c>
      <c r="AH70" s="1599">
        <f>+AG$32</f>
        <v>376463.14285714284</v>
      </c>
      <c r="AI70" s="1599">
        <f t="shared" si="11"/>
        <v>8816686.8880952299</v>
      </c>
      <c r="AJ70" s="25">
        <f>+AG$29*AI70+AH70</f>
        <v>1132886.3399107358</v>
      </c>
      <c r="AK70" s="1604">
        <f>+AM69</f>
        <v>11254937.928571435</v>
      </c>
      <c r="AL70" s="1599">
        <f>+AK$32</f>
        <v>424056.51428571431</v>
      </c>
      <c r="AM70" s="1599">
        <f t="shared" si="12"/>
        <v>10830881.414285721</v>
      </c>
      <c r="AN70" s="25">
        <f>+AK$29*AM70+AL70</f>
        <v>1353286.5130695675</v>
      </c>
      <c r="AO70" s="1604">
        <f>+AQ69</f>
        <v>9657142.8571428619</v>
      </c>
      <c r="AP70" s="1599">
        <f>+AO$32</f>
        <v>371428.57142857142</v>
      </c>
      <c r="AQ70" s="1599">
        <f t="shared" si="13"/>
        <v>9285714.285714291</v>
      </c>
      <c r="AR70" s="25">
        <f>+AO$29*AQ70+AP70</f>
        <v>1168091.73709121</v>
      </c>
      <c r="AS70" s="1604">
        <f>+AU69</f>
        <v>36500</v>
      </c>
      <c r="AT70" s="1599">
        <f>+AS$32</f>
        <v>2000</v>
      </c>
      <c r="AU70" s="1599">
        <f t="shared" si="14"/>
        <v>34500</v>
      </c>
      <c r="AV70" s="25">
        <f>+AS$29*AU70+AT70</f>
        <v>4959.9100693465716</v>
      </c>
      <c r="AW70" s="1606">
        <f t="shared" si="15"/>
        <v>9662832.3937679809</v>
      </c>
      <c r="AX70" s="1576"/>
      <c r="AY70" s="1601">
        <f>+AW70</f>
        <v>9662832.3937679809</v>
      </c>
    </row>
    <row r="71" spans="1:51" ht="13">
      <c r="A71" s="1543">
        <f t="shared" si="1"/>
        <v>56</v>
      </c>
      <c r="C71" s="1564" t="str">
        <f t="shared" si="3"/>
        <v>W Increased ROE</v>
      </c>
      <c r="D71" s="1598">
        <f t="shared" si="2"/>
        <v>2025</v>
      </c>
      <c r="E71" s="1599">
        <f>+E70</f>
        <v>2704739.1428571423</v>
      </c>
      <c r="F71" s="1599">
        <f>+F70</f>
        <v>138704.57142857142</v>
      </c>
      <c r="G71" s="1599">
        <f t="shared" si="4"/>
        <v>2566034.5714285709</v>
      </c>
      <c r="H71" s="25">
        <f>+E$30*G71+F71</f>
        <v>379526.5672005153</v>
      </c>
      <c r="I71" s="1599">
        <f>+I70</f>
        <v>4389210.9857142791</v>
      </c>
      <c r="J71" s="1599">
        <f>+J70</f>
        <v>225087.74285714285</v>
      </c>
      <c r="K71" s="1599">
        <f t="shared" si="5"/>
        <v>4164123.2428571363</v>
      </c>
      <c r="L71" s="25">
        <f>+I$30*K71+J71</f>
        <v>582346.59261172067</v>
      </c>
      <c r="M71" s="1604">
        <f>+M70</f>
        <v>7351135.7142857192</v>
      </c>
      <c r="N71" s="1599">
        <f>+N70</f>
        <v>392060.57142857142</v>
      </c>
      <c r="O71" s="1599">
        <f t="shared" si="6"/>
        <v>6959075.1428571474</v>
      </c>
      <c r="P71" s="25">
        <f>+M$30*O71+N71</f>
        <v>989110.90733240615</v>
      </c>
      <c r="Q71" s="1604">
        <f>+Q70</f>
        <v>13829524.461904787</v>
      </c>
      <c r="R71" s="1599">
        <f>+R70</f>
        <v>744189.65714285709</v>
      </c>
      <c r="S71" s="1599">
        <f t="shared" si="7"/>
        <v>13085334.804761929</v>
      </c>
      <c r="T71" s="25">
        <f>+Q$30*S71+R71</f>
        <v>1972246.5501068835</v>
      </c>
      <c r="U71" s="1604">
        <f>+U70</f>
        <v>9860960.1809523851</v>
      </c>
      <c r="V71" s="1599">
        <f>+V70</f>
        <v>530634.62857142859</v>
      </c>
      <c r="W71" s="1599">
        <f t="shared" si="8"/>
        <v>9330325.5523809567</v>
      </c>
      <c r="X71" s="25">
        <f>+U$30*W71+V71</f>
        <v>1406284.4135528598</v>
      </c>
      <c r="Y71" s="1604">
        <f>+Y70</f>
        <v>3894919.1285714293</v>
      </c>
      <c r="Z71" s="1599">
        <f>+Z70</f>
        <v>193136.48571428572</v>
      </c>
      <c r="AA71" s="1599">
        <f t="shared" si="9"/>
        <v>3701782.6428571437</v>
      </c>
      <c r="AB71" s="25">
        <f>+Y$30*AA71+Z71</f>
        <v>540548.28362724057</v>
      </c>
      <c r="AC71" s="1604">
        <f>+AC70</f>
        <v>3018074.2151666679</v>
      </c>
      <c r="AD71" s="1599">
        <f>+AD70</f>
        <v>115582.8</v>
      </c>
      <c r="AE71" s="1599">
        <f t="shared" si="10"/>
        <v>2902491.4151666681</v>
      </c>
      <c r="AF71" s="25">
        <f>+AC$30*AE71+AD71</f>
        <v>364600.58452011016</v>
      </c>
      <c r="AG71" s="1604">
        <f>+AG70</f>
        <v>9193150.0309523735</v>
      </c>
      <c r="AH71" s="1599">
        <f>+AH70</f>
        <v>376463.14285714284</v>
      </c>
      <c r="AI71" s="1599">
        <f t="shared" si="11"/>
        <v>8816686.8880952299</v>
      </c>
      <c r="AJ71" s="25">
        <f>+AG$30*AI71+AH71</f>
        <v>1132886.3399107358</v>
      </c>
      <c r="AK71" s="1604">
        <f>+AK70</f>
        <v>11254937.928571435</v>
      </c>
      <c r="AL71" s="1599">
        <f>+AL70</f>
        <v>424056.51428571431</v>
      </c>
      <c r="AM71" s="1599">
        <f t="shared" si="12"/>
        <v>10830881.414285721</v>
      </c>
      <c r="AN71" s="25">
        <f>+AK$30*AM71+AL71</f>
        <v>1353286.5130695675</v>
      </c>
      <c r="AO71" s="1604">
        <f>+AO70</f>
        <v>9657142.8571428619</v>
      </c>
      <c r="AP71" s="1599">
        <f>+AP70</f>
        <v>371428.57142857142</v>
      </c>
      <c r="AQ71" s="1599">
        <f t="shared" si="13"/>
        <v>9285714.285714291</v>
      </c>
      <c r="AR71" s="25">
        <f>+AO$30*AQ71+AP71</f>
        <v>1168091.73709121</v>
      </c>
      <c r="AS71" s="1604">
        <f>+AS70</f>
        <v>36500</v>
      </c>
      <c r="AT71" s="1599">
        <f>+AT70</f>
        <v>2000</v>
      </c>
      <c r="AU71" s="1599">
        <f t="shared" si="14"/>
        <v>34500</v>
      </c>
      <c r="AV71" s="25">
        <f>+AS$30*AU71+AT71</f>
        <v>4959.9100693465716</v>
      </c>
      <c r="AW71" s="1606">
        <f t="shared" si="15"/>
        <v>9893888.399092596</v>
      </c>
      <c r="AX71" s="1602">
        <f>+AW71</f>
        <v>9893888.399092596</v>
      </c>
      <c r="AY71" s="1573"/>
    </row>
    <row r="72" spans="1:51" ht="13">
      <c r="A72" s="1543">
        <f t="shared" si="1"/>
        <v>57</v>
      </c>
      <c r="C72" s="1564" t="str">
        <f t="shared" si="3"/>
        <v>Base FCR</v>
      </c>
      <c r="D72" s="1598">
        <f t="shared" si="2"/>
        <v>2026</v>
      </c>
      <c r="E72" s="1599">
        <f>+G71</f>
        <v>2566034.5714285709</v>
      </c>
      <c r="F72" s="1599">
        <f>+E$32</f>
        <v>138704.57142857142</v>
      </c>
      <c r="G72" s="1599">
        <f t="shared" si="4"/>
        <v>2427329.9999999995</v>
      </c>
      <c r="H72" s="25">
        <f>+E$29*G72+F72</f>
        <v>346956.12240326742</v>
      </c>
      <c r="I72" s="1599">
        <f>+K71</f>
        <v>4164123.2428571363</v>
      </c>
      <c r="J72" s="1599">
        <f>+I$32</f>
        <v>225087.74285714285</v>
      </c>
      <c r="K72" s="1599">
        <f t="shared" si="5"/>
        <v>3939035.4999999935</v>
      </c>
      <c r="L72" s="25">
        <f>+I$29*K72+J72</f>
        <v>563035.30343579745</v>
      </c>
      <c r="M72" s="1604">
        <f>+O71</f>
        <v>6959075.1428571474</v>
      </c>
      <c r="N72" s="1599">
        <f>+M$32</f>
        <v>392060.57142857142</v>
      </c>
      <c r="O72" s="1599">
        <f t="shared" si="6"/>
        <v>6567014.5714285756</v>
      </c>
      <c r="P72" s="25">
        <f>+M$29*O72+N72</f>
        <v>955474.26868993649</v>
      </c>
      <c r="Q72" s="1604">
        <f>+S71</f>
        <v>13085334.804761929</v>
      </c>
      <c r="R72" s="1599">
        <f>+Q$32</f>
        <v>744189.65714285709</v>
      </c>
      <c r="S72" s="1599">
        <f t="shared" si="7"/>
        <v>12341145.147619072</v>
      </c>
      <c r="T72" s="25">
        <f>+Q$29*S72+R72</f>
        <v>1802991.9698879372</v>
      </c>
      <c r="U72" s="1604">
        <f>+W71</f>
        <v>9330325.5523809567</v>
      </c>
      <c r="V72" s="1599">
        <f>+U$32</f>
        <v>530634.62857142859</v>
      </c>
      <c r="W72" s="1599">
        <f t="shared" si="8"/>
        <v>8799690.9238095284</v>
      </c>
      <c r="X72" s="25">
        <f>+U$29*W72+V72</f>
        <v>1285599.6654561083</v>
      </c>
      <c r="Y72" s="1604">
        <f>+AA71</f>
        <v>3701782.6428571437</v>
      </c>
      <c r="Z72" s="1599">
        <f>+Y$32</f>
        <v>193136.48571428572</v>
      </c>
      <c r="AA72" s="1599">
        <f t="shared" si="9"/>
        <v>3508646.157142858</v>
      </c>
      <c r="AB72" s="25">
        <f>+Y$29*AA72+Z72</f>
        <v>494159.01007084502</v>
      </c>
      <c r="AC72" s="1604">
        <f>+AE71</f>
        <v>2902491.4151666681</v>
      </c>
      <c r="AD72" s="1599">
        <f>+AC$32</f>
        <v>115582.8</v>
      </c>
      <c r="AE72" s="1599">
        <f t="shared" si="10"/>
        <v>2786908.6151666683</v>
      </c>
      <c r="AF72" s="25">
        <f>+AC$29*AE72+AD72</f>
        <v>354684.21659073996</v>
      </c>
      <c r="AG72" s="1604">
        <f>+AI71</f>
        <v>8816686.8880952299</v>
      </c>
      <c r="AH72" s="1599">
        <f>+AG$32</f>
        <v>376463.14285714284</v>
      </c>
      <c r="AI72" s="1599">
        <f t="shared" si="11"/>
        <v>8440223.7452380862</v>
      </c>
      <c r="AJ72" s="25">
        <f>+AG$29*AI72+AH72</f>
        <v>1100587.8747721643</v>
      </c>
      <c r="AK72" s="1604">
        <f>+AM71</f>
        <v>10830881.414285721</v>
      </c>
      <c r="AL72" s="1599">
        <f>+AK$32</f>
        <v>424056.51428571431</v>
      </c>
      <c r="AM72" s="1599">
        <f t="shared" si="12"/>
        <v>10406824.900000008</v>
      </c>
      <c r="AN72" s="25">
        <f>+AK$29*AM72+AL72</f>
        <v>1316904.7986751823</v>
      </c>
      <c r="AO72" s="1604">
        <f>+AQ71</f>
        <v>9285714.285714291</v>
      </c>
      <c r="AP72" s="1599">
        <f>+AO$32</f>
        <v>371428.57142857142</v>
      </c>
      <c r="AQ72" s="1599">
        <f t="shared" si="13"/>
        <v>8914285.7142857201</v>
      </c>
      <c r="AR72" s="25">
        <f>+AO$29*AQ72+AP72</f>
        <v>1136225.2104647045</v>
      </c>
      <c r="AS72" s="1604">
        <f>+AU71</f>
        <v>34500</v>
      </c>
      <c r="AT72" s="1599">
        <f>+AS$32</f>
        <v>2000</v>
      </c>
      <c r="AU72" s="1599">
        <f t="shared" si="14"/>
        <v>32500</v>
      </c>
      <c r="AV72" s="25">
        <f>+AS$29*AU72+AT72</f>
        <v>4788.321079819234</v>
      </c>
      <c r="AW72" s="1606">
        <f t="shared" si="15"/>
        <v>9361406.7615265008</v>
      </c>
      <c r="AX72" s="1576"/>
      <c r="AY72" s="1601">
        <f>+AW72</f>
        <v>9361406.7615265008</v>
      </c>
    </row>
    <row r="73" spans="1:51" ht="13">
      <c r="A73" s="1543">
        <f t="shared" si="1"/>
        <v>58</v>
      </c>
      <c r="C73" s="1564" t="str">
        <f t="shared" si="3"/>
        <v>W Increased ROE</v>
      </c>
      <c r="D73" s="1598">
        <f t="shared" si="2"/>
        <v>2026</v>
      </c>
      <c r="E73" s="1599">
        <f>+E72</f>
        <v>2566034.5714285709</v>
      </c>
      <c r="F73" s="1599">
        <f>+F72</f>
        <v>138704.57142857142</v>
      </c>
      <c r="G73" s="1599">
        <f t="shared" si="4"/>
        <v>2427329.9999999995</v>
      </c>
      <c r="H73" s="25">
        <f>+E$30*G73+F73</f>
        <v>366509.16202365351</v>
      </c>
      <c r="I73" s="1599">
        <f>+I72</f>
        <v>4164123.2428571363</v>
      </c>
      <c r="J73" s="1599">
        <f>+J72</f>
        <v>225087.74285714285</v>
      </c>
      <c r="K73" s="1599">
        <f t="shared" si="5"/>
        <v>3939035.4999999935</v>
      </c>
      <c r="L73" s="25">
        <f>+I$30*K73+J73</f>
        <v>563035.30343579745</v>
      </c>
      <c r="M73" s="1604">
        <f>+M72</f>
        <v>6959075.1428571474</v>
      </c>
      <c r="N73" s="1599">
        <f>+N72</f>
        <v>392060.57142857142</v>
      </c>
      <c r="O73" s="1599">
        <f t="shared" si="6"/>
        <v>6567014.5714285756</v>
      </c>
      <c r="P73" s="25">
        <f>+M$30*O73+N73</f>
        <v>955474.26868993649</v>
      </c>
      <c r="Q73" s="1604">
        <f>+Q72</f>
        <v>13085334.804761929</v>
      </c>
      <c r="R73" s="1599">
        <f>+R72</f>
        <v>744189.65714285709</v>
      </c>
      <c r="S73" s="1599">
        <f t="shared" si="7"/>
        <v>12341145.147619072</v>
      </c>
      <c r="T73" s="25">
        <f>+Q$30*S73+R73</f>
        <v>1902404.4519288347</v>
      </c>
      <c r="U73" s="1604">
        <f>+U72</f>
        <v>9330325.5523809567</v>
      </c>
      <c r="V73" s="1599">
        <f>+V72</f>
        <v>530634.62857142859</v>
      </c>
      <c r="W73" s="1599">
        <f t="shared" si="8"/>
        <v>8799690.9238095284</v>
      </c>
      <c r="X73" s="25">
        <f>+U$30*W73+V73</f>
        <v>1356484.4257814039</v>
      </c>
      <c r="Y73" s="1604">
        <f>+Y72</f>
        <v>3701782.6428571437</v>
      </c>
      <c r="Z73" s="1599">
        <f>+Z72</f>
        <v>193136.48571428572</v>
      </c>
      <c r="AA73" s="1599">
        <f t="shared" si="9"/>
        <v>3508646.157142858</v>
      </c>
      <c r="AB73" s="25">
        <f>+Y$30*AA73+Z73</f>
        <v>522422.45069265168</v>
      </c>
      <c r="AC73" s="1604">
        <f>+AC72</f>
        <v>2902491.4151666681</v>
      </c>
      <c r="AD73" s="1599">
        <f>+AD72</f>
        <v>115582.8</v>
      </c>
      <c r="AE73" s="1599">
        <f t="shared" si="10"/>
        <v>2786908.6151666683</v>
      </c>
      <c r="AF73" s="25">
        <f>+AC$30*AE73+AD73</f>
        <v>354684.21659073996</v>
      </c>
      <c r="AG73" s="1604">
        <f>+AG72</f>
        <v>8816686.8880952299</v>
      </c>
      <c r="AH73" s="1599">
        <f>+AH72</f>
        <v>376463.14285714284</v>
      </c>
      <c r="AI73" s="1599">
        <f t="shared" si="11"/>
        <v>8440223.7452380862</v>
      </c>
      <c r="AJ73" s="25">
        <f>+AG$30*AI73+AH73</f>
        <v>1100587.8747721643</v>
      </c>
      <c r="AK73" s="1604">
        <f>+AK72</f>
        <v>10830881.414285721</v>
      </c>
      <c r="AL73" s="1599">
        <f>+AL72</f>
        <v>424056.51428571431</v>
      </c>
      <c r="AM73" s="1599">
        <f t="shared" si="12"/>
        <v>10406824.900000008</v>
      </c>
      <c r="AN73" s="25">
        <f>+AK$30*AM73+AL73</f>
        <v>1316904.7986751823</v>
      </c>
      <c r="AO73" s="1604">
        <f>+AO72</f>
        <v>9285714.285714291</v>
      </c>
      <c r="AP73" s="1599">
        <f>+AP72</f>
        <v>371428.57142857142</v>
      </c>
      <c r="AQ73" s="1599">
        <f t="shared" si="13"/>
        <v>8914285.7142857201</v>
      </c>
      <c r="AR73" s="25">
        <f>+AO$30*AQ73+AP73</f>
        <v>1136225.2104647045</v>
      </c>
      <c r="AS73" s="1604">
        <f>+AS72</f>
        <v>34500</v>
      </c>
      <c r="AT73" s="1599">
        <f>+AT72</f>
        <v>2000</v>
      </c>
      <c r="AU73" s="1599">
        <f t="shared" si="14"/>
        <v>32500</v>
      </c>
      <c r="AV73" s="25">
        <f>+AS$30*AU73+AT73</f>
        <v>4788.321079819234</v>
      </c>
      <c r="AW73" s="1606">
        <f t="shared" si="15"/>
        <v>9579520.4841348883</v>
      </c>
      <c r="AX73" s="1602">
        <f>+AW73</f>
        <v>9579520.4841348883</v>
      </c>
      <c r="AY73" s="1573"/>
    </row>
    <row r="74" spans="1:51" ht="13">
      <c r="A74" s="1543">
        <f t="shared" si="1"/>
        <v>59</v>
      </c>
      <c r="C74" s="1564" t="str">
        <f t="shared" si="3"/>
        <v>Base FCR</v>
      </c>
      <c r="D74" s="1598">
        <f t="shared" si="2"/>
        <v>2027</v>
      </c>
      <c r="E74" s="1599">
        <f>+G73</f>
        <v>2427329.9999999995</v>
      </c>
      <c r="F74" s="1599">
        <f>+E$32</f>
        <v>138704.57142857142</v>
      </c>
      <c r="G74" s="1599">
        <f t="shared" si="4"/>
        <v>2288625.4285714282</v>
      </c>
      <c r="H74" s="25">
        <f>+E$29*G74+F74</f>
        <v>335056.03377614194</v>
      </c>
      <c r="I74" s="1599">
        <f>+K73</f>
        <v>3939035.4999999935</v>
      </c>
      <c r="J74" s="1599">
        <f>+I$32</f>
        <v>225087.74285714285</v>
      </c>
      <c r="K74" s="1599">
        <f t="shared" si="5"/>
        <v>3713947.7571428507</v>
      </c>
      <c r="L74" s="25">
        <f>+I$29*K74+J74</f>
        <v>543724.01425987436</v>
      </c>
      <c r="M74" s="1604">
        <f>+O73</f>
        <v>6567014.5714285756</v>
      </c>
      <c r="N74" s="1599">
        <f>+M$32</f>
        <v>392060.57142857142</v>
      </c>
      <c r="O74" s="1599">
        <f t="shared" si="6"/>
        <v>6174954.0000000037</v>
      </c>
      <c r="P74" s="25">
        <f>+M$29*O74+N74</f>
        <v>921837.63004746707</v>
      </c>
      <c r="Q74" s="1604">
        <f>+S73</f>
        <v>12341145.147619072</v>
      </c>
      <c r="R74" s="1599">
        <f>+Q$32</f>
        <v>744189.65714285709</v>
      </c>
      <c r="S74" s="1599">
        <f t="shared" si="7"/>
        <v>11596955.490476215</v>
      </c>
      <c r="T74" s="25">
        <f>+Q$29*S74+R74</f>
        <v>1739144.594245018</v>
      </c>
      <c r="U74" s="1604">
        <f>+W73</f>
        <v>8799690.9238095284</v>
      </c>
      <c r="V74" s="1599">
        <f>+U$32</f>
        <v>530634.62857142859</v>
      </c>
      <c r="W74" s="1599">
        <f t="shared" si="8"/>
        <v>8269056.2952381</v>
      </c>
      <c r="X74" s="25">
        <f>+U$29*W74+V74</f>
        <v>1240074.1355937156</v>
      </c>
      <c r="Y74" s="1604">
        <f>+AA73</f>
        <v>3508646.157142858</v>
      </c>
      <c r="Z74" s="1599">
        <f>+Y$32</f>
        <v>193136.48571428572</v>
      </c>
      <c r="AA74" s="1599">
        <f t="shared" si="9"/>
        <v>3315509.6714285724</v>
      </c>
      <c r="AB74" s="25">
        <f>+Y$29*AA74+Z74</f>
        <v>477588.96285855735</v>
      </c>
      <c r="AC74" s="1604">
        <f>+AE73</f>
        <v>2786908.6151666683</v>
      </c>
      <c r="AD74" s="1599">
        <f>+AC$32</f>
        <v>115582.8</v>
      </c>
      <c r="AE74" s="1599">
        <f t="shared" si="10"/>
        <v>2671325.8151666685</v>
      </c>
      <c r="AF74" s="25">
        <f>+AC$29*AE74+AD74</f>
        <v>344767.84866136982</v>
      </c>
      <c r="AG74" s="1604">
        <f>+AI73</f>
        <v>8440223.7452380862</v>
      </c>
      <c r="AH74" s="1599">
        <f>+AG$32</f>
        <v>376463.14285714284</v>
      </c>
      <c r="AI74" s="1599">
        <f t="shared" si="11"/>
        <v>8063760.6023809435</v>
      </c>
      <c r="AJ74" s="25">
        <f>+AG$29*AI74+AH74</f>
        <v>1068289.4096335927</v>
      </c>
      <c r="AK74" s="1604">
        <f>+AM73</f>
        <v>10406824.900000008</v>
      </c>
      <c r="AL74" s="1599">
        <f>+AK$32</f>
        <v>424056.51428571431</v>
      </c>
      <c r="AM74" s="1599">
        <f t="shared" si="12"/>
        <v>9982768.3857142944</v>
      </c>
      <c r="AN74" s="25">
        <f>+AK$29*AM74+AL74</f>
        <v>1280523.084280797</v>
      </c>
      <c r="AO74" s="1604">
        <f>+AQ73</f>
        <v>8914285.7142857201</v>
      </c>
      <c r="AP74" s="1599">
        <f>+AO$32</f>
        <v>371428.57142857142</v>
      </c>
      <c r="AQ74" s="1599">
        <f t="shared" si="13"/>
        <v>8542857.1428571492</v>
      </c>
      <c r="AR74" s="25">
        <f>+AO$29*AQ74+AP74</f>
        <v>1104358.6838381991</v>
      </c>
      <c r="AS74" s="1604">
        <f>+AU73</f>
        <v>32500</v>
      </c>
      <c r="AT74" s="1599">
        <f>+AS$32</f>
        <v>2000</v>
      </c>
      <c r="AU74" s="1599">
        <f t="shared" si="14"/>
        <v>30500</v>
      </c>
      <c r="AV74" s="25">
        <f>+AS$29*AU74+AT74</f>
        <v>4616.7320902918964</v>
      </c>
      <c r="AW74" s="1606">
        <f t="shared" si="15"/>
        <v>9059981.1292850263</v>
      </c>
      <c r="AX74" s="1576"/>
      <c r="AY74" s="1601">
        <f>+AW74</f>
        <v>9059981.1292850263</v>
      </c>
    </row>
    <row r="75" spans="1:51" ht="13">
      <c r="A75" s="1543">
        <f t="shared" si="1"/>
        <v>60</v>
      </c>
      <c r="C75" s="1564" t="str">
        <f t="shared" si="3"/>
        <v>W Increased ROE</v>
      </c>
      <c r="D75" s="1598">
        <f t="shared" si="2"/>
        <v>2027</v>
      </c>
      <c r="E75" s="1599"/>
      <c r="F75" s="1599">
        <f>+F74</f>
        <v>138704.57142857142</v>
      </c>
      <c r="G75" s="1599">
        <f t="shared" si="4"/>
        <v>-138704.57142857142</v>
      </c>
      <c r="H75" s="25">
        <f>+E$30*G75+F75</f>
        <v>125687.16625170958</v>
      </c>
      <c r="I75" s="1599">
        <f>+I74</f>
        <v>3939035.4999999935</v>
      </c>
      <c r="J75" s="1599">
        <f>+J74</f>
        <v>225087.74285714285</v>
      </c>
      <c r="K75" s="1599">
        <f t="shared" si="5"/>
        <v>3713947.7571428507</v>
      </c>
      <c r="L75" s="25">
        <f>+I$30*K75+J75</f>
        <v>543724.01425987436</v>
      </c>
      <c r="M75" s="1604">
        <f>+M74</f>
        <v>6567014.5714285756</v>
      </c>
      <c r="N75" s="1599">
        <f>+N74</f>
        <v>392060.57142857142</v>
      </c>
      <c r="O75" s="1599">
        <f t="shared" si="6"/>
        <v>6174954.0000000037</v>
      </c>
      <c r="P75" s="25">
        <f>+M$30*O75+N75</f>
        <v>921837.63004746707</v>
      </c>
      <c r="Q75" s="1604">
        <f>+Q74</f>
        <v>12341145.147619072</v>
      </c>
      <c r="R75" s="1599">
        <f>+R74</f>
        <v>744189.65714285709</v>
      </c>
      <c r="S75" s="1599">
        <f t="shared" si="7"/>
        <v>11596955.490476215</v>
      </c>
      <c r="T75" s="25">
        <f>+Q$30*S75+R75</f>
        <v>1832562.3537507858</v>
      </c>
      <c r="U75" s="1604">
        <f>+U74</f>
        <v>8799690.9238095284</v>
      </c>
      <c r="V75" s="1599">
        <f>+V74</f>
        <v>530634.62857142859</v>
      </c>
      <c r="W75" s="1599">
        <f t="shared" si="8"/>
        <v>8269056.2952381</v>
      </c>
      <c r="X75" s="25">
        <f>+U$30*W75+V75</f>
        <v>1306684.4380099482</v>
      </c>
      <c r="Y75" s="1604">
        <f>+Y74</f>
        <v>3508646.157142858</v>
      </c>
      <c r="Z75" s="1599">
        <f>+Z74</f>
        <v>193136.48571428572</v>
      </c>
      <c r="AA75" s="1599">
        <f t="shared" si="9"/>
        <v>3315509.6714285724</v>
      </c>
      <c r="AB75" s="25">
        <f>+Y$30*AA75+Z75</f>
        <v>504296.61775806267</v>
      </c>
      <c r="AC75" s="1604">
        <f>+AC74</f>
        <v>2786908.6151666683</v>
      </c>
      <c r="AD75" s="1599">
        <f>+AD74</f>
        <v>115582.8</v>
      </c>
      <c r="AE75" s="1599">
        <f t="shared" si="10"/>
        <v>2671325.8151666685</v>
      </c>
      <c r="AF75" s="25">
        <f>+AC$30*AE75+AD75</f>
        <v>344767.84866136982</v>
      </c>
      <c r="AG75" s="1604">
        <f>+AG74</f>
        <v>8440223.7452380862</v>
      </c>
      <c r="AH75" s="1599">
        <f>+AH74</f>
        <v>376463.14285714284</v>
      </c>
      <c r="AI75" s="1599">
        <f t="shared" si="11"/>
        <v>8063760.6023809435</v>
      </c>
      <c r="AJ75" s="25">
        <f>+AG$30*AI75+AH75</f>
        <v>1068289.4096335927</v>
      </c>
      <c r="AK75" s="1604">
        <f>+AK74</f>
        <v>10406824.900000008</v>
      </c>
      <c r="AL75" s="1599">
        <f>+AL74</f>
        <v>424056.51428571431</v>
      </c>
      <c r="AM75" s="1599">
        <f t="shared" si="12"/>
        <v>9982768.3857142944</v>
      </c>
      <c r="AN75" s="25">
        <f>+AK$30*AM75+AL75</f>
        <v>1280523.084280797</v>
      </c>
      <c r="AO75" s="1604">
        <f>+AO74</f>
        <v>8914285.7142857201</v>
      </c>
      <c r="AP75" s="1599">
        <f>+AP74</f>
        <v>371428.57142857142</v>
      </c>
      <c r="AQ75" s="1599">
        <f t="shared" si="13"/>
        <v>8542857.1428571492</v>
      </c>
      <c r="AR75" s="25">
        <f>+AO$30*AQ75+AP75</f>
        <v>1104358.6838381991</v>
      </c>
      <c r="AS75" s="1604">
        <f>+AS74</f>
        <v>32500</v>
      </c>
      <c r="AT75" s="1599">
        <f>+AT74</f>
        <v>2000</v>
      </c>
      <c r="AU75" s="1599">
        <f t="shared" si="14"/>
        <v>30500</v>
      </c>
      <c r="AV75" s="25">
        <f>+AS$30*AU75+AT75</f>
        <v>4616.7320902918964</v>
      </c>
      <c r="AW75" s="1606">
        <f t="shared" si="15"/>
        <v>9037347.9785820991</v>
      </c>
      <c r="AX75" s="1602">
        <f>+AW75</f>
        <v>9037347.9785820991</v>
      </c>
      <c r="AY75" s="1573"/>
    </row>
    <row r="76" spans="1:51" ht="13">
      <c r="A76" s="1543">
        <f t="shared" si="1"/>
        <v>61</v>
      </c>
      <c r="C76" s="1564"/>
      <c r="D76" s="1608" t="s">
        <v>1591</v>
      </c>
      <c r="E76" s="1609"/>
      <c r="F76" s="1609" t="s">
        <v>1591</v>
      </c>
      <c r="G76" s="1609" t="s">
        <v>1592</v>
      </c>
      <c r="H76" s="1610" t="s">
        <v>1591</v>
      </c>
      <c r="I76" s="1609" t="s">
        <v>1591</v>
      </c>
      <c r="J76" s="1609" t="s">
        <v>1591</v>
      </c>
      <c r="K76" s="1609" t="s">
        <v>1592</v>
      </c>
      <c r="L76" s="1610" t="s">
        <v>1591</v>
      </c>
      <c r="M76" s="1609" t="s">
        <v>1591</v>
      </c>
      <c r="N76" s="1609" t="s">
        <v>1591</v>
      </c>
      <c r="O76" s="1609" t="s">
        <v>1592</v>
      </c>
      <c r="P76" s="1610" t="s">
        <v>1591</v>
      </c>
      <c r="Q76" s="1609" t="s">
        <v>1591</v>
      </c>
      <c r="R76" s="1609" t="s">
        <v>1591</v>
      </c>
      <c r="S76" s="1609" t="s">
        <v>1592</v>
      </c>
      <c r="T76" s="1610" t="s">
        <v>1591</v>
      </c>
      <c r="U76" s="1609" t="s">
        <v>1591</v>
      </c>
      <c r="V76" s="1609" t="s">
        <v>1591</v>
      </c>
      <c r="W76" s="1609" t="s">
        <v>1592</v>
      </c>
      <c r="X76" s="1610" t="s">
        <v>1591</v>
      </c>
      <c r="Y76" s="1609" t="s">
        <v>1591</v>
      </c>
      <c r="Z76" s="1609" t="s">
        <v>1591</v>
      </c>
      <c r="AA76" s="1609" t="s">
        <v>1592</v>
      </c>
      <c r="AB76" s="1610" t="s">
        <v>1591</v>
      </c>
      <c r="AC76" s="1609" t="s">
        <v>1591</v>
      </c>
      <c r="AD76" s="1609" t="s">
        <v>1591</v>
      </c>
      <c r="AE76" s="1609" t="s">
        <v>1592</v>
      </c>
      <c r="AF76" s="1610" t="s">
        <v>1591</v>
      </c>
      <c r="AG76" s="1609" t="s">
        <v>1591</v>
      </c>
      <c r="AH76" s="1609" t="s">
        <v>1591</v>
      </c>
      <c r="AI76" s="1609" t="s">
        <v>1592</v>
      </c>
      <c r="AJ76" s="1610" t="s">
        <v>1591</v>
      </c>
      <c r="AK76" s="1609" t="s">
        <v>1591</v>
      </c>
      <c r="AL76" s="1609" t="s">
        <v>1591</v>
      </c>
      <c r="AM76" s="1609" t="s">
        <v>1592</v>
      </c>
      <c r="AN76" s="1610" t="s">
        <v>1591</v>
      </c>
      <c r="AO76" s="1609" t="s">
        <v>1591</v>
      </c>
      <c r="AP76" s="1609" t="s">
        <v>1591</v>
      </c>
      <c r="AQ76" s="1609" t="s">
        <v>1592</v>
      </c>
      <c r="AR76" s="1610" t="s">
        <v>1591</v>
      </c>
      <c r="AS76" s="1609" t="s">
        <v>1591</v>
      </c>
      <c r="AT76" s="1609" t="s">
        <v>1591</v>
      </c>
      <c r="AU76" s="1609" t="s">
        <v>1592</v>
      </c>
      <c r="AV76" s="1610" t="s">
        <v>1591</v>
      </c>
      <c r="AW76" s="1606"/>
      <c r="AX76" s="1576"/>
      <c r="AY76" s="1601">
        <f>+AW76</f>
        <v>0</v>
      </c>
    </row>
    <row r="77" spans="1:51" ht="13.5" thickBot="1">
      <c r="A77" s="1543">
        <f t="shared" si="1"/>
        <v>62</v>
      </c>
      <c r="C77" s="1611"/>
      <c r="D77" s="1611" t="s">
        <v>1591</v>
      </c>
      <c r="E77" s="1612" t="s">
        <v>1591</v>
      </c>
      <c r="F77" s="1612" t="s">
        <v>1592</v>
      </c>
      <c r="G77" s="1612" t="s">
        <v>1592</v>
      </c>
      <c r="H77" s="1613" t="s">
        <v>1591</v>
      </c>
      <c r="I77" s="1612" t="s">
        <v>1591</v>
      </c>
      <c r="J77" s="1612" t="s">
        <v>1592</v>
      </c>
      <c r="K77" s="1612" t="s">
        <v>1592</v>
      </c>
      <c r="L77" s="1613" t="s">
        <v>1591</v>
      </c>
      <c r="M77" s="1612" t="s">
        <v>1591</v>
      </c>
      <c r="N77" s="1612" t="s">
        <v>1592</v>
      </c>
      <c r="O77" s="1612" t="s">
        <v>1592</v>
      </c>
      <c r="P77" s="1613" t="s">
        <v>1591</v>
      </c>
      <c r="Q77" s="1612" t="s">
        <v>1591</v>
      </c>
      <c r="R77" s="1612" t="s">
        <v>1592</v>
      </c>
      <c r="S77" s="1612" t="s">
        <v>1592</v>
      </c>
      <c r="T77" s="1613" t="s">
        <v>1591</v>
      </c>
      <c r="U77" s="1612" t="s">
        <v>1591</v>
      </c>
      <c r="V77" s="1612" t="s">
        <v>1592</v>
      </c>
      <c r="W77" s="1612" t="s">
        <v>1592</v>
      </c>
      <c r="X77" s="1613" t="s">
        <v>1591</v>
      </c>
      <c r="Y77" s="1612" t="s">
        <v>1591</v>
      </c>
      <c r="Z77" s="1612" t="s">
        <v>1592</v>
      </c>
      <c r="AA77" s="1612" t="s">
        <v>1592</v>
      </c>
      <c r="AB77" s="1613" t="s">
        <v>1591</v>
      </c>
      <c r="AC77" s="1612" t="s">
        <v>1591</v>
      </c>
      <c r="AD77" s="1612" t="s">
        <v>1592</v>
      </c>
      <c r="AE77" s="1612" t="s">
        <v>1592</v>
      </c>
      <c r="AF77" s="1613" t="s">
        <v>1591</v>
      </c>
      <c r="AG77" s="1612" t="s">
        <v>1591</v>
      </c>
      <c r="AH77" s="1612" t="s">
        <v>1592</v>
      </c>
      <c r="AI77" s="1612" t="s">
        <v>1592</v>
      </c>
      <c r="AJ77" s="1613" t="s">
        <v>1591</v>
      </c>
      <c r="AK77" s="1612" t="s">
        <v>1591</v>
      </c>
      <c r="AL77" s="1612" t="s">
        <v>1592</v>
      </c>
      <c r="AM77" s="1612" t="s">
        <v>1592</v>
      </c>
      <c r="AN77" s="1613" t="s">
        <v>1591</v>
      </c>
      <c r="AO77" s="1612" t="s">
        <v>1591</v>
      </c>
      <c r="AP77" s="1612" t="s">
        <v>1592</v>
      </c>
      <c r="AQ77" s="1612" t="s">
        <v>1592</v>
      </c>
      <c r="AR77" s="1613" t="s">
        <v>1591</v>
      </c>
      <c r="AS77" s="1612" t="s">
        <v>1591</v>
      </c>
      <c r="AT77" s="1612" t="s">
        <v>1592</v>
      </c>
      <c r="AU77" s="1612" t="s">
        <v>1592</v>
      </c>
      <c r="AV77" s="1613" t="s">
        <v>1591</v>
      </c>
      <c r="AW77" s="1614"/>
      <c r="AX77" s="1615">
        <f>+AW77</f>
        <v>0</v>
      </c>
      <c r="AY77" s="1592"/>
    </row>
    <row r="78" spans="1:51" ht="13">
      <c r="A78" s="1543">
        <f>A77+1</f>
        <v>63</v>
      </c>
      <c r="C78" s="1576"/>
      <c r="D78" s="1574"/>
      <c r="E78" s="1576"/>
      <c r="F78" s="1576"/>
      <c r="G78" s="1576"/>
      <c r="H78" s="1607"/>
      <c r="I78" s="1576"/>
      <c r="J78" s="1576"/>
      <c r="K78" s="1576"/>
      <c r="L78" s="1607"/>
      <c r="M78" s="1576"/>
      <c r="N78" s="1576"/>
      <c r="O78" s="1576"/>
      <c r="P78" s="1576"/>
      <c r="Q78" s="1576"/>
      <c r="R78" s="1576"/>
      <c r="S78" s="1576"/>
      <c r="T78" s="1576"/>
      <c r="U78" s="1576"/>
      <c r="V78" s="1576"/>
      <c r="W78" s="1576"/>
      <c r="X78" s="1576"/>
      <c r="Y78" s="1576"/>
      <c r="Z78" s="1576"/>
      <c r="AA78" s="1576"/>
      <c r="AB78" s="1576"/>
      <c r="AC78" s="1576"/>
      <c r="AD78" s="1576"/>
      <c r="AE78" s="1576"/>
      <c r="AF78" s="1576"/>
      <c r="AG78" s="1576"/>
      <c r="AH78" s="1576"/>
      <c r="AI78" s="1576"/>
      <c r="AJ78" s="1576"/>
      <c r="AK78" s="1576"/>
      <c r="AL78" s="1576"/>
      <c r="AM78" s="1576"/>
      <c r="AN78" s="1576"/>
      <c r="AO78" s="1576"/>
      <c r="AP78" s="1576"/>
      <c r="AQ78" s="1576"/>
      <c r="AR78" s="1576"/>
      <c r="AS78" s="1576"/>
      <c r="AT78" s="1576"/>
      <c r="AU78" s="1576"/>
      <c r="AV78" s="1576"/>
      <c r="AW78" s="1576"/>
      <c r="AX78" s="1616">
        <f>SUM(AX36:AX75)</f>
        <v>212924689.31212294</v>
      </c>
      <c r="AY78" s="1616">
        <f>SUM(AY36:AY75)</f>
        <v>206258378.43408033</v>
      </c>
    </row>
    <row r="80" spans="1:51">
      <c r="AX80" s="1617"/>
    </row>
    <row r="310" spans="8:12">
      <c r="H310" s="1618"/>
      <c r="L310" s="1543"/>
    </row>
    <row r="311" spans="8:12">
      <c r="H311" s="1618"/>
      <c r="L311" s="1543"/>
    </row>
    <row r="312" spans="8:12">
      <c r="H312" s="1618"/>
      <c r="L312" s="1543"/>
    </row>
    <row r="313" spans="8:12">
      <c r="H313" s="1618"/>
      <c r="L313" s="1543"/>
    </row>
    <row r="314" spans="8:12">
      <c r="H314" s="1618"/>
      <c r="L314" s="1543"/>
    </row>
    <row r="315" spans="8:12">
      <c r="H315" s="1618"/>
      <c r="L315" s="1543"/>
    </row>
    <row r="316" spans="8:12">
      <c r="H316" s="1618"/>
      <c r="L316" s="1543"/>
    </row>
    <row r="317" spans="8:12">
      <c r="H317" s="1618"/>
      <c r="L317" s="1543"/>
    </row>
    <row r="318" spans="8:12">
      <c r="H318" s="1618"/>
      <c r="L318" s="1543"/>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68" fitToWidth="0" orientation="landscape" r:id="rId1"/>
  <headerFooter alignWithMargins="0"/>
  <colBreaks count="3" manualBreakCount="3">
    <brk id="12" max="1048575" man="1"/>
    <brk id="24" max="1048575" man="1"/>
    <brk id="4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topLeftCell="A6" zoomScaleNormal="100" workbookViewId="0">
      <selection activeCell="J140" sqref="J140:L140"/>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778" t="s">
        <v>1551</v>
      </c>
      <c r="B1" s="1778"/>
      <c r="C1" s="1778"/>
      <c r="D1" s="1778"/>
      <c r="E1" s="1778"/>
      <c r="F1" s="1778"/>
    </row>
    <row r="2" spans="1:8">
      <c r="A2" s="1"/>
    </row>
    <row r="3" spans="1:8" ht="15.5">
      <c r="A3" s="1780" t="s">
        <v>0</v>
      </c>
      <c r="B3" s="1887"/>
      <c r="C3" s="1887"/>
      <c r="D3" s="1887"/>
      <c r="E3" s="1887"/>
      <c r="F3" s="1887"/>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383</v>
      </c>
      <c r="D14" s="1"/>
      <c r="E14" s="1621">
        <v>1781557</v>
      </c>
      <c r="F14" s="1"/>
    </row>
    <row r="15" spans="1:8">
      <c r="E15" s="1622"/>
    </row>
    <row r="16" spans="1:8">
      <c r="E16" s="1622"/>
    </row>
    <row r="17" spans="1:6">
      <c r="C17" t="s">
        <v>3</v>
      </c>
      <c r="E17" s="1622"/>
    </row>
    <row r="18" spans="1:6">
      <c r="A18" s="1">
        <v>112</v>
      </c>
      <c r="C18" s="1" t="s">
        <v>403</v>
      </c>
      <c r="D18" s="1"/>
      <c r="E18" s="1621">
        <v>9733977</v>
      </c>
      <c r="F18" s="1"/>
    </row>
    <row r="21" spans="1:6">
      <c r="C21" s="5" t="s">
        <v>4</v>
      </c>
      <c r="D21" s="5"/>
      <c r="E21" s="5"/>
    </row>
    <row r="22" spans="1:6">
      <c r="D22" s="7" t="s">
        <v>1789</v>
      </c>
      <c r="E22" s="7"/>
      <c r="F22" s="7"/>
    </row>
    <row r="23" spans="1:6">
      <c r="D23" s="7" t="s">
        <v>1593</v>
      </c>
      <c r="E23" s="7"/>
      <c r="F23" s="7"/>
    </row>
    <row r="24" spans="1:6">
      <c r="D24" s="1620" t="s">
        <v>1594</v>
      </c>
      <c r="E24" s="7"/>
      <c r="F24" s="7"/>
    </row>
    <row r="25" spans="1:6">
      <c r="D25" s="7" t="s">
        <v>1595</v>
      </c>
      <c r="E25" s="7"/>
      <c r="F25" s="7"/>
    </row>
    <row r="26" spans="1:6">
      <c r="D26" s="7" t="s">
        <v>1596</v>
      </c>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topLeftCell="A20" zoomScale="91" zoomScaleNormal="91" zoomScaleSheetLayoutView="70" workbookViewId="0">
      <selection activeCell="J140" sqref="J140:L140"/>
    </sheetView>
  </sheetViews>
  <sheetFormatPr defaultColWidth="11.453125" defaultRowHeight="13"/>
  <cols>
    <col min="1" max="1" width="6.26953125" style="621" customWidth="1"/>
    <col min="2" max="2" width="58.1796875" style="622" customWidth="1"/>
    <col min="3" max="3" width="31" style="622" customWidth="1"/>
    <col min="4" max="4" width="24.7265625" style="622" customWidth="1"/>
    <col min="5" max="5" width="20.54296875" style="622" customWidth="1"/>
    <col min="6" max="6" width="22.26953125" style="622" customWidth="1"/>
    <col min="7" max="7" width="23.453125" style="622" customWidth="1"/>
    <col min="8" max="9" width="23.1796875" style="622" customWidth="1"/>
    <col min="10" max="10" width="27.54296875" style="622" customWidth="1"/>
    <col min="11" max="11" width="26.1796875" style="622" customWidth="1"/>
    <col min="12" max="12" width="21" style="622" customWidth="1"/>
    <col min="13" max="13" width="20.26953125" style="622" customWidth="1"/>
    <col min="14" max="16" width="15.1796875" style="622" customWidth="1"/>
    <col min="17" max="16384" width="11.453125" style="622"/>
  </cols>
  <sheetData>
    <row r="1" spans="1:17">
      <c r="D1" s="623"/>
      <c r="E1" s="623"/>
      <c r="G1" s="624" t="s">
        <v>549</v>
      </c>
      <c r="H1" s="623"/>
      <c r="I1" s="969"/>
      <c r="J1" s="623"/>
    </row>
    <row r="2" spans="1:17">
      <c r="A2" s="626"/>
      <c r="D2" s="623"/>
      <c r="E2" s="623"/>
      <c r="F2" s="623"/>
      <c r="G2" s="627" t="s">
        <v>502</v>
      </c>
      <c r="H2" s="623"/>
      <c r="I2" s="623"/>
      <c r="J2" s="623"/>
      <c r="K2" s="623"/>
      <c r="M2" s="628"/>
      <c r="P2" s="623"/>
    </row>
    <row r="3" spans="1:17">
      <c r="A3" s="626"/>
      <c r="D3" s="623"/>
      <c r="E3" s="623"/>
      <c r="F3" s="623"/>
      <c r="G3" s="629" t="s">
        <v>1551</v>
      </c>
      <c r="H3" s="623"/>
      <c r="I3" s="623"/>
      <c r="J3" s="623"/>
      <c r="K3" s="623"/>
      <c r="P3" s="623"/>
    </row>
    <row r="4" spans="1:17">
      <c r="A4" s="626"/>
      <c r="D4" s="623"/>
      <c r="E4" s="623"/>
      <c r="F4" s="623"/>
      <c r="G4" s="623"/>
      <c r="H4" s="623"/>
      <c r="I4" s="623"/>
      <c r="J4" s="623"/>
      <c r="K4" s="623"/>
      <c r="P4" s="623"/>
    </row>
    <row r="5" spans="1:17">
      <c r="A5" s="626"/>
      <c r="B5" s="630"/>
      <c r="C5" s="630"/>
      <c r="D5" s="630"/>
      <c r="E5" s="630"/>
      <c r="F5" s="630"/>
      <c r="G5" s="630"/>
      <c r="H5" s="630"/>
      <c r="I5" s="630"/>
      <c r="J5" s="630"/>
      <c r="K5" s="630"/>
      <c r="P5" s="623"/>
    </row>
    <row r="6" spans="1:17" s="895" customFormat="1" ht="14.5">
      <c r="A6" s="894"/>
      <c r="B6" s="1143" t="s">
        <v>830</v>
      </c>
      <c r="C6" s="1888" t="s">
        <v>1240</v>
      </c>
      <c r="D6" s="1889"/>
      <c r="E6" s="1890"/>
      <c r="F6" s="1891" t="s">
        <v>73</v>
      </c>
      <c r="G6" s="1892"/>
      <c r="H6" s="1892"/>
      <c r="I6" s="1891" t="s">
        <v>1241</v>
      </c>
      <c r="J6" s="1895"/>
      <c r="K6" s="1888" t="s">
        <v>1242</v>
      </c>
      <c r="L6" s="1892"/>
      <c r="M6" s="1896"/>
      <c r="P6" s="969"/>
      <c r="Q6" s="969"/>
    </row>
    <row r="7" spans="1:17" s="900" customFormat="1" ht="26">
      <c r="A7" s="897" t="s">
        <v>504</v>
      </c>
      <c r="B7" s="633" t="s">
        <v>169</v>
      </c>
      <c r="C7" s="633" t="s">
        <v>228</v>
      </c>
      <c r="D7" s="633" t="s">
        <v>147</v>
      </c>
      <c r="E7" s="899" t="s">
        <v>505</v>
      </c>
      <c r="F7" s="633" t="s">
        <v>228</v>
      </c>
      <c r="G7" s="633" t="s">
        <v>230</v>
      </c>
      <c r="H7" s="899" t="s">
        <v>505</v>
      </c>
      <c r="I7" s="633" t="s">
        <v>796</v>
      </c>
      <c r="J7" s="899" t="s">
        <v>505</v>
      </c>
      <c r="K7" s="633" t="s">
        <v>228</v>
      </c>
      <c r="L7" s="633" t="s">
        <v>147</v>
      </c>
      <c r="M7" s="899" t="s">
        <v>505</v>
      </c>
      <c r="Q7" s="895"/>
    </row>
    <row r="8" spans="1:17" s="901" customFormat="1">
      <c r="A8" s="894"/>
      <c r="B8" s="631" t="s">
        <v>510</v>
      </c>
      <c r="C8" s="631" t="s">
        <v>511</v>
      </c>
      <c r="D8" s="631" t="s">
        <v>512</v>
      </c>
      <c r="E8" s="633" t="s">
        <v>513</v>
      </c>
      <c r="F8" s="631" t="s">
        <v>514</v>
      </c>
      <c r="G8" s="633" t="s">
        <v>515</v>
      </c>
      <c r="H8" s="631" t="s">
        <v>516</v>
      </c>
      <c r="I8" s="633" t="s">
        <v>517</v>
      </c>
      <c r="J8" s="631" t="s">
        <v>518</v>
      </c>
      <c r="K8" s="633" t="s">
        <v>519</v>
      </c>
      <c r="L8" s="633" t="s">
        <v>520</v>
      </c>
      <c r="M8" s="633" t="s">
        <v>544</v>
      </c>
      <c r="Q8" s="895"/>
    </row>
    <row r="9" spans="1:17" s="901" customFormat="1">
      <c r="A9" s="894"/>
      <c r="B9" s="898" t="s">
        <v>1775</v>
      </c>
      <c r="C9" s="627">
        <v>19</v>
      </c>
      <c r="D9" s="627">
        <v>23</v>
      </c>
      <c r="E9" s="639">
        <v>24</v>
      </c>
      <c r="F9" s="627">
        <v>30</v>
      </c>
      <c r="G9" s="627">
        <v>31</v>
      </c>
      <c r="H9" s="627">
        <v>12</v>
      </c>
      <c r="I9" s="627">
        <v>10</v>
      </c>
      <c r="J9" s="627">
        <v>11</v>
      </c>
      <c r="K9" s="627"/>
      <c r="L9" s="639"/>
      <c r="M9" s="627"/>
    </row>
    <row r="10" spans="1:17" s="637" customFormat="1" ht="77.25" customHeight="1">
      <c r="A10" s="626"/>
      <c r="B10" s="631"/>
      <c r="C10" s="641" t="s">
        <v>1754</v>
      </c>
      <c r="D10" s="642" t="s">
        <v>521</v>
      </c>
      <c r="E10" s="643" t="s">
        <v>522</v>
      </c>
      <c r="F10" s="642" t="s">
        <v>1755</v>
      </c>
      <c r="G10" s="642" t="s">
        <v>523</v>
      </c>
      <c r="H10" s="643" t="s">
        <v>522</v>
      </c>
      <c r="I10" s="920" t="s">
        <v>968</v>
      </c>
      <c r="J10" s="643" t="s">
        <v>522</v>
      </c>
      <c r="K10" s="641" t="s">
        <v>979</v>
      </c>
      <c r="L10" s="641" t="s">
        <v>980</v>
      </c>
      <c r="M10" s="641" t="s">
        <v>981</v>
      </c>
    </row>
    <row r="11" spans="1:17">
      <c r="A11" s="626">
        <v>1</v>
      </c>
      <c r="B11" s="644" t="s">
        <v>524</v>
      </c>
      <c r="C11" s="645">
        <f>+'9A - Gross Plant &amp; ARO'!L11</f>
        <v>1524090059</v>
      </c>
      <c r="D11" s="645">
        <f>+'9A - Gross Plant &amp; ARO'!M11</f>
        <v>213088922.16</v>
      </c>
      <c r="E11" s="645">
        <f>+'9A - Gross Plant &amp; ARO'!N11</f>
        <v>0</v>
      </c>
      <c r="F11" s="646">
        <f>+'9A - Gross Plant &amp; ARO'!D51</f>
        <v>269061580</v>
      </c>
      <c r="G11" s="646">
        <f>+'9A - Gross Plant &amp; ARO'!E51</f>
        <v>44405716.869999997</v>
      </c>
      <c r="H11" s="646">
        <f>+'9A - Gross Plant &amp; ARO'!G51</f>
        <v>0</v>
      </c>
      <c r="I11" s="646">
        <f>+'9A - Gross Plant &amp; ARO'!F51</f>
        <v>22270694.789999999</v>
      </c>
      <c r="J11" s="646">
        <f>+'9A - Gross Plant &amp; ARO'!H51</f>
        <v>0</v>
      </c>
      <c r="K11" s="645">
        <f t="shared" ref="K11:K23" si="0">+C11-F11</f>
        <v>1255028479</v>
      </c>
      <c r="L11" s="645">
        <f>+D11-G11-I11</f>
        <v>146412510.5</v>
      </c>
      <c r="M11" s="645">
        <f>+E11-J11-H11</f>
        <v>0</v>
      </c>
    </row>
    <row r="12" spans="1:17">
      <c r="A12" s="626">
        <v>2</v>
      </c>
      <c r="B12" s="644" t="s">
        <v>525</v>
      </c>
      <c r="C12" s="645">
        <f>+'9A - Gross Plant &amp; ARO'!L12</f>
        <v>1525933447.4800005</v>
      </c>
      <c r="D12" s="645">
        <f>+'9A - Gross Plant &amp; ARO'!M12</f>
        <v>215603034.20999998</v>
      </c>
      <c r="E12" s="645">
        <f>+'9A - Gross Plant &amp; ARO'!N12</f>
        <v>0</v>
      </c>
      <c r="F12" s="646">
        <f>+'9A - Gross Plant &amp; ARO'!D52</f>
        <v>268788801.67000002</v>
      </c>
      <c r="G12" s="646">
        <f>+'9A - Gross Plant &amp; ARO'!E52</f>
        <v>46759546.669999994</v>
      </c>
      <c r="H12" s="646">
        <f>+'9A - Gross Plant &amp; ARO'!G52</f>
        <v>0</v>
      </c>
      <c r="I12" s="646">
        <f>+'9A - Gross Plant &amp; ARO'!F52</f>
        <v>22855060.43</v>
      </c>
      <c r="J12" s="646">
        <f>+'9A - Gross Plant &amp; ARO'!H52</f>
        <v>0</v>
      </c>
      <c r="K12" s="645">
        <f t="shared" si="0"/>
        <v>1257144645.8100004</v>
      </c>
      <c r="L12" s="645">
        <f>+D12-G12-I12</f>
        <v>145988427.10999998</v>
      </c>
      <c r="M12" s="645">
        <f t="shared" ref="M12:M23" si="1">+E12-J12-H12</f>
        <v>0</v>
      </c>
    </row>
    <row r="13" spans="1:17">
      <c r="A13" s="626">
        <v>3</v>
      </c>
      <c r="B13" s="623" t="s">
        <v>526</v>
      </c>
      <c r="C13" s="645">
        <f>+'9A - Gross Plant &amp; ARO'!L13</f>
        <v>1546212805.9000003</v>
      </c>
      <c r="D13" s="645">
        <f>+'9A - Gross Plant &amp; ARO'!M13</f>
        <v>219346181.81999999</v>
      </c>
      <c r="E13" s="645">
        <f>+'9A - Gross Plant &amp; ARO'!N13</f>
        <v>0</v>
      </c>
      <c r="F13" s="646">
        <f>+'9A - Gross Plant &amp; ARO'!D53</f>
        <v>270352620.91000003</v>
      </c>
      <c r="G13" s="646">
        <f>+'9A - Gross Plant &amp; ARO'!E53</f>
        <v>46108566.700000003</v>
      </c>
      <c r="H13" s="646">
        <f>+'9A - Gross Plant &amp; ARO'!G53</f>
        <v>0</v>
      </c>
      <c r="I13" s="646">
        <f>+'9A - Gross Plant &amp; ARO'!F53</f>
        <v>23441088.440000001</v>
      </c>
      <c r="J13" s="646">
        <f>+'9A - Gross Plant &amp; ARO'!H53</f>
        <v>0</v>
      </c>
      <c r="K13" s="645">
        <f t="shared" si="0"/>
        <v>1275860184.9900002</v>
      </c>
      <c r="L13" s="645">
        <f t="shared" ref="L13:L23" si="2">+D13-G13-I13</f>
        <v>149796526.68000001</v>
      </c>
      <c r="M13" s="645">
        <f t="shared" si="1"/>
        <v>0</v>
      </c>
    </row>
    <row r="14" spans="1:17">
      <c r="A14" s="626">
        <v>4</v>
      </c>
      <c r="B14" s="623" t="s">
        <v>527</v>
      </c>
      <c r="C14" s="645">
        <f>+'9A - Gross Plant &amp; ARO'!L14</f>
        <v>1574611778.3099997</v>
      </c>
      <c r="D14" s="645">
        <f>+'9A - Gross Plant &amp; ARO'!M14</f>
        <v>223423721.38999999</v>
      </c>
      <c r="E14" s="645">
        <f>+'9A - Gross Plant &amp; ARO'!N14</f>
        <v>0</v>
      </c>
      <c r="F14" s="646">
        <f>+'9A - Gross Plant &amp; ARO'!D54</f>
        <v>272971603.17000002</v>
      </c>
      <c r="G14" s="646">
        <f>+'9A - Gross Plant &amp; ARO'!E54</f>
        <v>46936295.359999999</v>
      </c>
      <c r="H14" s="646">
        <f>+'9A - Gross Plant &amp; ARO'!G54</f>
        <v>0</v>
      </c>
      <c r="I14" s="646">
        <f>+'9A - Gross Plant &amp; ARO'!F54</f>
        <v>24043812.890000001</v>
      </c>
      <c r="J14" s="646">
        <f>+'9A - Gross Plant &amp; ARO'!H54</f>
        <v>0</v>
      </c>
      <c r="K14" s="645">
        <f t="shared" si="0"/>
        <v>1301640175.1399996</v>
      </c>
      <c r="L14" s="645">
        <f t="shared" si="2"/>
        <v>152443613.13999999</v>
      </c>
      <c r="M14" s="645">
        <f t="shared" si="1"/>
        <v>0</v>
      </c>
    </row>
    <row r="15" spans="1:17">
      <c r="A15" s="626">
        <v>5</v>
      </c>
      <c r="B15" s="623" t="s">
        <v>171</v>
      </c>
      <c r="C15" s="645">
        <f>+'9A - Gross Plant &amp; ARO'!L15</f>
        <v>1588742432.9400003</v>
      </c>
      <c r="D15" s="645">
        <f>+'9A - Gross Plant &amp; ARO'!M15</f>
        <v>224377416.70999998</v>
      </c>
      <c r="E15" s="645">
        <f>+'9A - Gross Plant &amp; ARO'!N15</f>
        <v>0</v>
      </c>
      <c r="F15" s="646">
        <f>+'9A - Gross Plant &amp; ARO'!D55</f>
        <v>274633544.41000003</v>
      </c>
      <c r="G15" s="646">
        <f>+'9A - Gross Plant &amp; ARO'!E55</f>
        <v>47275893.43</v>
      </c>
      <c r="H15" s="646">
        <f>+'9A - Gross Plant &amp; ARO'!G55</f>
        <v>0</v>
      </c>
      <c r="I15" s="646">
        <f>+'9A - Gross Plant &amp; ARO'!F55</f>
        <v>24656784.949999999</v>
      </c>
      <c r="J15" s="646">
        <f>+'9A - Gross Plant &amp; ARO'!H55</f>
        <v>0</v>
      </c>
      <c r="K15" s="645">
        <f t="shared" si="0"/>
        <v>1314108888.5300002</v>
      </c>
      <c r="L15" s="645">
        <f t="shared" si="2"/>
        <v>152444738.32999998</v>
      </c>
      <c r="M15" s="645">
        <f t="shared" si="1"/>
        <v>0</v>
      </c>
    </row>
    <row r="16" spans="1:17">
      <c r="A16" s="626">
        <v>6</v>
      </c>
      <c r="B16" s="623" t="s">
        <v>172</v>
      </c>
      <c r="C16" s="645">
        <f>+'9A - Gross Plant &amp; ARO'!L16</f>
        <v>1607154816.3600004</v>
      </c>
      <c r="D16" s="645">
        <f>+'9A - Gross Plant &amp; ARO'!M16</f>
        <v>226292137.60000002</v>
      </c>
      <c r="E16" s="645">
        <f>+'9A - Gross Plant &amp; ARO'!N16</f>
        <v>0</v>
      </c>
      <c r="F16" s="646">
        <f>+'9A - Gross Plant &amp; ARO'!D56</f>
        <v>277528362.73000002</v>
      </c>
      <c r="G16" s="646">
        <f>+'9A - Gross Plant &amp; ARO'!E56</f>
        <v>49535342.629999995</v>
      </c>
      <c r="H16" s="646">
        <f>+'9A - Gross Plant &amp; ARO'!G56</f>
        <v>0</v>
      </c>
      <c r="I16" s="646">
        <f>+'9A - Gross Plant &amp; ARO'!F56</f>
        <v>25270652.219999999</v>
      </c>
      <c r="J16" s="646">
        <f>+'9A - Gross Plant &amp; ARO'!H56</f>
        <v>0</v>
      </c>
      <c r="K16" s="645">
        <f t="shared" si="0"/>
        <v>1329626453.6300004</v>
      </c>
      <c r="L16" s="645">
        <f t="shared" si="2"/>
        <v>151486142.75000003</v>
      </c>
      <c r="M16" s="645">
        <f t="shared" si="1"/>
        <v>0</v>
      </c>
    </row>
    <row r="17" spans="1:14">
      <c r="A17" s="626">
        <v>7</v>
      </c>
      <c r="B17" s="623" t="s">
        <v>173</v>
      </c>
      <c r="C17" s="645">
        <f>+'9A - Gross Plant &amp; ARO'!L17</f>
        <v>1608268042.6699998</v>
      </c>
      <c r="D17" s="645">
        <f>+'9A - Gross Plant &amp; ARO'!M17</f>
        <v>228274649.18999997</v>
      </c>
      <c r="E17" s="645">
        <f>+'9A - Gross Plant &amp; ARO'!N17</f>
        <v>0</v>
      </c>
      <c r="F17" s="646">
        <f>+'9A - Gross Plant &amp; ARO'!D57</f>
        <v>280581298.56</v>
      </c>
      <c r="G17" s="646">
        <f>+'9A - Gross Plant &amp; ARO'!E57</f>
        <v>48772332.310000002</v>
      </c>
      <c r="H17" s="646">
        <f>+'9A - Gross Plant &amp; ARO'!G57</f>
        <v>0</v>
      </c>
      <c r="I17" s="646">
        <f>+'9A - Gross Plant &amp; ARO'!F57</f>
        <v>25932115.629999999</v>
      </c>
      <c r="J17" s="646">
        <f>+'9A - Gross Plant &amp; ARO'!H57</f>
        <v>0</v>
      </c>
      <c r="K17" s="645">
        <f t="shared" si="0"/>
        <v>1327686744.1099999</v>
      </c>
      <c r="L17" s="645">
        <f t="shared" si="2"/>
        <v>153570201.24999997</v>
      </c>
      <c r="M17" s="645">
        <f t="shared" si="1"/>
        <v>0</v>
      </c>
    </row>
    <row r="18" spans="1:14">
      <c r="A18" s="626">
        <v>8</v>
      </c>
      <c r="B18" s="623" t="s">
        <v>528</v>
      </c>
      <c r="C18" s="645">
        <f>+'9A - Gross Plant &amp; ARO'!L18</f>
        <v>1613052596.1900001</v>
      </c>
      <c r="D18" s="645">
        <f>+'9A - Gross Plant &amp; ARO'!M18</f>
        <v>230898377.97999996</v>
      </c>
      <c r="E18" s="645">
        <f>+'9A - Gross Plant &amp; ARO'!N18</f>
        <v>0</v>
      </c>
      <c r="F18" s="646">
        <f>+'9A - Gross Plant &amp; ARO'!D58</f>
        <v>282611540.86000001</v>
      </c>
      <c r="G18" s="646">
        <f>+'9A - Gross Plant &amp; ARO'!E58</f>
        <v>49715355.460000001</v>
      </c>
      <c r="H18" s="646">
        <f>+'9A - Gross Plant &amp; ARO'!G58</f>
        <v>0</v>
      </c>
      <c r="I18" s="646">
        <f>+'9A - Gross Plant &amp; ARO'!F58</f>
        <v>26496100.390000001</v>
      </c>
      <c r="J18" s="646">
        <f>+'9A - Gross Plant &amp; ARO'!H58</f>
        <v>0</v>
      </c>
      <c r="K18" s="645">
        <f t="shared" si="0"/>
        <v>1330441055.3299999</v>
      </c>
      <c r="L18" s="645">
        <f t="shared" si="2"/>
        <v>154686922.12999994</v>
      </c>
      <c r="M18" s="645">
        <f t="shared" si="1"/>
        <v>0</v>
      </c>
    </row>
    <row r="19" spans="1:14">
      <c r="A19" s="626">
        <v>9</v>
      </c>
      <c r="B19" s="623" t="s">
        <v>529</v>
      </c>
      <c r="C19" s="645">
        <f>+'9A - Gross Plant &amp; ARO'!L19</f>
        <v>1613286821.28</v>
      </c>
      <c r="D19" s="645">
        <f>+'9A - Gross Plant &amp; ARO'!M19</f>
        <v>232631490.93999997</v>
      </c>
      <c r="E19" s="645">
        <f>+'9A - Gross Plant &amp; ARO'!N19</f>
        <v>0</v>
      </c>
      <c r="F19" s="646">
        <f>+'9A - Gross Plant &amp; ARO'!D59</f>
        <v>285195983.07999998</v>
      </c>
      <c r="G19" s="646">
        <f>+'9A - Gross Plant &amp; ARO'!E59</f>
        <v>50655089.190000005</v>
      </c>
      <c r="H19" s="646">
        <f>+'9A - Gross Plant &amp; ARO'!G59</f>
        <v>0</v>
      </c>
      <c r="I19" s="646">
        <f>+'9A - Gross Plant &amp; ARO'!F59</f>
        <v>27133463.870000001</v>
      </c>
      <c r="J19" s="646">
        <f>+'9A - Gross Plant &amp; ARO'!H59</f>
        <v>0</v>
      </c>
      <c r="K19" s="645">
        <f t="shared" si="0"/>
        <v>1328090838.2</v>
      </c>
      <c r="L19" s="645">
        <f t="shared" si="2"/>
        <v>154842937.87999997</v>
      </c>
      <c r="M19" s="645">
        <f t="shared" si="1"/>
        <v>0</v>
      </c>
    </row>
    <row r="20" spans="1:14">
      <c r="A20" s="626">
        <v>10</v>
      </c>
      <c r="B20" s="623" t="s">
        <v>530</v>
      </c>
      <c r="C20" s="645">
        <f>+'9A - Gross Plant &amp; ARO'!L20</f>
        <v>1610617006.1199994</v>
      </c>
      <c r="D20" s="645">
        <f>+'9A - Gross Plant &amp; ARO'!M20</f>
        <v>235666537.22999996</v>
      </c>
      <c r="E20" s="645">
        <f>+'9A - Gross Plant &amp; ARO'!N20</f>
        <v>0</v>
      </c>
      <c r="F20" s="646">
        <f>+'9A - Gross Plant &amp; ARO'!D60</f>
        <v>280946006.39000005</v>
      </c>
      <c r="G20" s="646">
        <f>+'9A - Gross Plant &amp; ARO'!E60</f>
        <v>51372464.739999995</v>
      </c>
      <c r="H20" s="646">
        <f>+'9A - Gross Plant &amp; ARO'!G60</f>
        <v>0</v>
      </c>
      <c r="I20" s="646">
        <f>+'9A - Gross Plant &amp; ARO'!F60</f>
        <v>27796256.239999998</v>
      </c>
      <c r="J20" s="646">
        <f>+'9A - Gross Plant &amp; ARO'!H60</f>
        <v>0</v>
      </c>
      <c r="K20" s="645">
        <f t="shared" si="0"/>
        <v>1329670999.7299993</v>
      </c>
      <c r="L20" s="645">
        <f t="shared" si="2"/>
        <v>156497816.24999994</v>
      </c>
      <c r="M20" s="645">
        <f t="shared" si="1"/>
        <v>0</v>
      </c>
    </row>
    <row r="21" spans="1:14">
      <c r="A21" s="626">
        <v>11</v>
      </c>
      <c r="B21" s="623" t="s">
        <v>531</v>
      </c>
      <c r="C21" s="645">
        <f>+'9A - Gross Plant &amp; ARO'!L21</f>
        <v>1622574036.0899999</v>
      </c>
      <c r="D21" s="645">
        <f>+'9A - Gross Plant &amp; ARO'!M21</f>
        <v>250352590.86999997</v>
      </c>
      <c r="E21" s="645">
        <f>+'9A - Gross Plant &amp; ARO'!N21</f>
        <v>0</v>
      </c>
      <c r="F21" s="646">
        <f>+'9A - Gross Plant &amp; ARO'!D61</f>
        <v>281838763.44</v>
      </c>
      <c r="G21" s="646">
        <f>+'9A - Gross Plant &amp; ARO'!E61</f>
        <v>52057065.890000001</v>
      </c>
      <c r="H21" s="646">
        <f>+'9A - Gross Plant &amp; ARO'!G61</f>
        <v>0</v>
      </c>
      <c r="I21" s="646">
        <f>+'9A - Gross Plant &amp; ARO'!F61</f>
        <v>28526708.920000002</v>
      </c>
      <c r="J21" s="646">
        <f>+'9A - Gross Plant &amp; ARO'!H61</f>
        <v>0</v>
      </c>
      <c r="K21" s="645">
        <f t="shared" si="0"/>
        <v>1340735272.6499999</v>
      </c>
      <c r="L21" s="645">
        <f t="shared" si="2"/>
        <v>169768816.05999994</v>
      </c>
      <c r="M21" s="645">
        <f t="shared" si="1"/>
        <v>0</v>
      </c>
    </row>
    <row r="22" spans="1:14">
      <c r="A22" s="626">
        <v>12</v>
      </c>
      <c r="B22" s="623" t="s">
        <v>532</v>
      </c>
      <c r="C22" s="645">
        <f>+'9A - Gross Plant &amp; ARO'!L22</f>
        <v>1665541931.5299997</v>
      </c>
      <c r="D22" s="645">
        <f>+'9A - Gross Plant &amp; ARO'!M22</f>
        <v>253627933.97</v>
      </c>
      <c r="E22" s="645">
        <f>+'9A - Gross Plant &amp; ARO'!N22</f>
        <v>0</v>
      </c>
      <c r="F22" s="646">
        <f>+'9A - Gross Plant &amp; ARO'!D62</f>
        <v>283297719.62</v>
      </c>
      <c r="G22" s="646">
        <f>+'9A - Gross Plant &amp; ARO'!E62</f>
        <v>52900704.089999996</v>
      </c>
      <c r="H22" s="646">
        <f>+'9A - Gross Plant &amp; ARO'!G62</f>
        <v>0</v>
      </c>
      <c r="I22" s="646">
        <f>+'9A - Gross Plant &amp; ARO'!F62</f>
        <v>29317646.129999999</v>
      </c>
      <c r="J22" s="646">
        <f>+'9A - Gross Plant &amp; ARO'!H62</f>
        <v>0</v>
      </c>
      <c r="K22" s="645">
        <f t="shared" si="0"/>
        <v>1382244211.9099998</v>
      </c>
      <c r="L22" s="645">
        <f t="shared" si="2"/>
        <v>171409583.75</v>
      </c>
      <c r="M22" s="645">
        <f t="shared" si="1"/>
        <v>0</v>
      </c>
    </row>
    <row r="23" spans="1:14">
      <c r="A23" s="626">
        <v>13</v>
      </c>
      <c r="B23" s="623" t="s">
        <v>533</v>
      </c>
      <c r="C23" s="645">
        <f>+'9A - Gross Plant &amp; ARO'!L23</f>
        <v>1668224393</v>
      </c>
      <c r="D23" s="645">
        <f>+'9A - Gross Plant &amp; ARO'!M23</f>
        <v>266738888.93000001</v>
      </c>
      <c r="E23" s="645">
        <f>+'9A - Gross Plant &amp; ARO'!N23</f>
        <v>0</v>
      </c>
      <c r="F23" s="646">
        <f>+'9A - Gross Plant &amp; ARO'!D63</f>
        <v>284525424</v>
      </c>
      <c r="G23" s="646">
        <f>+'9A - Gross Plant &amp; ARO'!E63</f>
        <v>53436882.770000003</v>
      </c>
      <c r="H23" s="646">
        <f>+'9A - Gross Plant &amp; ARO'!G63</f>
        <v>0</v>
      </c>
      <c r="I23" s="646">
        <f>+'9A - Gross Plant &amp; ARO'!F63</f>
        <v>29627601.469999999</v>
      </c>
      <c r="J23" s="646">
        <f>+'9A - Gross Plant &amp; ARO'!H63</f>
        <v>0</v>
      </c>
      <c r="K23" s="645">
        <f t="shared" si="0"/>
        <v>1383698969</v>
      </c>
      <c r="L23" s="645">
        <f t="shared" si="2"/>
        <v>183674404.69</v>
      </c>
      <c r="M23" s="645">
        <f t="shared" si="1"/>
        <v>0</v>
      </c>
    </row>
    <row r="24" spans="1:14">
      <c r="A24" s="626">
        <v>14</v>
      </c>
      <c r="B24" s="655" t="s">
        <v>769</v>
      </c>
      <c r="C24" s="888">
        <f t="shared" ref="C24:M24" si="3">SUM(C11:C23)/13</f>
        <v>1597562320.5284615</v>
      </c>
      <c r="D24" s="888">
        <f t="shared" si="3"/>
        <v>232332452.53846151</v>
      </c>
      <c r="E24" s="888">
        <f t="shared" si="3"/>
        <v>0</v>
      </c>
      <c r="F24" s="888">
        <f t="shared" si="3"/>
        <v>277871788.37230772</v>
      </c>
      <c r="G24" s="888">
        <f t="shared" si="3"/>
        <v>49225481.239230767</v>
      </c>
      <c r="H24" s="888">
        <f t="shared" si="3"/>
        <v>0</v>
      </c>
      <c r="I24" s="888">
        <f t="shared" si="3"/>
        <v>25951383.566923078</v>
      </c>
      <c r="J24" s="888">
        <f t="shared" si="3"/>
        <v>0</v>
      </c>
      <c r="K24" s="888">
        <f t="shared" si="3"/>
        <v>1319690532.1561539</v>
      </c>
      <c r="L24" s="888">
        <f t="shared" si="3"/>
        <v>157155587.73230767</v>
      </c>
      <c r="M24" s="888">
        <f t="shared" si="3"/>
        <v>0</v>
      </c>
    </row>
    <row r="25" spans="1:14" ht="12" customHeight="1">
      <c r="A25" s="626">
        <v>15</v>
      </c>
      <c r="B25" s="655" t="s">
        <v>768</v>
      </c>
      <c r="C25" s="659"/>
      <c r="D25" s="659">
        <f>+'10 - Merger Costs'!G34</f>
        <v>969311.32000000018</v>
      </c>
      <c r="E25" s="659"/>
      <c r="F25" s="659"/>
      <c r="G25" s="659">
        <f>+'10 - Merger Costs'!C51</f>
        <v>42917.134925256403</v>
      </c>
      <c r="H25" s="659"/>
      <c r="I25" s="659">
        <f>+'10 - Merger Costs'!D51</f>
        <v>433781.03633384599</v>
      </c>
      <c r="J25" s="659"/>
      <c r="K25" s="659">
        <f>+C25-F25</f>
        <v>0</v>
      </c>
      <c r="L25" s="659">
        <f>+D25-G25-I25</f>
        <v>492613.14874089783</v>
      </c>
      <c r="M25" s="659">
        <f>+E25-J25-H25</f>
        <v>0</v>
      </c>
    </row>
    <row r="26" spans="1:14" ht="13.5" thickBot="1">
      <c r="A26" s="626">
        <v>16</v>
      </c>
      <c r="B26" s="655" t="s">
        <v>765</v>
      </c>
      <c r="C26" s="647">
        <f>+C24-C25</f>
        <v>1597562320.5284615</v>
      </c>
      <c r="D26" s="647">
        <f t="shared" ref="D26:M26" si="4">+D24-D25</f>
        <v>231363141.21846151</v>
      </c>
      <c r="E26" s="647">
        <f t="shared" si="4"/>
        <v>0</v>
      </c>
      <c r="F26" s="647">
        <f t="shared" si="4"/>
        <v>277871788.37230772</v>
      </c>
      <c r="G26" s="647">
        <f t="shared" si="4"/>
        <v>49182564.104305513</v>
      </c>
      <c r="H26" s="647">
        <f t="shared" si="4"/>
        <v>0</v>
      </c>
      <c r="I26" s="647">
        <f t="shared" si="4"/>
        <v>25517602.53058923</v>
      </c>
      <c r="J26" s="647">
        <f t="shared" si="4"/>
        <v>0</v>
      </c>
      <c r="K26" s="647">
        <f t="shared" si="4"/>
        <v>1319690532.1561539</v>
      </c>
      <c r="L26" s="647">
        <f t="shared" si="4"/>
        <v>156662974.58356678</v>
      </c>
      <c r="M26" s="647">
        <f t="shared" si="4"/>
        <v>0</v>
      </c>
    </row>
    <row r="27" spans="1:14" ht="13.5" thickTop="1">
      <c r="A27" s="626"/>
      <c r="B27" s="623"/>
      <c r="C27" s="648"/>
      <c r="D27" s="649"/>
      <c r="E27" s="649"/>
      <c r="F27" s="649"/>
      <c r="G27" s="648"/>
      <c r="H27" s="648"/>
      <c r="I27" s="648"/>
      <c r="J27" s="648"/>
    </row>
    <row r="28" spans="1:14">
      <c r="A28" s="626"/>
      <c r="B28" s="650"/>
      <c r="C28" s="1893" t="s">
        <v>535</v>
      </c>
      <c r="D28" s="1893"/>
      <c r="E28" s="1893"/>
      <c r="F28" s="1893"/>
      <c r="G28" s="1893"/>
      <c r="H28" s="1893"/>
      <c r="I28" s="1893"/>
      <c r="J28" s="1893"/>
    </row>
    <row r="29" spans="1:14" ht="72" customHeight="1">
      <c r="A29" s="626" t="s">
        <v>504</v>
      </c>
      <c r="B29" s="631" t="s">
        <v>169</v>
      </c>
      <c r="C29" s="631" t="s">
        <v>503</v>
      </c>
      <c r="D29" s="631" t="s">
        <v>563</v>
      </c>
      <c r="E29" s="630"/>
      <c r="F29" s="633" t="s">
        <v>560</v>
      </c>
      <c r="G29" s="631"/>
      <c r="H29" s="636" t="s">
        <v>536</v>
      </c>
      <c r="I29" s="636" t="s">
        <v>1751</v>
      </c>
      <c r="J29" s="636" t="s">
        <v>1752</v>
      </c>
      <c r="K29" s="636" t="s">
        <v>1753</v>
      </c>
      <c r="L29" s="636" t="s">
        <v>786</v>
      </c>
    </row>
    <row r="30" spans="1:14" s="637" customFormat="1">
      <c r="A30" s="626"/>
      <c r="B30" s="631" t="s">
        <v>510</v>
      </c>
      <c r="C30" s="633" t="s">
        <v>506</v>
      </c>
      <c r="D30" s="633" t="s">
        <v>507</v>
      </c>
      <c r="E30" s="633" t="s">
        <v>508</v>
      </c>
      <c r="F30" s="633" t="s">
        <v>561</v>
      </c>
      <c r="G30" s="633" t="s">
        <v>509</v>
      </c>
      <c r="H30" s="636"/>
      <c r="I30" s="651"/>
      <c r="J30" s="651"/>
      <c r="K30" s="651"/>
      <c r="L30" s="651"/>
      <c r="M30" s="622"/>
      <c r="N30" s="622"/>
    </row>
    <row r="31" spans="1:14" s="637" customFormat="1">
      <c r="C31" s="631" t="s">
        <v>511</v>
      </c>
      <c r="D31" s="631" t="s">
        <v>512</v>
      </c>
      <c r="E31" s="633" t="s">
        <v>513</v>
      </c>
      <c r="F31" s="631" t="s">
        <v>514</v>
      </c>
      <c r="G31" s="633" t="s">
        <v>515</v>
      </c>
      <c r="H31" s="631" t="s">
        <v>516</v>
      </c>
      <c r="I31" s="631" t="s">
        <v>517</v>
      </c>
      <c r="J31" s="631" t="s">
        <v>518</v>
      </c>
      <c r="K31" s="631" t="s">
        <v>519</v>
      </c>
      <c r="L31" s="633" t="s">
        <v>520</v>
      </c>
      <c r="M31" s="622"/>
      <c r="N31" s="622"/>
    </row>
    <row r="32" spans="1:14" s="637" customFormat="1">
      <c r="A32" s="626"/>
      <c r="B32" s="638" t="s">
        <v>1775</v>
      </c>
      <c r="C32" s="640" t="s">
        <v>319</v>
      </c>
      <c r="D32" s="640">
        <v>28</v>
      </c>
      <c r="E32" s="640">
        <v>50</v>
      </c>
      <c r="F32" s="640">
        <v>47</v>
      </c>
      <c r="G32" s="640">
        <v>45</v>
      </c>
      <c r="H32" s="652"/>
      <c r="I32" s="652"/>
      <c r="J32" s="652"/>
      <c r="K32" s="652"/>
      <c r="L32" s="652"/>
      <c r="M32" s="622"/>
      <c r="N32" s="622"/>
    </row>
    <row r="33" spans="1:16" s="637" customFormat="1" ht="51" customHeight="1">
      <c r="A33" s="626"/>
      <c r="B33" s="631"/>
      <c r="C33" s="643" t="s">
        <v>321</v>
      </c>
      <c r="D33" s="642" t="s">
        <v>982</v>
      </c>
      <c r="E33" s="1306" t="s">
        <v>1776</v>
      </c>
      <c r="F33" s="642" t="s">
        <v>562</v>
      </c>
      <c r="G33" s="1682" t="s">
        <v>639</v>
      </c>
      <c r="H33" s="1682" t="s">
        <v>814</v>
      </c>
      <c r="I33" s="636" t="s">
        <v>315</v>
      </c>
      <c r="J33" s="636" t="s">
        <v>315</v>
      </c>
      <c r="K33" s="636" t="s">
        <v>315</v>
      </c>
      <c r="L33" s="636" t="s">
        <v>315</v>
      </c>
      <c r="M33" s="622"/>
      <c r="N33" s="622"/>
    </row>
    <row r="34" spans="1:16">
      <c r="A34" s="626">
        <v>17</v>
      </c>
      <c r="B34" s="644" t="s">
        <v>524</v>
      </c>
      <c r="C34" s="645"/>
      <c r="D34" s="645">
        <v>1194950</v>
      </c>
      <c r="E34" s="645">
        <v>358174.63466040522</v>
      </c>
      <c r="F34" s="645"/>
      <c r="G34" s="645">
        <f>+'5 - Cost Support 1'!G98</f>
        <v>7393522.0397003442</v>
      </c>
      <c r="H34" s="645"/>
      <c r="I34" s="654"/>
      <c r="J34" s="654"/>
      <c r="K34" s="654"/>
      <c r="L34" s="654"/>
    </row>
    <row r="35" spans="1:16">
      <c r="A35" s="626">
        <v>18</v>
      </c>
      <c r="B35" s="644" t="s">
        <v>525</v>
      </c>
      <c r="C35" s="645"/>
      <c r="D35" s="645">
        <v>782029</v>
      </c>
      <c r="E35" s="645">
        <v>346751.08826603444</v>
      </c>
      <c r="F35" s="686"/>
      <c r="G35" s="645">
        <f>+'5 - Cost Support 1'!H98</f>
        <v>7665129.1173028434</v>
      </c>
      <c r="H35" s="686"/>
      <c r="I35" s="654"/>
      <c r="J35" s="654"/>
      <c r="K35" s="654"/>
      <c r="L35" s="654"/>
    </row>
    <row r="36" spans="1:16">
      <c r="A36" s="626">
        <v>19</v>
      </c>
      <c r="B36" s="623" t="s">
        <v>526</v>
      </c>
      <c r="C36" s="645"/>
      <c r="D36" s="645">
        <v>782029</v>
      </c>
      <c r="E36" s="645">
        <v>333779.43717701355</v>
      </c>
      <c r="F36" s="686"/>
      <c r="G36" s="645">
        <f>+'5 - Cost Support 1'!I98</f>
        <v>7605345.1700817877</v>
      </c>
      <c r="H36" s="686"/>
      <c r="I36" s="654"/>
      <c r="J36" s="654"/>
      <c r="K36" s="654"/>
      <c r="L36" s="654"/>
    </row>
    <row r="37" spans="1:16">
      <c r="A37" s="626">
        <v>20</v>
      </c>
      <c r="B37" s="623" t="s">
        <v>527</v>
      </c>
      <c r="C37" s="645"/>
      <c r="D37" s="645">
        <v>782029</v>
      </c>
      <c r="E37" s="645">
        <v>327168.3700868903</v>
      </c>
      <c r="F37" s="686"/>
      <c r="G37" s="645">
        <f>+'5 - Cost Support 1'!J98</f>
        <v>7237962.4356102217</v>
      </c>
      <c r="H37" s="686"/>
      <c r="I37" s="654"/>
      <c r="J37" s="654"/>
      <c r="K37" s="654"/>
      <c r="L37" s="654"/>
    </row>
    <row r="38" spans="1:16">
      <c r="A38" s="626">
        <v>21</v>
      </c>
      <c r="B38" s="623" t="s">
        <v>171</v>
      </c>
      <c r="C38" s="645"/>
      <c r="D38" s="645">
        <v>782029</v>
      </c>
      <c r="E38" s="645">
        <v>319019.30350556265</v>
      </c>
      <c r="F38" s="686"/>
      <c r="G38" s="645">
        <f>+'5 - Cost Support 1'!K98</f>
        <v>7092515.7939172676</v>
      </c>
      <c r="H38" s="686"/>
      <c r="I38" s="654"/>
      <c r="J38" s="654"/>
      <c r="K38" s="654"/>
      <c r="L38" s="654"/>
    </row>
    <row r="39" spans="1:16">
      <c r="A39" s="626">
        <v>22</v>
      </c>
      <c r="B39" s="623" t="s">
        <v>172</v>
      </c>
      <c r="C39" s="645"/>
      <c r="D39" s="645">
        <v>782029</v>
      </c>
      <c r="E39" s="645">
        <v>3649576.4446892305</v>
      </c>
      <c r="F39" s="686"/>
      <c r="G39" s="645">
        <f>+'5 - Cost Support 1'!L98</f>
        <v>6911923.8903833618</v>
      </c>
      <c r="H39" s="686"/>
      <c r="I39" s="654"/>
      <c r="J39" s="654"/>
      <c r="K39" s="654"/>
      <c r="L39" s="654"/>
    </row>
    <row r="40" spans="1:16">
      <c r="A40" s="626">
        <v>23</v>
      </c>
      <c r="B40" s="623" t="s">
        <v>173</v>
      </c>
      <c r="C40" s="645"/>
      <c r="D40" s="645">
        <v>782029</v>
      </c>
      <c r="E40" s="645">
        <v>4303433.5331432568</v>
      </c>
      <c r="F40" s="686"/>
      <c r="G40" s="645">
        <f>+'5 - Cost Support 1'!M98</f>
        <v>6694605.2395591997</v>
      </c>
      <c r="H40" s="686"/>
      <c r="I40" s="654"/>
      <c r="J40" s="654"/>
      <c r="K40" s="654"/>
      <c r="L40" s="654"/>
    </row>
    <row r="41" spans="1:16">
      <c r="A41" s="626">
        <v>24</v>
      </c>
      <c r="B41" s="623" t="s">
        <v>528</v>
      </c>
      <c r="C41" s="645"/>
      <c r="D41" s="645">
        <v>782029</v>
      </c>
      <c r="E41" s="645">
        <v>4394275.9729964817</v>
      </c>
      <c r="F41" s="686"/>
      <c r="G41" s="645">
        <f>+'5 - Cost Support 1'!N98</f>
        <v>6487482.1889604935</v>
      </c>
      <c r="H41" s="686"/>
      <c r="I41" s="654"/>
      <c r="J41" s="654"/>
      <c r="K41" s="654"/>
      <c r="L41" s="654"/>
    </row>
    <row r="42" spans="1:16">
      <c r="A42" s="626">
        <v>25</v>
      </c>
      <c r="B42" s="623" t="s">
        <v>529</v>
      </c>
      <c r="C42" s="645"/>
      <c r="D42" s="645">
        <v>782029</v>
      </c>
      <c r="E42" s="645">
        <v>4774481.4313434083</v>
      </c>
      <c r="F42" s="686"/>
      <c r="G42" s="645">
        <f>+'5 - Cost Support 1'!O98</f>
        <v>6379466.6806893861</v>
      </c>
      <c r="H42" s="686"/>
      <c r="I42" s="654"/>
      <c r="J42" s="654"/>
      <c r="K42" s="654"/>
      <c r="L42" s="654"/>
    </row>
    <row r="43" spans="1:16">
      <c r="A43" s="626">
        <v>26</v>
      </c>
      <c r="B43" s="623" t="s">
        <v>530</v>
      </c>
      <c r="C43" s="645"/>
      <c r="D43" s="645">
        <v>782029</v>
      </c>
      <c r="E43" s="645">
        <v>4743186.9983692123</v>
      </c>
      <c r="F43" s="686"/>
      <c r="G43" s="645">
        <f>+'5 - Cost Support 1'!P98</f>
        <v>6158848.4181460142</v>
      </c>
      <c r="H43" s="686"/>
      <c r="I43" s="654"/>
      <c r="J43" s="654"/>
      <c r="K43" s="654"/>
      <c r="L43" s="654"/>
    </row>
    <row r="44" spans="1:16">
      <c r="A44" s="626">
        <v>27</v>
      </c>
      <c r="B44" s="623" t="s">
        <v>531</v>
      </c>
      <c r="C44" s="645"/>
      <c r="D44" s="645">
        <v>782029</v>
      </c>
      <c r="E44" s="645">
        <v>4961225.6632495057</v>
      </c>
      <c r="F44" s="686"/>
      <c r="G44" s="645">
        <f>+'5 - Cost Support 1'!Q98</f>
        <v>6052837.319226549</v>
      </c>
      <c r="H44" s="686"/>
      <c r="I44" s="654"/>
      <c r="J44" s="654"/>
      <c r="K44" s="654"/>
      <c r="L44" s="654"/>
    </row>
    <row r="45" spans="1:16">
      <c r="A45" s="626">
        <v>28</v>
      </c>
      <c r="B45" s="623" t="s">
        <v>532</v>
      </c>
      <c r="C45" s="645"/>
      <c r="D45" s="645">
        <v>782029</v>
      </c>
      <c r="E45" s="645">
        <v>5029326.5372742973</v>
      </c>
      <c r="F45" s="686"/>
      <c r="G45" s="645">
        <f>+'5 - Cost Support 1'!R98</f>
        <v>5834952.082818225</v>
      </c>
      <c r="H45" s="686"/>
      <c r="I45" s="654"/>
      <c r="J45" s="654"/>
      <c r="K45" s="654"/>
      <c r="L45" s="654"/>
    </row>
    <row r="46" spans="1:16">
      <c r="A46" s="626">
        <v>29</v>
      </c>
      <c r="B46" s="623" t="s">
        <v>533</v>
      </c>
      <c r="C46" s="645"/>
      <c r="D46" s="645">
        <v>782029</v>
      </c>
      <c r="E46" s="645">
        <v>5055794.8922321266</v>
      </c>
      <c r="F46" s="645"/>
      <c r="G46" s="645">
        <f>+'5 - Cost Support 1'!S98</f>
        <v>5657371.6884701205</v>
      </c>
      <c r="H46" s="645"/>
      <c r="I46" s="654"/>
      <c r="J46" s="654"/>
      <c r="K46" s="654"/>
      <c r="L46" s="654"/>
    </row>
    <row r="47" spans="1:16" ht="13.5" thickBot="1">
      <c r="A47" s="626">
        <v>30</v>
      </c>
      <c r="B47" s="655" t="s">
        <v>764</v>
      </c>
      <c r="C47" s="647">
        <f>SUM(C34:C46)/13</f>
        <v>0</v>
      </c>
      <c r="D47" s="647">
        <f t="shared" ref="D47:H47" si="5">SUM(D34:D46)/13</f>
        <v>813792.15384615387</v>
      </c>
      <c r="E47" s="647">
        <f t="shared" si="5"/>
        <v>2968938.0236148783</v>
      </c>
      <c r="F47" s="647">
        <f t="shared" si="5"/>
        <v>0</v>
      </c>
      <c r="G47" s="647">
        <f t="shared" si="5"/>
        <v>6705535.5434512179</v>
      </c>
      <c r="H47" s="647">
        <f t="shared" si="5"/>
        <v>0</v>
      </c>
      <c r="I47" s="647"/>
      <c r="J47" s="647"/>
      <c r="K47" s="656"/>
      <c r="L47" s="647"/>
      <c r="O47" s="637"/>
    </row>
    <row r="48" spans="1:16" ht="15" thickTop="1">
      <c r="A48" s="626"/>
      <c r="B48" s="623"/>
      <c r="E48"/>
      <c r="F48"/>
      <c r="G48"/>
      <c r="H48"/>
      <c r="I48" s="649"/>
      <c r="K48" s="628"/>
      <c r="P48" s="637"/>
    </row>
    <row r="49" spans="1:18">
      <c r="A49" s="626"/>
      <c r="K49" s="653"/>
      <c r="P49" s="637"/>
    </row>
    <row r="50" spans="1:18">
      <c r="A50" s="661"/>
      <c r="B50" s="662"/>
      <c r="C50" s="663"/>
      <c r="D50" s="663"/>
      <c r="E50" s="663"/>
      <c r="F50" s="663"/>
      <c r="G50" s="663"/>
      <c r="M50" s="637"/>
      <c r="N50" s="637"/>
      <c r="O50" s="637"/>
      <c r="P50" s="637"/>
      <c r="Q50" s="637"/>
      <c r="R50" s="637"/>
    </row>
    <row r="51" spans="1:18">
      <c r="A51" s="661"/>
      <c r="B51" s="662"/>
      <c r="C51" s="663"/>
      <c r="D51" s="663"/>
      <c r="E51" s="663"/>
      <c r="F51" s="663"/>
      <c r="G51" s="663"/>
      <c r="M51" s="637"/>
      <c r="N51" s="637"/>
      <c r="O51" s="637"/>
      <c r="P51" s="637"/>
      <c r="Q51" s="637"/>
      <c r="R51" s="637"/>
    </row>
    <row r="52" spans="1:18">
      <c r="A52" s="626" t="s">
        <v>537</v>
      </c>
    </row>
    <row r="53" spans="1:18" ht="12.75" customHeight="1">
      <c r="A53" s="626" t="s">
        <v>9</v>
      </c>
      <c r="B53" s="1894" t="s">
        <v>1190</v>
      </c>
      <c r="C53" s="1894"/>
      <c r="D53" s="1894"/>
      <c r="E53" s="1894"/>
      <c r="F53" s="1894"/>
      <c r="G53" s="1894"/>
      <c r="H53" s="1894"/>
      <c r="I53" s="1894"/>
      <c r="J53" s="1894"/>
      <c r="K53" s="1894"/>
      <c r="L53" s="1894"/>
    </row>
    <row r="54" spans="1:18" ht="12.75" customHeight="1">
      <c r="A54" s="626" t="s">
        <v>10</v>
      </c>
      <c r="B54" s="622" t="s">
        <v>538</v>
      </c>
      <c r="C54" s="664"/>
      <c r="D54" s="664"/>
      <c r="E54" s="664"/>
      <c r="F54" s="664"/>
      <c r="G54" s="664"/>
      <c r="H54" s="664"/>
      <c r="I54" s="664"/>
      <c r="J54" s="664"/>
      <c r="K54" s="664"/>
      <c r="L54" s="664"/>
    </row>
    <row r="55" spans="1:18">
      <c r="A55" s="626"/>
      <c r="B55" s="665" t="s">
        <v>539</v>
      </c>
      <c r="C55" s="666"/>
      <c r="D55" s="666"/>
      <c r="E55" s="666"/>
      <c r="F55" s="666"/>
      <c r="G55" s="666"/>
      <c r="H55" s="666"/>
      <c r="I55" s="672"/>
      <c r="J55" s="666"/>
      <c r="K55" s="666"/>
      <c r="L55" s="666"/>
    </row>
    <row r="56" spans="1:18">
      <c r="A56" s="626"/>
      <c r="B56" s="665" t="s">
        <v>540</v>
      </c>
      <c r="C56" s="666"/>
      <c r="D56" s="666"/>
      <c r="E56" s="666"/>
      <c r="F56" s="666"/>
      <c r="G56" s="666"/>
      <c r="H56" s="666"/>
      <c r="I56" s="672"/>
      <c r="J56" s="666"/>
      <c r="K56" s="666"/>
      <c r="L56" s="666"/>
    </row>
    <row r="57" spans="1:18" ht="12.75" customHeight="1">
      <c r="A57" s="626" t="s">
        <v>11</v>
      </c>
      <c r="B57" s="622" t="s">
        <v>858</v>
      </c>
    </row>
    <row r="58" spans="1:18">
      <c r="A58" s="626" t="s">
        <v>14</v>
      </c>
      <c r="B58" s="667" t="s">
        <v>542</v>
      </c>
    </row>
    <row r="59" spans="1:18">
      <c r="A59" s="626" t="s">
        <v>138</v>
      </c>
      <c r="B59" s="622" t="s">
        <v>543</v>
      </c>
    </row>
    <row r="60" spans="1:18">
      <c r="A60" s="626" t="s">
        <v>139</v>
      </c>
      <c r="B60" s="622" t="s">
        <v>1783</v>
      </c>
    </row>
    <row r="61" spans="1:18">
      <c r="A61" s="1141" t="s">
        <v>140</v>
      </c>
      <c r="B61" s="1142" t="s">
        <v>1191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39"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S204"/>
  <sheetViews>
    <sheetView topLeftCell="A131" zoomScale="68" zoomScaleNormal="68" workbookViewId="0">
      <selection activeCell="J131" sqref="J131"/>
    </sheetView>
  </sheetViews>
  <sheetFormatPr defaultColWidth="9.1796875" defaultRowHeight="12.5"/>
  <cols>
    <col min="1" max="1" width="5.7265625" style="1010" customWidth="1"/>
    <col min="2" max="2" width="9.453125" style="1316" customWidth="1"/>
    <col min="3" max="3" width="5.7265625" style="1010" customWidth="1"/>
    <col min="4" max="4" width="32.1796875" style="1010" customWidth="1"/>
    <col min="5" max="5" width="14.453125" style="1010" customWidth="1"/>
    <col min="6" max="6" width="21.81640625" style="1010" customWidth="1"/>
    <col min="7" max="7" width="15.1796875" style="1010" customWidth="1"/>
    <col min="8" max="8" width="22.7265625" style="1010" customWidth="1"/>
    <col min="9" max="9" width="3.81640625" style="1010" customWidth="1"/>
    <col min="10" max="10" width="23.1796875" style="1010" customWidth="1"/>
    <col min="11" max="11" width="21.81640625" style="1010" customWidth="1"/>
    <col min="12" max="12" width="24.54296875" style="1010" customWidth="1"/>
    <col min="13" max="13" width="3.81640625" style="1010" customWidth="1"/>
    <col min="14" max="14" width="19.7265625" style="1010" customWidth="1"/>
    <col min="15" max="15" width="25.453125" style="1010" customWidth="1"/>
    <col min="16" max="16" width="24.7265625" style="1010" customWidth="1"/>
    <col min="17" max="17" width="25" style="1010" customWidth="1"/>
    <col min="18" max="18" width="26.54296875" style="1010" customWidth="1"/>
    <col min="19" max="19" width="3.81640625" style="1010" customWidth="1"/>
    <col min="20" max="16384" width="9.1796875" style="1010"/>
  </cols>
  <sheetData>
    <row r="1" spans="1:19" ht="15.5">
      <c r="A1" s="1739" t="s">
        <v>1551</v>
      </c>
      <c r="B1" s="1739"/>
      <c r="C1" s="1739"/>
      <c r="D1" s="1739"/>
      <c r="E1" s="1739"/>
      <c r="F1" s="1739"/>
      <c r="G1" s="1739"/>
      <c r="H1" s="1739"/>
      <c r="I1" s="1739"/>
      <c r="J1" s="1739"/>
      <c r="K1" s="1739"/>
      <c r="L1" s="1739"/>
      <c r="M1" s="1739"/>
      <c r="N1" s="1739"/>
      <c r="O1" s="1739"/>
      <c r="P1" s="1739"/>
      <c r="Q1" s="1739"/>
      <c r="R1" s="1739"/>
      <c r="S1" s="1313"/>
    </row>
    <row r="2" spans="1:19" ht="15.5">
      <c r="A2" s="1739" t="s">
        <v>1290</v>
      </c>
      <c r="B2" s="1739"/>
      <c r="C2" s="1739"/>
      <c r="D2" s="1739"/>
      <c r="E2" s="1739"/>
      <c r="F2" s="1739"/>
      <c r="G2" s="1739"/>
      <c r="H2" s="1739"/>
      <c r="I2" s="1739"/>
      <c r="J2" s="1739"/>
      <c r="K2" s="1739"/>
      <c r="L2" s="1739"/>
      <c r="M2" s="1739"/>
      <c r="N2" s="1739"/>
      <c r="O2" s="1739"/>
      <c r="P2" s="1739"/>
      <c r="Q2" s="1739"/>
      <c r="R2" s="1739"/>
      <c r="S2" s="1313"/>
    </row>
    <row r="3" spans="1:19" ht="15.5">
      <c r="A3" s="1739" t="s">
        <v>1291</v>
      </c>
      <c r="B3" s="1739"/>
      <c r="C3" s="1739"/>
      <c r="D3" s="1739"/>
      <c r="E3" s="1739"/>
      <c r="F3" s="1739"/>
      <c r="G3" s="1739"/>
      <c r="H3" s="1739"/>
      <c r="I3" s="1739"/>
      <c r="J3" s="1739"/>
      <c r="K3" s="1739"/>
      <c r="L3" s="1739"/>
      <c r="M3" s="1739"/>
      <c r="N3" s="1739"/>
      <c r="O3" s="1739"/>
      <c r="P3" s="1739"/>
      <c r="Q3" s="1739"/>
      <c r="R3" s="1739"/>
      <c r="S3" s="1313"/>
    </row>
    <row r="4" spans="1:19" ht="13">
      <c r="A4" s="1313"/>
      <c r="B4" s="1314"/>
      <c r="C4" s="1313"/>
    </row>
    <row r="5" spans="1:19" s="913" customFormat="1" ht="15.5">
      <c r="B5" s="1315"/>
      <c r="D5" s="913" t="s">
        <v>910</v>
      </c>
      <c r="E5" s="915" t="s">
        <v>1799</v>
      </c>
      <c r="F5" s="916"/>
      <c r="G5" s="916"/>
      <c r="H5" s="916"/>
    </row>
    <row r="6" spans="1:19" ht="13">
      <c r="D6" s="1313"/>
    </row>
    <row r="7" spans="1:19" ht="13">
      <c r="D7" s="1313" t="s">
        <v>911</v>
      </c>
      <c r="J7" s="1740"/>
      <c r="K7" s="1740"/>
      <c r="L7" s="1740"/>
      <c r="N7" s="1740"/>
      <c r="O7" s="1740"/>
      <c r="P7" s="1740"/>
      <c r="Q7" s="1740"/>
      <c r="R7" s="1740"/>
    </row>
    <row r="8" spans="1:19" ht="13">
      <c r="D8" s="1733" t="s">
        <v>912</v>
      </c>
      <c r="E8" s="1734"/>
      <c r="F8" s="1734"/>
      <c r="G8" s="1734"/>
      <c r="H8" s="1735"/>
      <c r="I8" s="1317"/>
      <c r="J8" s="1736" t="s">
        <v>1292</v>
      </c>
      <c r="K8" s="1737"/>
      <c r="L8" s="1738"/>
      <c r="M8" s="1317"/>
      <c r="N8" s="1736" t="s">
        <v>1293</v>
      </c>
      <c r="O8" s="1737"/>
      <c r="P8" s="1737"/>
      <c r="Q8" s="1737"/>
      <c r="R8" s="1738"/>
      <c r="S8" s="1317"/>
    </row>
    <row r="9" spans="1:19" ht="13">
      <c r="D9" s="1318" t="s">
        <v>174</v>
      </c>
      <c r="E9" s="1318" t="s">
        <v>175</v>
      </c>
      <c r="F9" s="1318" t="s">
        <v>1294</v>
      </c>
      <c r="G9" s="1318" t="s">
        <v>1295</v>
      </c>
      <c r="H9" s="1318" t="s">
        <v>1296</v>
      </c>
      <c r="I9" s="1317"/>
      <c r="J9" s="1318" t="s">
        <v>1297</v>
      </c>
      <c r="K9" s="1318" t="s">
        <v>1298</v>
      </c>
      <c r="L9" s="1318" t="s">
        <v>1299</v>
      </c>
      <c r="M9" s="1317"/>
      <c r="N9" s="1318" t="s">
        <v>1300</v>
      </c>
      <c r="O9" s="1318" t="s">
        <v>1301</v>
      </c>
      <c r="P9" s="1318" t="s">
        <v>1302</v>
      </c>
      <c r="Q9" s="1318" t="s">
        <v>1303</v>
      </c>
      <c r="R9" s="1318" t="s">
        <v>1304</v>
      </c>
      <c r="S9" s="1317"/>
    </row>
    <row r="10" spans="1:19" ht="63" customHeight="1">
      <c r="B10" s="1319" t="s">
        <v>1305</v>
      </c>
      <c r="D10" s="1320" t="s">
        <v>169</v>
      </c>
      <c r="E10" s="1320" t="s">
        <v>913</v>
      </c>
      <c r="F10" s="1320" t="s">
        <v>1005</v>
      </c>
      <c r="G10" s="1320" t="s">
        <v>1004</v>
      </c>
      <c r="H10" s="1320" t="s">
        <v>1306</v>
      </c>
      <c r="I10" s="1640"/>
      <c r="J10" s="1320" t="s">
        <v>916</v>
      </c>
      <c r="K10" s="1320" t="s">
        <v>1307</v>
      </c>
      <c r="L10" s="1320" t="s">
        <v>1308</v>
      </c>
      <c r="M10" s="1640"/>
      <c r="N10" s="1320" t="s">
        <v>1003</v>
      </c>
      <c r="O10" s="1320" t="s">
        <v>1309</v>
      </c>
      <c r="P10" s="1320" t="s">
        <v>1310</v>
      </c>
      <c r="Q10" s="1320" t="s">
        <v>1311</v>
      </c>
      <c r="R10" s="1320" t="s">
        <v>1312</v>
      </c>
      <c r="S10" s="1640"/>
    </row>
    <row r="11" spans="1:19">
      <c r="E11" s="1640"/>
      <c r="F11" s="1640"/>
      <c r="G11" s="1640"/>
      <c r="H11" s="1640"/>
      <c r="I11" s="1640"/>
      <c r="J11" s="1640"/>
      <c r="K11" s="1640"/>
      <c r="L11" s="1640"/>
      <c r="M11" s="1640"/>
      <c r="N11" s="1640"/>
      <c r="O11" s="1640"/>
      <c r="P11" s="1640"/>
      <c r="Q11" s="1640"/>
      <c r="R11" s="1640"/>
      <c r="S11" s="1640"/>
    </row>
    <row r="12" spans="1:19">
      <c r="B12" s="1316">
        <v>1</v>
      </c>
      <c r="D12" s="1010" t="s">
        <v>1002</v>
      </c>
      <c r="E12" s="1640"/>
      <c r="F12" s="1640"/>
      <c r="G12" s="1640"/>
      <c r="H12" s="1640"/>
      <c r="I12" s="1640"/>
      <c r="J12" s="1321" t="s">
        <v>1798</v>
      </c>
      <c r="K12" s="1640"/>
      <c r="L12" s="1321">
        <v>0</v>
      </c>
      <c r="M12" s="1640"/>
      <c r="N12" s="1321"/>
      <c r="O12" s="1640"/>
      <c r="P12" s="1640"/>
      <c r="Q12" s="1640"/>
      <c r="R12" s="1321">
        <v>0</v>
      </c>
      <c r="S12" s="1640"/>
    </row>
    <row r="13" spans="1:19">
      <c r="E13" s="1640"/>
      <c r="F13" s="1640"/>
      <c r="G13" s="1640"/>
      <c r="H13" s="1640"/>
      <c r="I13" s="1640"/>
      <c r="J13" s="1640"/>
      <c r="K13" s="1640"/>
      <c r="L13" s="1640"/>
      <c r="M13" s="1640"/>
      <c r="N13" s="1640"/>
      <c r="O13" s="1640"/>
      <c r="P13" s="1640"/>
      <c r="Q13" s="1640"/>
      <c r="R13" s="1640"/>
      <c r="S13" s="1640"/>
    </row>
    <row r="14" spans="1:19">
      <c r="B14" s="1316">
        <f>B12+1</f>
        <v>2</v>
      </c>
      <c r="D14" s="1322" t="s">
        <v>525</v>
      </c>
      <c r="E14" s="1321">
        <v>31</v>
      </c>
      <c r="F14" s="1323">
        <v>0</v>
      </c>
      <c r="G14" s="1323">
        <v>214</v>
      </c>
      <c r="H14" s="1324">
        <f t="shared" ref="H14:H25" si="0">IF(F14=0,0.5,F14/G14)</f>
        <v>0.5</v>
      </c>
      <c r="I14" s="1325"/>
      <c r="J14" s="1321">
        <v>0</v>
      </c>
      <c r="K14" s="1326">
        <f t="shared" ref="K14:K25" si="1">+J14*H14</f>
        <v>0</v>
      </c>
      <c r="L14" s="1326">
        <f>+K14+L12</f>
        <v>0</v>
      </c>
      <c r="M14" s="1325"/>
      <c r="N14" s="1321">
        <v>0</v>
      </c>
      <c r="O14" s="1326">
        <f>IF($D$177="True-Up Adjustment",N14-J14,0)</f>
        <v>0</v>
      </c>
      <c r="P14" s="1326">
        <f>IF($D$177="True-Up Adjustment",IF(AND(J14&gt;=0,N14&gt;=0),IF(O14&gt;=0,K14+O14,N14/J14*K14),IF(AND(J14&lt;0,N14&lt;0),IF(O14&lt;0,K14+O14,N14/J14*K14),0)),0)</f>
        <v>0</v>
      </c>
      <c r="Q14" s="1326">
        <f t="shared" ref="Q14:Q25" si="2">IF(AND(J14&gt;=0,N14&lt;0),N14,IF(AND(J14&lt;0,N14&gt;=0),N14,0))</f>
        <v>0</v>
      </c>
      <c r="R14" s="1326">
        <f>+Q14+R12</f>
        <v>0</v>
      </c>
      <c r="S14" s="1325"/>
    </row>
    <row r="15" spans="1:19">
      <c r="B15" s="1316">
        <f t="shared" ref="B15:B26" si="3">+B14+1</f>
        <v>3</v>
      </c>
      <c r="D15" s="1322" t="s">
        <v>526</v>
      </c>
      <c r="E15" s="1321">
        <v>28</v>
      </c>
      <c r="F15" s="1323">
        <v>0</v>
      </c>
      <c r="G15" s="1323">
        <f t="shared" ref="G15:G25" si="4">G14</f>
        <v>214</v>
      </c>
      <c r="H15" s="1324">
        <f t="shared" si="0"/>
        <v>0.5</v>
      </c>
      <c r="I15" s="1325"/>
      <c r="J15" s="1321">
        <v>0</v>
      </c>
      <c r="K15" s="1326">
        <f>+J15*H15</f>
        <v>0</v>
      </c>
      <c r="L15" s="1326">
        <f t="shared" ref="L15:L25" si="5">+K15+L14</f>
        <v>0</v>
      </c>
      <c r="M15" s="1325"/>
      <c r="N15" s="1321">
        <v>0</v>
      </c>
      <c r="O15" s="1326">
        <f t="shared" ref="O15:O25" si="6">IF($D$177="True-Up Adjustment",N15-J15,0)</f>
        <v>0</v>
      </c>
      <c r="P15" s="1326">
        <f t="shared" ref="P15:P25" si="7">IF($D$177="True-Up Adjustment",IF(AND(J15&gt;=0,N15&gt;=0),IF(O15&gt;=0,K15+O15,N15/J15*K15),IF(AND(J15&lt;0,N15&lt;0),IF(O15&lt;0,K15+O15,N15/J15*K15),0)),0)</f>
        <v>0</v>
      </c>
      <c r="Q15" s="1326">
        <f t="shared" si="2"/>
        <v>0</v>
      </c>
      <c r="R15" s="1326">
        <f t="shared" ref="R15:R25" si="8">R14+P15+Q15</f>
        <v>0</v>
      </c>
      <c r="S15" s="1325"/>
    </row>
    <row r="16" spans="1:19">
      <c r="B16" s="1316">
        <f t="shared" si="3"/>
        <v>4</v>
      </c>
      <c r="D16" s="1322" t="s">
        <v>545</v>
      </c>
      <c r="E16" s="1321">
        <v>31</v>
      </c>
      <c r="F16" s="1323">
        <v>0</v>
      </c>
      <c r="G16" s="1323">
        <f t="shared" si="4"/>
        <v>214</v>
      </c>
      <c r="H16" s="1324">
        <f t="shared" si="0"/>
        <v>0.5</v>
      </c>
      <c r="I16" s="1325"/>
      <c r="J16" s="1321">
        <v>0</v>
      </c>
      <c r="K16" s="1326">
        <f t="shared" si="1"/>
        <v>0</v>
      </c>
      <c r="L16" s="1326">
        <f t="shared" si="5"/>
        <v>0</v>
      </c>
      <c r="M16" s="1325"/>
      <c r="N16" s="1321">
        <v>0</v>
      </c>
      <c r="O16" s="1326">
        <f t="shared" si="6"/>
        <v>0</v>
      </c>
      <c r="P16" s="1326">
        <f t="shared" si="7"/>
        <v>0</v>
      </c>
      <c r="Q16" s="1326">
        <f t="shared" si="2"/>
        <v>0</v>
      </c>
      <c r="R16" s="1326">
        <f t="shared" si="8"/>
        <v>0</v>
      </c>
      <c r="S16" s="1325"/>
    </row>
    <row r="17" spans="2:19">
      <c r="B17" s="1316">
        <f t="shared" si="3"/>
        <v>5</v>
      </c>
      <c r="D17" s="1322" t="s">
        <v>171</v>
      </c>
      <c r="E17" s="1321">
        <v>30</v>
      </c>
      <c r="F17" s="1323">
        <v>0</v>
      </c>
      <c r="G17" s="1323">
        <f t="shared" si="4"/>
        <v>214</v>
      </c>
      <c r="H17" s="1324">
        <f t="shared" si="0"/>
        <v>0.5</v>
      </c>
      <c r="I17" s="1325"/>
      <c r="J17" s="1321">
        <v>0</v>
      </c>
      <c r="K17" s="1326">
        <f t="shared" si="1"/>
        <v>0</v>
      </c>
      <c r="L17" s="1326">
        <f t="shared" si="5"/>
        <v>0</v>
      </c>
      <c r="M17" s="1325"/>
      <c r="N17" s="1321">
        <v>0</v>
      </c>
      <c r="O17" s="1326">
        <f t="shared" si="6"/>
        <v>0</v>
      </c>
      <c r="P17" s="1326">
        <f t="shared" si="7"/>
        <v>0</v>
      </c>
      <c r="Q17" s="1326">
        <f t="shared" si="2"/>
        <v>0</v>
      </c>
      <c r="R17" s="1326">
        <f t="shared" si="8"/>
        <v>0</v>
      </c>
      <c r="S17" s="1325"/>
    </row>
    <row r="18" spans="2:19">
      <c r="B18" s="1316">
        <f t="shared" si="3"/>
        <v>6</v>
      </c>
      <c r="D18" s="1322" t="s">
        <v>172</v>
      </c>
      <c r="E18" s="1321">
        <v>31</v>
      </c>
      <c r="F18" s="1323">
        <v>0</v>
      </c>
      <c r="G18" s="1323">
        <f t="shared" si="4"/>
        <v>214</v>
      </c>
      <c r="H18" s="1324">
        <f t="shared" si="0"/>
        <v>0.5</v>
      </c>
      <c r="I18" s="1325"/>
      <c r="J18" s="1321">
        <v>0</v>
      </c>
      <c r="K18" s="1326">
        <f t="shared" si="1"/>
        <v>0</v>
      </c>
      <c r="L18" s="1326">
        <f t="shared" si="5"/>
        <v>0</v>
      </c>
      <c r="M18" s="1325"/>
      <c r="N18" s="1321">
        <v>0</v>
      </c>
      <c r="O18" s="1326">
        <f t="shared" si="6"/>
        <v>0</v>
      </c>
      <c r="P18" s="1326">
        <f t="shared" si="7"/>
        <v>0</v>
      </c>
      <c r="Q18" s="1326">
        <f t="shared" si="2"/>
        <v>0</v>
      </c>
      <c r="R18" s="1326">
        <f t="shared" si="8"/>
        <v>0</v>
      </c>
      <c r="S18" s="1325"/>
    </row>
    <row r="19" spans="2:19">
      <c r="B19" s="1316">
        <f t="shared" si="3"/>
        <v>7</v>
      </c>
      <c r="D19" s="1322" t="s">
        <v>173</v>
      </c>
      <c r="E19" s="1321">
        <v>30</v>
      </c>
      <c r="F19" s="1323">
        <f t="shared" ref="F19:F24" si="9">E20+F20</f>
        <v>185</v>
      </c>
      <c r="G19" s="1323">
        <f t="shared" si="4"/>
        <v>214</v>
      </c>
      <c r="H19" s="1324">
        <f t="shared" si="0"/>
        <v>0.86448598130841126</v>
      </c>
      <c r="I19" s="1325"/>
      <c r="J19" s="1321">
        <v>0</v>
      </c>
      <c r="K19" s="1326">
        <f t="shared" si="1"/>
        <v>0</v>
      </c>
      <c r="L19" s="1326">
        <f t="shared" si="5"/>
        <v>0</v>
      </c>
      <c r="M19" s="1325"/>
      <c r="N19" s="1321">
        <v>0</v>
      </c>
      <c r="O19" s="1326">
        <f t="shared" si="6"/>
        <v>0</v>
      </c>
      <c r="P19" s="1326">
        <f t="shared" si="7"/>
        <v>0</v>
      </c>
      <c r="Q19" s="1326">
        <f t="shared" si="2"/>
        <v>0</v>
      </c>
      <c r="R19" s="1326">
        <f t="shared" si="8"/>
        <v>0</v>
      </c>
      <c r="S19" s="1325"/>
    </row>
    <row r="20" spans="2:19">
      <c r="B20" s="1316">
        <f t="shared" si="3"/>
        <v>8</v>
      </c>
      <c r="D20" s="1322" t="s">
        <v>528</v>
      </c>
      <c r="E20" s="1321">
        <v>31</v>
      </c>
      <c r="F20" s="1323">
        <f t="shared" si="9"/>
        <v>154</v>
      </c>
      <c r="G20" s="1323">
        <f t="shared" si="4"/>
        <v>214</v>
      </c>
      <c r="H20" s="1324">
        <f t="shared" si="0"/>
        <v>0.71962616822429903</v>
      </c>
      <c r="I20" s="1325"/>
      <c r="J20" s="1321">
        <v>0</v>
      </c>
      <c r="K20" s="1326">
        <f t="shared" si="1"/>
        <v>0</v>
      </c>
      <c r="L20" s="1326">
        <f t="shared" si="5"/>
        <v>0</v>
      </c>
      <c r="M20" s="1325"/>
      <c r="N20" s="1321">
        <v>0</v>
      </c>
      <c r="O20" s="1326">
        <f t="shared" si="6"/>
        <v>0</v>
      </c>
      <c r="P20" s="1326">
        <f t="shared" si="7"/>
        <v>0</v>
      </c>
      <c r="Q20" s="1326">
        <f t="shared" si="2"/>
        <v>0</v>
      </c>
      <c r="R20" s="1326">
        <f t="shared" si="8"/>
        <v>0</v>
      </c>
      <c r="S20" s="1325"/>
    </row>
    <row r="21" spans="2:19">
      <c r="B21" s="1316">
        <f t="shared" si="3"/>
        <v>9</v>
      </c>
      <c r="D21" s="1322" t="s">
        <v>546</v>
      </c>
      <c r="E21" s="1321">
        <v>31</v>
      </c>
      <c r="F21" s="1323">
        <f t="shared" si="9"/>
        <v>123</v>
      </c>
      <c r="G21" s="1323">
        <f t="shared" si="4"/>
        <v>214</v>
      </c>
      <c r="H21" s="1324">
        <f t="shared" si="0"/>
        <v>0.57476635514018692</v>
      </c>
      <c r="I21" s="1325"/>
      <c r="J21" s="1321">
        <v>0</v>
      </c>
      <c r="K21" s="1326">
        <f t="shared" si="1"/>
        <v>0</v>
      </c>
      <c r="L21" s="1326">
        <f t="shared" si="5"/>
        <v>0</v>
      </c>
      <c r="M21" s="1325"/>
      <c r="N21" s="1321">
        <v>0</v>
      </c>
      <c r="O21" s="1326">
        <f t="shared" si="6"/>
        <v>0</v>
      </c>
      <c r="P21" s="1326">
        <f t="shared" si="7"/>
        <v>0</v>
      </c>
      <c r="Q21" s="1326">
        <f t="shared" si="2"/>
        <v>0</v>
      </c>
      <c r="R21" s="1326">
        <f t="shared" si="8"/>
        <v>0</v>
      </c>
      <c r="S21" s="1325"/>
    </row>
    <row r="22" spans="2:19">
      <c r="B22" s="1316">
        <f t="shared" si="3"/>
        <v>10</v>
      </c>
      <c r="D22" s="1322" t="s">
        <v>530</v>
      </c>
      <c r="E22" s="1321">
        <v>30</v>
      </c>
      <c r="F22" s="1323">
        <f t="shared" si="9"/>
        <v>93</v>
      </c>
      <c r="G22" s="1323">
        <f t="shared" si="4"/>
        <v>214</v>
      </c>
      <c r="H22" s="1324">
        <f t="shared" si="0"/>
        <v>0.43457943925233644</v>
      </c>
      <c r="I22" s="1325"/>
      <c r="J22" s="1321">
        <v>0</v>
      </c>
      <c r="K22" s="1326">
        <f t="shared" si="1"/>
        <v>0</v>
      </c>
      <c r="L22" s="1326">
        <f t="shared" si="5"/>
        <v>0</v>
      </c>
      <c r="M22" s="1325"/>
      <c r="N22" s="1321">
        <v>0</v>
      </c>
      <c r="O22" s="1326">
        <f t="shared" si="6"/>
        <v>0</v>
      </c>
      <c r="P22" s="1326">
        <f t="shared" si="7"/>
        <v>0</v>
      </c>
      <c r="Q22" s="1326">
        <f t="shared" si="2"/>
        <v>0</v>
      </c>
      <c r="R22" s="1326">
        <f t="shared" si="8"/>
        <v>0</v>
      </c>
      <c r="S22" s="1325"/>
    </row>
    <row r="23" spans="2:19">
      <c r="B23" s="1316">
        <f t="shared" si="3"/>
        <v>11</v>
      </c>
      <c r="D23" s="1322" t="s">
        <v>531</v>
      </c>
      <c r="E23" s="1321">
        <v>31</v>
      </c>
      <c r="F23" s="1323">
        <f t="shared" si="9"/>
        <v>62</v>
      </c>
      <c r="G23" s="1323">
        <f t="shared" si="4"/>
        <v>214</v>
      </c>
      <c r="H23" s="1324">
        <f t="shared" si="0"/>
        <v>0.28971962616822428</v>
      </c>
      <c r="I23" s="1325"/>
      <c r="J23" s="1321">
        <v>0</v>
      </c>
      <c r="K23" s="1326">
        <f t="shared" si="1"/>
        <v>0</v>
      </c>
      <c r="L23" s="1326">
        <f t="shared" si="5"/>
        <v>0</v>
      </c>
      <c r="M23" s="1325"/>
      <c r="N23" s="1321">
        <v>0</v>
      </c>
      <c r="O23" s="1326">
        <f t="shared" si="6"/>
        <v>0</v>
      </c>
      <c r="P23" s="1326">
        <f t="shared" si="7"/>
        <v>0</v>
      </c>
      <c r="Q23" s="1326">
        <f t="shared" si="2"/>
        <v>0</v>
      </c>
      <c r="R23" s="1326">
        <f t="shared" si="8"/>
        <v>0</v>
      </c>
      <c r="S23" s="1325"/>
    </row>
    <row r="24" spans="2:19">
      <c r="B24" s="1316">
        <f t="shared" si="3"/>
        <v>12</v>
      </c>
      <c r="D24" s="1322" t="s">
        <v>532</v>
      </c>
      <c r="E24" s="1321">
        <v>30</v>
      </c>
      <c r="F24" s="1323">
        <f t="shared" si="9"/>
        <v>32</v>
      </c>
      <c r="G24" s="1323">
        <f t="shared" si="4"/>
        <v>214</v>
      </c>
      <c r="H24" s="1324">
        <f t="shared" si="0"/>
        <v>0.14953271028037382</v>
      </c>
      <c r="I24" s="1325"/>
      <c r="J24" s="1321">
        <v>0</v>
      </c>
      <c r="K24" s="1326">
        <f t="shared" si="1"/>
        <v>0</v>
      </c>
      <c r="L24" s="1326">
        <f t="shared" si="5"/>
        <v>0</v>
      </c>
      <c r="M24" s="1325"/>
      <c r="N24" s="1321">
        <v>0</v>
      </c>
      <c r="O24" s="1326">
        <f t="shared" si="6"/>
        <v>0</v>
      </c>
      <c r="P24" s="1326">
        <f t="shared" si="7"/>
        <v>0</v>
      </c>
      <c r="Q24" s="1326">
        <f t="shared" si="2"/>
        <v>0</v>
      </c>
      <c r="R24" s="1326">
        <f t="shared" si="8"/>
        <v>0</v>
      </c>
      <c r="S24" s="1325"/>
    </row>
    <row r="25" spans="2:19">
      <c r="B25" s="1316">
        <f t="shared" si="3"/>
        <v>13</v>
      </c>
      <c r="D25" s="1327" t="s">
        <v>749</v>
      </c>
      <c r="E25" s="1321">
        <v>31</v>
      </c>
      <c r="F25" s="1328">
        <v>1</v>
      </c>
      <c r="G25" s="1323">
        <f t="shared" si="4"/>
        <v>214</v>
      </c>
      <c r="H25" s="1324">
        <f t="shared" si="0"/>
        <v>4.6728971962616819E-3</v>
      </c>
      <c r="I25" s="1325"/>
      <c r="J25" s="1321">
        <v>0</v>
      </c>
      <c r="K25" s="1326">
        <f t="shared" si="1"/>
        <v>0</v>
      </c>
      <c r="L25" s="1326">
        <f t="shared" si="5"/>
        <v>0</v>
      </c>
      <c r="M25" s="1325"/>
      <c r="N25" s="1321">
        <v>0</v>
      </c>
      <c r="O25" s="1326">
        <f t="shared" si="6"/>
        <v>0</v>
      </c>
      <c r="P25" s="1326">
        <f t="shared" si="7"/>
        <v>0</v>
      </c>
      <c r="Q25" s="1326">
        <f t="shared" si="2"/>
        <v>0</v>
      </c>
      <c r="R25" s="1326">
        <f t="shared" si="8"/>
        <v>0</v>
      </c>
      <c r="S25" s="1325"/>
    </row>
    <row r="26" spans="2:19">
      <c r="B26" s="1316">
        <f t="shared" si="3"/>
        <v>14</v>
      </c>
      <c r="D26" s="1329" t="str">
        <f>"Total (Sum of Lines "&amp;B14&amp;" - "&amp;B25&amp;")"</f>
        <v>Total (Sum of Lines 2 - 13)</v>
      </c>
      <c r="E26" s="1330">
        <f>SUM(E14:E25)</f>
        <v>365</v>
      </c>
      <c r="F26" s="1331"/>
      <c r="G26" s="1331"/>
      <c r="H26" s="1332"/>
      <c r="I26" s="1333"/>
      <c r="J26" s="1330">
        <f>SUM(J14:J25)</f>
        <v>0</v>
      </c>
      <c r="K26" s="1330">
        <f>SUM(K14:K25)</f>
        <v>0</v>
      </c>
      <c r="L26" s="1334"/>
      <c r="M26" s="1333"/>
      <c r="N26" s="1330">
        <f>SUM(N14:N25)</f>
        <v>0</v>
      </c>
      <c r="O26" s="1330">
        <f>SUM(O14:O25)</f>
        <v>0</v>
      </c>
      <c r="P26" s="1330">
        <f>SUM(P14:P25)</f>
        <v>0</v>
      </c>
      <c r="Q26" s="1330">
        <f>SUM(Q14:Q25)</f>
        <v>0</v>
      </c>
      <c r="R26" s="1334"/>
      <c r="S26" s="1333"/>
    </row>
    <row r="27" spans="2:19">
      <c r="D27" s="1335"/>
      <c r="E27" s="1335"/>
      <c r="F27" s="1335"/>
      <c r="G27" s="1335"/>
      <c r="H27" s="1336"/>
      <c r="I27" s="1336"/>
      <c r="K27" s="1337"/>
      <c r="L27" s="1336"/>
      <c r="M27" s="1336"/>
      <c r="O27" s="1337"/>
      <c r="P27" s="1337"/>
      <c r="Q27" s="1337"/>
      <c r="R27" s="1336"/>
      <c r="S27" s="1336"/>
    </row>
    <row r="28" spans="2:19">
      <c r="B28" s="1316">
        <f>B26+1</f>
        <v>15</v>
      </c>
      <c r="D28" s="1010" t="s">
        <v>917</v>
      </c>
      <c r="I28" s="1336"/>
      <c r="J28" s="1321" t="s">
        <v>1798</v>
      </c>
      <c r="L28" s="1321">
        <f>'1C - ADIT BOY'!E11</f>
        <v>9378605.7947436087</v>
      </c>
      <c r="M28" s="1338"/>
      <c r="N28" s="1321"/>
      <c r="R28" s="1321">
        <v>0</v>
      </c>
    </row>
    <row r="29" spans="2:19">
      <c r="B29" s="1316">
        <f>B28+1</f>
        <v>16</v>
      </c>
      <c r="D29" s="1010" t="s">
        <v>1778</v>
      </c>
      <c r="I29" s="1336"/>
      <c r="J29" s="1339" t="s">
        <v>639</v>
      </c>
      <c r="L29" s="1340">
        <v>0</v>
      </c>
      <c r="M29" s="1341"/>
      <c r="N29" s="1339"/>
      <c r="R29" s="1340">
        <v>0</v>
      </c>
    </row>
    <row r="30" spans="2:19">
      <c r="B30" s="1316">
        <f>B29+1</f>
        <v>17</v>
      </c>
      <c r="D30" s="1010" t="s">
        <v>918</v>
      </c>
      <c r="I30" s="1336"/>
      <c r="J30" s="1329" t="str">
        <f>"(Col. "&amp;L9&amp;", Line "&amp;B28&amp;" + Line "&amp;B29&amp;")"</f>
        <v>(Col. (H), Line 15 + Line 16)</v>
      </c>
      <c r="L30" s="1342">
        <f>L28+L29</f>
        <v>9378605.7947436087</v>
      </c>
      <c r="M30" s="1336"/>
      <c r="N30" s="1329" t="str">
        <f>"(Col. "&amp;R9&amp;", Line "&amp;B28&amp;" + Line "&amp;B29&amp;")"</f>
        <v>(Col. (M), Line 15 + Line 16)</v>
      </c>
      <c r="R30" s="1342">
        <f>R28+R29</f>
        <v>0</v>
      </c>
    </row>
    <row r="31" spans="2:19">
      <c r="I31" s="1336"/>
      <c r="L31" s="1342"/>
      <c r="M31" s="1336"/>
      <c r="R31" s="1342"/>
    </row>
    <row r="32" spans="2:19">
      <c r="B32" s="1316">
        <f>B30+1</f>
        <v>18</v>
      </c>
      <c r="D32" s="1010" t="s">
        <v>919</v>
      </c>
      <c r="I32" s="1336"/>
      <c r="J32" s="1642" t="s">
        <v>1811</v>
      </c>
      <c r="L32" s="1321">
        <f>'1B - ADIT EOY'!E11</f>
        <v>15125589.748492952</v>
      </c>
      <c r="M32" s="1338"/>
      <c r="N32" s="1321"/>
      <c r="R32" s="1321">
        <v>0</v>
      </c>
    </row>
    <row r="33" spans="2:19">
      <c r="B33" s="1316">
        <f>B32+1</f>
        <v>19</v>
      </c>
      <c r="D33" s="1010" t="s">
        <v>1777</v>
      </c>
      <c r="I33" s="1336"/>
      <c r="J33" s="1339" t="s">
        <v>639</v>
      </c>
      <c r="L33" s="1340">
        <v>0</v>
      </c>
      <c r="M33" s="1336"/>
      <c r="N33" s="1339"/>
      <c r="R33" s="1340">
        <v>0</v>
      </c>
    </row>
    <row r="34" spans="2:19">
      <c r="B34" s="1316">
        <f>B33+1</f>
        <v>20</v>
      </c>
      <c r="D34" s="1010" t="s">
        <v>923</v>
      </c>
      <c r="G34" s="1329"/>
      <c r="I34" s="1336"/>
      <c r="J34" s="1329" t="str">
        <f>"(Col. "&amp;L9&amp;", Line "&amp;B32&amp;" + Line "&amp;B33&amp;")"</f>
        <v>(Col. (H), Line 18 + Line 19)</v>
      </c>
      <c r="L34" s="1342">
        <f>L32+L33</f>
        <v>15125589.748492952</v>
      </c>
      <c r="M34" s="1336"/>
      <c r="N34" s="1329" t="str">
        <f>"(Col. "&amp;R9&amp;", Line "&amp;B32&amp;" + Line "&amp;B33&amp;")"</f>
        <v>(Col. (M), Line 18 + Line 19)</v>
      </c>
      <c r="R34" s="1342">
        <f>R32+R33</f>
        <v>0</v>
      </c>
    </row>
    <row r="35" spans="2:19">
      <c r="I35" s="1336"/>
      <c r="L35" s="1342"/>
      <c r="M35" s="1336"/>
      <c r="R35" s="1342"/>
    </row>
    <row r="36" spans="2:19">
      <c r="B36" s="1316">
        <f>B34+1</f>
        <v>21</v>
      </c>
      <c r="D36" s="1010" t="s">
        <v>1000</v>
      </c>
      <c r="I36" s="1336"/>
      <c r="J36" s="1329" t="str">
        <f>"([Col. "&amp;L9&amp;", Line "&amp;B30&amp;" + Line "&amp;B34&amp;"] /2)"</f>
        <v>([Col. (H), Line 17 + Line 20] /2)</v>
      </c>
      <c r="L36" s="1326">
        <f>(L30+L34)/2</f>
        <v>12252097.771618281</v>
      </c>
      <c r="M36" s="1336"/>
      <c r="N36" s="1329" t="str">
        <f>"([Col. "&amp;R9&amp;", Line "&amp;B30&amp;" + Line "&amp;B34&amp;"] /2)"</f>
        <v>([Col. (M), Line 17 + Line 20] /2)</v>
      </c>
      <c r="R36" s="1326">
        <f>(R30+R34)/2</f>
        <v>0</v>
      </c>
    </row>
    <row r="37" spans="2:19">
      <c r="B37" s="1316">
        <f>B36+1</f>
        <v>22</v>
      </c>
      <c r="D37" s="1335" t="s">
        <v>999</v>
      </c>
      <c r="E37" s="1335"/>
      <c r="F37" s="1335"/>
      <c r="G37" s="1335"/>
      <c r="H37" s="1336"/>
      <c r="I37" s="1336"/>
      <c r="J37" s="1329" t="str">
        <f>"(Col. "&amp;L9&amp;", Line "&amp;B25&amp;" )"</f>
        <v>(Col. (H), Line 13 )</v>
      </c>
      <c r="K37" s="1337"/>
      <c r="L37" s="1326">
        <f>L25</f>
        <v>0</v>
      </c>
      <c r="M37" s="1336"/>
      <c r="N37" s="1329" t="str">
        <f>"(Col. "&amp;R9&amp;", Line "&amp;B25&amp;" )"</f>
        <v>(Col. (M), Line 13 )</v>
      </c>
      <c r="R37" s="1326">
        <f>R25</f>
        <v>0</v>
      </c>
    </row>
    <row r="38" spans="2:19" ht="13.5" thickBot="1">
      <c r="B38" s="1316">
        <f>B37+1</f>
        <v>23</v>
      </c>
      <c r="D38" s="1343" t="s">
        <v>1756</v>
      </c>
      <c r="E38" s="1335"/>
      <c r="F38" s="1335"/>
      <c r="G38" s="1335"/>
      <c r="H38" s="1336"/>
      <c r="I38" s="1336"/>
      <c r="J38" s="1329" t="str">
        <f>"(Col. "&amp;L9&amp;", Line "&amp;B36&amp;" + Line "&amp;B37&amp;")"</f>
        <v>(Col. (H), Line 21 + Line 22)</v>
      </c>
      <c r="K38" s="1337"/>
      <c r="L38" s="1344">
        <f>L36+L37</f>
        <v>12252097.771618281</v>
      </c>
      <c r="M38" s="1336"/>
      <c r="N38" s="1329" t="str">
        <f>"(Col. "&amp;R9&amp;", Line "&amp;B36&amp;" + Line "&amp;B37&amp;")"</f>
        <v>(Col. (M), Line 21 + Line 22)</v>
      </c>
      <c r="R38" s="1344">
        <f>R36+R37</f>
        <v>0</v>
      </c>
    </row>
    <row r="39" spans="2:19">
      <c r="I39" s="1336"/>
      <c r="L39" s="1326"/>
      <c r="M39" s="1336"/>
      <c r="R39" s="1326"/>
      <c r="S39" s="1336"/>
    </row>
    <row r="40" spans="2:19" ht="13">
      <c r="D40" s="1313" t="s">
        <v>1313</v>
      </c>
      <c r="J40" s="1345"/>
      <c r="K40" s="1346"/>
      <c r="L40" s="1346"/>
      <c r="N40" s="1346"/>
      <c r="O40" s="1346"/>
      <c r="P40" s="1346"/>
      <c r="Q40" s="1346"/>
      <c r="R40" s="1346"/>
    </row>
    <row r="41" spans="2:19" ht="13">
      <c r="D41" s="1733" t="s">
        <v>912</v>
      </c>
      <c r="E41" s="1734"/>
      <c r="F41" s="1734"/>
      <c r="G41" s="1734"/>
      <c r="H41" s="1735"/>
      <c r="I41" s="1317"/>
      <c r="J41" s="1736" t="s">
        <v>1292</v>
      </c>
      <c r="K41" s="1737"/>
      <c r="L41" s="1738"/>
      <c r="M41" s="1317"/>
      <c r="N41" s="1736" t="s">
        <v>1293</v>
      </c>
      <c r="O41" s="1737"/>
      <c r="P41" s="1737"/>
      <c r="Q41" s="1737"/>
      <c r="R41" s="1738"/>
      <c r="S41" s="1317"/>
    </row>
    <row r="42" spans="2:19" ht="13">
      <c r="D42" s="1318" t="s">
        <v>174</v>
      </c>
      <c r="E42" s="1318" t="s">
        <v>175</v>
      </c>
      <c r="F42" s="1318" t="s">
        <v>1294</v>
      </c>
      <c r="G42" s="1318" t="s">
        <v>1295</v>
      </c>
      <c r="H42" s="1318" t="s">
        <v>1296</v>
      </c>
      <c r="I42" s="1317"/>
      <c r="J42" s="1318" t="s">
        <v>1297</v>
      </c>
      <c r="K42" s="1318" t="s">
        <v>1298</v>
      </c>
      <c r="L42" s="1318" t="s">
        <v>1299</v>
      </c>
      <c r="M42" s="1317"/>
      <c r="N42" s="1318" t="s">
        <v>1300</v>
      </c>
      <c r="O42" s="1318" t="s">
        <v>1301</v>
      </c>
      <c r="P42" s="1318" t="s">
        <v>1302</v>
      </c>
      <c r="Q42" s="1318" t="s">
        <v>1303</v>
      </c>
      <c r="R42" s="1318" t="s">
        <v>1304</v>
      </c>
      <c r="S42" s="1317"/>
    </row>
    <row r="43" spans="2:19" ht="50">
      <c r="B43" s="1319" t="s">
        <v>1305</v>
      </c>
      <c r="D43" s="1320" t="s">
        <v>169</v>
      </c>
      <c r="E43" s="1320" t="s">
        <v>913</v>
      </c>
      <c r="F43" s="1320" t="s">
        <v>914</v>
      </c>
      <c r="G43" s="1320" t="s">
        <v>915</v>
      </c>
      <c r="H43" s="1320" t="s">
        <v>1306</v>
      </c>
      <c r="I43" s="1640"/>
      <c r="J43" s="1320" t="s">
        <v>916</v>
      </c>
      <c r="K43" s="1320" t="s">
        <v>1307</v>
      </c>
      <c r="L43" s="1320" t="s">
        <v>1308</v>
      </c>
      <c r="M43" s="1640"/>
      <c r="N43" s="1320" t="s">
        <v>1003</v>
      </c>
      <c r="O43" s="1320" t="s">
        <v>1309</v>
      </c>
      <c r="P43" s="1320" t="s">
        <v>1310</v>
      </c>
      <c r="Q43" s="1320" t="s">
        <v>1311</v>
      </c>
      <c r="R43" s="1320" t="s">
        <v>1312</v>
      </c>
      <c r="S43" s="1640"/>
    </row>
    <row r="44" spans="2:19">
      <c r="E44" s="1640"/>
      <c r="F44" s="1640"/>
      <c r="G44" s="1640"/>
      <c r="H44" s="1640"/>
      <c r="I44" s="1640"/>
      <c r="J44" s="1640"/>
      <c r="K44" s="1640"/>
      <c r="L44" s="1640"/>
      <c r="M44" s="1640"/>
      <c r="N44" s="1640"/>
      <c r="O44" s="1640"/>
      <c r="P44" s="1640"/>
      <c r="Q44" s="1640"/>
      <c r="R44" s="1640"/>
      <c r="S44" s="1640"/>
    </row>
    <row r="45" spans="2:19">
      <c r="B45" s="1316">
        <f>B38+1</f>
        <v>24</v>
      </c>
      <c r="D45" s="1010" t="s">
        <v>1002</v>
      </c>
      <c r="E45" s="1640"/>
      <c r="F45" s="1640"/>
      <c r="G45" s="1640"/>
      <c r="H45" s="1640"/>
      <c r="I45" s="1640"/>
      <c r="J45" s="1321" t="s">
        <v>1798</v>
      </c>
      <c r="K45" s="1640"/>
      <c r="L45" s="1321">
        <v>0</v>
      </c>
      <c r="M45" s="1640"/>
      <c r="N45" s="1321"/>
      <c r="O45" s="1640"/>
      <c r="P45" s="1640"/>
      <c r="Q45" s="1640"/>
      <c r="R45" s="1321">
        <v>0</v>
      </c>
      <c r="S45" s="1640"/>
    </row>
    <row r="46" spans="2:19">
      <c r="E46" s="1640"/>
      <c r="F46" s="1640"/>
      <c r="G46" s="1640"/>
      <c r="H46" s="1640"/>
      <c r="I46" s="1640"/>
      <c r="J46" s="1640"/>
      <c r="K46" s="1640"/>
      <c r="L46" s="1640"/>
      <c r="M46" s="1640"/>
      <c r="N46" s="1640"/>
      <c r="O46" s="1640"/>
      <c r="P46" s="1640"/>
      <c r="Q46" s="1640"/>
      <c r="R46" s="1640"/>
      <c r="S46" s="1640"/>
    </row>
    <row r="47" spans="2:19">
      <c r="B47" s="1316">
        <f>B45+1</f>
        <v>25</v>
      </c>
      <c r="D47" s="1322" t="s">
        <v>525</v>
      </c>
      <c r="E47" s="1321">
        <v>31</v>
      </c>
      <c r="F47" s="1323">
        <v>0</v>
      </c>
      <c r="G47" s="1323">
        <v>214</v>
      </c>
      <c r="H47" s="1324">
        <f t="shared" ref="H47:H58" si="10">IF(F47=0,0.5,F47/G47)</f>
        <v>0.5</v>
      </c>
      <c r="I47" s="1325"/>
      <c r="J47" s="1321"/>
      <c r="K47" s="1326">
        <f t="shared" ref="K47" si="11">+J47*H47</f>
        <v>0</v>
      </c>
      <c r="L47" s="1326">
        <f>+K47+L45</f>
        <v>0</v>
      </c>
      <c r="M47" s="1325"/>
      <c r="N47" s="1321">
        <v>0</v>
      </c>
      <c r="O47" s="1326">
        <f>IF($D$177="True-Up Adjustment",N47-J47,0)</f>
        <v>0</v>
      </c>
      <c r="P47" s="1326">
        <f>IF($D$177="True-Up Adjustment",IF(AND(J47&gt;=0,N47&gt;=0),IF(O47&gt;=0,K47+O47,N47/J47*K47),IF(AND(J47&lt;0,N47&lt;0),IF(O47&lt;0,K47+O47,N47/J47*K47),0)),0)</f>
        <v>0</v>
      </c>
      <c r="Q47" s="1326">
        <f t="shared" ref="Q47:Q58" si="12">IF(AND(J47&gt;=0,N47&lt;0),N47,IF(AND(J47&lt;0,N47&gt;=0),N47,0))</f>
        <v>0</v>
      </c>
      <c r="R47" s="1326">
        <f>R45+P47+Q47</f>
        <v>0</v>
      </c>
      <c r="S47" s="1325"/>
    </row>
    <row r="48" spans="2:19">
      <c r="B48" s="1316">
        <f t="shared" ref="B48:B59" si="13">+B47+1</f>
        <v>26</v>
      </c>
      <c r="D48" s="1322" t="s">
        <v>526</v>
      </c>
      <c r="E48" s="1321">
        <v>28</v>
      </c>
      <c r="F48" s="1323">
        <v>0</v>
      </c>
      <c r="G48" s="1323">
        <f t="shared" ref="G48:G58" si="14">G47</f>
        <v>214</v>
      </c>
      <c r="H48" s="1324">
        <f t="shared" si="10"/>
        <v>0.5</v>
      </c>
      <c r="I48" s="1325"/>
      <c r="J48" s="1321"/>
      <c r="K48" s="1326">
        <f>+J48*H48</f>
        <v>0</v>
      </c>
      <c r="L48" s="1326">
        <f t="shared" ref="L48:L58" si="15">+K48+L47</f>
        <v>0</v>
      </c>
      <c r="M48" s="1325"/>
      <c r="N48" s="1321">
        <v>0</v>
      </c>
      <c r="O48" s="1326">
        <f t="shared" ref="O48:O58" si="16">IF($D$177="True-Up Adjustment",N48-J48,0)</f>
        <v>0</v>
      </c>
      <c r="P48" s="1326">
        <f t="shared" ref="P48:P58" si="17">IF($D$177="True-Up Adjustment",IF(AND(J48&gt;=0,N48&gt;=0),IF(O48&gt;=0,K48+O48,N48/J48*K48),IF(AND(J48&lt;0,N48&lt;0),IF(O48&lt;0,K48+O48,N48/J48*K48),0)),0)</f>
        <v>0</v>
      </c>
      <c r="Q48" s="1326">
        <f t="shared" si="12"/>
        <v>0</v>
      </c>
      <c r="R48" s="1326">
        <f t="shared" ref="R48:R58" si="18">R47+P48+Q48</f>
        <v>0</v>
      </c>
      <c r="S48" s="1325"/>
    </row>
    <row r="49" spans="2:19">
      <c r="B49" s="1316">
        <f t="shared" si="13"/>
        <v>27</v>
      </c>
      <c r="D49" s="1322" t="s">
        <v>545</v>
      </c>
      <c r="E49" s="1321">
        <v>31</v>
      </c>
      <c r="F49" s="1323">
        <v>0</v>
      </c>
      <c r="G49" s="1323">
        <f t="shared" si="14"/>
        <v>214</v>
      </c>
      <c r="H49" s="1324">
        <f t="shared" si="10"/>
        <v>0.5</v>
      </c>
      <c r="I49" s="1325"/>
      <c r="J49" s="1321"/>
      <c r="K49" s="1326">
        <f t="shared" ref="K49:K58" si="19">+J49*H49</f>
        <v>0</v>
      </c>
      <c r="L49" s="1326">
        <f t="shared" si="15"/>
        <v>0</v>
      </c>
      <c r="M49" s="1325"/>
      <c r="N49" s="1321">
        <v>0</v>
      </c>
      <c r="O49" s="1326">
        <f t="shared" si="16"/>
        <v>0</v>
      </c>
      <c r="P49" s="1326">
        <f t="shared" si="17"/>
        <v>0</v>
      </c>
      <c r="Q49" s="1326">
        <f t="shared" si="12"/>
        <v>0</v>
      </c>
      <c r="R49" s="1326">
        <f t="shared" si="18"/>
        <v>0</v>
      </c>
      <c r="S49" s="1325"/>
    </row>
    <row r="50" spans="2:19">
      <c r="B50" s="1316">
        <f t="shared" si="13"/>
        <v>28</v>
      </c>
      <c r="D50" s="1322" t="s">
        <v>171</v>
      </c>
      <c r="E50" s="1321">
        <v>30</v>
      </c>
      <c r="F50" s="1323">
        <v>0</v>
      </c>
      <c r="G50" s="1323">
        <f t="shared" si="14"/>
        <v>214</v>
      </c>
      <c r="H50" s="1324">
        <f t="shared" si="10"/>
        <v>0.5</v>
      </c>
      <c r="I50" s="1325"/>
      <c r="J50" s="1321"/>
      <c r="K50" s="1326">
        <f t="shared" si="19"/>
        <v>0</v>
      </c>
      <c r="L50" s="1326">
        <f t="shared" si="15"/>
        <v>0</v>
      </c>
      <c r="M50" s="1325"/>
      <c r="N50" s="1321">
        <v>0</v>
      </c>
      <c r="O50" s="1326">
        <f t="shared" si="16"/>
        <v>0</v>
      </c>
      <c r="P50" s="1326">
        <f t="shared" si="17"/>
        <v>0</v>
      </c>
      <c r="Q50" s="1326">
        <f t="shared" si="12"/>
        <v>0</v>
      </c>
      <c r="R50" s="1326">
        <f t="shared" si="18"/>
        <v>0</v>
      </c>
      <c r="S50" s="1325"/>
    </row>
    <row r="51" spans="2:19">
      <c r="B51" s="1316">
        <f t="shared" si="13"/>
        <v>29</v>
      </c>
      <c r="D51" s="1322" t="s">
        <v>172</v>
      </c>
      <c r="E51" s="1321">
        <v>31</v>
      </c>
      <c r="F51" s="1323">
        <v>0</v>
      </c>
      <c r="G51" s="1323">
        <f t="shared" si="14"/>
        <v>214</v>
      </c>
      <c r="H51" s="1324">
        <f t="shared" si="10"/>
        <v>0.5</v>
      </c>
      <c r="I51" s="1325"/>
      <c r="J51" s="1321"/>
      <c r="K51" s="1326">
        <f t="shared" si="19"/>
        <v>0</v>
      </c>
      <c r="L51" s="1326">
        <f t="shared" si="15"/>
        <v>0</v>
      </c>
      <c r="M51" s="1325"/>
      <c r="N51" s="1321">
        <v>0</v>
      </c>
      <c r="O51" s="1326">
        <f t="shared" si="16"/>
        <v>0</v>
      </c>
      <c r="P51" s="1326">
        <f t="shared" si="17"/>
        <v>0</v>
      </c>
      <c r="Q51" s="1326">
        <f t="shared" si="12"/>
        <v>0</v>
      </c>
      <c r="R51" s="1326">
        <f t="shared" si="18"/>
        <v>0</v>
      </c>
      <c r="S51" s="1325"/>
    </row>
    <row r="52" spans="2:19">
      <c r="B52" s="1316">
        <f t="shared" si="13"/>
        <v>30</v>
      </c>
      <c r="D52" s="1322" t="s">
        <v>173</v>
      </c>
      <c r="E52" s="1321">
        <v>30</v>
      </c>
      <c r="F52" s="1323">
        <f t="shared" ref="F52:F57" si="20">E53+F53</f>
        <v>185</v>
      </c>
      <c r="G52" s="1323">
        <f t="shared" si="14"/>
        <v>214</v>
      </c>
      <c r="H52" s="1324">
        <f t="shared" si="10"/>
        <v>0.86448598130841126</v>
      </c>
      <c r="I52" s="1325"/>
      <c r="J52" s="1321"/>
      <c r="K52" s="1326">
        <f t="shared" si="19"/>
        <v>0</v>
      </c>
      <c r="L52" s="1326">
        <f t="shared" si="15"/>
        <v>0</v>
      </c>
      <c r="M52" s="1325"/>
      <c r="N52" s="1321">
        <v>0</v>
      </c>
      <c r="O52" s="1326">
        <f t="shared" si="16"/>
        <v>0</v>
      </c>
      <c r="P52" s="1326">
        <f t="shared" si="17"/>
        <v>0</v>
      </c>
      <c r="Q52" s="1326">
        <f t="shared" si="12"/>
        <v>0</v>
      </c>
      <c r="R52" s="1326">
        <f t="shared" si="18"/>
        <v>0</v>
      </c>
      <c r="S52" s="1325"/>
    </row>
    <row r="53" spans="2:19">
      <c r="B53" s="1316">
        <f t="shared" si="13"/>
        <v>31</v>
      </c>
      <c r="D53" s="1322" t="s">
        <v>528</v>
      </c>
      <c r="E53" s="1321">
        <v>31</v>
      </c>
      <c r="F53" s="1323">
        <f t="shared" si="20"/>
        <v>154</v>
      </c>
      <c r="G53" s="1323">
        <f t="shared" si="14"/>
        <v>214</v>
      </c>
      <c r="H53" s="1324">
        <f t="shared" si="10"/>
        <v>0.71962616822429903</v>
      </c>
      <c r="I53" s="1325"/>
      <c r="J53" s="1321"/>
      <c r="K53" s="1326">
        <f t="shared" si="19"/>
        <v>0</v>
      </c>
      <c r="L53" s="1326">
        <f t="shared" si="15"/>
        <v>0</v>
      </c>
      <c r="M53" s="1325"/>
      <c r="N53" s="1321">
        <v>0</v>
      </c>
      <c r="O53" s="1326">
        <f t="shared" si="16"/>
        <v>0</v>
      </c>
      <c r="P53" s="1326">
        <f t="shared" si="17"/>
        <v>0</v>
      </c>
      <c r="Q53" s="1326">
        <f t="shared" si="12"/>
        <v>0</v>
      </c>
      <c r="R53" s="1326">
        <f t="shared" si="18"/>
        <v>0</v>
      </c>
      <c r="S53" s="1325"/>
    </row>
    <row r="54" spans="2:19">
      <c r="B54" s="1316">
        <f t="shared" si="13"/>
        <v>32</v>
      </c>
      <c r="D54" s="1322" t="s">
        <v>546</v>
      </c>
      <c r="E54" s="1321">
        <v>31</v>
      </c>
      <c r="F54" s="1323">
        <f t="shared" si="20"/>
        <v>123</v>
      </c>
      <c r="G54" s="1323">
        <f t="shared" si="14"/>
        <v>214</v>
      </c>
      <c r="H54" s="1324">
        <f t="shared" si="10"/>
        <v>0.57476635514018692</v>
      </c>
      <c r="I54" s="1325"/>
      <c r="J54" s="1321"/>
      <c r="K54" s="1326">
        <f t="shared" si="19"/>
        <v>0</v>
      </c>
      <c r="L54" s="1326">
        <f t="shared" si="15"/>
        <v>0</v>
      </c>
      <c r="M54" s="1325"/>
      <c r="N54" s="1321">
        <v>0</v>
      </c>
      <c r="O54" s="1326">
        <f t="shared" si="16"/>
        <v>0</v>
      </c>
      <c r="P54" s="1326">
        <f t="shared" si="17"/>
        <v>0</v>
      </c>
      <c r="Q54" s="1326">
        <f t="shared" si="12"/>
        <v>0</v>
      </c>
      <c r="R54" s="1326">
        <f t="shared" si="18"/>
        <v>0</v>
      </c>
      <c r="S54" s="1325"/>
    </row>
    <row r="55" spans="2:19">
      <c r="B55" s="1316">
        <f t="shared" si="13"/>
        <v>33</v>
      </c>
      <c r="D55" s="1322" t="s">
        <v>530</v>
      </c>
      <c r="E55" s="1321">
        <v>30</v>
      </c>
      <c r="F55" s="1323">
        <f t="shared" si="20"/>
        <v>93</v>
      </c>
      <c r="G55" s="1323">
        <f t="shared" si="14"/>
        <v>214</v>
      </c>
      <c r="H55" s="1324">
        <f t="shared" si="10"/>
        <v>0.43457943925233644</v>
      </c>
      <c r="I55" s="1325"/>
      <c r="J55" s="1321"/>
      <c r="K55" s="1326">
        <f t="shared" si="19"/>
        <v>0</v>
      </c>
      <c r="L55" s="1326">
        <f t="shared" si="15"/>
        <v>0</v>
      </c>
      <c r="M55" s="1325"/>
      <c r="N55" s="1321">
        <v>0</v>
      </c>
      <c r="O55" s="1326">
        <f t="shared" si="16"/>
        <v>0</v>
      </c>
      <c r="P55" s="1326">
        <f t="shared" si="17"/>
        <v>0</v>
      </c>
      <c r="Q55" s="1326">
        <f t="shared" si="12"/>
        <v>0</v>
      </c>
      <c r="R55" s="1326">
        <f t="shared" si="18"/>
        <v>0</v>
      </c>
      <c r="S55" s="1325"/>
    </row>
    <row r="56" spans="2:19">
      <c r="B56" s="1316">
        <f t="shared" si="13"/>
        <v>34</v>
      </c>
      <c r="D56" s="1322" t="s">
        <v>531</v>
      </c>
      <c r="E56" s="1321">
        <v>31</v>
      </c>
      <c r="F56" s="1323">
        <f t="shared" si="20"/>
        <v>62</v>
      </c>
      <c r="G56" s="1323">
        <f t="shared" si="14"/>
        <v>214</v>
      </c>
      <c r="H56" s="1324">
        <f t="shared" si="10"/>
        <v>0.28971962616822428</v>
      </c>
      <c r="I56" s="1325"/>
      <c r="J56" s="1321"/>
      <c r="K56" s="1326">
        <f t="shared" si="19"/>
        <v>0</v>
      </c>
      <c r="L56" s="1326">
        <f t="shared" si="15"/>
        <v>0</v>
      </c>
      <c r="M56" s="1325"/>
      <c r="N56" s="1321">
        <v>0</v>
      </c>
      <c r="O56" s="1326">
        <f t="shared" si="16"/>
        <v>0</v>
      </c>
      <c r="P56" s="1326">
        <f t="shared" si="17"/>
        <v>0</v>
      </c>
      <c r="Q56" s="1326">
        <f t="shared" si="12"/>
        <v>0</v>
      </c>
      <c r="R56" s="1326">
        <f t="shared" si="18"/>
        <v>0</v>
      </c>
      <c r="S56" s="1325"/>
    </row>
    <row r="57" spans="2:19">
      <c r="B57" s="1316">
        <f t="shared" si="13"/>
        <v>35</v>
      </c>
      <c r="D57" s="1322" t="s">
        <v>532</v>
      </c>
      <c r="E57" s="1321">
        <v>30</v>
      </c>
      <c r="F57" s="1323">
        <f t="shared" si="20"/>
        <v>32</v>
      </c>
      <c r="G57" s="1323">
        <f t="shared" si="14"/>
        <v>214</v>
      </c>
      <c r="H57" s="1324">
        <f t="shared" si="10"/>
        <v>0.14953271028037382</v>
      </c>
      <c r="I57" s="1325"/>
      <c r="J57" s="1321"/>
      <c r="K57" s="1326">
        <f t="shared" si="19"/>
        <v>0</v>
      </c>
      <c r="L57" s="1326">
        <f t="shared" si="15"/>
        <v>0</v>
      </c>
      <c r="M57" s="1325"/>
      <c r="N57" s="1321">
        <v>0</v>
      </c>
      <c r="O57" s="1326">
        <f t="shared" si="16"/>
        <v>0</v>
      </c>
      <c r="P57" s="1326">
        <f t="shared" si="17"/>
        <v>0</v>
      </c>
      <c r="Q57" s="1326">
        <f t="shared" si="12"/>
        <v>0</v>
      </c>
      <c r="R57" s="1326">
        <f t="shared" si="18"/>
        <v>0</v>
      </c>
      <c r="S57" s="1325"/>
    </row>
    <row r="58" spans="2:19">
      <c r="B58" s="1316">
        <f t="shared" si="13"/>
        <v>36</v>
      </c>
      <c r="D58" s="1327" t="s">
        <v>749</v>
      </c>
      <c r="E58" s="1321">
        <v>31</v>
      </c>
      <c r="F58" s="1328">
        <v>1</v>
      </c>
      <c r="G58" s="1323">
        <f t="shared" si="14"/>
        <v>214</v>
      </c>
      <c r="H58" s="1324">
        <f t="shared" si="10"/>
        <v>4.6728971962616819E-3</v>
      </c>
      <c r="I58" s="1325"/>
      <c r="J58" s="1321"/>
      <c r="K58" s="1326">
        <f t="shared" si="19"/>
        <v>0</v>
      </c>
      <c r="L58" s="1326">
        <f t="shared" si="15"/>
        <v>0</v>
      </c>
      <c r="M58" s="1325"/>
      <c r="N58" s="1321">
        <v>0</v>
      </c>
      <c r="O58" s="1326">
        <f t="shared" si="16"/>
        <v>0</v>
      </c>
      <c r="P58" s="1326">
        <f t="shared" si="17"/>
        <v>0</v>
      </c>
      <c r="Q58" s="1326">
        <f t="shared" si="12"/>
        <v>0</v>
      </c>
      <c r="R58" s="1326">
        <f t="shared" si="18"/>
        <v>0</v>
      </c>
      <c r="S58" s="1325"/>
    </row>
    <row r="59" spans="2:19">
      <c r="B59" s="1316">
        <f t="shared" si="13"/>
        <v>37</v>
      </c>
      <c r="D59" s="1329" t="str">
        <f>"Total (Sum of Lines "&amp;B47&amp;" - "&amp;B58&amp;")"</f>
        <v>Total (Sum of Lines 25 - 36)</v>
      </c>
      <c r="E59" s="1330">
        <f>SUM(E47:E58)</f>
        <v>365</v>
      </c>
      <c r="F59" s="1331"/>
      <c r="G59" s="1331"/>
      <c r="H59" s="1332"/>
      <c r="I59" s="1333"/>
      <c r="J59" s="1330">
        <f>SUM(J47:J58)</f>
        <v>0</v>
      </c>
      <c r="K59" s="1330">
        <f>SUM(K47:K58)</f>
        <v>0</v>
      </c>
      <c r="L59" s="1330">
        <f>SUM(L47:L58)</f>
        <v>0</v>
      </c>
      <c r="M59" s="1333"/>
      <c r="N59" s="1330">
        <f>SUM(N47:N58)</f>
        <v>0</v>
      </c>
      <c r="O59" s="1330">
        <f>SUM(O47:O58)</f>
        <v>0</v>
      </c>
      <c r="P59" s="1330">
        <f>SUM(P47:P58)</f>
        <v>0</v>
      </c>
      <c r="Q59" s="1330">
        <f>SUM(Q47:Q58)</f>
        <v>0</v>
      </c>
      <c r="R59" s="1334"/>
      <c r="S59" s="1333"/>
    </row>
    <row r="60" spans="2:19">
      <c r="D60" s="1335"/>
      <c r="E60" s="1335"/>
      <c r="F60" s="1335"/>
      <c r="G60" s="1335"/>
      <c r="H60" s="1336"/>
      <c r="I60" s="1336"/>
      <c r="K60" s="1337"/>
      <c r="L60" s="1336"/>
      <c r="M60" s="1336"/>
      <c r="N60" s="1347"/>
      <c r="O60" s="1337"/>
      <c r="P60" s="1337"/>
      <c r="Q60" s="1337"/>
      <c r="R60" s="1336"/>
      <c r="S60" s="1336"/>
    </row>
    <row r="61" spans="2:19" ht="15" customHeight="1">
      <c r="B61" s="1316">
        <f>B59+1</f>
        <v>38</v>
      </c>
      <c r="D61" s="1010" t="s">
        <v>917</v>
      </c>
      <c r="I61" s="1336"/>
      <c r="J61" s="1321" t="s">
        <v>1798</v>
      </c>
      <c r="L61" s="1321">
        <v>0</v>
      </c>
      <c r="M61" s="1338"/>
      <c r="N61" s="1321"/>
      <c r="R61" s="1321">
        <v>0</v>
      </c>
    </row>
    <row r="62" spans="2:19">
      <c r="B62" s="1316">
        <f>B61+1</f>
        <v>39</v>
      </c>
      <c r="D62" s="1010" t="s">
        <v>1778</v>
      </c>
      <c r="I62" s="1336"/>
      <c r="J62" s="1339" t="s">
        <v>639</v>
      </c>
      <c r="L62" s="1340">
        <v>0</v>
      </c>
      <c r="M62" s="1341"/>
      <c r="N62" s="1339"/>
      <c r="R62" s="1340">
        <v>0</v>
      </c>
    </row>
    <row r="63" spans="2:19">
      <c r="B63" s="1316">
        <f>B62+1</f>
        <v>40</v>
      </c>
      <c r="D63" s="1010" t="s">
        <v>918</v>
      </c>
      <c r="I63" s="1336"/>
      <c r="J63" s="1329" t="str">
        <f>"(Col. "&amp;L42&amp;", Line "&amp;B61&amp;" + Line "&amp;B62&amp;")"</f>
        <v>(Col. (H), Line 38 + Line 39)</v>
      </c>
      <c r="L63" s="1342">
        <f>L61+L62</f>
        <v>0</v>
      </c>
      <c r="M63" s="1336"/>
      <c r="N63" s="1329" t="str">
        <f>"(Col. "&amp;R42&amp;", Line "&amp;B61&amp;" + Line "&amp;B62&amp;")"</f>
        <v>(Col. (M), Line 38 + Line 39)</v>
      </c>
      <c r="R63" s="1342">
        <f>R61+R62</f>
        <v>0</v>
      </c>
    </row>
    <row r="64" spans="2:19">
      <c r="I64" s="1336"/>
      <c r="L64" s="1342"/>
      <c r="M64" s="1336"/>
      <c r="R64" s="1342"/>
    </row>
    <row r="65" spans="2:19">
      <c r="B65" s="1316">
        <f>B63+1</f>
        <v>41</v>
      </c>
      <c r="D65" s="1010" t="s">
        <v>1001</v>
      </c>
      <c r="I65" s="1336"/>
      <c r="J65" s="1642" t="s">
        <v>1811</v>
      </c>
      <c r="L65" s="1321">
        <v>0</v>
      </c>
      <c r="M65" s="1338"/>
      <c r="N65" s="1321"/>
      <c r="R65" s="1321">
        <v>0</v>
      </c>
    </row>
    <row r="66" spans="2:19">
      <c r="B66" s="1316">
        <f>B65+1</f>
        <v>42</v>
      </c>
      <c r="D66" s="1010" t="s">
        <v>1777</v>
      </c>
      <c r="I66" s="1336"/>
      <c r="J66" s="1339" t="s">
        <v>639</v>
      </c>
      <c r="L66" s="1340">
        <v>0</v>
      </c>
      <c r="M66" s="1336"/>
      <c r="N66" s="1339"/>
      <c r="R66" s="1340">
        <v>0</v>
      </c>
    </row>
    <row r="67" spans="2:19">
      <c r="B67" s="1316">
        <f>B66+1</f>
        <v>43</v>
      </c>
      <c r="D67" s="1010" t="s">
        <v>923</v>
      </c>
      <c r="I67" s="1336"/>
      <c r="J67" s="1329" t="str">
        <f>"(Col. "&amp;L42&amp;", Line "&amp;B65&amp;" + Line "&amp;B66&amp;")"</f>
        <v>(Col. (H), Line 41 + Line 42)</v>
      </c>
      <c r="L67" s="1342">
        <f>L65+L66</f>
        <v>0</v>
      </c>
      <c r="M67" s="1336"/>
      <c r="N67" s="1329" t="str">
        <f>"(Col. "&amp;R42&amp;", Line "&amp;B65&amp;" + Line "&amp;B66&amp;")"</f>
        <v>(Col. (M), Line 41 + Line 42)</v>
      </c>
      <c r="R67" s="1342">
        <f>R65+R66</f>
        <v>0</v>
      </c>
    </row>
    <row r="68" spans="2:19">
      <c r="I68" s="1336"/>
      <c r="L68" s="1342"/>
      <c r="M68" s="1336"/>
      <c r="R68" s="1342"/>
    </row>
    <row r="69" spans="2:19">
      <c r="B69" s="1316">
        <f>B67+1</f>
        <v>44</v>
      </c>
      <c r="D69" s="1010" t="s">
        <v>1000</v>
      </c>
      <c r="I69" s="1336"/>
      <c r="J69" s="1329" t="str">
        <f>"([Col. "&amp;L42&amp;", Line "&amp;B63&amp;" + Line "&amp;B67&amp;"] /2)"</f>
        <v>([Col. (H), Line 40 + Line 43] /2)</v>
      </c>
      <c r="L69" s="1326">
        <f>(L63+L67)/2</f>
        <v>0</v>
      </c>
      <c r="M69" s="1336"/>
      <c r="N69" s="1329" t="str">
        <f>"([Col. "&amp;R42&amp;", Line "&amp;B63&amp;" + Line "&amp;B67&amp;"] /2)"</f>
        <v>([Col. (M), Line 40 + Line 43] /2)</v>
      </c>
      <c r="R69" s="1326">
        <f>(R63+R67)/2</f>
        <v>0</v>
      </c>
    </row>
    <row r="70" spans="2:19">
      <c r="B70" s="1316">
        <f>B69+1</f>
        <v>45</v>
      </c>
      <c r="D70" s="1335" t="s">
        <v>999</v>
      </c>
      <c r="E70" s="1335"/>
      <c r="F70" s="1335"/>
      <c r="G70" s="1335"/>
      <c r="H70" s="1336"/>
      <c r="I70" s="1336"/>
      <c r="J70" s="1329" t="str">
        <f>"(Col. "&amp;L42&amp;", Line "&amp;B58&amp;" )"</f>
        <v>(Col. (H), Line 36 )</v>
      </c>
      <c r="K70" s="1337"/>
      <c r="L70" s="1326">
        <f>L58</f>
        <v>0</v>
      </c>
      <c r="M70" s="1336"/>
      <c r="N70" s="1329" t="str">
        <f>"(Col. "&amp;R42&amp;", Line "&amp;B58&amp;" )"</f>
        <v>(Col. (M), Line 36 )</v>
      </c>
      <c r="R70" s="1326">
        <f>R58</f>
        <v>0</v>
      </c>
    </row>
    <row r="71" spans="2:19" ht="13.5" thickBot="1">
      <c r="B71" s="1316">
        <f>B70+1</f>
        <v>46</v>
      </c>
      <c r="D71" s="1343" t="s">
        <v>1757</v>
      </c>
      <c r="E71" s="1335"/>
      <c r="F71" s="1335"/>
      <c r="G71" s="1335"/>
      <c r="H71" s="1336"/>
      <c r="I71" s="1336"/>
      <c r="J71" s="1329" t="str">
        <f>"(Col. "&amp;L42&amp;", Line "&amp;B69&amp;" + Line "&amp;B70&amp;")"</f>
        <v>(Col. (H), Line 44 + Line 45)</v>
      </c>
      <c r="K71" s="1337"/>
      <c r="L71" s="1344">
        <f>L69+L70</f>
        <v>0</v>
      </c>
      <c r="M71" s="1336"/>
      <c r="N71" s="1329" t="str">
        <f>"(Col. "&amp;R42&amp;", Line "&amp;B69&amp;" + Line "&amp;B70&amp;")"</f>
        <v>(Col. (M), Line 44 + Line 45)</v>
      </c>
      <c r="R71" s="1344">
        <f>R69+R70</f>
        <v>0</v>
      </c>
    </row>
    <row r="72" spans="2:19" ht="13">
      <c r="D72" s="1313"/>
    </row>
    <row r="73" spans="2:19" ht="13">
      <c r="D73" s="1313" t="s">
        <v>920</v>
      </c>
      <c r="J73" s="1345"/>
      <c r="K73" s="1346"/>
      <c r="L73" s="1346"/>
      <c r="N73" s="1346"/>
      <c r="O73" s="1346"/>
      <c r="P73" s="1346"/>
      <c r="Q73" s="1346"/>
      <c r="R73" s="1346"/>
    </row>
    <row r="74" spans="2:19" ht="13">
      <c r="D74" s="1733" t="s">
        <v>912</v>
      </c>
      <c r="E74" s="1734"/>
      <c r="F74" s="1734"/>
      <c r="G74" s="1734"/>
      <c r="H74" s="1735"/>
      <c r="I74" s="1317"/>
      <c r="J74" s="1736" t="s">
        <v>1292</v>
      </c>
      <c r="K74" s="1737"/>
      <c r="L74" s="1738"/>
      <c r="M74" s="1317"/>
      <c r="N74" s="1736" t="s">
        <v>1293</v>
      </c>
      <c r="O74" s="1737"/>
      <c r="P74" s="1737"/>
      <c r="Q74" s="1737"/>
      <c r="R74" s="1738"/>
      <c r="S74" s="1317"/>
    </row>
    <row r="75" spans="2:19" ht="13">
      <c r="D75" s="1318" t="s">
        <v>174</v>
      </c>
      <c r="E75" s="1318" t="s">
        <v>175</v>
      </c>
      <c r="F75" s="1318" t="s">
        <v>1294</v>
      </c>
      <c r="G75" s="1318" t="s">
        <v>1295</v>
      </c>
      <c r="H75" s="1318" t="s">
        <v>1296</v>
      </c>
      <c r="I75" s="1317"/>
      <c r="J75" s="1318" t="s">
        <v>1297</v>
      </c>
      <c r="K75" s="1318" t="s">
        <v>1298</v>
      </c>
      <c r="L75" s="1318" t="s">
        <v>1299</v>
      </c>
      <c r="M75" s="1317"/>
      <c r="N75" s="1318" t="s">
        <v>1300</v>
      </c>
      <c r="O75" s="1318" t="s">
        <v>1301</v>
      </c>
      <c r="P75" s="1318" t="s">
        <v>1302</v>
      </c>
      <c r="Q75" s="1318" t="s">
        <v>1303</v>
      </c>
      <c r="R75" s="1318" t="s">
        <v>1304</v>
      </c>
      <c r="S75" s="1317"/>
    </row>
    <row r="76" spans="2:19" ht="50">
      <c r="B76" s="1319" t="s">
        <v>1305</v>
      </c>
      <c r="D76" s="1320" t="s">
        <v>169</v>
      </c>
      <c r="E76" s="1320" t="s">
        <v>913</v>
      </c>
      <c r="F76" s="1320" t="s">
        <v>914</v>
      </c>
      <c r="G76" s="1320" t="s">
        <v>915</v>
      </c>
      <c r="H76" s="1320" t="s">
        <v>1306</v>
      </c>
      <c r="I76" s="1640"/>
      <c r="J76" s="1320" t="s">
        <v>916</v>
      </c>
      <c r="K76" s="1320" t="s">
        <v>1307</v>
      </c>
      <c r="L76" s="1320" t="s">
        <v>1308</v>
      </c>
      <c r="M76" s="1640"/>
      <c r="N76" s="1320" t="s">
        <v>1003</v>
      </c>
      <c r="O76" s="1320" t="s">
        <v>1309</v>
      </c>
      <c r="P76" s="1320" t="s">
        <v>1310</v>
      </c>
      <c r="Q76" s="1320" t="s">
        <v>1311</v>
      </c>
      <c r="R76" s="1320" t="s">
        <v>1312</v>
      </c>
      <c r="S76" s="1640"/>
    </row>
    <row r="77" spans="2:19">
      <c r="E77" s="1640"/>
      <c r="F77" s="1640"/>
      <c r="G77" s="1640"/>
      <c r="H77" s="1640"/>
      <c r="I77" s="1640"/>
      <c r="J77" s="1640"/>
      <c r="K77" s="1640"/>
      <c r="L77" s="1640"/>
      <c r="M77" s="1640"/>
      <c r="N77" s="1640"/>
      <c r="O77" s="1640"/>
      <c r="P77" s="1640"/>
      <c r="Q77" s="1640"/>
      <c r="R77" s="1640"/>
      <c r="S77" s="1640"/>
    </row>
    <row r="78" spans="2:19">
      <c r="B78" s="1316">
        <f>B71+1</f>
        <v>47</v>
      </c>
      <c r="D78" s="1010" t="s">
        <v>1002</v>
      </c>
      <c r="E78" s="1640"/>
      <c r="F78" s="1640"/>
      <c r="G78" s="1640"/>
      <c r="H78" s="1640"/>
      <c r="I78" s="1640"/>
      <c r="J78" s="1321" t="s">
        <v>1798</v>
      </c>
      <c r="K78" s="1640"/>
      <c r="L78" s="1321">
        <f>'1C - ADIT BOY'!H169</f>
        <v>-85446580.761132613</v>
      </c>
      <c r="M78" s="1640"/>
      <c r="N78" s="1321"/>
      <c r="O78" s="1640"/>
      <c r="P78" s="1640"/>
      <c r="Q78" s="1640"/>
      <c r="R78" s="1321">
        <v>0</v>
      </c>
      <c r="S78" s="1640"/>
    </row>
    <row r="79" spans="2:19">
      <c r="E79" s="1640"/>
      <c r="F79" s="1640"/>
      <c r="G79" s="1640"/>
      <c r="H79" s="1640"/>
      <c r="I79" s="1640"/>
      <c r="J79" s="1640"/>
      <c r="K79" s="1640"/>
      <c r="L79" s="1640"/>
      <c r="M79" s="1640"/>
      <c r="N79" s="1640"/>
      <c r="O79" s="1640"/>
      <c r="P79" s="1640"/>
      <c r="Q79" s="1640"/>
      <c r="R79" s="1640"/>
      <c r="S79" s="1640"/>
    </row>
    <row r="80" spans="2:19">
      <c r="B80" s="1316">
        <f>B78+1</f>
        <v>48</v>
      </c>
      <c r="D80" s="1322" t="s">
        <v>525</v>
      </c>
      <c r="E80" s="1321">
        <v>31</v>
      </c>
      <c r="F80" s="1323">
        <v>0</v>
      </c>
      <c r="G80" s="1323">
        <v>214</v>
      </c>
      <c r="H80" s="1324">
        <f t="shared" ref="H80:H91" si="21">IF(F80=0,0.5,F80/G80)</f>
        <v>0.5</v>
      </c>
      <c r="I80" s="1325"/>
      <c r="J80" s="1321">
        <v>-374416.14754061535</v>
      </c>
      <c r="K80" s="1326">
        <f>+J80*H80</f>
        <v>-187208.07377030767</v>
      </c>
      <c r="L80" s="1326">
        <f>+K80+L78</f>
        <v>-85633788.834902927</v>
      </c>
      <c r="M80" s="1325"/>
      <c r="N80" s="1321">
        <v>0</v>
      </c>
      <c r="O80" s="1326">
        <f>IF($D$177="True-Up Adjustment",N80-J80,0)</f>
        <v>0</v>
      </c>
      <c r="P80" s="1326">
        <f>IF($D$177="True-Up Adjustment",IF(AND(J80&gt;=0,N80&gt;=0),IF(O80&gt;=0,K80+O80,N80/J80*K80),IF(AND(J80&lt;0,N80&lt;0),IF(O80&lt;0,K80+O80,N80/J80*K80),0)),0)</f>
        <v>0</v>
      </c>
      <c r="Q80" s="1326">
        <f t="shared" ref="Q80:Q91" si="22">IF(AND(J80&gt;=0,N80&lt;0),N80,IF(AND(J80&lt;0,N80&gt;=0),N80,0))</f>
        <v>0</v>
      </c>
      <c r="R80" s="1326">
        <f>R78+P80+Q80</f>
        <v>0</v>
      </c>
      <c r="S80" s="1325"/>
    </row>
    <row r="81" spans="2:19">
      <c r="B81" s="1316">
        <f t="shared" ref="B81:B92" si="23">+B80+1</f>
        <v>49</v>
      </c>
      <c r="D81" s="1322" t="s">
        <v>526</v>
      </c>
      <c r="E81" s="1321">
        <v>28</v>
      </c>
      <c r="F81" s="1323">
        <v>0</v>
      </c>
      <c r="G81" s="1323">
        <v>214</v>
      </c>
      <c r="H81" s="1324">
        <f t="shared" si="21"/>
        <v>0.5</v>
      </c>
      <c r="I81" s="1325"/>
      <c r="J81" s="1321">
        <v>-372997.62766138924</v>
      </c>
      <c r="K81" s="1326">
        <f>+J81*H81</f>
        <v>-186498.81383069462</v>
      </c>
      <c r="L81" s="1326">
        <f t="shared" ref="L81:L91" si="24">+K81+L80</f>
        <v>-85820287.648733616</v>
      </c>
      <c r="M81" s="1325"/>
      <c r="N81" s="1321">
        <v>0</v>
      </c>
      <c r="O81" s="1326">
        <f t="shared" ref="O81:O91" si="25">IF($D$177="True-Up Adjustment",N81-J81,0)</f>
        <v>0</v>
      </c>
      <c r="P81" s="1326">
        <f t="shared" ref="P81:P91" si="26">IF($D$177="True-Up Adjustment",IF(AND(J81&gt;=0,N81&gt;=0),IF(O81&gt;=0,K81+O81,N81/J81*K81),IF(AND(J81&lt;0,N81&lt;0),IF(O81&lt;0,K81+O81,N81/J81*K81),0)),0)</f>
        <v>0</v>
      </c>
      <c r="Q81" s="1326">
        <f t="shared" si="22"/>
        <v>0</v>
      </c>
      <c r="R81" s="1326">
        <f t="shared" ref="R81:R91" si="27">R80+P81+Q81</f>
        <v>0</v>
      </c>
      <c r="S81" s="1325"/>
    </row>
    <row r="82" spans="2:19">
      <c r="B82" s="1316">
        <f t="shared" si="23"/>
        <v>50</v>
      </c>
      <c r="D82" s="1322" t="s">
        <v>545</v>
      </c>
      <c r="E82" s="1321">
        <v>31</v>
      </c>
      <c r="F82" s="1323">
        <v>0</v>
      </c>
      <c r="G82" s="1323">
        <v>214</v>
      </c>
      <c r="H82" s="1324">
        <f t="shared" si="21"/>
        <v>0.5</v>
      </c>
      <c r="I82" s="1325"/>
      <c r="J82" s="1321">
        <v>-378438.94100068801</v>
      </c>
      <c r="K82" s="1326">
        <f t="shared" ref="K82:K91" si="28">+J82*H82</f>
        <v>-189219.470500344</v>
      </c>
      <c r="L82" s="1326">
        <f t="shared" si="24"/>
        <v>-86009507.119233966</v>
      </c>
      <c r="M82" s="1325"/>
      <c r="N82" s="1321">
        <v>0</v>
      </c>
      <c r="O82" s="1326">
        <f t="shared" si="25"/>
        <v>0</v>
      </c>
      <c r="P82" s="1326">
        <f t="shared" si="26"/>
        <v>0</v>
      </c>
      <c r="Q82" s="1326">
        <f t="shared" si="22"/>
        <v>0</v>
      </c>
      <c r="R82" s="1326">
        <f t="shared" si="27"/>
        <v>0</v>
      </c>
      <c r="S82" s="1325"/>
    </row>
    <row r="83" spans="2:19">
      <c r="B83" s="1316">
        <f t="shared" si="23"/>
        <v>51</v>
      </c>
      <c r="D83" s="1322" t="s">
        <v>171</v>
      </c>
      <c r="E83" s="1321">
        <v>30</v>
      </c>
      <c r="F83" s="1323">
        <v>0</v>
      </c>
      <c r="G83" s="1323">
        <v>214</v>
      </c>
      <c r="H83" s="1324">
        <f t="shared" si="21"/>
        <v>0.5</v>
      </c>
      <c r="I83" s="1325"/>
      <c r="J83" s="1321">
        <v>-370163.1619505749</v>
      </c>
      <c r="K83" s="1326">
        <f t="shared" si="28"/>
        <v>-185081.58097528745</v>
      </c>
      <c r="L83" s="1326">
        <f t="shared" si="24"/>
        <v>-86194588.70020926</v>
      </c>
      <c r="M83" s="1325"/>
      <c r="N83" s="1321">
        <v>0</v>
      </c>
      <c r="O83" s="1326">
        <f t="shared" si="25"/>
        <v>0</v>
      </c>
      <c r="P83" s="1326">
        <f t="shared" si="26"/>
        <v>0</v>
      </c>
      <c r="Q83" s="1326">
        <f t="shared" si="22"/>
        <v>0</v>
      </c>
      <c r="R83" s="1326">
        <f t="shared" si="27"/>
        <v>0</v>
      </c>
      <c r="S83" s="1325"/>
    </row>
    <row r="84" spans="2:19">
      <c r="B84" s="1316">
        <f t="shared" si="23"/>
        <v>52</v>
      </c>
      <c r="D84" s="1322" t="s">
        <v>172</v>
      </c>
      <c r="E84" s="1321">
        <v>31</v>
      </c>
      <c r="F84" s="1323">
        <v>0</v>
      </c>
      <c r="G84" s="1323">
        <v>214</v>
      </c>
      <c r="H84" s="1324">
        <f t="shared" si="21"/>
        <v>0.5</v>
      </c>
      <c r="I84" s="1325"/>
      <c r="J84" s="1321">
        <v>-367573.98682360427</v>
      </c>
      <c r="K84" s="1326">
        <f t="shared" si="28"/>
        <v>-183786.99341180213</v>
      </c>
      <c r="L84" s="1326">
        <f t="shared" si="24"/>
        <v>-86378375.693621069</v>
      </c>
      <c r="M84" s="1325"/>
      <c r="N84" s="1321">
        <v>0</v>
      </c>
      <c r="O84" s="1326">
        <f t="shared" si="25"/>
        <v>0</v>
      </c>
      <c r="P84" s="1326">
        <f t="shared" si="26"/>
        <v>0</v>
      </c>
      <c r="Q84" s="1326">
        <f t="shared" si="22"/>
        <v>0</v>
      </c>
      <c r="R84" s="1326">
        <f t="shared" si="27"/>
        <v>0</v>
      </c>
      <c r="S84" s="1325"/>
    </row>
    <row r="85" spans="2:19">
      <c r="B85" s="1316">
        <f t="shared" si="23"/>
        <v>53</v>
      </c>
      <c r="D85" s="1322" t="s">
        <v>173</v>
      </c>
      <c r="E85" s="1321">
        <v>30</v>
      </c>
      <c r="F85" s="1323">
        <v>185</v>
      </c>
      <c r="G85" s="1323">
        <v>214</v>
      </c>
      <c r="H85" s="1324">
        <f t="shared" si="21"/>
        <v>0.86448598130841126</v>
      </c>
      <c r="I85" s="1325"/>
      <c r="J85" s="1321">
        <v>-364126.13194255577</v>
      </c>
      <c r="K85" s="1326">
        <f t="shared" si="28"/>
        <v>-314781.93649239634</v>
      </c>
      <c r="L85" s="1326">
        <f t="shared" si="24"/>
        <v>-86693157.630113468</v>
      </c>
      <c r="M85" s="1325"/>
      <c r="N85" s="1321">
        <v>0</v>
      </c>
      <c r="O85" s="1326">
        <f t="shared" si="25"/>
        <v>0</v>
      </c>
      <c r="P85" s="1326">
        <f t="shared" si="26"/>
        <v>0</v>
      </c>
      <c r="Q85" s="1326">
        <f t="shared" si="22"/>
        <v>0</v>
      </c>
      <c r="R85" s="1326">
        <f t="shared" si="27"/>
        <v>0</v>
      </c>
      <c r="S85" s="1325"/>
    </row>
    <row r="86" spans="2:19">
      <c r="B86" s="1316">
        <f t="shared" si="23"/>
        <v>54</v>
      </c>
      <c r="D86" s="1322" t="s">
        <v>528</v>
      </c>
      <c r="E86" s="1321">
        <v>31</v>
      </c>
      <c r="F86" s="1323">
        <v>154</v>
      </c>
      <c r="G86" s="1323">
        <v>214</v>
      </c>
      <c r="H86" s="1324">
        <f t="shared" si="21"/>
        <v>0.71962616822429903</v>
      </c>
      <c r="I86" s="1325"/>
      <c r="J86" s="1321">
        <v>-362650.58773770137</v>
      </c>
      <c r="K86" s="1326">
        <f t="shared" si="28"/>
        <v>-260972.852857972</v>
      </c>
      <c r="L86" s="1326">
        <f t="shared" si="24"/>
        <v>-86954130.482971445</v>
      </c>
      <c r="M86" s="1325"/>
      <c r="N86" s="1321">
        <v>0</v>
      </c>
      <c r="O86" s="1326">
        <f t="shared" si="25"/>
        <v>0</v>
      </c>
      <c r="P86" s="1326">
        <f t="shared" si="26"/>
        <v>0</v>
      </c>
      <c r="Q86" s="1326">
        <f t="shared" si="22"/>
        <v>0</v>
      </c>
      <c r="R86" s="1326">
        <f t="shared" si="27"/>
        <v>0</v>
      </c>
      <c r="S86" s="1325"/>
    </row>
    <row r="87" spans="2:19">
      <c r="B87" s="1316">
        <f t="shared" si="23"/>
        <v>55</v>
      </c>
      <c r="D87" s="1322" t="s">
        <v>546</v>
      </c>
      <c r="E87" s="1321">
        <v>31</v>
      </c>
      <c r="F87" s="1323">
        <v>123</v>
      </c>
      <c r="G87" s="1323">
        <v>214</v>
      </c>
      <c r="H87" s="1324">
        <f t="shared" si="21"/>
        <v>0.57476635514018692</v>
      </c>
      <c r="I87" s="1325"/>
      <c r="J87" s="1321">
        <v>-361097.7789825169</v>
      </c>
      <c r="K87" s="1326">
        <f t="shared" si="28"/>
        <v>-207546.85427499804</v>
      </c>
      <c r="L87" s="1326">
        <f t="shared" si="24"/>
        <v>-87161677.337246448</v>
      </c>
      <c r="M87" s="1325"/>
      <c r="N87" s="1321">
        <v>0</v>
      </c>
      <c r="O87" s="1326">
        <f t="shared" si="25"/>
        <v>0</v>
      </c>
      <c r="P87" s="1326">
        <f t="shared" si="26"/>
        <v>0</v>
      </c>
      <c r="Q87" s="1326">
        <f t="shared" si="22"/>
        <v>0</v>
      </c>
      <c r="R87" s="1326">
        <f t="shared" si="27"/>
        <v>0</v>
      </c>
      <c r="S87" s="1325"/>
    </row>
    <row r="88" spans="2:19">
      <c r="B88" s="1316">
        <f t="shared" si="23"/>
        <v>56</v>
      </c>
      <c r="D88" s="1322" t="s">
        <v>530</v>
      </c>
      <c r="E88" s="1321">
        <v>30</v>
      </c>
      <c r="F88" s="1323">
        <v>93</v>
      </c>
      <c r="G88" s="1323">
        <v>214</v>
      </c>
      <c r="H88" s="1324">
        <f t="shared" si="21"/>
        <v>0.43457943925233644</v>
      </c>
      <c r="I88" s="1325"/>
      <c r="J88" s="1321">
        <v>-362824.40753445745</v>
      </c>
      <c r="K88" s="1326">
        <f t="shared" si="28"/>
        <v>-157676.02757338571</v>
      </c>
      <c r="L88" s="1326">
        <f t="shared" si="24"/>
        <v>-87319353.36481984</v>
      </c>
      <c r="M88" s="1325"/>
      <c r="N88" s="1321">
        <v>0</v>
      </c>
      <c r="O88" s="1326">
        <f t="shared" si="25"/>
        <v>0</v>
      </c>
      <c r="P88" s="1326">
        <f t="shared" si="26"/>
        <v>0</v>
      </c>
      <c r="Q88" s="1326">
        <f t="shared" si="22"/>
        <v>0</v>
      </c>
      <c r="R88" s="1326">
        <f t="shared" si="27"/>
        <v>0</v>
      </c>
      <c r="S88" s="1325"/>
    </row>
    <row r="89" spans="2:19">
      <c r="B89" s="1316">
        <f t="shared" si="23"/>
        <v>57</v>
      </c>
      <c r="D89" s="1322" t="s">
        <v>531</v>
      </c>
      <c r="E89" s="1321">
        <v>31</v>
      </c>
      <c r="F89" s="1323">
        <v>62</v>
      </c>
      <c r="G89" s="1323">
        <v>214</v>
      </c>
      <c r="H89" s="1324">
        <f t="shared" si="21"/>
        <v>0.28971962616822428</v>
      </c>
      <c r="I89" s="1325"/>
      <c r="J89" s="1321">
        <v>-355908.12810174032</v>
      </c>
      <c r="K89" s="1326">
        <f t="shared" si="28"/>
        <v>-103113.56982386869</v>
      </c>
      <c r="L89" s="1326">
        <f t="shared" si="24"/>
        <v>-87422466.934643716</v>
      </c>
      <c r="M89" s="1325"/>
      <c r="N89" s="1321">
        <v>0</v>
      </c>
      <c r="O89" s="1326">
        <f t="shared" si="25"/>
        <v>0</v>
      </c>
      <c r="P89" s="1326">
        <f t="shared" si="26"/>
        <v>0</v>
      </c>
      <c r="Q89" s="1326">
        <f t="shared" si="22"/>
        <v>0</v>
      </c>
      <c r="R89" s="1326">
        <f t="shared" si="27"/>
        <v>0</v>
      </c>
      <c r="S89" s="1325"/>
    </row>
    <row r="90" spans="2:19">
      <c r="B90" s="1316">
        <f t="shared" si="23"/>
        <v>58</v>
      </c>
      <c r="D90" s="1322" t="s">
        <v>532</v>
      </c>
      <c r="E90" s="1321">
        <v>30</v>
      </c>
      <c r="F90" s="1323">
        <v>32</v>
      </c>
      <c r="G90" s="1323">
        <v>214</v>
      </c>
      <c r="H90" s="1324">
        <f t="shared" si="21"/>
        <v>0.14953271028037382</v>
      </c>
      <c r="I90" s="1325"/>
      <c r="J90" s="1321">
        <v>-353716.95409491658</v>
      </c>
      <c r="K90" s="1326">
        <f t="shared" si="28"/>
        <v>-52892.254817931447</v>
      </c>
      <c r="L90" s="1326">
        <f t="shared" si="24"/>
        <v>-87475359.189461648</v>
      </c>
      <c r="M90" s="1325"/>
      <c r="N90" s="1321">
        <v>0</v>
      </c>
      <c r="O90" s="1326">
        <f t="shared" si="25"/>
        <v>0</v>
      </c>
      <c r="P90" s="1326">
        <f t="shared" si="26"/>
        <v>0</v>
      </c>
      <c r="Q90" s="1326">
        <f t="shared" si="22"/>
        <v>0</v>
      </c>
      <c r="R90" s="1326">
        <f t="shared" si="27"/>
        <v>0</v>
      </c>
      <c r="S90" s="1325"/>
    </row>
    <row r="91" spans="2:19">
      <c r="B91" s="1316">
        <f t="shared" si="23"/>
        <v>59</v>
      </c>
      <c r="D91" s="1327" t="s">
        <v>749</v>
      </c>
      <c r="E91" s="1321">
        <v>31</v>
      </c>
      <c r="F91" s="1328">
        <v>1</v>
      </c>
      <c r="G91" s="1323">
        <v>214</v>
      </c>
      <c r="H91" s="1324">
        <f t="shared" si="21"/>
        <v>4.6728971962616819E-3</v>
      </c>
      <c r="I91" s="1325"/>
      <c r="J91" s="1321">
        <v>-226743.00722930892</v>
      </c>
      <c r="K91" s="1326">
        <f t="shared" si="28"/>
        <v>-1059.5467627537798</v>
      </c>
      <c r="L91" s="1326">
        <f t="shared" si="24"/>
        <v>-87476418.736224398</v>
      </c>
      <c r="M91" s="1325"/>
      <c r="N91" s="1321">
        <v>0</v>
      </c>
      <c r="O91" s="1326">
        <f t="shared" si="25"/>
        <v>0</v>
      </c>
      <c r="P91" s="1326">
        <f t="shared" si="26"/>
        <v>0</v>
      </c>
      <c r="Q91" s="1326">
        <f t="shared" si="22"/>
        <v>0</v>
      </c>
      <c r="R91" s="1326">
        <f t="shared" si="27"/>
        <v>0</v>
      </c>
      <c r="S91" s="1325"/>
    </row>
    <row r="92" spans="2:19">
      <c r="B92" s="1316">
        <f t="shared" si="23"/>
        <v>60</v>
      </c>
      <c r="D92" s="1329" t="str">
        <f>"Total (Sum of Lines "&amp;B80&amp;" - "&amp;B91&amp;")"</f>
        <v>Total (Sum of Lines 48 - 59)</v>
      </c>
      <c r="E92" s="1330">
        <f>SUM(E80:E91)</f>
        <v>365</v>
      </c>
      <c r="F92" s="1331"/>
      <c r="G92" s="1331"/>
      <c r="H92" s="1332"/>
      <c r="I92" s="1333"/>
      <c r="J92" s="1330">
        <f>SUM(J80:J91)</f>
        <v>-4250656.8606000692</v>
      </c>
      <c r="K92" s="1330">
        <f>SUM(K80:K91)</f>
        <v>-2029837.9750917419</v>
      </c>
      <c r="L92" s="1330"/>
      <c r="M92" s="1333"/>
      <c r="N92" s="1330">
        <f>SUM(N80:N91)</f>
        <v>0</v>
      </c>
      <c r="O92" s="1330">
        <f>SUM(O80:O91)</f>
        <v>0</v>
      </c>
      <c r="P92" s="1330">
        <f>SUM(P80:P91)</f>
        <v>0</v>
      </c>
      <c r="Q92" s="1330">
        <f>SUM(Q80:Q91)</f>
        <v>0</v>
      </c>
      <c r="R92" s="1334"/>
      <c r="S92" s="1333"/>
    </row>
    <row r="93" spans="2:19">
      <c r="D93" s="1335"/>
      <c r="E93" s="1335"/>
      <c r="F93" s="1335"/>
      <c r="G93" s="1335"/>
      <c r="H93" s="1336"/>
      <c r="I93" s="1336"/>
      <c r="K93" s="1337"/>
      <c r="L93" s="1336"/>
      <c r="M93" s="1336"/>
      <c r="N93" s="1347"/>
      <c r="O93" s="1337"/>
      <c r="P93" s="1337"/>
      <c r="Q93" s="1337"/>
      <c r="R93" s="1336"/>
      <c r="S93" s="1336"/>
    </row>
    <row r="94" spans="2:19" ht="15" customHeight="1">
      <c r="B94" s="1316">
        <f>B92+1</f>
        <v>61</v>
      </c>
      <c r="D94" s="1010" t="s">
        <v>917</v>
      </c>
      <c r="I94" s="1336"/>
      <c r="J94" s="1321" t="s">
        <v>1798</v>
      </c>
      <c r="L94" s="1321">
        <f>'1C - ADIT BOY'!E13</f>
        <v>-175369269.81972218</v>
      </c>
      <c r="M94" s="1338"/>
      <c r="N94" s="1321"/>
      <c r="R94" s="1321">
        <v>0</v>
      </c>
    </row>
    <row r="95" spans="2:19">
      <c r="B95" s="1316">
        <f>B94+1</f>
        <v>62</v>
      </c>
      <c r="D95" s="1010" t="s">
        <v>921</v>
      </c>
      <c r="I95" s="1336"/>
      <c r="J95" s="1339" t="s">
        <v>639</v>
      </c>
      <c r="L95" s="1340">
        <v>0</v>
      </c>
      <c r="M95" s="1341"/>
      <c r="N95" s="1339"/>
      <c r="R95" s="1340">
        <v>0</v>
      </c>
    </row>
    <row r="96" spans="2:19">
      <c r="B96" s="1316">
        <f>B95+1</f>
        <v>63</v>
      </c>
      <c r="D96" s="1010" t="s">
        <v>918</v>
      </c>
      <c r="I96" s="1336"/>
      <c r="J96" s="1329" t="str">
        <f>"(Col. "&amp;L75&amp;", Line "&amp;B94&amp;" + Line "&amp;B95&amp;")"</f>
        <v>(Col. (H), Line 61 + Line 62)</v>
      </c>
      <c r="L96" s="1342">
        <f>L94+L95</f>
        <v>-175369269.81972218</v>
      </c>
      <c r="M96" s="1336"/>
      <c r="N96" s="1329" t="str">
        <f>"(Col. "&amp;R75&amp;", Line "&amp;B94&amp;" + Line "&amp;B95&amp;")"</f>
        <v>(Col. (M), Line 61 + Line 62)</v>
      </c>
      <c r="R96" s="1342">
        <f>R94+R95</f>
        <v>0</v>
      </c>
    </row>
    <row r="97" spans="2:19">
      <c r="I97" s="1336"/>
      <c r="L97" s="1342"/>
      <c r="M97" s="1336"/>
      <c r="R97" s="1342"/>
    </row>
    <row r="98" spans="2:19">
      <c r="B98" s="1316">
        <f>B96+1</f>
        <v>64</v>
      </c>
      <c r="D98" s="1010" t="s">
        <v>1001</v>
      </c>
      <c r="I98" s="1336"/>
      <c r="J98" s="1642" t="s">
        <v>1811</v>
      </c>
      <c r="L98" s="1321">
        <f>'1B - ADIT EOY'!E13</f>
        <v>-179760360.51164731</v>
      </c>
      <c r="M98" s="1338"/>
      <c r="N98" s="1321"/>
      <c r="R98" s="1321">
        <v>0</v>
      </c>
    </row>
    <row r="99" spans="2:19">
      <c r="B99" s="1316">
        <f>B98+1</f>
        <v>65</v>
      </c>
      <c r="D99" s="1010" t="s">
        <v>922</v>
      </c>
      <c r="I99" s="1336"/>
      <c r="J99" s="1339" t="s">
        <v>639</v>
      </c>
      <c r="L99" s="1340">
        <v>0</v>
      </c>
      <c r="M99" s="1336"/>
      <c r="N99" s="1339"/>
      <c r="R99" s="1340">
        <v>0</v>
      </c>
    </row>
    <row r="100" spans="2:19">
      <c r="B100" s="1316">
        <f>B99+1</f>
        <v>66</v>
      </c>
      <c r="D100" s="1010" t="s">
        <v>923</v>
      </c>
      <c r="I100" s="1336"/>
      <c r="J100" s="1329" t="str">
        <f>"(Col. "&amp;L75&amp;", Line "&amp;B98&amp;" + Line "&amp;B99&amp;")"</f>
        <v>(Col. (H), Line 64 + Line 65)</v>
      </c>
      <c r="L100" s="1342">
        <f>L98+L99</f>
        <v>-179760360.51164731</v>
      </c>
      <c r="M100" s="1336"/>
      <c r="N100" s="1329" t="str">
        <f>"(Col. "&amp;R75&amp;", Line "&amp;B98&amp;" + Line "&amp;B99&amp;")"</f>
        <v>(Col. (M), Line 64 + Line 65)</v>
      </c>
      <c r="R100" s="1342">
        <f>R98+R99</f>
        <v>0</v>
      </c>
    </row>
    <row r="101" spans="2:19">
      <c r="I101" s="1336"/>
      <c r="L101" s="1342"/>
      <c r="M101" s="1336"/>
      <c r="R101" s="1342"/>
    </row>
    <row r="102" spans="2:19">
      <c r="B102" s="1316">
        <f>B100+1</f>
        <v>67</v>
      </c>
      <c r="D102" s="1010" t="s">
        <v>1000</v>
      </c>
      <c r="I102" s="1336"/>
      <c r="J102" s="1329" t="str">
        <f>"([Col. "&amp;L75&amp;", Line "&amp;B96&amp;" + Line "&amp;B100&amp;"] /2)"</f>
        <v>([Col. (H), Line 63 + Line 66] /2)</v>
      </c>
      <c r="L102" s="1326">
        <f>(L96+L100)/2</f>
        <v>-177564815.16568476</v>
      </c>
      <c r="M102" s="1336"/>
      <c r="N102" s="1329" t="str">
        <f>"([Col. "&amp;R75&amp;", Line "&amp;B96&amp;" + Line "&amp;B100&amp;"] /2)"</f>
        <v>([Col. (M), Line 63 + Line 66] /2)</v>
      </c>
      <c r="R102" s="1326">
        <f>(R96+R100)/2</f>
        <v>0</v>
      </c>
    </row>
    <row r="103" spans="2:19">
      <c r="B103" s="1316">
        <f>B102+1</f>
        <v>68</v>
      </c>
      <c r="D103" s="1335" t="s">
        <v>999</v>
      </c>
      <c r="E103" s="1335"/>
      <c r="F103" s="1335"/>
      <c r="G103" s="1335"/>
      <c r="H103" s="1336"/>
      <c r="I103" s="1336"/>
      <c r="J103" s="1329" t="str">
        <f>"(Col. "&amp;L75&amp;", Line "&amp;B91&amp;" )"</f>
        <v>(Col. (H), Line 59 )</v>
      </c>
      <c r="K103" s="1337"/>
      <c r="L103" s="1326">
        <f>L91</f>
        <v>-87476418.736224398</v>
      </c>
      <c r="M103" s="1336"/>
      <c r="N103" s="1329" t="str">
        <f>"(Col. "&amp;R75&amp;", Line "&amp;B91&amp;" )"</f>
        <v>(Col. (M), Line 59 )</v>
      </c>
      <c r="R103" s="1326">
        <f>R91</f>
        <v>0</v>
      </c>
    </row>
    <row r="104" spans="2:19" ht="13.5" thickBot="1">
      <c r="B104" s="1316">
        <f>B103+1</f>
        <v>69</v>
      </c>
      <c r="D104" s="1343" t="s">
        <v>1758</v>
      </c>
      <c r="E104" s="1335"/>
      <c r="F104" s="1335"/>
      <c r="G104" s="1335"/>
      <c r="H104" s="1336"/>
      <c r="I104" s="1336"/>
      <c r="J104" s="1329" t="str">
        <f>"(Col. "&amp;L75&amp;", Line "&amp;B102&amp;" + Line "&amp;B103&amp;")"</f>
        <v>(Col. (H), Line 67 + Line 68)</v>
      </c>
      <c r="K104" s="1337"/>
      <c r="L104" s="1344">
        <f>L102+L103</f>
        <v>-265041233.90190917</v>
      </c>
      <c r="M104" s="1336"/>
      <c r="N104" s="1329" t="str">
        <f>"(Col. "&amp;R75&amp;", Line "&amp;B102&amp;" + Line "&amp;B103&amp;")"</f>
        <v>(Col. (M), Line 67 + Line 68)</v>
      </c>
      <c r="R104" s="1344">
        <f>R102+R103</f>
        <v>0</v>
      </c>
    </row>
    <row r="105" spans="2:19" ht="13">
      <c r="D105" s="1313"/>
    </row>
    <row r="106" spans="2:19" ht="13">
      <c r="D106" s="1313" t="s">
        <v>924</v>
      </c>
      <c r="J106" s="1740"/>
      <c r="K106" s="1740"/>
      <c r="L106" s="1740"/>
      <c r="N106" s="1740"/>
      <c r="O106" s="1740"/>
      <c r="P106" s="1740"/>
      <c r="Q106" s="1740"/>
      <c r="R106" s="1740"/>
    </row>
    <row r="107" spans="2:19" ht="13">
      <c r="D107" s="1733" t="s">
        <v>912</v>
      </c>
      <c r="E107" s="1734"/>
      <c r="F107" s="1734"/>
      <c r="G107" s="1734"/>
      <c r="H107" s="1735"/>
      <c r="I107" s="1317"/>
      <c r="J107" s="1736" t="s">
        <v>1292</v>
      </c>
      <c r="K107" s="1737"/>
      <c r="L107" s="1738"/>
      <c r="M107" s="1317"/>
      <c r="N107" s="1736" t="s">
        <v>1293</v>
      </c>
      <c r="O107" s="1737"/>
      <c r="P107" s="1737"/>
      <c r="Q107" s="1737"/>
      <c r="R107" s="1738"/>
      <c r="S107" s="1317"/>
    </row>
    <row r="108" spans="2:19" ht="13">
      <c r="D108" s="1318" t="s">
        <v>174</v>
      </c>
      <c r="E108" s="1318" t="s">
        <v>175</v>
      </c>
      <c r="F108" s="1318" t="s">
        <v>1294</v>
      </c>
      <c r="G108" s="1318" t="s">
        <v>1295</v>
      </c>
      <c r="H108" s="1318" t="s">
        <v>1296</v>
      </c>
      <c r="I108" s="1317"/>
      <c r="J108" s="1318" t="s">
        <v>1297</v>
      </c>
      <c r="K108" s="1318" t="s">
        <v>1298</v>
      </c>
      <c r="L108" s="1318" t="s">
        <v>1299</v>
      </c>
      <c r="M108" s="1317"/>
      <c r="N108" s="1318" t="s">
        <v>1300</v>
      </c>
      <c r="O108" s="1318" t="s">
        <v>1301</v>
      </c>
      <c r="P108" s="1318" t="s">
        <v>1302</v>
      </c>
      <c r="Q108" s="1318" t="s">
        <v>1303</v>
      </c>
      <c r="R108" s="1318" t="s">
        <v>1304</v>
      </c>
      <c r="S108" s="1317"/>
    </row>
    <row r="109" spans="2:19" ht="50">
      <c r="B109" s="1319" t="s">
        <v>1305</v>
      </c>
      <c r="D109" s="1320" t="s">
        <v>169</v>
      </c>
      <c r="E109" s="1320" t="s">
        <v>913</v>
      </c>
      <c r="F109" s="1320" t="s">
        <v>914</v>
      </c>
      <c r="G109" s="1320" t="s">
        <v>915</v>
      </c>
      <c r="H109" s="1320" t="s">
        <v>1306</v>
      </c>
      <c r="I109" s="1640"/>
      <c r="J109" s="1320" t="s">
        <v>916</v>
      </c>
      <c r="K109" s="1320" t="s">
        <v>1307</v>
      </c>
      <c r="L109" s="1320" t="s">
        <v>1308</v>
      </c>
      <c r="M109" s="1640"/>
      <c r="N109" s="1320" t="s">
        <v>1003</v>
      </c>
      <c r="O109" s="1320" t="s">
        <v>1309</v>
      </c>
      <c r="P109" s="1320" t="s">
        <v>1310</v>
      </c>
      <c r="Q109" s="1320" t="s">
        <v>1311</v>
      </c>
      <c r="R109" s="1320" t="s">
        <v>1312</v>
      </c>
      <c r="S109" s="1640"/>
    </row>
    <row r="110" spans="2:19">
      <c r="E110" s="1640"/>
      <c r="F110" s="1640"/>
      <c r="G110" s="1640"/>
      <c r="H110" s="1640"/>
      <c r="I110" s="1640"/>
      <c r="J110" s="1640"/>
      <c r="K110" s="1640"/>
      <c r="L110" s="1640"/>
      <c r="M110" s="1640"/>
      <c r="N110" s="1640"/>
      <c r="O110" s="1640"/>
      <c r="P110" s="1640"/>
      <c r="Q110" s="1640"/>
      <c r="R110" s="1640"/>
      <c r="S110" s="1640"/>
    </row>
    <row r="111" spans="2:19">
      <c r="B111" s="1316">
        <f>B104+1</f>
        <v>70</v>
      </c>
      <c r="D111" s="1010" t="s">
        <v>1002</v>
      </c>
      <c r="E111" s="1640"/>
      <c r="F111" s="1640"/>
      <c r="G111" s="1640"/>
      <c r="H111" s="1640"/>
      <c r="I111" s="1640"/>
      <c r="J111" s="1321" t="s">
        <v>1798</v>
      </c>
      <c r="K111" s="1640"/>
      <c r="L111" s="1321">
        <v>0</v>
      </c>
      <c r="M111" s="1640"/>
      <c r="N111" s="1321"/>
      <c r="O111" s="1640"/>
      <c r="P111" s="1640"/>
      <c r="Q111" s="1640"/>
      <c r="R111" s="1321">
        <v>0</v>
      </c>
      <c r="S111" s="1640"/>
    </row>
    <row r="112" spans="2:19">
      <c r="E112" s="1640"/>
      <c r="F112" s="1640"/>
      <c r="G112" s="1640"/>
      <c r="H112" s="1640"/>
      <c r="I112" s="1640"/>
      <c r="J112" s="1640"/>
      <c r="K112" s="1640"/>
      <c r="L112" s="1640"/>
      <c r="M112" s="1640"/>
      <c r="N112" s="1640"/>
      <c r="O112" s="1640"/>
      <c r="P112" s="1640"/>
      <c r="Q112" s="1640"/>
      <c r="R112" s="1640"/>
      <c r="S112" s="1640"/>
    </row>
    <row r="113" spans="2:19">
      <c r="B113" s="1316">
        <f>B111+1</f>
        <v>71</v>
      </c>
      <c r="D113" s="1322" t="s">
        <v>525</v>
      </c>
      <c r="E113" s="1321">
        <v>31</v>
      </c>
      <c r="F113" s="1323">
        <v>0</v>
      </c>
      <c r="G113" s="1323">
        <v>214</v>
      </c>
      <c r="H113" s="1324">
        <f t="shared" ref="H113:H124" si="29">IF(F113=0,0.5,F113/G113)</f>
        <v>0.5</v>
      </c>
      <c r="I113" s="1325"/>
      <c r="J113" s="1321">
        <v>0</v>
      </c>
      <c r="K113" s="1326">
        <f t="shared" ref="K113:K124" si="30">+J113*H113</f>
        <v>0</v>
      </c>
      <c r="L113" s="1326">
        <f>+K113</f>
        <v>0</v>
      </c>
      <c r="M113" s="1325"/>
      <c r="N113" s="1321">
        <v>0</v>
      </c>
      <c r="O113" s="1326">
        <f>IF($D$177="True-Up Adjustment",N113-J113,0)</f>
        <v>0</v>
      </c>
      <c r="P113" s="1326">
        <f>IF($D$177="True-Up Adjustment",IF(AND(J113&gt;=0,N113&gt;=0),IF(O113&gt;=0,K113+O113,N113/J113*K113),IF(AND(J113&lt;0,N113&lt;0),IF(O113&lt;0,K113+O113,N113/J113*K113),0)),0)</f>
        <v>0</v>
      </c>
      <c r="Q113" s="1326">
        <f t="shared" ref="Q113:Q124" si="31">IF(AND(J113&gt;=0,N113&lt;0),N113,IF(AND(J113&lt;0,N113&gt;=0),N113,0))</f>
        <v>0</v>
      </c>
      <c r="R113" s="1326">
        <f>+P113+Q113</f>
        <v>0</v>
      </c>
      <c r="S113" s="1325"/>
    </row>
    <row r="114" spans="2:19">
      <c r="B114" s="1316">
        <f t="shared" ref="B114:B125" si="32">+B113+1</f>
        <v>72</v>
      </c>
      <c r="D114" s="1322" t="s">
        <v>526</v>
      </c>
      <c r="E114" s="1321">
        <v>28</v>
      </c>
      <c r="F114" s="1323">
        <v>0</v>
      </c>
      <c r="G114" s="1323">
        <v>214</v>
      </c>
      <c r="H114" s="1324">
        <f t="shared" si="29"/>
        <v>0.5</v>
      </c>
      <c r="I114" s="1325"/>
      <c r="J114" s="1321">
        <v>0</v>
      </c>
      <c r="K114" s="1326">
        <f t="shared" si="30"/>
        <v>0</v>
      </c>
      <c r="L114" s="1326">
        <f t="shared" ref="L114:L124" si="33">+K114+L113</f>
        <v>0</v>
      </c>
      <c r="M114" s="1325"/>
      <c r="N114" s="1321">
        <v>0</v>
      </c>
      <c r="O114" s="1326">
        <f t="shared" ref="O114:O124" si="34">IF($D$177="True-Up Adjustment",N114-J114,0)</f>
        <v>0</v>
      </c>
      <c r="P114" s="1326">
        <f t="shared" ref="P114:P124" si="35">IF($D$177="True-Up Adjustment",IF(AND(J114&gt;=0,N114&gt;=0),IF(O114&gt;=0,K114+O114,N114/J114*K114),IF(AND(J114&lt;0,N114&lt;0),IF(O114&lt;0,K114+O114,N114/J114*K114),0)),0)</f>
        <v>0</v>
      </c>
      <c r="Q114" s="1326">
        <f t="shared" si="31"/>
        <v>0</v>
      </c>
      <c r="R114" s="1326">
        <f t="shared" ref="R114:R124" si="36">R113+P114+Q114</f>
        <v>0</v>
      </c>
      <c r="S114" s="1325"/>
    </row>
    <row r="115" spans="2:19">
      <c r="B115" s="1316">
        <f t="shared" si="32"/>
        <v>73</v>
      </c>
      <c r="D115" s="1322" t="s">
        <v>545</v>
      </c>
      <c r="E115" s="1321">
        <v>31</v>
      </c>
      <c r="F115" s="1323">
        <v>0</v>
      </c>
      <c r="G115" s="1323">
        <v>214</v>
      </c>
      <c r="H115" s="1324">
        <f t="shared" si="29"/>
        <v>0.5</v>
      </c>
      <c r="I115" s="1325"/>
      <c r="J115" s="1321">
        <v>0</v>
      </c>
      <c r="K115" s="1326">
        <f t="shared" si="30"/>
        <v>0</v>
      </c>
      <c r="L115" s="1326">
        <f t="shared" si="33"/>
        <v>0</v>
      </c>
      <c r="M115" s="1325"/>
      <c r="N115" s="1321">
        <v>0</v>
      </c>
      <c r="O115" s="1326">
        <f t="shared" si="34"/>
        <v>0</v>
      </c>
      <c r="P115" s="1326">
        <f t="shared" si="35"/>
        <v>0</v>
      </c>
      <c r="Q115" s="1326">
        <f t="shared" si="31"/>
        <v>0</v>
      </c>
      <c r="R115" s="1326">
        <f t="shared" si="36"/>
        <v>0</v>
      </c>
      <c r="S115" s="1325"/>
    </row>
    <row r="116" spans="2:19">
      <c r="B116" s="1316">
        <f t="shared" si="32"/>
        <v>74</v>
      </c>
      <c r="D116" s="1322" t="s">
        <v>171</v>
      </c>
      <c r="E116" s="1321">
        <v>30</v>
      </c>
      <c r="F116" s="1323">
        <v>0</v>
      </c>
      <c r="G116" s="1323">
        <v>214</v>
      </c>
      <c r="H116" s="1324">
        <f t="shared" si="29"/>
        <v>0.5</v>
      </c>
      <c r="I116" s="1325"/>
      <c r="J116" s="1321">
        <v>0</v>
      </c>
      <c r="K116" s="1326">
        <f t="shared" si="30"/>
        <v>0</v>
      </c>
      <c r="L116" s="1326">
        <f t="shared" si="33"/>
        <v>0</v>
      </c>
      <c r="M116" s="1325"/>
      <c r="N116" s="1321">
        <v>0</v>
      </c>
      <c r="O116" s="1326">
        <f t="shared" si="34"/>
        <v>0</v>
      </c>
      <c r="P116" s="1326">
        <f t="shared" si="35"/>
        <v>0</v>
      </c>
      <c r="Q116" s="1326">
        <f t="shared" si="31"/>
        <v>0</v>
      </c>
      <c r="R116" s="1326">
        <f t="shared" si="36"/>
        <v>0</v>
      </c>
      <c r="S116" s="1325"/>
    </row>
    <row r="117" spans="2:19">
      <c r="B117" s="1316">
        <f t="shared" si="32"/>
        <v>75</v>
      </c>
      <c r="D117" s="1322" t="s">
        <v>172</v>
      </c>
      <c r="E117" s="1321">
        <v>31</v>
      </c>
      <c r="F117" s="1323">
        <v>0</v>
      </c>
      <c r="G117" s="1323">
        <v>214</v>
      </c>
      <c r="H117" s="1324">
        <f t="shared" si="29"/>
        <v>0.5</v>
      </c>
      <c r="I117" s="1325"/>
      <c r="J117" s="1321">
        <v>0</v>
      </c>
      <c r="K117" s="1326">
        <f t="shared" si="30"/>
        <v>0</v>
      </c>
      <c r="L117" s="1326">
        <f t="shared" si="33"/>
        <v>0</v>
      </c>
      <c r="M117" s="1325"/>
      <c r="N117" s="1321">
        <v>0</v>
      </c>
      <c r="O117" s="1326">
        <f t="shared" si="34"/>
        <v>0</v>
      </c>
      <c r="P117" s="1326">
        <f t="shared" si="35"/>
        <v>0</v>
      </c>
      <c r="Q117" s="1326">
        <f t="shared" si="31"/>
        <v>0</v>
      </c>
      <c r="R117" s="1326">
        <f t="shared" si="36"/>
        <v>0</v>
      </c>
      <c r="S117" s="1325"/>
    </row>
    <row r="118" spans="2:19">
      <c r="B118" s="1316">
        <f t="shared" si="32"/>
        <v>76</v>
      </c>
      <c r="D118" s="1322" t="s">
        <v>173</v>
      </c>
      <c r="E118" s="1321">
        <v>30</v>
      </c>
      <c r="F118" s="1323">
        <v>185</v>
      </c>
      <c r="G118" s="1323">
        <v>214</v>
      </c>
      <c r="H118" s="1324">
        <f t="shared" si="29"/>
        <v>0.86448598130841126</v>
      </c>
      <c r="I118" s="1325"/>
      <c r="J118" s="1321">
        <v>0</v>
      </c>
      <c r="K118" s="1326">
        <f t="shared" si="30"/>
        <v>0</v>
      </c>
      <c r="L118" s="1326">
        <f t="shared" si="33"/>
        <v>0</v>
      </c>
      <c r="M118" s="1325"/>
      <c r="N118" s="1321">
        <v>0</v>
      </c>
      <c r="O118" s="1326">
        <f t="shared" si="34"/>
        <v>0</v>
      </c>
      <c r="P118" s="1326">
        <f t="shared" si="35"/>
        <v>0</v>
      </c>
      <c r="Q118" s="1326">
        <f t="shared" si="31"/>
        <v>0</v>
      </c>
      <c r="R118" s="1326">
        <f t="shared" si="36"/>
        <v>0</v>
      </c>
      <c r="S118" s="1325"/>
    </row>
    <row r="119" spans="2:19">
      <c r="B119" s="1316">
        <f t="shared" si="32"/>
        <v>77</v>
      </c>
      <c r="D119" s="1322" t="s">
        <v>528</v>
      </c>
      <c r="E119" s="1321">
        <v>31</v>
      </c>
      <c r="F119" s="1323">
        <v>154</v>
      </c>
      <c r="G119" s="1323">
        <v>214</v>
      </c>
      <c r="H119" s="1324">
        <f t="shared" si="29"/>
        <v>0.71962616822429903</v>
      </c>
      <c r="I119" s="1325"/>
      <c r="J119" s="1321">
        <v>0</v>
      </c>
      <c r="K119" s="1326">
        <f t="shared" si="30"/>
        <v>0</v>
      </c>
      <c r="L119" s="1326">
        <f t="shared" si="33"/>
        <v>0</v>
      </c>
      <c r="M119" s="1325"/>
      <c r="N119" s="1321">
        <v>0</v>
      </c>
      <c r="O119" s="1326">
        <f t="shared" si="34"/>
        <v>0</v>
      </c>
      <c r="P119" s="1326">
        <f t="shared" si="35"/>
        <v>0</v>
      </c>
      <c r="Q119" s="1326">
        <f t="shared" si="31"/>
        <v>0</v>
      </c>
      <c r="R119" s="1326">
        <f t="shared" si="36"/>
        <v>0</v>
      </c>
      <c r="S119" s="1325"/>
    </row>
    <row r="120" spans="2:19">
      <c r="B120" s="1316">
        <f t="shared" si="32"/>
        <v>78</v>
      </c>
      <c r="D120" s="1322" t="s">
        <v>546</v>
      </c>
      <c r="E120" s="1321">
        <v>31</v>
      </c>
      <c r="F120" s="1323">
        <v>123</v>
      </c>
      <c r="G120" s="1323">
        <v>214</v>
      </c>
      <c r="H120" s="1324">
        <f t="shared" si="29"/>
        <v>0.57476635514018692</v>
      </c>
      <c r="I120" s="1325"/>
      <c r="J120" s="1321">
        <v>0</v>
      </c>
      <c r="K120" s="1326">
        <f t="shared" si="30"/>
        <v>0</v>
      </c>
      <c r="L120" s="1326">
        <f t="shared" si="33"/>
        <v>0</v>
      </c>
      <c r="M120" s="1325"/>
      <c r="N120" s="1321">
        <v>0</v>
      </c>
      <c r="O120" s="1326">
        <f t="shared" si="34"/>
        <v>0</v>
      </c>
      <c r="P120" s="1326">
        <f t="shared" si="35"/>
        <v>0</v>
      </c>
      <c r="Q120" s="1326">
        <f t="shared" si="31"/>
        <v>0</v>
      </c>
      <c r="R120" s="1326">
        <f t="shared" si="36"/>
        <v>0</v>
      </c>
      <c r="S120" s="1325"/>
    </row>
    <row r="121" spans="2:19">
      <c r="B121" s="1316">
        <f t="shared" si="32"/>
        <v>79</v>
      </c>
      <c r="D121" s="1322" t="s">
        <v>530</v>
      </c>
      <c r="E121" s="1321">
        <v>30</v>
      </c>
      <c r="F121" s="1323">
        <v>93</v>
      </c>
      <c r="G121" s="1323">
        <v>214</v>
      </c>
      <c r="H121" s="1324">
        <f t="shared" si="29"/>
        <v>0.43457943925233644</v>
      </c>
      <c r="I121" s="1325"/>
      <c r="J121" s="1321">
        <v>0</v>
      </c>
      <c r="K121" s="1326">
        <f t="shared" si="30"/>
        <v>0</v>
      </c>
      <c r="L121" s="1326">
        <f t="shared" si="33"/>
        <v>0</v>
      </c>
      <c r="M121" s="1325"/>
      <c r="N121" s="1321">
        <v>0</v>
      </c>
      <c r="O121" s="1326">
        <f t="shared" si="34"/>
        <v>0</v>
      </c>
      <c r="P121" s="1326">
        <f t="shared" si="35"/>
        <v>0</v>
      </c>
      <c r="Q121" s="1326">
        <f t="shared" si="31"/>
        <v>0</v>
      </c>
      <c r="R121" s="1326">
        <f t="shared" si="36"/>
        <v>0</v>
      </c>
      <c r="S121" s="1325"/>
    </row>
    <row r="122" spans="2:19">
      <c r="B122" s="1316">
        <f t="shared" si="32"/>
        <v>80</v>
      </c>
      <c r="D122" s="1322" t="s">
        <v>531</v>
      </c>
      <c r="E122" s="1321">
        <v>31</v>
      </c>
      <c r="F122" s="1323">
        <v>62</v>
      </c>
      <c r="G122" s="1323">
        <v>214</v>
      </c>
      <c r="H122" s="1324">
        <f t="shared" si="29"/>
        <v>0.28971962616822428</v>
      </c>
      <c r="I122" s="1325"/>
      <c r="J122" s="1321">
        <v>0</v>
      </c>
      <c r="K122" s="1326">
        <f t="shared" si="30"/>
        <v>0</v>
      </c>
      <c r="L122" s="1326">
        <f t="shared" si="33"/>
        <v>0</v>
      </c>
      <c r="M122" s="1325"/>
      <c r="N122" s="1321">
        <v>0</v>
      </c>
      <c r="O122" s="1326">
        <f t="shared" si="34"/>
        <v>0</v>
      </c>
      <c r="P122" s="1326">
        <f t="shared" si="35"/>
        <v>0</v>
      </c>
      <c r="Q122" s="1326">
        <f t="shared" si="31"/>
        <v>0</v>
      </c>
      <c r="R122" s="1326">
        <f t="shared" si="36"/>
        <v>0</v>
      </c>
      <c r="S122" s="1325"/>
    </row>
    <row r="123" spans="2:19">
      <c r="B123" s="1316">
        <f t="shared" si="32"/>
        <v>81</v>
      </c>
      <c r="D123" s="1322" t="s">
        <v>532</v>
      </c>
      <c r="E123" s="1321">
        <v>30</v>
      </c>
      <c r="F123" s="1323">
        <v>32</v>
      </c>
      <c r="G123" s="1323">
        <v>214</v>
      </c>
      <c r="H123" s="1324">
        <f t="shared" si="29"/>
        <v>0.14953271028037382</v>
      </c>
      <c r="I123" s="1325"/>
      <c r="J123" s="1321">
        <v>0</v>
      </c>
      <c r="K123" s="1326">
        <f t="shared" si="30"/>
        <v>0</v>
      </c>
      <c r="L123" s="1326">
        <f t="shared" si="33"/>
        <v>0</v>
      </c>
      <c r="M123" s="1325"/>
      <c r="N123" s="1321">
        <v>0</v>
      </c>
      <c r="O123" s="1326">
        <f t="shared" si="34"/>
        <v>0</v>
      </c>
      <c r="P123" s="1326">
        <f t="shared" si="35"/>
        <v>0</v>
      </c>
      <c r="Q123" s="1326">
        <f t="shared" si="31"/>
        <v>0</v>
      </c>
      <c r="R123" s="1326">
        <f t="shared" si="36"/>
        <v>0</v>
      </c>
      <c r="S123" s="1325"/>
    </row>
    <row r="124" spans="2:19">
      <c r="B124" s="1316">
        <f t="shared" si="32"/>
        <v>82</v>
      </c>
      <c r="D124" s="1327" t="s">
        <v>749</v>
      </c>
      <c r="E124" s="1321">
        <v>31</v>
      </c>
      <c r="F124" s="1328">
        <v>1</v>
      </c>
      <c r="G124" s="1323">
        <v>214</v>
      </c>
      <c r="H124" s="1324">
        <f t="shared" si="29"/>
        <v>4.6728971962616819E-3</v>
      </c>
      <c r="I124" s="1325"/>
      <c r="J124" s="1321">
        <v>0</v>
      </c>
      <c r="K124" s="1326">
        <f t="shared" si="30"/>
        <v>0</v>
      </c>
      <c r="L124" s="1326">
        <f t="shared" si="33"/>
        <v>0</v>
      </c>
      <c r="M124" s="1325"/>
      <c r="N124" s="1321">
        <v>0</v>
      </c>
      <c r="O124" s="1326">
        <f t="shared" si="34"/>
        <v>0</v>
      </c>
      <c r="P124" s="1326">
        <f t="shared" si="35"/>
        <v>0</v>
      </c>
      <c r="Q124" s="1326">
        <f t="shared" si="31"/>
        <v>0</v>
      </c>
      <c r="R124" s="1326">
        <f t="shared" si="36"/>
        <v>0</v>
      </c>
      <c r="S124" s="1325"/>
    </row>
    <row r="125" spans="2:19">
      <c r="B125" s="1316">
        <f t="shared" si="32"/>
        <v>83</v>
      </c>
      <c r="D125" s="1329" t="str">
        <f>"Total (Sum of Lines "&amp;B113&amp;" - "&amp;B124&amp;")"</f>
        <v>Total (Sum of Lines 71 - 82)</v>
      </c>
      <c r="E125" s="1330">
        <f>SUM(E113:E124)</f>
        <v>365</v>
      </c>
      <c r="F125" s="1331"/>
      <c r="G125" s="1331"/>
      <c r="H125" s="1332"/>
      <c r="I125" s="1333"/>
      <c r="J125" s="1330">
        <f>SUM(J113:J124)</f>
        <v>0</v>
      </c>
      <c r="K125" s="1330">
        <f>SUM(K113:K124)</f>
        <v>0</v>
      </c>
      <c r="L125" s="1334"/>
      <c r="M125" s="1333"/>
      <c r="N125" s="1330">
        <f>SUM(N113:N124)</f>
        <v>0</v>
      </c>
      <c r="O125" s="1330">
        <f>SUM(O113:O124)</f>
        <v>0</v>
      </c>
      <c r="P125" s="1330">
        <f>SUM(P113:P124)</f>
        <v>0</v>
      </c>
      <c r="Q125" s="1330">
        <f>SUM(Q113:Q124)</f>
        <v>0</v>
      </c>
      <c r="R125" s="1334"/>
      <c r="S125" s="1333"/>
    </row>
    <row r="126" spans="2:19">
      <c r="D126" s="1335"/>
      <c r="E126" s="1335"/>
      <c r="F126" s="1335"/>
      <c r="G126" s="1335"/>
      <c r="H126" s="1336"/>
      <c r="I126" s="1336"/>
      <c r="K126" s="1337"/>
      <c r="L126" s="1336"/>
      <c r="M126" s="1336"/>
      <c r="N126" s="1347"/>
      <c r="O126" s="1337"/>
      <c r="P126" s="1337"/>
      <c r="Q126" s="1337"/>
      <c r="R126" s="1336"/>
      <c r="S126" s="1336"/>
    </row>
    <row r="127" spans="2:19">
      <c r="B127" s="1316">
        <f>B125+1</f>
        <v>84</v>
      </c>
      <c r="D127" s="1010" t="s">
        <v>917</v>
      </c>
      <c r="I127" s="1336"/>
      <c r="J127" s="1321" t="s">
        <v>1798</v>
      </c>
      <c r="L127" s="1321">
        <f>'1C - ADIT BOY'!E14</f>
        <v>-3545388.2838099319</v>
      </c>
      <c r="M127" s="1338"/>
      <c r="N127" s="1321"/>
      <c r="R127" s="1321">
        <v>0</v>
      </c>
    </row>
    <row r="128" spans="2:19">
      <c r="B128" s="1316">
        <f>B127+1</f>
        <v>85</v>
      </c>
      <c r="D128" s="1010" t="s">
        <v>1778</v>
      </c>
      <c r="I128" s="1336"/>
      <c r="J128" s="1339" t="s">
        <v>639</v>
      </c>
      <c r="L128" s="1340">
        <v>0</v>
      </c>
      <c r="M128" s="1341"/>
      <c r="N128" s="1339"/>
      <c r="R128" s="1340">
        <v>0</v>
      </c>
    </row>
    <row r="129" spans="2:19">
      <c r="B129" s="1316">
        <f>B128+1</f>
        <v>86</v>
      </c>
      <c r="D129" s="1010" t="s">
        <v>918</v>
      </c>
      <c r="I129" s="1336"/>
      <c r="J129" s="1329" t="str">
        <f>"(Col. "&amp;L108&amp;", Line "&amp;B127&amp;" + Line "&amp;B128&amp;")"</f>
        <v>(Col. (H), Line 84 + Line 85)</v>
      </c>
      <c r="L129" s="1342">
        <f>L127+L128</f>
        <v>-3545388.2838099319</v>
      </c>
      <c r="M129" s="1336"/>
      <c r="N129" s="1329" t="str">
        <f>"(Col. "&amp;R108&amp;", Line "&amp;B127&amp;" + Line "&amp;B128&amp;")"</f>
        <v>(Col. (M), Line 84 + Line 85)</v>
      </c>
      <c r="R129" s="1342">
        <f>R127+R128</f>
        <v>0</v>
      </c>
    </row>
    <row r="130" spans="2:19">
      <c r="I130" s="1336"/>
      <c r="L130" s="1342"/>
      <c r="M130" s="1336"/>
      <c r="R130" s="1342"/>
    </row>
    <row r="131" spans="2:19">
      <c r="B131" s="1316">
        <f>B129+1</f>
        <v>87</v>
      </c>
      <c r="D131" s="1010" t="s">
        <v>1001</v>
      </c>
      <c r="I131" s="1336"/>
      <c r="J131" s="1642" t="s">
        <v>1811</v>
      </c>
      <c r="L131" s="1321">
        <f>'1B - ADIT EOY'!E14</f>
        <v>-2010011.8649776131</v>
      </c>
      <c r="M131" s="1338"/>
      <c r="N131" s="1321"/>
      <c r="R131" s="1321">
        <v>0</v>
      </c>
    </row>
    <row r="132" spans="2:19">
      <c r="B132" s="1316">
        <f>B131+1</f>
        <v>88</v>
      </c>
      <c r="D132" s="1010" t="s">
        <v>1777</v>
      </c>
      <c r="I132" s="1336"/>
      <c r="J132" s="1339" t="s">
        <v>639</v>
      </c>
      <c r="L132" s="1340">
        <v>0</v>
      </c>
      <c r="M132" s="1336"/>
      <c r="N132" s="1339"/>
      <c r="R132" s="1340">
        <v>0</v>
      </c>
    </row>
    <row r="133" spans="2:19">
      <c r="B133" s="1316">
        <f>B132+1</f>
        <v>89</v>
      </c>
      <c r="D133" s="1010" t="s">
        <v>923</v>
      </c>
      <c r="I133" s="1336"/>
      <c r="J133" s="1329" t="str">
        <f>"(Col. "&amp;L108&amp;", Line "&amp;B131&amp;" + Line "&amp;B132&amp;")"</f>
        <v>(Col. (H), Line 87 + Line 88)</v>
      </c>
      <c r="L133" s="1342">
        <f>L131+L132</f>
        <v>-2010011.8649776131</v>
      </c>
      <c r="M133" s="1336"/>
      <c r="N133" s="1329" t="str">
        <f>"(Col. "&amp;R108&amp;", Line "&amp;B131&amp;" + Line "&amp;B132&amp;")"</f>
        <v>(Col. (M), Line 87 + Line 88)</v>
      </c>
      <c r="R133" s="1342">
        <f>R131+R132</f>
        <v>0</v>
      </c>
    </row>
    <row r="134" spans="2:19">
      <c r="I134" s="1336"/>
      <c r="L134" s="1342"/>
      <c r="M134" s="1336"/>
      <c r="R134" s="1342"/>
    </row>
    <row r="135" spans="2:19">
      <c r="B135" s="1316">
        <f>B133+1</f>
        <v>90</v>
      </c>
      <c r="D135" s="1010" t="s">
        <v>1000</v>
      </c>
      <c r="I135" s="1336"/>
      <c r="J135" s="1329" t="str">
        <f>"([Col. "&amp;L108&amp;", Line "&amp;B129&amp;" + Line "&amp;B133&amp;"] /2)"</f>
        <v>([Col. (H), Line 86 + Line 89] /2)</v>
      </c>
      <c r="L135" s="1326">
        <f>(L129+L133)/2</f>
        <v>-2777700.0743937725</v>
      </c>
      <c r="M135" s="1336"/>
      <c r="N135" s="1329" t="str">
        <f>"([Col. "&amp;R108&amp;", Line "&amp;B129&amp;" + Line "&amp;B133&amp;"] /2)"</f>
        <v>([Col. (M), Line 86 + Line 89] /2)</v>
      </c>
      <c r="R135" s="1326">
        <f>(R129+R133)/2</f>
        <v>0</v>
      </c>
    </row>
    <row r="136" spans="2:19">
      <c r="B136" s="1316">
        <f>B135+1</f>
        <v>91</v>
      </c>
      <c r="D136" s="1335" t="s">
        <v>999</v>
      </c>
      <c r="E136" s="1335"/>
      <c r="F136" s="1335"/>
      <c r="G136" s="1335"/>
      <c r="H136" s="1336"/>
      <c r="I136" s="1336"/>
      <c r="J136" s="1329" t="str">
        <f>"(Col. "&amp;L108&amp;", Line "&amp;B124&amp;" )"</f>
        <v>(Col. (H), Line 82 )</v>
      </c>
      <c r="K136" s="1337"/>
      <c r="L136" s="1326">
        <f>L124</f>
        <v>0</v>
      </c>
      <c r="M136" s="1336"/>
      <c r="N136" s="1329" t="str">
        <f>"(Col. "&amp;R108&amp;", Line "&amp;B124&amp;" )"</f>
        <v>(Col. (M), Line 82 )</v>
      </c>
      <c r="R136" s="1326">
        <f>R124</f>
        <v>0</v>
      </c>
    </row>
    <row r="137" spans="2:19" ht="13.5" thickBot="1">
      <c r="B137" s="1316">
        <f>B136+1</f>
        <v>92</v>
      </c>
      <c r="D137" s="1343" t="s">
        <v>1759</v>
      </c>
      <c r="E137" s="1335"/>
      <c r="F137" s="1335"/>
      <c r="G137" s="1335"/>
      <c r="H137" s="1336"/>
      <c r="I137" s="1336"/>
      <c r="J137" s="1329" t="str">
        <f>"(Col. "&amp;L108&amp;", Line "&amp;B135&amp;" + Line "&amp;B136&amp;")"</f>
        <v>(Col. (H), Line 90 + Line 91)</v>
      </c>
      <c r="K137" s="1337"/>
      <c r="L137" s="1344">
        <f>L135+L136</f>
        <v>-2777700.0743937725</v>
      </c>
      <c r="M137" s="1336"/>
      <c r="N137" s="1329" t="str">
        <f>"(Col. "&amp;R108&amp;", Line "&amp;B135&amp;" + Line "&amp;B136&amp;")"</f>
        <v>(Col. (M), Line 90 + Line 91)</v>
      </c>
      <c r="R137" s="1344">
        <f>R135+R136</f>
        <v>0</v>
      </c>
    </row>
    <row r="138" spans="2:19">
      <c r="D138" s="1335"/>
      <c r="E138" s="1335"/>
      <c r="F138" s="1335"/>
      <c r="G138" s="1335"/>
      <c r="H138" s="1336"/>
      <c r="I138" s="1336"/>
      <c r="K138" s="1337"/>
      <c r="L138" s="1336"/>
      <c r="M138" s="1336"/>
      <c r="O138" s="1337"/>
      <c r="P138" s="1337"/>
      <c r="Q138" s="1337"/>
      <c r="R138" s="1336"/>
      <c r="S138" s="1336"/>
    </row>
    <row r="139" spans="2:19" ht="13">
      <c r="D139" s="1313" t="s">
        <v>1314</v>
      </c>
      <c r="J139" s="1740"/>
      <c r="K139" s="1740"/>
      <c r="L139" s="1740"/>
      <c r="N139" s="1740"/>
      <c r="O139" s="1740"/>
      <c r="P139" s="1740"/>
      <c r="Q139" s="1740"/>
      <c r="R139" s="1740"/>
    </row>
    <row r="140" spans="2:19" ht="13">
      <c r="D140" s="1733" t="s">
        <v>912</v>
      </c>
      <c r="E140" s="1734"/>
      <c r="F140" s="1734"/>
      <c r="G140" s="1734"/>
      <c r="H140" s="1735"/>
      <c r="I140" s="1317"/>
      <c r="J140" s="1736" t="s">
        <v>1315</v>
      </c>
      <c r="K140" s="1737"/>
      <c r="L140" s="1738"/>
      <c r="M140" s="1317"/>
      <c r="N140" s="1736" t="s">
        <v>1316</v>
      </c>
      <c r="O140" s="1737"/>
      <c r="P140" s="1737"/>
      <c r="Q140" s="1737"/>
      <c r="R140" s="1738"/>
      <c r="S140" s="1317"/>
    </row>
    <row r="141" spans="2:19" ht="13">
      <c r="D141" s="1318" t="s">
        <v>174</v>
      </c>
      <c r="E141" s="1318" t="s">
        <v>175</v>
      </c>
      <c r="F141" s="1318" t="s">
        <v>1294</v>
      </c>
      <c r="G141" s="1318" t="s">
        <v>1295</v>
      </c>
      <c r="H141" s="1318" t="s">
        <v>1296</v>
      </c>
      <c r="I141" s="1317"/>
      <c r="J141" s="1318" t="s">
        <v>1297</v>
      </c>
      <c r="K141" s="1318" t="s">
        <v>1298</v>
      </c>
      <c r="L141" s="1318" t="s">
        <v>1299</v>
      </c>
      <c r="M141" s="1317"/>
      <c r="N141" s="1318" t="s">
        <v>1300</v>
      </c>
      <c r="O141" s="1318" t="s">
        <v>1301</v>
      </c>
      <c r="P141" s="1318" t="s">
        <v>1302</v>
      </c>
      <c r="Q141" s="1318" t="s">
        <v>1303</v>
      </c>
      <c r="R141" s="1318" t="s">
        <v>1304</v>
      </c>
      <c r="S141" s="1317"/>
    </row>
    <row r="142" spans="2:19" ht="50">
      <c r="B142" s="1319" t="s">
        <v>1305</v>
      </c>
      <c r="D142" s="1320" t="s">
        <v>169</v>
      </c>
      <c r="E142" s="1320" t="s">
        <v>913</v>
      </c>
      <c r="F142" s="1320" t="s">
        <v>914</v>
      </c>
      <c r="G142" s="1320" t="s">
        <v>915</v>
      </c>
      <c r="H142" s="1320" t="s">
        <v>1306</v>
      </c>
      <c r="I142" s="1640"/>
      <c r="J142" s="1320" t="s">
        <v>916</v>
      </c>
      <c r="K142" s="1320" t="s">
        <v>1307</v>
      </c>
      <c r="L142" s="1320" t="s">
        <v>1308</v>
      </c>
      <c r="M142" s="1640"/>
      <c r="N142" s="1320" t="s">
        <v>1003</v>
      </c>
      <c r="O142" s="1320" t="s">
        <v>1309</v>
      </c>
      <c r="P142" s="1320" t="s">
        <v>1310</v>
      </c>
      <c r="Q142" s="1320" t="s">
        <v>1311</v>
      </c>
      <c r="R142" s="1320" t="s">
        <v>1312</v>
      </c>
      <c r="S142" s="1640"/>
    </row>
    <row r="143" spans="2:19">
      <c r="E143" s="1640"/>
      <c r="F143" s="1640"/>
      <c r="G143" s="1640"/>
      <c r="H143" s="1640"/>
      <c r="I143" s="1640"/>
      <c r="J143" s="1640"/>
      <c r="K143" s="1640"/>
      <c r="L143" s="1640"/>
      <c r="M143" s="1640"/>
      <c r="N143" s="1640"/>
      <c r="O143" s="1640"/>
      <c r="P143" s="1640"/>
      <c r="Q143" s="1640"/>
      <c r="R143" s="1640"/>
      <c r="S143" s="1640"/>
    </row>
    <row r="144" spans="2:19">
      <c r="B144" s="1316">
        <f>B137+1</f>
        <v>93</v>
      </c>
      <c r="D144" s="1010" t="s">
        <v>1317</v>
      </c>
      <c r="E144" s="1640"/>
      <c r="F144" s="1640"/>
      <c r="G144" s="1640"/>
      <c r="H144" s="1640"/>
      <c r="I144" s="1640"/>
      <c r="J144" s="1321" t="s">
        <v>1798</v>
      </c>
      <c r="K144" s="1640"/>
      <c r="L144" s="1321">
        <v>0</v>
      </c>
      <c r="M144" s="1640"/>
      <c r="N144" s="1321"/>
      <c r="O144" s="1640"/>
      <c r="P144" s="1640"/>
      <c r="Q144" s="1640"/>
      <c r="R144" s="1321">
        <v>0</v>
      </c>
      <c r="S144" s="1640"/>
    </row>
    <row r="145" spans="2:19">
      <c r="E145" s="1640"/>
      <c r="F145" s="1640"/>
      <c r="G145" s="1640"/>
      <c r="H145" s="1640"/>
      <c r="I145" s="1640"/>
      <c r="J145" s="1640"/>
      <c r="K145" s="1640"/>
      <c r="L145" s="1640"/>
      <c r="M145" s="1640"/>
      <c r="N145" s="1640"/>
      <c r="O145" s="1640"/>
      <c r="P145" s="1640"/>
      <c r="Q145" s="1640"/>
      <c r="R145" s="1640"/>
      <c r="S145" s="1640"/>
    </row>
    <row r="146" spans="2:19">
      <c r="B146" s="1316">
        <f>B144+1</f>
        <v>94</v>
      </c>
      <c r="D146" s="1322" t="s">
        <v>525</v>
      </c>
      <c r="E146" s="1321">
        <v>31</v>
      </c>
      <c r="F146" s="1323">
        <v>0</v>
      </c>
      <c r="G146" s="1323">
        <v>214</v>
      </c>
      <c r="H146" s="1324">
        <f t="shared" ref="H146:H157" si="37">IF(F146=0,0.5,F146/G146)</f>
        <v>0.5</v>
      </c>
      <c r="I146" s="1325"/>
      <c r="J146" s="1321">
        <v>0</v>
      </c>
      <c r="K146" s="1326">
        <f t="shared" ref="K146:K157" si="38">+J146*H146</f>
        <v>0</v>
      </c>
      <c r="L146" s="1326">
        <f>+K146</f>
        <v>0</v>
      </c>
      <c r="M146" s="1325"/>
      <c r="N146" s="1321">
        <v>0</v>
      </c>
      <c r="O146" s="1326">
        <f>IF($D$177="True-Up Adjustment",N146-J146,0)</f>
        <v>0</v>
      </c>
      <c r="P146" s="1326">
        <f>IF($D$177="True-Up Adjustment",IF(AND(J146&gt;=0,N146&gt;=0),IF(O146&gt;=0,K146+O146,N146/J146*K146),IF(AND(J146&lt;0,N146&lt;0),IF(O146&lt;0,K146+O146,N146/J146*K146),0)),0)</f>
        <v>0</v>
      </c>
      <c r="Q146" s="1326">
        <f t="shared" ref="Q146:Q157" si="39">IF(AND(J146&gt;=0,N146&lt;0),N146,IF(AND(J146&lt;0,N146&gt;=0),N146,0))</f>
        <v>0</v>
      </c>
      <c r="R146" s="1326">
        <f>+P146+Q146</f>
        <v>0</v>
      </c>
      <c r="S146" s="1325"/>
    </row>
    <row r="147" spans="2:19">
      <c r="B147" s="1316">
        <f t="shared" ref="B147:B158" si="40">+B146+1</f>
        <v>95</v>
      </c>
      <c r="D147" s="1322" t="s">
        <v>526</v>
      </c>
      <c r="E147" s="1321">
        <v>28</v>
      </c>
      <c r="F147" s="1323">
        <v>0</v>
      </c>
      <c r="G147" s="1323">
        <v>214</v>
      </c>
      <c r="H147" s="1324">
        <f t="shared" si="37"/>
        <v>0.5</v>
      </c>
      <c r="I147" s="1325"/>
      <c r="J147" s="1321">
        <v>0</v>
      </c>
      <c r="K147" s="1326">
        <f t="shared" si="38"/>
        <v>0</v>
      </c>
      <c r="L147" s="1326">
        <f t="shared" ref="L147:L157" si="41">+K147+L146</f>
        <v>0</v>
      </c>
      <c r="M147" s="1325"/>
      <c r="N147" s="1321">
        <v>0</v>
      </c>
      <c r="O147" s="1326">
        <f t="shared" ref="O147:O157" si="42">IF($D$177="True-Up Adjustment",N147-J147,0)</f>
        <v>0</v>
      </c>
      <c r="P147" s="1326">
        <f t="shared" ref="P147:P157" si="43">IF($D$177="True-Up Adjustment",IF(AND(J147&gt;=0,N147&gt;=0),IF(O147&gt;=0,K147+O147,N147/J147*K147),IF(AND(J147&lt;0,N147&lt;0),IF(O147&lt;0,K147+O147,N147/J147*K147),0)),0)</f>
        <v>0</v>
      </c>
      <c r="Q147" s="1326">
        <f t="shared" si="39"/>
        <v>0</v>
      </c>
      <c r="R147" s="1326">
        <f t="shared" ref="R147:R157" si="44">R146+P147+Q147</f>
        <v>0</v>
      </c>
      <c r="S147" s="1325"/>
    </row>
    <row r="148" spans="2:19">
      <c r="B148" s="1316">
        <f t="shared" si="40"/>
        <v>96</v>
      </c>
      <c r="D148" s="1322" t="s">
        <v>545</v>
      </c>
      <c r="E148" s="1321">
        <v>31</v>
      </c>
      <c r="F148" s="1323">
        <v>0</v>
      </c>
      <c r="G148" s="1323">
        <v>214</v>
      </c>
      <c r="H148" s="1324">
        <f t="shared" si="37"/>
        <v>0.5</v>
      </c>
      <c r="I148" s="1325"/>
      <c r="J148" s="1321">
        <v>0</v>
      </c>
      <c r="K148" s="1326">
        <f t="shared" si="38"/>
        <v>0</v>
      </c>
      <c r="L148" s="1326">
        <f t="shared" si="41"/>
        <v>0</v>
      </c>
      <c r="M148" s="1325"/>
      <c r="N148" s="1321">
        <v>0</v>
      </c>
      <c r="O148" s="1326">
        <f t="shared" si="42"/>
        <v>0</v>
      </c>
      <c r="P148" s="1326">
        <f t="shared" si="43"/>
        <v>0</v>
      </c>
      <c r="Q148" s="1326">
        <f t="shared" si="39"/>
        <v>0</v>
      </c>
      <c r="R148" s="1326">
        <f t="shared" si="44"/>
        <v>0</v>
      </c>
      <c r="S148" s="1325"/>
    </row>
    <row r="149" spans="2:19">
      <c r="B149" s="1316">
        <f t="shared" si="40"/>
        <v>97</v>
      </c>
      <c r="D149" s="1322" t="s">
        <v>171</v>
      </c>
      <c r="E149" s="1321">
        <v>30</v>
      </c>
      <c r="F149" s="1323">
        <v>0</v>
      </c>
      <c r="G149" s="1323">
        <v>214</v>
      </c>
      <c r="H149" s="1324">
        <f t="shared" si="37"/>
        <v>0.5</v>
      </c>
      <c r="I149" s="1325"/>
      <c r="J149" s="1321">
        <v>0</v>
      </c>
      <c r="K149" s="1326">
        <f t="shared" si="38"/>
        <v>0</v>
      </c>
      <c r="L149" s="1326">
        <f t="shared" si="41"/>
        <v>0</v>
      </c>
      <c r="M149" s="1325"/>
      <c r="N149" s="1321">
        <v>0</v>
      </c>
      <c r="O149" s="1326">
        <f t="shared" si="42"/>
        <v>0</v>
      </c>
      <c r="P149" s="1326">
        <f t="shared" si="43"/>
        <v>0</v>
      </c>
      <c r="Q149" s="1326">
        <f t="shared" si="39"/>
        <v>0</v>
      </c>
      <c r="R149" s="1326">
        <f t="shared" si="44"/>
        <v>0</v>
      </c>
      <c r="S149" s="1325"/>
    </row>
    <row r="150" spans="2:19">
      <c r="B150" s="1316">
        <f t="shared" si="40"/>
        <v>98</v>
      </c>
      <c r="D150" s="1322" t="s">
        <v>172</v>
      </c>
      <c r="E150" s="1321">
        <v>31</v>
      </c>
      <c r="F150" s="1323">
        <v>0</v>
      </c>
      <c r="G150" s="1323">
        <v>214</v>
      </c>
      <c r="H150" s="1324">
        <f t="shared" si="37"/>
        <v>0.5</v>
      </c>
      <c r="I150" s="1325"/>
      <c r="J150" s="1321">
        <v>0</v>
      </c>
      <c r="K150" s="1326">
        <f t="shared" si="38"/>
        <v>0</v>
      </c>
      <c r="L150" s="1326">
        <f t="shared" si="41"/>
        <v>0</v>
      </c>
      <c r="M150" s="1325"/>
      <c r="N150" s="1321">
        <v>0</v>
      </c>
      <c r="O150" s="1326">
        <f t="shared" si="42"/>
        <v>0</v>
      </c>
      <c r="P150" s="1326">
        <f t="shared" si="43"/>
        <v>0</v>
      </c>
      <c r="Q150" s="1326">
        <f t="shared" si="39"/>
        <v>0</v>
      </c>
      <c r="R150" s="1326">
        <f t="shared" si="44"/>
        <v>0</v>
      </c>
      <c r="S150" s="1325"/>
    </row>
    <row r="151" spans="2:19">
      <c r="B151" s="1316">
        <f t="shared" si="40"/>
        <v>99</v>
      </c>
      <c r="D151" s="1322" t="s">
        <v>173</v>
      </c>
      <c r="E151" s="1321">
        <v>30</v>
      </c>
      <c r="F151" s="1323">
        <v>185</v>
      </c>
      <c r="G151" s="1323">
        <v>214</v>
      </c>
      <c r="H151" s="1324">
        <f t="shared" si="37"/>
        <v>0.86448598130841126</v>
      </c>
      <c r="I151" s="1325"/>
      <c r="J151" s="1321">
        <v>0</v>
      </c>
      <c r="K151" s="1326">
        <f t="shared" si="38"/>
        <v>0</v>
      </c>
      <c r="L151" s="1326">
        <f t="shared" si="41"/>
        <v>0</v>
      </c>
      <c r="M151" s="1325"/>
      <c r="N151" s="1321">
        <v>0</v>
      </c>
      <c r="O151" s="1326">
        <f t="shared" si="42"/>
        <v>0</v>
      </c>
      <c r="P151" s="1326">
        <f t="shared" si="43"/>
        <v>0</v>
      </c>
      <c r="Q151" s="1326">
        <f t="shared" si="39"/>
        <v>0</v>
      </c>
      <c r="R151" s="1326">
        <f t="shared" si="44"/>
        <v>0</v>
      </c>
      <c r="S151" s="1325"/>
    </row>
    <row r="152" spans="2:19">
      <c r="B152" s="1316">
        <f t="shared" si="40"/>
        <v>100</v>
      </c>
      <c r="D152" s="1322" t="s">
        <v>528</v>
      </c>
      <c r="E152" s="1321">
        <v>31</v>
      </c>
      <c r="F152" s="1323">
        <v>154</v>
      </c>
      <c r="G152" s="1323">
        <v>214</v>
      </c>
      <c r="H152" s="1324">
        <f t="shared" si="37"/>
        <v>0.71962616822429903</v>
      </c>
      <c r="I152" s="1325"/>
      <c r="J152" s="1321">
        <v>0</v>
      </c>
      <c r="K152" s="1326">
        <f t="shared" si="38"/>
        <v>0</v>
      </c>
      <c r="L152" s="1326">
        <f t="shared" si="41"/>
        <v>0</v>
      </c>
      <c r="M152" s="1325"/>
      <c r="N152" s="1321">
        <v>0</v>
      </c>
      <c r="O152" s="1326">
        <f t="shared" si="42"/>
        <v>0</v>
      </c>
      <c r="P152" s="1326">
        <f t="shared" si="43"/>
        <v>0</v>
      </c>
      <c r="Q152" s="1326">
        <f t="shared" si="39"/>
        <v>0</v>
      </c>
      <c r="R152" s="1326">
        <f t="shared" si="44"/>
        <v>0</v>
      </c>
      <c r="S152" s="1325"/>
    </row>
    <row r="153" spans="2:19">
      <c r="B153" s="1316">
        <f t="shared" si="40"/>
        <v>101</v>
      </c>
      <c r="D153" s="1322" t="s">
        <v>546</v>
      </c>
      <c r="E153" s="1321">
        <v>31</v>
      </c>
      <c r="F153" s="1323">
        <v>123</v>
      </c>
      <c r="G153" s="1323">
        <v>214</v>
      </c>
      <c r="H153" s="1324">
        <f t="shared" si="37"/>
        <v>0.57476635514018692</v>
      </c>
      <c r="I153" s="1325"/>
      <c r="J153" s="1321">
        <v>0</v>
      </c>
      <c r="K153" s="1326">
        <f t="shared" si="38"/>
        <v>0</v>
      </c>
      <c r="L153" s="1326">
        <f t="shared" si="41"/>
        <v>0</v>
      </c>
      <c r="M153" s="1325"/>
      <c r="N153" s="1321">
        <v>0</v>
      </c>
      <c r="O153" s="1326">
        <f t="shared" si="42"/>
        <v>0</v>
      </c>
      <c r="P153" s="1326">
        <f t="shared" si="43"/>
        <v>0</v>
      </c>
      <c r="Q153" s="1326">
        <f t="shared" si="39"/>
        <v>0</v>
      </c>
      <c r="R153" s="1326">
        <f t="shared" si="44"/>
        <v>0</v>
      </c>
      <c r="S153" s="1325"/>
    </row>
    <row r="154" spans="2:19">
      <c r="B154" s="1316">
        <f t="shared" si="40"/>
        <v>102</v>
      </c>
      <c r="D154" s="1322" t="s">
        <v>530</v>
      </c>
      <c r="E154" s="1321">
        <v>30</v>
      </c>
      <c r="F154" s="1323">
        <v>93</v>
      </c>
      <c r="G154" s="1323">
        <v>214</v>
      </c>
      <c r="H154" s="1324">
        <f t="shared" si="37"/>
        <v>0.43457943925233644</v>
      </c>
      <c r="I154" s="1325"/>
      <c r="J154" s="1321">
        <v>0</v>
      </c>
      <c r="K154" s="1326">
        <f t="shared" si="38"/>
        <v>0</v>
      </c>
      <c r="L154" s="1326">
        <f t="shared" si="41"/>
        <v>0</v>
      </c>
      <c r="M154" s="1325"/>
      <c r="N154" s="1321">
        <v>0</v>
      </c>
      <c r="O154" s="1326">
        <f t="shared" si="42"/>
        <v>0</v>
      </c>
      <c r="P154" s="1326">
        <f t="shared" si="43"/>
        <v>0</v>
      </c>
      <c r="Q154" s="1326">
        <f t="shared" si="39"/>
        <v>0</v>
      </c>
      <c r="R154" s="1326">
        <f t="shared" si="44"/>
        <v>0</v>
      </c>
      <c r="S154" s="1325"/>
    </row>
    <row r="155" spans="2:19">
      <c r="B155" s="1316">
        <f t="shared" si="40"/>
        <v>103</v>
      </c>
      <c r="D155" s="1322" t="s">
        <v>531</v>
      </c>
      <c r="E155" s="1321">
        <v>31</v>
      </c>
      <c r="F155" s="1323">
        <v>62</v>
      </c>
      <c r="G155" s="1323">
        <v>214</v>
      </c>
      <c r="H155" s="1324">
        <f t="shared" si="37"/>
        <v>0.28971962616822428</v>
      </c>
      <c r="I155" s="1325"/>
      <c r="J155" s="1321">
        <v>0</v>
      </c>
      <c r="K155" s="1326">
        <f t="shared" si="38"/>
        <v>0</v>
      </c>
      <c r="L155" s="1326">
        <f t="shared" si="41"/>
        <v>0</v>
      </c>
      <c r="M155" s="1325"/>
      <c r="N155" s="1321">
        <v>0</v>
      </c>
      <c r="O155" s="1326">
        <f t="shared" si="42"/>
        <v>0</v>
      </c>
      <c r="P155" s="1326">
        <f t="shared" si="43"/>
        <v>0</v>
      </c>
      <c r="Q155" s="1326">
        <f t="shared" si="39"/>
        <v>0</v>
      </c>
      <c r="R155" s="1326">
        <f t="shared" si="44"/>
        <v>0</v>
      </c>
      <c r="S155" s="1325"/>
    </row>
    <row r="156" spans="2:19">
      <c r="B156" s="1316">
        <f t="shared" si="40"/>
        <v>104</v>
      </c>
      <c r="D156" s="1322" t="s">
        <v>532</v>
      </c>
      <c r="E156" s="1321">
        <v>30</v>
      </c>
      <c r="F156" s="1323">
        <v>32</v>
      </c>
      <c r="G156" s="1323">
        <v>214</v>
      </c>
      <c r="H156" s="1324">
        <f t="shared" si="37"/>
        <v>0.14953271028037382</v>
      </c>
      <c r="I156" s="1325"/>
      <c r="J156" s="1321">
        <v>0</v>
      </c>
      <c r="K156" s="1326">
        <f t="shared" si="38"/>
        <v>0</v>
      </c>
      <c r="L156" s="1326">
        <f t="shared" si="41"/>
        <v>0</v>
      </c>
      <c r="M156" s="1325"/>
      <c r="N156" s="1321">
        <v>0</v>
      </c>
      <c r="O156" s="1326">
        <f t="shared" si="42"/>
        <v>0</v>
      </c>
      <c r="P156" s="1326">
        <f t="shared" si="43"/>
        <v>0</v>
      </c>
      <c r="Q156" s="1326">
        <f t="shared" si="39"/>
        <v>0</v>
      </c>
      <c r="R156" s="1326">
        <f t="shared" si="44"/>
        <v>0</v>
      </c>
      <c r="S156" s="1325"/>
    </row>
    <row r="157" spans="2:19">
      <c r="B157" s="1316">
        <f t="shared" si="40"/>
        <v>105</v>
      </c>
      <c r="D157" s="1327" t="s">
        <v>749</v>
      </c>
      <c r="E157" s="1321">
        <v>31</v>
      </c>
      <c r="F157" s="1328">
        <v>1</v>
      </c>
      <c r="G157" s="1323">
        <v>214</v>
      </c>
      <c r="H157" s="1324">
        <f t="shared" si="37"/>
        <v>4.6728971962616819E-3</v>
      </c>
      <c r="I157" s="1325"/>
      <c r="J157" s="1321">
        <v>0</v>
      </c>
      <c r="K157" s="1326">
        <f t="shared" si="38"/>
        <v>0</v>
      </c>
      <c r="L157" s="1326">
        <f t="shared" si="41"/>
        <v>0</v>
      </c>
      <c r="M157" s="1325"/>
      <c r="N157" s="1321">
        <v>0</v>
      </c>
      <c r="O157" s="1326">
        <f t="shared" si="42"/>
        <v>0</v>
      </c>
      <c r="P157" s="1326">
        <f t="shared" si="43"/>
        <v>0</v>
      </c>
      <c r="Q157" s="1326">
        <f t="shared" si="39"/>
        <v>0</v>
      </c>
      <c r="R157" s="1326">
        <f t="shared" si="44"/>
        <v>0</v>
      </c>
      <c r="S157" s="1325"/>
    </row>
    <row r="158" spans="2:19">
      <c r="B158" s="1316">
        <f t="shared" si="40"/>
        <v>106</v>
      </c>
      <c r="D158" s="1329" t="str">
        <f>"Total (Sum of Lines "&amp;B146&amp;" - "&amp;B157&amp;")"</f>
        <v>Total (Sum of Lines 94 - 105)</v>
      </c>
      <c r="E158" s="1330">
        <f>SUM(E146:E157)</f>
        <v>365</v>
      </c>
      <c r="F158" s="1331"/>
      <c r="G158" s="1331"/>
      <c r="H158" s="1332"/>
      <c r="I158" s="1333"/>
      <c r="J158" s="1330">
        <f>SUM(J146:J157)</f>
        <v>0</v>
      </c>
      <c r="K158" s="1330">
        <f>SUM(K146:K157)</f>
        <v>0</v>
      </c>
      <c r="L158" s="1334"/>
      <c r="M158" s="1333"/>
      <c r="N158" s="1330">
        <f>SUM(N146:N157)</f>
        <v>0</v>
      </c>
      <c r="O158" s="1330">
        <f>SUM(O146:O157)</f>
        <v>0</v>
      </c>
      <c r="P158" s="1330">
        <f>SUM(P146:P157)</f>
        <v>0</v>
      </c>
      <c r="Q158" s="1330">
        <f>SUM(Q146:Q157)</f>
        <v>0</v>
      </c>
      <c r="R158" s="1334"/>
      <c r="S158" s="1333"/>
    </row>
    <row r="159" spans="2:19">
      <c r="D159" s="1335"/>
      <c r="E159" s="1335"/>
      <c r="F159" s="1335"/>
      <c r="G159" s="1335"/>
      <c r="H159" s="1336"/>
      <c r="I159" s="1336"/>
      <c r="K159" s="1337"/>
      <c r="L159" s="1336"/>
      <c r="M159" s="1336"/>
      <c r="N159" s="1347"/>
      <c r="O159" s="1337"/>
      <c r="P159" s="1337"/>
      <c r="Q159" s="1337"/>
      <c r="R159" s="1336"/>
      <c r="S159" s="1336"/>
    </row>
    <row r="160" spans="2:19">
      <c r="B160" s="1316">
        <f>B158+1</f>
        <v>107</v>
      </c>
      <c r="D160" s="1010" t="s">
        <v>1318</v>
      </c>
      <c r="I160" s="1336"/>
      <c r="J160" s="1321" t="s">
        <v>1798</v>
      </c>
      <c r="L160" s="1321">
        <v>0</v>
      </c>
      <c r="M160" s="1338"/>
      <c r="N160" s="1321"/>
      <c r="R160" s="1321">
        <v>0</v>
      </c>
    </row>
    <row r="161" spans="1:19">
      <c r="B161" s="1316">
        <f>B160+1</f>
        <v>108</v>
      </c>
      <c r="D161" s="1010" t="s">
        <v>1319</v>
      </c>
      <c r="I161" s="1336"/>
      <c r="J161" s="1339" t="s">
        <v>639</v>
      </c>
      <c r="L161" s="1340">
        <v>0</v>
      </c>
      <c r="M161" s="1341"/>
      <c r="N161" s="1339"/>
      <c r="R161" s="1340">
        <v>0</v>
      </c>
    </row>
    <row r="162" spans="1:19">
      <c r="B162" s="1316">
        <f>B161+1</f>
        <v>109</v>
      </c>
      <c r="D162" s="1010" t="s">
        <v>1320</v>
      </c>
      <c r="I162" s="1336"/>
      <c r="J162" s="1329" t="str">
        <f>"(Col. "&amp;L141&amp;", Line "&amp;B160&amp;" + Line "&amp;B161&amp;")"</f>
        <v>(Col. (H), Line 107 + Line 108)</v>
      </c>
      <c r="L162" s="1342">
        <f>L160+L161</f>
        <v>0</v>
      </c>
      <c r="M162" s="1336"/>
      <c r="N162" s="1329" t="str">
        <f>"(Col. "&amp;R141&amp;", Line "&amp;B160&amp;" + Line "&amp;B161&amp;")"</f>
        <v>(Col. (M), Line 107 + Line 108)</v>
      </c>
      <c r="R162" s="1342">
        <f>R160+R161</f>
        <v>0</v>
      </c>
    </row>
    <row r="163" spans="1:19">
      <c r="I163" s="1336"/>
      <c r="L163" s="1342"/>
      <c r="M163" s="1336"/>
      <c r="R163" s="1342"/>
    </row>
    <row r="164" spans="1:19">
      <c r="B164" s="1316">
        <f>B162+1</f>
        <v>110</v>
      </c>
      <c r="D164" s="1010" t="s">
        <v>1321</v>
      </c>
      <c r="I164" s="1336"/>
      <c r="J164" s="1642" t="s">
        <v>1811</v>
      </c>
      <c r="L164" s="1321">
        <v>0</v>
      </c>
      <c r="M164" s="1338"/>
      <c r="N164" s="1321"/>
      <c r="R164" s="1321">
        <v>0</v>
      </c>
    </row>
    <row r="165" spans="1:19">
      <c r="B165" s="1316">
        <f>B164+1</f>
        <v>111</v>
      </c>
      <c r="D165" s="1010" t="s">
        <v>1322</v>
      </c>
      <c r="I165" s="1336"/>
      <c r="J165" s="1339" t="s">
        <v>639</v>
      </c>
      <c r="L165" s="1340">
        <v>0</v>
      </c>
      <c r="M165" s="1336"/>
      <c r="N165" s="1339"/>
      <c r="R165" s="1340">
        <v>0</v>
      </c>
    </row>
    <row r="166" spans="1:19">
      <c r="B166" s="1316">
        <f>B165+1</f>
        <v>112</v>
      </c>
      <c r="D166" s="1010" t="s">
        <v>1323</v>
      </c>
      <c r="I166" s="1336"/>
      <c r="J166" s="1329" t="str">
        <f>"(Col. "&amp;L141&amp;", Line "&amp;B164&amp;" + Line "&amp;B165&amp;")"</f>
        <v>(Col. (H), Line 110 + Line 111)</v>
      </c>
      <c r="L166" s="1342">
        <f>L164+L165</f>
        <v>0</v>
      </c>
      <c r="M166" s="1336"/>
      <c r="N166" s="1329" t="str">
        <f>"(Col. "&amp;R141&amp;", Line "&amp;B164&amp;" + Line "&amp;B165&amp;")"</f>
        <v>(Col. (M), Line 110 + Line 111)</v>
      </c>
      <c r="R166" s="1342">
        <f>R164+R165</f>
        <v>0</v>
      </c>
    </row>
    <row r="167" spans="1:19">
      <c r="I167" s="1336"/>
      <c r="L167" s="1342"/>
      <c r="M167" s="1336"/>
      <c r="R167" s="1342"/>
    </row>
    <row r="168" spans="1:19">
      <c r="B168" s="1316">
        <f>B166+1</f>
        <v>113</v>
      </c>
      <c r="D168" s="1010" t="s">
        <v>1000</v>
      </c>
      <c r="I168" s="1336"/>
      <c r="J168" s="1329" t="str">
        <f>"([Col. "&amp;L141&amp;", Line "&amp;B162&amp;" + Line "&amp;B166&amp;"] /2)"</f>
        <v>([Col. (H), Line 109 + Line 112] /2)</v>
      </c>
      <c r="L168" s="1326">
        <f>(L162+L166)/2</f>
        <v>0</v>
      </c>
      <c r="M168" s="1336"/>
      <c r="N168" s="1329" t="str">
        <f>"([Col. "&amp;R141&amp;", Line "&amp;B162&amp;" + Line "&amp;B166&amp;"] /2)"</f>
        <v>([Col. (M), Line 109 + Line 112] /2)</v>
      </c>
      <c r="R168" s="1326">
        <f>(R162+R166)/2</f>
        <v>0</v>
      </c>
    </row>
    <row r="169" spans="1:19">
      <c r="B169" s="1316">
        <f>B168+1</f>
        <v>114</v>
      </c>
      <c r="D169" s="1335" t="s">
        <v>1324</v>
      </c>
      <c r="E169" s="1335"/>
      <c r="F169" s="1335"/>
      <c r="G169" s="1335"/>
      <c r="H169" s="1336"/>
      <c r="I169" s="1336"/>
      <c r="J169" s="1329" t="str">
        <f>"(Col. "&amp;L141&amp;", Line "&amp;B157&amp;" )"</f>
        <v>(Col. (H), Line 105 )</v>
      </c>
      <c r="K169" s="1337"/>
      <c r="L169" s="1326">
        <f>L157</f>
        <v>0</v>
      </c>
      <c r="M169" s="1336"/>
      <c r="N169" s="1329" t="str">
        <f>"(Col. "&amp;R141&amp;", Line "&amp;B157&amp;" )"</f>
        <v>(Col. (M), Line 105 )</v>
      </c>
      <c r="R169" s="1326">
        <f>R157</f>
        <v>0</v>
      </c>
    </row>
    <row r="170" spans="1:19" ht="13.5" thickBot="1">
      <c r="B170" s="1316">
        <f>B169+1</f>
        <v>115</v>
      </c>
      <c r="D170" s="1343" t="s">
        <v>1760</v>
      </c>
      <c r="E170" s="1335"/>
      <c r="F170" s="1335"/>
      <c r="G170" s="1335"/>
      <c r="H170" s="1336"/>
      <c r="I170" s="1336"/>
      <c r="J170" s="1329" t="str">
        <f>"(Col. "&amp;L141&amp;", Line "&amp;B168&amp;" + Line "&amp;B169&amp;")"</f>
        <v>(Col. (H), Line 113 + Line 114)</v>
      </c>
      <c r="K170" s="1337"/>
      <c r="L170" s="1344">
        <f>L168+L169</f>
        <v>0</v>
      </c>
      <c r="M170" s="1336"/>
      <c r="N170" s="1329" t="str">
        <f>"(Col. "&amp;R141&amp;", Line "&amp;B168&amp;" + Line "&amp;B169&amp;")"</f>
        <v>(Col. (M), Line 113 + Line 114)</v>
      </c>
      <c r="R170" s="1344">
        <f>R168+R169</f>
        <v>0</v>
      </c>
    </row>
    <row r="171" spans="1:19">
      <c r="D171" s="1335"/>
      <c r="E171" s="1335"/>
      <c r="F171" s="1335"/>
      <c r="G171" s="1335"/>
      <c r="H171" s="1336"/>
      <c r="I171" s="1336"/>
      <c r="K171" s="1337"/>
      <c r="L171" s="1336"/>
      <c r="M171" s="1336"/>
      <c r="O171" s="1337"/>
      <c r="P171" s="1337"/>
      <c r="Q171" s="1337"/>
      <c r="R171" s="1336"/>
      <c r="S171" s="1336"/>
    </row>
    <row r="172" spans="1:19" ht="13">
      <c r="A172" s="1348"/>
      <c r="B172" s="1349" t="s">
        <v>1273</v>
      </c>
      <c r="C172" s="1348"/>
      <c r="D172" s="1348"/>
      <c r="E172" s="1348"/>
      <c r="F172" s="1348"/>
      <c r="G172" s="1348"/>
      <c r="H172" s="1348"/>
      <c r="I172" s="1348"/>
      <c r="J172" s="1348"/>
      <c r="K172" s="1348"/>
      <c r="L172" s="1348"/>
      <c r="M172" s="1348"/>
      <c r="N172" s="1348"/>
      <c r="O172" s="1348"/>
      <c r="P172" s="1348"/>
      <c r="Q172" s="1348"/>
      <c r="R172" s="1348"/>
      <c r="S172" s="1348"/>
    </row>
    <row r="174" spans="1:19" ht="12.75" customHeight="1">
      <c r="B174" s="1741" t="s">
        <v>1325</v>
      </c>
      <c r="C174" s="1741"/>
      <c r="D174" s="1741"/>
      <c r="E174" s="1741"/>
      <c r="F174" s="1741"/>
      <c r="G174" s="1741"/>
      <c r="H174" s="1741"/>
      <c r="I174" s="1741"/>
      <c r="J174" s="1741"/>
      <c r="K174" s="1741"/>
      <c r="L174" s="1741"/>
      <c r="M174" s="1336"/>
      <c r="O174" s="1337"/>
      <c r="P174" s="1337"/>
      <c r="Q174" s="1337"/>
      <c r="R174" s="1336"/>
      <c r="S174" s="1336"/>
    </row>
    <row r="175" spans="1:19">
      <c r="B175" s="1741"/>
      <c r="C175" s="1741"/>
      <c r="D175" s="1741"/>
      <c r="E175" s="1741"/>
      <c r="F175" s="1741"/>
      <c r="G175" s="1741"/>
      <c r="H175" s="1741"/>
      <c r="I175" s="1741"/>
      <c r="J175" s="1741"/>
      <c r="K175" s="1741"/>
      <c r="L175" s="1741"/>
      <c r="M175" s="1336"/>
      <c r="O175" s="1337"/>
      <c r="P175" s="1337"/>
      <c r="Q175" s="1337"/>
      <c r="R175" s="1336"/>
      <c r="S175" s="1336"/>
    </row>
    <row r="176" spans="1:19">
      <c r="D176" s="1335"/>
      <c r="E176" s="1335"/>
      <c r="F176" s="1335"/>
      <c r="G176" s="1335"/>
      <c r="H176" s="1336"/>
      <c r="I176" s="1336"/>
      <c r="K176" s="1337"/>
      <c r="L176" s="1336"/>
      <c r="M176" s="1336"/>
      <c r="O176" s="1337"/>
      <c r="P176" s="1337"/>
      <c r="Q176" s="1337"/>
      <c r="R176" s="1336"/>
      <c r="S176" s="1336"/>
    </row>
    <row r="177" spans="1:19" ht="13">
      <c r="B177" s="1314" t="s">
        <v>1326</v>
      </c>
      <c r="D177" s="1350" t="s">
        <v>1206</v>
      </c>
      <c r="E177" s="1351" t="str">
        <f>IF(D177="Projected Activity","Check",IF(D177="True-Up Adjustment","Check","Error"))</f>
        <v>Check</v>
      </c>
      <c r="F177" s="1336"/>
      <c r="G177" s="1336"/>
      <c r="H177" s="1336"/>
      <c r="I177" s="1336"/>
      <c r="K177" s="1337"/>
      <c r="L177" s="1336"/>
      <c r="M177" s="1336"/>
      <c r="O177" s="1337"/>
      <c r="P177" s="1337"/>
      <c r="Q177" s="1337"/>
      <c r="R177" s="1336"/>
      <c r="S177" s="1336"/>
    </row>
    <row r="178" spans="1:19">
      <c r="D178" s="1335"/>
      <c r="E178" s="1335"/>
      <c r="F178" s="1335"/>
      <c r="G178" s="1335"/>
      <c r="H178" s="1336"/>
      <c r="I178" s="1336"/>
      <c r="K178" s="1337"/>
      <c r="L178" s="1336"/>
      <c r="M178" s="1336"/>
      <c r="O178" s="1337"/>
      <c r="P178" s="1337"/>
      <c r="Q178" s="1337"/>
      <c r="R178" s="1336"/>
      <c r="S178" s="1336"/>
    </row>
    <row r="179" spans="1:19">
      <c r="B179" s="1742" t="s">
        <v>1327</v>
      </c>
      <c r="C179" s="1742"/>
      <c r="D179" s="1742"/>
      <c r="E179" s="1742"/>
      <c r="F179" s="1742"/>
      <c r="G179" s="1742"/>
      <c r="H179" s="1742"/>
      <c r="I179" s="1742"/>
      <c r="J179" s="1742"/>
      <c r="K179" s="1742"/>
      <c r="L179" s="1742"/>
      <c r="M179" s="1336"/>
      <c r="O179" s="1337"/>
      <c r="P179" s="1337"/>
      <c r="Q179" s="1337"/>
      <c r="R179" s="1336"/>
      <c r="S179" s="1336"/>
    </row>
    <row r="180" spans="1:19">
      <c r="B180" s="1742"/>
      <c r="C180" s="1742"/>
      <c r="D180" s="1742"/>
      <c r="E180" s="1742"/>
      <c r="F180" s="1742"/>
      <c r="G180" s="1742"/>
      <c r="H180" s="1742"/>
      <c r="I180" s="1742"/>
      <c r="J180" s="1742"/>
      <c r="K180" s="1742"/>
      <c r="L180" s="1742"/>
      <c r="M180" s="1336"/>
      <c r="O180" s="1337"/>
      <c r="P180" s="1337"/>
      <c r="Q180" s="1337"/>
      <c r="R180" s="1336"/>
      <c r="S180" s="1336"/>
    </row>
    <row r="181" spans="1:19">
      <c r="D181" s="1335"/>
      <c r="E181" s="1335"/>
      <c r="F181" s="1335"/>
      <c r="G181" s="1335"/>
      <c r="H181" s="1336"/>
      <c r="I181" s="1336"/>
      <c r="K181" s="1337"/>
      <c r="L181" s="1336"/>
      <c r="M181" s="1336"/>
      <c r="O181" s="1337"/>
      <c r="P181" s="1337"/>
      <c r="Q181" s="1337"/>
      <c r="R181" s="1336"/>
      <c r="S181" s="1336"/>
    </row>
    <row r="182" spans="1:19" ht="13">
      <c r="A182" s="1348"/>
      <c r="B182" s="1349" t="s">
        <v>925</v>
      </c>
      <c r="C182" s="1348"/>
      <c r="D182" s="1348"/>
      <c r="E182" s="1348"/>
      <c r="F182" s="1348"/>
      <c r="G182" s="1348"/>
      <c r="H182" s="1348"/>
      <c r="I182" s="1348"/>
      <c r="J182" s="1348"/>
      <c r="K182" s="1348"/>
      <c r="L182" s="1348"/>
      <c r="M182" s="1348"/>
      <c r="N182" s="1348"/>
      <c r="O182" s="1348"/>
      <c r="P182" s="1348"/>
      <c r="Q182" s="1348"/>
      <c r="R182" s="1348"/>
      <c r="S182" s="1348"/>
    </row>
    <row r="184" spans="1:19" ht="15.75" customHeight="1">
      <c r="A184" s="1313"/>
      <c r="B184" s="1314" t="s">
        <v>9</v>
      </c>
      <c r="C184" s="1741" t="s">
        <v>998</v>
      </c>
      <c r="D184" s="1741"/>
      <c r="E184" s="1741"/>
      <c r="F184" s="1741"/>
      <c r="G184" s="1741"/>
      <c r="H184" s="1741"/>
      <c r="I184" s="1741"/>
      <c r="J184" s="1741"/>
      <c r="K184" s="1741"/>
      <c r="L184" s="1741"/>
    </row>
    <row r="185" spans="1:19" ht="13">
      <c r="A185" s="1313"/>
      <c r="B185" s="1314"/>
      <c r="C185" s="1741"/>
      <c r="D185" s="1741"/>
      <c r="E185" s="1741"/>
      <c r="F185" s="1741"/>
      <c r="G185" s="1741"/>
      <c r="H185" s="1741"/>
      <c r="I185" s="1741"/>
      <c r="J185" s="1741"/>
      <c r="K185" s="1741"/>
      <c r="L185" s="1741"/>
    </row>
    <row r="186" spans="1:19">
      <c r="C186" s="1741"/>
      <c r="D186" s="1741"/>
      <c r="E186" s="1741"/>
      <c r="F186" s="1741"/>
      <c r="G186" s="1741"/>
      <c r="H186" s="1741"/>
      <c r="I186" s="1741"/>
      <c r="J186" s="1741"/>
      <c r="K186" s="1741"/>
      <c r="L186" s="1741"/>
    </row>
    <row r="187" spans="1:19">
      <c r="C187" s="1741"/>
      <c r="D187" s="1741"/>
      <c r="E187" s="1741"/>
      <c r="F187" s="1741"/>
      <c r="G187" s="1741"/>
      <c r="H187" s="1741"/>
      <c r="I187" s="1741"/>
      <c r="J187" s="1741"/>
      <c r="K187" s="1741"/>
      <c r="L187" s="1741"/>
    </row>
    <row r="188" spans="1:19" ht="15.75" customHeight="1">
      <c r="A188" s="1313"/>
      <c r="B188" s="1314" t="s">
        <v>10</v>
      </c>
      <c r="C188" s="1741" t="s">
        <v>997</v>
      </c>
      <c r="D188" s="1741"/>
      <c r="E188" s="1741"/>
      <c r="F188" s="1741"/>
      <c r="G188" s="1741"/>
      <c r="H188" s="1741"/>
      <c r="I188" s="1741"/>
      <c r="J188" s="1741"/>
      <c r="K188" s="1741"/>
      <c r="L188" s="1741"/>
    </row>
    <row r="189" spans="1:19" ht="13">
      <c r="A189" s="1313"/>
      <c r="B189" s="1314"/>
      <c r="C189" s="1741"/>
      <c r="D189" s="1741"/>
      <c r="E189" s="1741"/>
      <c r="F189" s="1741"/>
      <c r="G189" s="1741"/>
      <c r="H189" s="1741"/>
      <c r="I189" s="1741"/>
      <c r="J189" s="1741"/>
      <c r="K189" s="1741"/>
      <c r="L189" s="1741"/>
    </row>
    <row r="190" spans="1:19" ht="13">
      <c r="A190" s="1313"/>
      <c r="B190" s="1314"/>
      <c r="C190" s="1741"/>
      <c r="D190" s="1741"/>
      <c r="E190" s="1741"/>
      <c r="F190" s="1741"/>
      <c r="G190" s="1741"/>
      <c r="H190" s="1741"/>
      <c r="I190" s="1741"/>
      <c r="J190" s="1741"/>
      <c r="K190" s="1741"/>
      <c r="L190" s="1741"/>
    </row>
    <row r="191" spans="1:19" ht="13">
      <c r="A191" s="1313"/>
      <c r="B191" s="1314"/>
      <c r="C191" s="1741"/>
      <c r="D191" s="1741"/>
      <c r="E191" s="1741"/>
      <c r="F191" s="1741"/>
      <c r="G191" s="1741"/>
      <c r="H191" s="1741"/>
      <c r="I191" s="1741"/>
      <c r="J191" s="1741"/>
      <c r="K191" s="1741"/>
      <c r="L191" s="1741"/>
    </row>
    <row r="192" spans="1:19" ht="13">
      <c r="A192" s="1313"/>
      <c r="B192" s="1314"/>
      <c r="C192" s="1741"/>
      <c r="D192" s="1741"/>
      <c r="E192" s="1741"/>
      <c r="F192" s="1741"/>
      <c r="G192" s="1741"/>
      <c r="H192" s="1741"/>
      <c r="I192" s="1741"/>
      <c r="J192" s="1741"/>
      <c r="K192" s="1741"/>
      <c r="L192" s="1741"/>
    </row>
    <row r="193" spans="1:12">
      <c r="C193" s="1741"/>
      <c r="D193" s="1741"/>
      <c r="E193" s="1741"/>
      <c r="F193" s="1741"/>
      <c r="G193" s="1741"/>
      <c r="H193" s="1741"/>
      <c r="I193" s="1741"/>
      <c r="J193" s="1741"/>
      <c r="K193" s="1741"/>
      <c r="L193" s="1741"/>
    </row>
    <row r="194" spans="1:12">
      <c r="C194" s="1741"/>
      <c r="D194" s="1741"/>
      <c r="E194" s="1741"/>
      <c r="F194" s="1741"/>
      <c r="G194" s="1741"/>
      <c r="H194" s="1741"/>
      <c r="I194" s="1741"/>
      <c r="J194" s="1741"/>
      <c r="K194" s="1741"/>
      <c r="L194" s="1741"/>
    </row>
    <row r="195" spans="1:12" ht="15.75" customHeight="1">
      <c r="A195" s="1313"/>
      <c r="B195" s="1314" t="s">
        <v>11</v>
      </c>
      <c r="C195" s="1741" t="s">
        <v>996</v>
      </c>
      <c r="D195" s="1741"/>
      <c r="E195" s="1741"/>
      <c r="F195" s="1741"/>
      <c r="G195" s="1741"/>
      <c r="H195" s="1741"/>
      <c r="I195" s="1741"/>
      <c r="J195" s="1741"/>
      <c r="K195" s="1741"/>
      <c r="L195" s="1741"/>
    </row>
    <row r="196" spans="1:12" ht="13">
      <c r="A196" s="1313"/>
      <c r="B196" s="1314"/>
      <c r="C196" s="1741"/>
      <c r="D196" s="1741"/>
      <c r="E196" s="1741"/>
      <c r="F196" s="1741"/>
      <c r="G196" s="1741"/>
      <c r="H196" s="1741"/>
      <c r="I196" s="1741"/>
      <c r="J196" s="1741"/>
      <c r="K196" s="1741"/>
      <c r="L196" s="1741"/>
    </row>
    <row r="197" spans="1:12" ht="13">
      <c r="A197" s="1313"/>
      <c r="B197" s="1314"/>
      <c r="C197" s="1741"/>
      <c r="D197" s="1741"/>
      <c r="E197" s="1741"/>
      <c r="F197" s="1741"/>
      <c r="G197" s="1741"/>
      <c r="H197" s="1741"/>
      <c r="I197" s="1741"/>
      <c r="J197" s="1741"/>
      <c r="K197" s="1741"/>
      <c r="L197" s="1741"/>
    </row>
    <row r="198" spans="1:12" ht="13">
      <c r="A198" s="1313"/>
      <c r="B198" s="1314"/>
      <c r="C198" s="1741"/>
      <c r="D198" s="1741"/>
      <c r="E198" s="1741"/>
      <c r="F198" s="1741"/>
      <c r="G198" s="1741"/>
      <c r="H198" s="1741"/>
      <c r="I198" s="1741"/>
      <c r="J198" s="1741"/>
      <c r="K198" s="1741"/>
      <c r="L198" s="1741"/>
    </row>
    <row r="199" spans="1:12" ht="15.75" customHeight="1">
      <c r="A199" s="1313"/>
      <c r="B199" s="1314" t="s">
        <v>14</v>
      </c>
      <c r="C199" s="1741" t="s">
        <v>995</v>
      </c>
      <c r="D199" s="1741"/>
      <c r="E199" s="1741"/>
      <c r="F199" s="1741"/>
      <c r="G199" s="1741"/>
      <c r="H199" s="1741"/>
      <c r="I199" s="1741"/>
      <c r="J199" s="1741"/>
      <c r="K199" s="1741"/>
      <c r="L199" s="1741"/>
    </row>
    <row r="200" spans="1:12" ht="15.75" customHeight="1">
      <c r="C200" s="1741"/>
      <c r="D200" s="1741"/>
      <c r="E200" s="1741"/>
      <c r="F200" s="1741"/>
      <c r="G200" s="1741"/>
      <c r="H200" s="1741"/>
      <c r="I200" s="1741"/>
      <c r="J200" s="1741"/>
      <c r="K200" s="1741"/>
      <c r="L200" s="1741"/>
    </row>
    <row r="201" spans="1:12" ht="15.75" customHeight="1">
      <c r="A201" s="1313"/>
      <c r="B201" s="1314" t="s">
        <v>138</v>
      </c>
      <c r="C201" s="1741" t="s">
        <v>994</v>
      </c>
      <c r="D201" s="1741"/>
      <c r="E201" s="1741"/>
      <c r="F201" s="1741"/>
      <c r="G201" s="1741"/>
      <c r="H201" s="1741"/>
      <c r="I201" s="1741"/>
      <c r="J201" s="1741"/>
      <c r="K201" s="1741"/>
      <c r="L201" s="1741"/>
    </row>
    <row r="202" spans="1:12" ht="15.75" customHeight="1">
      <c r="C202" s="1741"/>
      <c r="D202" s="1741"/>
      <c r="E202" s="1741"/>
      <c r="F202" s="1741"/>
      <c r="G202" s="1741"/>
      <c r="H202" s="1741"/>
      <c r="I202" s="1741"/>
      <c r="J202" s="1741"/>
      <c r="K202" s="1741"/>
      <c r="L202" s="1741"/>
    </row>
    <row r="203" spans="1:12" ht="15.75" customHeight="1">
      <c r="A203" s="1313"/>
      <c r="B203" s="1314" t="s">
        <v>139</v>
      </c>
      <c r="C203" s="1743" t="s">
        <v>993</v>
      </c>
      <c r="D203" s="1743"/>
      <c r="E203" s="1743"/>
      <c r="F203" s="1743"/>
      <c r="G203" s="1743"/>
      <c r="H203" s="1743"/>
      <c r="I203" s="1743"/>
      <c r="J203" s="1743"/>
      <c r="K203" s="1743"/>
      <c r="L203" s="1743"/>
    </row>
    <row r="204" spans="1:12">
      <c r="C204" s="1743"/>
      <c r="D204" s="1743"/>
      <c r="E204" s="1743"/>
      <c r="F204" s="1743"/>
      <c r="G204" s="1743"/>
      <c r="H204" s="1743"/>
      <c r="I204" s="1743"/>
      <c r="J204" s="1743"/>
      <c r="K204" s="1743"/>
      <c r="L204" s="1743"/>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J140" sqref="J140:L140"/>
    </sheetView>
  </sheetViews>
  <sheetFormatPr defaultColWidth="11.453125" defaultRowHeight="13"/>
  <cols>
    <col min="1" max="1" width="6.26953125" style="621" customWidth="1"/>
    <col min="2" max="2" width="37.26953125" style="622" bestFit="1" customWidth="1"/>
    <col min="3" max="3" width="30.81640625" style="622" customWidth="1"/>
    <col min="4" max="4" width="32.81640625" style="622" customWidth="1"/>
    <col min="5" max="5" width="24.7265625" style="622" customWidth="1"/>
    <col min="6" max="6" width="20.54296875" style="622" customWidth="1"/>
    <col min="7" max="8" width="22.26953125" style="622" customWidth="1"/>
    <col min="9" max="9" width="23.453125" style="622" customWidth="1"/>
    <col min="10" max="10" width="23.1796875" style="622" customWidth="1"/>
    <col min="11" max="12" width="27.54296875" style="622" customWidth="1"/>
    <col min="13" max="13" width="26.1796875" style="622" customWidth="1"/>
    <col min="14" max="14" width="24.453125" style="622" customWidth="1"/>
    <col min="15" max="16" width="15.1796875" style="622" customWidth="1"/>
    <col min="17" max="17" width="20.26953125" style="622" customWidth="1"/>
    <col min="18" max="16384" width="11.453125" style="622"/>
  </cols>
  <sheetData>
    <row r="1" spans="1:16">
      <c r="C1" s="623"/>
      <c r="D1" s="623"/>
      <c r="E1" s="623"/>
      <c r="F1" s="623"/>
      <c r="I1" s="624" t="s">
        <v>557</v>
      </c>
      <c r="J1" s="623"/>
      <c r="K1" s="623"/>
      <c r="L1" s="623"/>
    </row>
    <row r="2" spans="1:16">
      <c r="A2" s="626"/>
      <c r="C2" s="623"/>
      <c r="D2" s="623"/>
      <c r="E2" s="623"/>
      <c r="F2" s="623"/>
      <c r="G2" s="623"/>
      <c r="H2" s="623"/>
      <c r="I2" s="627" t="s">
        <v>558</v>
      </c>
      <c r="J2" s="623"/>
      <c r="K2" s="623"/>
      <c r="L2" s="623"/>
      <c r="M2" s="623"/>
      <c r="O2" s="628"/>
    </row>
    <row r="3" spans="1:16">
      <c r="A3" s="626"/>
      <c r="C3" s="623"/>
      <c r="D3" s="623"/>
      <c r="E3" s="623"/>
      <c r="F3" s="623"/>
      <c r="G3" s="623"/>
      <c r="H3" s="623"/>
      <c r="I3" s="629" t="s">
        <v>1551</v>
      </c>
      <c r="J3" s="623"/>
      <c r="K3" s="623"/>
      <c r="L3" s="623"/>
      <c r="M3" s="623"/>
    </row>
    <row r="4" spans="1:16">
      <c r="A4" s="626"/>
      <c r="C4" s="623"/>
      <c r="D4" s="623"/>
      <c r="E4" s="919"/>
      <c r="F4" s="623"/>
      <c r="G4" s="623"/>
      <c r="H4" s="623"/>
      <c r="I4" s="623"/>
      <c r="J4" s="623"/>
      <c r="K4" s="623"/>
      <c r="L4" s="623"/>
      <c r="M4" s="623"/>
      <c r="P4" s="969"/>
    </row>
    <row r="5" spans="1:16" ht="13.5" thickBot="1">
      <c r="A5" s="626"/>
      <c r="B5" s="630"/>
      <c r="C5" s="630"/>
      <c r="D5" s="630"/>
      <c r="E5" s="630"/>
      <c r="F5" s="630"/>
      <c r="G5" s="623"/>
      <c r="H5" s="623"/>
      <c r="I5" s="623"/>
      <c r="J5" s="623"/>
      <c r="K5" s="623"/>
      <c r="L5" s="623"/>
      <c r="M5" s="630"/>
    </row>
    <row r="6" spans="1:16" ht="13.5" thickBot="1">
      <c r="A6" s="626"/>
      <c r="B6" s="1143" t="s">
        <v>814</v>
      </c>
      <c r="C6" s="1897" t="s">
        <v>1240</v>
      </c>
      <c r="D6" s="1900"/>
      <c r="E6" s="1900"/>
      <c r="F6" s="1901"/>
      <c r="G6" s="1897" t="s">
        <v>1254</v>
      </c>
      <c r="H6" s="1900"/>
      <c r="I6" s="1900"/>
      <c r="J6" s="1901"/>
      <c r="K6" s="1897" t="s">
        <v>1255</v>
      </c>
      <c r="L6" s="1900"/>
      <c r="M6" s="1900"/>
      <c r="N6" s="1901"/>
      <c r="P6" s="969"/>
    </row>
    <row r="7" spans="1:16" s="635" customFormat="1" ht="26">
      <c r="A7" s="632" t="s">
        <v>504</v>
      </c>
      <c r="B7" s="633" t="s">
        <v>169</v>
      </c>
      <c r="C7" s="633" t="s">
        <v>559</v>
      </c>
      <c r="D7" s="633" t="s">
        <v>228</v>
      </c>
      <c r="E7" s="633" t="s">
        <v>147</v>
      </c>
      <c r="F7" s="634" t="s">
        <v>505</v>
      </c>
      <c r="G7" s="633" t="s">
        <v>559</v>
      </c>
      <c r="H7" s="633" t="s">
        <v>228</v>
      </c>
      <c r="I7" s="633" t="s">
        <v>147</v>
      </c>
      <c r="J7" s="634" t="s">
        <v>505</v>
      </c>
      <c r="K7" s="633" t="s">
        <v>559</v>
      </c>
      <c r="L7" s="633" t="s">
        <v>228</v>
      </c>
      <c r="M7" s="633" t="s">
        <v>147</v>
      </c>
      <c r="N7" s="634" t="s">
        <v>505</v>
      </c>
      <c r="O7" s="623"/>
    </row>
    <row r="8" spans="1:16" s="637" customFormat="1">
      <c r="A8" s="626"/>
      <c r="B8" s="631" t="s">
        <v>510</v>
      </c>
      <c r="C8" s="631" t="s">
        <v>511</v>
      </c>
      <c r="D8" s="631" t="s">
        <v>512</v>
      </c>
      <c r="E8" s="633" t="s">
        <v>513</v>
      </c>
      <c r="F8" s="631" t="s">
        <v>514</v>
      </c>
      <c r="G8" s="631" t="s">
        <v>515</v>
      </c>
      <c r="H8" s="633" t="s">
        <v>516</v>
      </c>
      <c r="I8" s="631" t="s">
        <v>517</v>
      </c>
      <c r="J8" s="631" t="s">
        <v>518</v>
      </c>
      <c r="K8" s="633" t="s">
        <v>519</v>
      </c>
      <c r="L8" s="631" t="s">
        <v>520</v>
      </c>
      <c r="M8" s="633" t="s">
        <v>544</v>
      </c>
      <c r="N8" s="633" t="s">
        <v>763</v>
      </c>
      <c r="O8" s="623"/>
    </row>
    <row r="9" spans="1:16" s="637" customFormat="1">
      <c r="A9" s="626"/>
      <c r="B9" s="638" t="s">
        <v>1775</v>
      </c>
      <c r="C9" s="627"/>
      <c r="D9" s="627"/>
      <c r="E9" s="627"/>
      <c r="F9" s="639"/>
      <c r="G9" s="627"/>
      <c r="H9" s="627"/>
      <c r="I9" s="627"/>
      <c r="J9" s="639"/>
      <c r="K9" s="627">
        <v>6</v>
      </c>
      <c r="L9" s="627"/>
      <c r="M9" s="627"/>
      <c r="N9" s="639"/>
      <c r="O9" s="623"/>
    </row>
    <row r="10" spans="1:16" s="637" customFormat="1" ht="104">
      <c r="A10" s="626"/>
      <c r="B10" s="631"/>
      <c r="C10" s="641" t="s">
        <v>975</v>
      </c>
      <c r="D10" s="641" t="s">
        <v>1784</v>
      </c>
      <c r="E10" s="642" t="s">
        <v>976</v>
      </c>
      <c r="F10" s="643" t="s">
        <v>522</v>
      </c>
      <c r="G10" s="641" t="s">
        <v>977</v>
      </c>
      <c r="H10" s="641" t="s">
        <v>960</v>
      </c>
      <c r="I10" s="642" t="s">
        <v>978</v>
      </c>
      <c r="J10" s="643" t="s">
        <v>522</v>
      </c>
      <c r="K10" s="641" t="s">
        <v>961</v>
      </c>
      <c r="L10" s="641" t="s">
        <v>962</v>
      </c>
      <c r="M10" s="641" t="s">
        <v>963</v>
      </c>
      <c r="N10" s="641" t="s">
        <v>964</v>
      </c>
      <c r="O10" s="623"/>
    </row>
    <row r="11" spans="1:16">
      <c r="A11" s="626">
        <v>1</v>
      </c>
      <c r="B11" s="644" t="s">
        <v>524</v>
      </c>
      <c r="C11" s="645">
        <v>4199354906.46</v>
      </c>
      <c r="D11" s="645">
        <v>1524090059</v>
      </c>
      <c r="E11" s="645">
        <v>213199145.46000001</v>
      </c>
      <c r="F11" s="645">
        <v>0</v>
      </c>
      <c r="G11" s="645">
        <v>2165288.44</v>
      </c>
      <c r="H11" s="645"/>
      <c r="I11" s="686">
        <v>110223.29999999999</v>
      </c>
      <c r="J11" s="645">
        <v>0</v>
      </c>
      <c r="K11" s="645">
        <f>+C11-G11</f>
        <v>4197189618.02</v>
      </c>
      <c r="L11" s="645">
        <f>+D11-H11</f>
        <v>1524090059</v>
      </c>
      <c r="M11" s="645">
        <f>+E11-I11</f>
        <v>213088922.16</v>
      </c>
      <c r="N11" s="645">
        <v>0</v>
      </c>
      <c r="P11" s="623"/>
    </row>
    <row r="12" spans="1:16">
      <c r="A12" s="626">
        <v>2</v>
      </c>
      <c r="B12" s="644" t="s">
        <v>525</v>
      </c>
      <c r="C12" s="686">
        <v>4214674080.9000001</v>
      </c>
      <c r="D12" s="686">
        <v>1525933447.4800005</v>
      </c>
      <c r="E12" s="686">
        <v>215713257.50999999</v>
      </c>
      <c r="F12" s="645">
        <v>0</v>
      </c>
      <c r="G12" s="686">
        <v>2160743.91</v>
      </c>
      <c r="H12" s="645"/>
      <c r="I12" s="686">
        <v>110223.29999999999</v>
      </c>
      <c r="J12" s="645">
        <v>0</v>
      </c>
      <c r="K12" s="645">
        <f t="shared" ref="K12:K23" si="0">+C12-G12</f>
        <v>4212513336.9900002</v>
      </c>
      <c r="L12" s="645">
        <f t="shared" ref="L12:L23" si="1">+D12-H12</f>
        <v>1525933447.4800005</v>
      </c>
      <c r="M12" s="645">
        <f t="shared" ref="M12:M23" si="2">+E12-I12</f>
        <v>215603034.20999998</v>
      </c>
      <c r="N12" s="645">
        <f t="shared" ref="N12:N23" si="3">+F12-J12</f>
        <v>0</v>
      </c>
      <c r="O12" s="623"/>
      <c r="P12" s="623"/>
    </row>
    <row r="13" spans="1:16">
      <c r="A13" s="626">
        <v>3</v>
      </c>
      <c r="B13" s="623" t="s">
        <v>526</v>
      </c>
      <c r="C13" s="686">
        <v>4245977239.1200008</v>
      </c>
      <c r="D13" s="686">
        <v>1546212805.9000003</v>
      </c>
      <c r="E13" s="686">
        <v>219456405.12</v>
      </c>
      <c r="F13" s="645">
        <v>0</v>
      </c>
      <c r="G13" s="686">
        <v>2148554.88</v>
      </c>
      <c r="H13" s="645"/>
      <c r="I13" s="686">
        <v>110223.29999999999</v>
      </c>
      <c r="J13" s="645">
        <v>0</v>
      </c>
      <c r="K13" s="645">
        <f t="shared" si="0"/>
        <v>4243828684.2400007</v>
      </c>
      <c r="L13" s="645">
        <f t="shared" si="1"/>
        <v>1546212805.9000003</v>
      </c>
      <c r="M13" s="645">
        <f t="shared" si="2"/>
        <v>219346181.81999999</v>
      </c>
      <c r="N13" s="645">
        <f t="shared" si="3"/>
        <v>0</v>
      </c>
      <c r="O13" s="623"/>
      <c r="P13" s="623"/>
    </row>
    <row r="14" spans="1:16">
      <c r="A14" s="626">
        <v>4</v>
      </c>
      <c r="B14" s="623" t="s">
        <v>527</v>
      </c>
      <c r="C14" s="686">
        <v>4285121962.3899994</v>
      </c>
      <c r="D14" s="686">
        <v>1574611778.3099997</v>
      </c>
      <c r="E14" s="686">
        <v>223533944.69</v>
      </c>
      <c r="F14" s="645">
        <v>0</v>
      </c>
      <c r="G14" s="686">
        <v>2095698.6700000002</v>
      </c>
      <c r="H14" s="645"/>
      <c r="I14" s="686">
        <v>110223.29999999999</v>
      </c>
      <c r="J14" s="645">
        <v>0</v>
      </c>
      <c r="K14" s="645">
        <f t="shared" si="0"/>
        <v>4283026263.7199993</v>
      </c>
      <c r="L14" s="645">
        <f t="shared" si="1"/>
        <v>1574611778.3099997</v>
      </c>
      <c r="M14" s="645">
        <f t="shared" si="2"/>
        <v>223423721.38999999</v>
      </c>
      <c r="N14" s="645">
        <f t="shared" si="3"/>
        <v>0</v>
      </c>
      <c r="O14" s="623"/>
      <c r="P14" s="623"/>
    </row>
    <row r="15" spans="1:16">
      <c r="A15" s="626">
        <v>5</v>
      </c>
      <c r="B15" s="623" t="s">
        <v>171</v>
      </c>
      <c r="C15" s="686">
        <v>4326327089.71</v>
      </c>
      <c r="D15" s="686">
        <v>1588742432.9400003</v>
      </c>
      <c r="E15" s="686">
        <v>224487640.00999999</v>
      </c>
      <c r="F15" s="645">
        <v>0</v>
      </c>
      <c r="G15" s="686">
        <v>2095698.6700000002</v>
      </c>
      <c r="H15" s="645"/>
      <c r="I15" s="686">
        <v>110223.29999999999</v>
      </c>
      <c r="J15" s="645">
        <v>0</v>
      </c>
      <c r="K15" s="645">
        <f t="shared" si="0"/>
        <v>4324231391.04</v>
      </c>
      <c r="L15" s="645">
        <f t="shared" si="1"/>
        <v>1588742432.9400003</v>
      </c>
      <c r="M15" s="645">
        <f t="shared" si="2"/>
        <v>224377416.70999998</v>
      </c>
      <c r="N15" s="645">
        <f t="shared" si="3"/>
        <v>0</v>
      </c>
      <c r="O15" s="623"/>
      <c r="P15" s="623"/>
    </row>
    <row r="16" spans="1:16">
      <c r="A16" s="626">
        <v>6</v>
      </c>
      <c r="B16" s="623" t="s">
        <v>172</v>
      </c>
      <c r="C16" s="686">
        <v>4372688879.4000006</v>
      </c>
      <c r="D16" s="686">
        <v>1607154816.3600004</v>
      </c>
      <c r="E16" s="686">
        <v>226402360.90000004</v>
      </c>
      <c r="F16" s="645">
        <v>0</v>
      </c>
      <c r="G16" s="686">
        <v>2094956.7699999998</v>
      </c>
      <c r="H16" s="645"/>
      <c r="I16" s="686">
        <v>110223.29999999999</v>
      </c>
      <c r="J16" s="645">
        <v>0</v>
      </c>
      <c r="K16" s="645">
        <f t="shared" si="0"/>
        <v>4370593922.6300001</v>
      </c>
      <c r="L16" s="645">
        <f t="shared" si="1"/>
        <v>1607154816.3600004</v>
      </c>
      <c r="M16" s="645">
        <f t="shared" si="2"/>
        <v>226292137.60000002</v>
      </c>
      <c r="N16" s="645">
        <f t="shared" si="3"/>
        <v>0</v>
      </c>
      <c r="O16" s="623"/>
      <c r="P16" s="623"/>
    </row>
    <row r="17" spans="1:16">
      <c r="A17" s="626">
        <v>7</v>
      </c>
      <c r="B17" s="623" t="s">
        <v>173</v>
      </c>
      <c r="C17" s="686">
        <v>4391372065.25</v>
      </c>
      <c r="D17" s="686">
        <v>1608268042.6699998</v>
      </c>
      <c r="E17" s="686">
        <v>228384872.48999998</v>
      </c>
      <c r="F17" s="645">
        <v>0</v>
      </c>
      <c r="G17" s="686">
        <v>2094956.7699999998</v>
      </c>
      <c r="H17" s="645"/>
      <c r="I17" s="686">
        <v>110223.29999999999</v>
      </c>
      <c r="J17" s="645">
        <v>0</v>
      </c>
      <c r="K17" s="645">
        <f t="shared" si="0"/>
        <v>4389277108.4799995</v>
      </c>
      <c r="L17" s="645">
        <f t="shared" si="1"/>
        <v>1608268042.6699998</v>
      </c>
      <c r="M17" s="645">
        <f t="shared" si="2"/>
        <v>228274649.18999997</v>
      </c>
      <c r="N17" s="645">
        <f t="shared" si="3"/>
        <v>0</v>
      </c>
      <c r="O17" s="623"/>
      <c r="P17" s="623"/>
    </row>
    <row r="18" spans="1:16">
      <c r="A18" s="626">
        <v>8</v>
      </c>
      <c r="B18" s="623" t="s">
        <v>528</v>
      </c>
      <c r="C18" s="686">
        <v>4408497700.7600002</v>
      </c>
      <c r="D18" s="686">
        <v>1613052596.1900001</v>
      </c>
      <c r="E18" s="686">
        <v>231008601.27999997</v>
      </c>
      <c r="F18" s="645">
        <v>0</v>
      </c>
      <c r="G18" s="686">
        <v>2094956.7699999998</v>
      </c>
      <c r="H18" s="645"/>
      <c r="I18" s="686">
        <v>110223.29999999999</v>
      </c>
      <c r="J18" s="645">
        <v>0</v>
      </c>
      <c r="K18" s="645">
        <f t="shared" si="0"/>
        <v>4406402743.9899998</v>
      </c>
      <c r="L18" s="645">
        <f t="shared" si="1"/>
        <v>1613052596.1900001</v>
      </c>
      <c r="M18" s="645">
        <f t="shared" si="2"/>
        <v>230898377.97999996</v>
      </c>
      <c r="N18" s="645">
        <f t="shared" si="3"/>
        <v>0</v>
      </c>
      <c r="O18" s="623"/>
      <c r="P18" s="623"/>
    </row>
    <row r="19" spans="1:16">
      <c r="A19" s="626">
        <v>9</v>
      </c>
      <c r="B19" s="623" t="s">
        <v>529</v>
      </c>
      <c r="C19" s="686">
        <v>4426770926.8900003</v>
      </c>
      <c r="D19" s="686">
        <v>1613286821.28</v>
      </c>
      <c r="E19" s="686">
        <v>232741714.23999998</v>
      </c>
      <c r="F19" s="645">
        <v>0</v>
      </c>
      <c r="G19" s="686">
        <v>2091668.68</v>
      </c>
      <c r="H19" s="645"/>
      <c r="I19" s="686">
        <v>110223.29999999999</v>
      </c>
      <c r="J19" s="645">
        <v>0</v>
      </c>
      <c r="K19" s="645">
        <f t="shared" si="0"/>
        <v>4424679258.21</v>
      </c>
      <c r="L19" s="645">
        <f t="shared" si="1"/>
        <v>1613286821.28</v>
      </c>
      <c r="M19" s="645">
        <f t="shared" si="2"/>
        <v>232631490.93999997</v>
      </c>
      <c r="N19" s="645">
        <f t="shared" si="3"/>
        <v>0</v>
      </c>
      <c r="O19" s="623"/>
      <c r="P19" s="623"/>
    </row>
    <row r="20" spans="1:16">
      <c r="A20" s="626">
        <v>10</v>
      </c>
      <c r="B20" s="623" t="s">
        <v>530</v>
      </c>
      <c r="C20" s="686">
        <v>4437235221.2799988</v>
      </c>
      <c r="D20" s="686">
        <v>1610617006.1199994</v>
      </c>
      <c r="E20" s="686">
        <v>235774563.70999995</v>
      </c>
      <c r="F20" s="645">
        <v>0</v>
      </c>
      <c r="G20" s="686">
        <v>2375483.8200000003</v>
      </c>
      <c r="H20" s="645"/>
      <c r="I20" s="686">
        <v>108026.47999999998</v>
      </c>
      <c r="J20" s="645">
        <v>0</v>
      </c>
      <c r="K20" s="645">
        <f t="shared" si="0"/>
        <v>4434859737.4599991</v>
      </c>
      <c r="L20" s="645">
        <f t="shared" si="1"/>
        <v>1610617006.1199994</v>
      </c>
      <c r="M20" s="645">
        <f t="shared" si="2"/>
        <v>235666537.22999996</v>
      </c>
      <c r="N20" s="645">
        <f t="shared" si="3"/>
        <v>0</v>
      </c>
      <c r="O20" s="623"/>
      <c r="P20" s="623"/>
    </row>
    <row r="21" spans="1:16">
      <c r="A21" s="626">
        <v>11</v>
      </c>
      <c r="B21" s="623" t="s">
        <v>531</v>
      </c>
      <c r="C21" s="686">
        <v>4471860370.9199991</v>
      </c>
      <c r="D21" s="686">
        <v>1622574036.0899999</v>
      </c>
      <c r="E21" s="686">
        <v>250460617.34999996</v>
      </c>
      <c r="F21" s="645">
        <v>0</v>
      </c>
      <c r="G21" s="686">
        <v>2375483.8200000003</v>
      </c>
      <c r="H21" s="645"/>
      <c r="I21" s="686">
        <v>108026.47999999998</v>
      </c>
      <c r="J21" s="645">
        <v>0</v>
      </c>
      <c r="K21" s="645">
        <f t="shared" si="0"/>
        <v>4469484887.0999994</v>
      </c>
      <c r="L21" s="645">
        <f t="shared" si="1"/>
        <v>1622574036.0899999</v>
      </c>
      <c r="M21" s="645">
        <f t="shared" si="2"/>
        <v>250352590.86999997</v>
      </c>
      <c r="N21" s="645">
        <f t="shared" si="3"/>
        <v>0</v>
      </c>
      <c r="O21" s="623"/>
      <c r="P21" s="623"/>
    </row>
    <row r="22" spans="1:16">
      <c r="A22" s="626">
        <v>12</v>
      </c>
      <c r="B22" s="623" t="s">
        <v>532</v>
      </c>
      <c r="C22" s="686">
        <v>4527312259.5699987</v>
      </c>
      <c r="D22" s="686">
        <v>1665541931.5299997</v>
      </c>
      <c r="E22" s="686">
        <v>253735960.44999999</v>
      </c>
      <c r="F22" s="645">
        <v>0</v>
      </c>
      <c r="G22" s="686">
        <v>2374395.16</v>
      </c>
      <c r="H22" s="645"/>
      <c r="I22" s="686">
        <v>108026.47999999998</v>
      </c>
      <c r="J22" s="645">
        <v>0</v>
      </c>
      <c r="K22" s="645">
        <f t="shared" si="0"/>
        <v>4524937864.4099989</v>
      </c>
      <c r="L22" s="645">
        <f t="shared" si="1"/>
        <v>1665541931.5299997</v>
      </c>
      <c r="M22" s="645">
        <f t="shared" si="2"/>
        <v>253627933.97</v>
      </c>
      <c r="N22" s="645">
        <f t="shared" si="3"/>
        <v>0</v>
      </c>
      <c r="O22" s="623"/>
      <c r="P22" s="623"/>
    </row>
    <row r="23" spans="1:16">
      <c r="A23" s="626">
        <v>13</v>
      </c>
      <c r="B23" s="623" t="s">
        <v>533</v>
      </c>
      <c r="C23" s="645">
        <f>+'5 - Cost Support 1'!I198</f>
        <v>4554735038.4099998</v>
      </c>
      <c r="D23" s="645">
        <f>+'5 - Cost Support 1'!I201</f>
        <v>1668224393</v>
      </c>
      <c r="E23" s="645">
        <f>+'5 - Cost Support 1'!I202</f>
        <v>266846915.41</v>
      </c>
      <c r="F23" s="645">
        <v>0</v>
      </c>
      <c r="G23" s="645">
        <v>2559209.61</v>
      </c>
      <c r="H23" s="645"/>
      <c r="I23" s="686">
        <v>108026.47999999998</v>
      </c>
      <c r="J23" s="645">
        <v>0</v>
      </c>
      <c r="K23" s="645">
        <f t="shared" si="0"/>
        <v>4552175828.8000002</v>
      </c>
      <c r="L23" s="645">
        <f t="shared" si="1"/>
        <v>1668224393</v>
      </c>
      <c r="M23" s="645">
        <f t="shared" si="2"/>
        <v>266738888.93000001</v>
      </c>
      <c r="N23" s="645">
        <f t="shared" si="3"/>
        <v>0</v>
      </c>
      <c r="O23" s="623"/>
      <c r="P23" s="623"/>
    </row>
    <row r="24" spans="1:16" ht="13.5" thickBot="1">
      <c r="A24" s="626">
        <v>14</v>
      </c>
      <c r="B24" s="625" t="s">
        <v>534</v>
      </c>
      <c r="C24" s="647">
        <f t="shared" ref="C24:J24" si="4">SUM(C11:C23)/13</f>
        <v>4373994441.6199999</v>
      </c>
      <c r="D24" s="647">
        <f t="shared" si="4"/>
        <v>1597562320.5284615</v>
      </c>
      <c r="E24" s="647">
        <f t="shared" si="4"/>
        <v>232441999.89384609</v>
      </c>
      <c r="F24" s="647">
        <f t="shared" si="4"/>
        <v>0</v>
      </c>
      <c r="G24" s="647">
        <f t="shared" si="4"/>
        <v>2209776.6130769229</v>
      </c>
      <c r="H24" s="647">
        <f t="shared" si="4"/>
        <v>0</v>
      </c>
      <c r="I24" s="647">
        <f t="shared" si="4"/>
        <v>109547.3553846154</v>
      </c>
      <c r="J24" s="647">
        <f t="shared" si="4"/>
        <v>0</v>
      </c>
      <c r="K24" s="647">
        <f t="shared" ref="K24:N24" si="5">SUM(K11:K23)/13</f>
        <v>4371784665.0069227</v>
      </c>
      <c r="L24" s="647">
        <f t="shared" si="5"/>
        <v>1597562320.5284615</v>
      </c>
      <c r="M24" s="647">
        <f t="shared" si="5"/>
        <v>232332452.53846151</v>
      </c>
      <c r="N24" s="647">
        <f t="shared" si="5"/>
        <v>0</v>
      </c>
      <c r="O24" s="623"/>
    </row>
    <row r="25" spans="1:16" ht="14" thickTop="1" thickBot="1">
      <c r="A25" s="626"/>
      <c r="B25" s="623"/>
      <c r="C25" s="648"/>
      <c r="D25" s="648"/>
      <c r="E25" s="649"/>
      <c r="F25" s="649"/>
      <c r="G25" s="623"/>
      <c r="H25" s="623"/>
      <c r="I25" s="648"/>
      <c r="J25" s="648"/>
      <c r="K25" s="648"/>
      <c r="L25" s="648"/>
    </row>
    <row r="26" spans="1:16" s="895" customFormat="1" ht="15" thickBot="1">
      <c r="A26" s="894"/>
      <c r="B26" s="630"/>
      <c r="C26" s="1897" t="s">
        <v>1256</v>
      </c>
      <c r="D26" s="1900"/>
      <c r="E26" s="1900"/>
      <c r="F26" s="1900"/>
      <c r="G26" s="1902"/>
      <c r="H26" s="1899"/>
      <c r="I26" s="1897" t="s">
        <v>1254</v>
      </c>
      <c r="J26" s="1902"/>
      <c r="K26" s="1902"/>
      <c r="L26" s="1902"/>
      <c r="M26" s="1902"/>
      <c r="N26" s="1899"/>
    </row>
    <row r="27" spans="1:16" s="635" customFormat="1" ht="26">
      <c r="A27" s="632" t="s">
        <v>504</v>
      </c>
      <c r="B27" s="633" t="s">
        <v>169</v>
      </c>
      <c r="C27" s="633" t="s">
        <v>559</v>
      </c>
      <c r="D27" s="633" t="s">
        <v>228</v>
      </c>
      <c r="E27" s="633" t="s">
        <v>797</v>
      </c>
      <c r="F27" s="634" t="s">
        <v>798</v>
      </c>
      <c r="G27" s="634" t="s">
        <v>799</v>
      </c>
      <c r="H27" s="634" t="s">
        <v>800</v>
      </c>
      <c r="I27" s="633" t="s">
        <v>559</v>
      </c>
      <c r="J27" s="633" t="s">
        <v>228</v>
      </c>
      <c r="K27" s="633" t="s">
        <v>797</v>
      </c>
      <c r="L27" s="634" t="s">
        <v>798</v>
      </c>
      <c r="M27" s="634" t="s">
        <v>799</v>
      </c>
      <c r="N27" s="634" t="s">
        <v>800</v>
      </c>
    </row>
    <row r="28" spans="1:16" s="637" customFormat="1">
      <c r="A28" s="626"/>
      <c r="B28" s="631" t="s">
        <v>510</v>
      </c>
      <c r="C28" s="631" t="s">
        <v>511</v>
      </c>
      <c r="D28" s="631" t="s">
        <v>512</v>
      </c>
      <c r="E28" s="633" t="s">
        <v>513</v>
      </c>
      <c r="F28" s="631" t="s">
        <v>514</v>
      </c>
      <c r="G28" s="631" t="s">
        <v>515</v>
      </c>
      <c r="H28" s="633" t="s">
        <v>516</v>
      </c>
      <c r="I28" s="631" t="s">
        <v>517</v>
      </c>
      <c r="J28" s="631" t="s">
        <v>518</v>
      </c>
      <c r="K28" s="633" t="s">
        <v>519</v>
      </c>
      <c r="L28" s="631" t="s">
        <v>520</v>
      </c>
      <c r="M28" s="633" t="s">
        <v>544</v>
      </c>
      <c r="N28" s="633" t="s">
        <v>763</v>
      </c>
      <c r="O28" s="623"/>
    </row>
    <row r="29" spans="1:16" s="637" customFormat="1">
      <c r="A29" s="626"/>
      <c r="B29" s="638" t="s">
        <v>1775</v>
      </c>
      <c r="C29" s="963"/>
      <c r="D29" s="627"/>
      <c r="E29" s="627"/>
      <c r="G29" s="639"/>
      <c r="H29" s="639"/>
      <c r="I29" s="627"/>
      <c r="J29" s="627"/>
      <c r="K29" s="627"/>
      <c r="L29" s="639"/>
    </row>
    <row r="30" spans="1:16" s="637" customFormat="1" ht="65">
      <c r="A30" s="626"/>
      <c r="B30" s="631"/>
      <c r="C30" s="641" t="s">
        <v>966</v>
      </c>
      <c r="D30" s="641" t="s">
        <v>965</v>
      </c>
      <c r="E30" s="642" t="s">
        <v>967</v>
      </c>
      <c r="F30" s="920" t="s">
        <v>968</v>
      </c>
      <c r="G30" s="643" t="s">
        <v>522</v>
      </c>
      <c r="H30" s="643" t="s">
        <v>522</v>
      </c>
      <c r="I30" s="641" t="s">
        <v>966</v>
      </c>
      <c r="J30" s="641" t="s">
        <v>965</v>
      </c>
      <c r="K30" s="642" t="s">
        <v>967</v>
      </c>
      <c r="L30" s="920" t="s">
        <v>968</v>
      </c>
      <c r="M30" s="643" t="s">
        <v>522</v>
      </c>
      <c r="N30" s="643" t="s">
        <v>522</v>
      </c>
    </row>
    <row r="31" spans="1:16">
      <c r="A31" s="626">
        <v>15</v>
      </c>
      <c r="B31" s="644" t="s">
        <v>524</v>
      </c>
      <c r="C31" s="645">
        <v>852666367</v>
      </c>
      <c r="D31" s="645">
        <v>269061580</v>
      </c>
      <c r="E31" s="645">
        <v>44534504</v>
      </c>
      <c r="F31" s="645">
        <v>22270694.789999999</v>
      </c>
      <c r="G31" s="645">
        <v>0</v>
      </c>
      <c r="H31" s="645">
        <v>0</v>
      </c>
      <c r="I31" s="645">
        <v>306591.42</v>
      </c>
      <c r="J31" s="645"/>
      <c r="K31" s="645">
        <v>128787.13</v>
      </c>
      <c r="L31" s="645">
        <v>0</v>
      </c>
      <c r="M31" s="645">
        <v>0</v>
      </c>
      <c r="N31" s="645">
        <v>0</v>
      </c>
      <c r="P31" s="623"/>
    </row>
    <row r="32" spans="1:16">
      <c r="A32" s="626">
        <v>16</v>
      </c>
      <c r="B32" s="644" t="s">
        <v>525</v>
      </c>
      <c r="C32" s="686">
        <v>852617732.94999993</v>
      </c>
      <c r="D32" s="686">
        <v>268788801.67000002</v>
      </c>
      <c r="E32" s="686">
        <v>46888161.909999996</v>
      </c>
      <c r="F32" s="686">
        <v>22855060.43</v>
      </c>
      <c r="G32" s="645">
        <v>0</v>
      </c>
      <c r="H32" s="645">
        <v>0</v>
      </c>
      <c r="I32" s="686">
        <v>311391.5</v>
      </c>
      <c r="J32" s="645"/>
      <c r="K32" s="686">
        <v>128615.24</v>
      </c>
      <c r="L32" s="645">
        <v>0</v>
      </c>
      <c r="M32" s="645">
        <v>0</v>
      </c>
      <c r="N32" s="645">
        <v>0</v>
      </c>
      <c r="P32" s="623"/>
    </row>
    <row r="33" spans="1:16">
      <c r="A33" s="626">
        <v>17</v>
      </c>
      <c r="B33" s="623" t="s">
        <v>526</v>
      </c>
      <c r="C33" s="686">
        <v>856342931.43000007</v>
      </c>
      <c r="D33" s="686">
        <v>270352620.91000003</v>
      </c>
      <c r="E33" s="686">
        <v>46237010.050000004</v>
      </c>
      <c r="F33" s="686">
        <v>23441088.440000001</v>
      </c>
      <c r="G33" s="645">
        <v>0</v>
      </c>
      <c r="H33" s="645">
        <v>0</v>
      </c>
      <c r="I33" s="686">
        <v>308547.08</v>
      </c>
      <c r="J33" s="645"/>
      <c r="K33" s="686">
        <v>128443.35</v>
      </c>
      <c r="L33" s="645">
        <v>0</v>
      </c>
      <c r="M33" s="645">
        <v>0</v>
      </c>
      <c r="N33" s="645">
        <v>0</v>
      </c>
      <c r="P33" s="623"/>
    </row>
    <row r="34" spans="1:16">
      <c r="A34" s="626">
        <v>18</v>
      </c>
      <c r="B34" s="623" t="s">
        <v>527</v>
      </c>
      <c r="C34" s="686">
        <v>871538016.51000011</v>
      </c>
      <c r="D34" s="686">
        <v>272971603.17000002</v>
      </c>
      <c r="E34" s="686">
        <v>47064566.82</v>
      </c>
      <c r="F34" s="686">
        <v>24043812.890000001</v>
      </c>
      <c r="G34" s="645">
        <v>0</v>
      </c>
      <c r="H34" s="645">
        <v>0</v>
      </c>
      <c r="I34" s="686">
        <v>265035.48</v>
      </c>
      <c r="J34" s="645"/>
      <c r="K34" s="686">
        <v>128271.46</v>
      </c>
      <c r="L34" s="645">
        <v>0</v>
      </c>
      <c r="M34" s="645">
        <v>0</v>
      </c>
      <c r="N34" s="645">
        <v>0</v>
      </c>
      <c r="P34" s="623"/>
    </row>
    <row r="35" spans="1:16">
      <c r="A35" s="626">
        <v>19</v>
      </c>
      <c r="B35" s="623" t="s">
        <v>171</v>
      </c>
      <c r="C35" s="686">
        <v>869138499.54999995</v>
      </c>
      <c r="D35" s="686">
        <v>274633544.41000003</v>
      </c>
      <c r="E35" s="686">
        <v>47403993</v>
      </c>
      <c r="F35" s="686">
        <v>24656784.949999999</v>
      </c>
      <c r="G35" s="645">
        <v>0</v>
      </c>
      <c r="H35" s="645">
        <v>0</v>
      </c>
      <c r="I35" s="686">
        <v>274380.09000000003</v>
      </c>
      <c r="J35" s="645"/>
      <c r="K35" s="686">
        <v>128099.57</v>
      </c>
      <c r="L35" s="645">
        <v>0</v>
      </c>
      <c r="M35" s="645">
        <v>0</v>
      </c>
      <c r="N35" s="645">
        <v>0</v>
      </c>
      <c r="P35" s="623"/>
    </row>
    <row r="36" spans="1:16" ht="13.5" customHeight="1">
      <c r="A36" s="626">
        <v>20</v>
      </c>
      <c r="B36" s="623" t="s">
        <v>172</v>
      </c>
      <c r="C36" s="686">
        <v>878909389.12</v>
      </c>
      <c r="D36" s="686">
        <v>277528362.73000002</v>
      </c>
      <c r="E36" s="686">
        <v>49663270.309999995</v>
      </c>
      <c r="F36" s="686">
        <v>25270652.219999999</v>
      </c>
      <c r="G36" s="645">
        <v>0</v>
      </c>
      <c r="H36" s="645">
        <v>0</v>
      </c>
      <c r="I36" s="686">
        <v>282982.8</v>
      </c>
      <c r="J36" s="645"/>
      <c r="K36" s="686">
        <v>127927.67999999999</v>
      </c>
      <c r="L36" s="645">
        <v>0</v>
      </c>
      <c r="M36" s="645">
        <v>0</v>
      </c>
      <c r="N36" s="645">
        <v>0</v>
      </c>
      <c r="P36" s="623"/>
    </row>
    <row r="37" spans="1:16">
      <c r="A37" s="626">
        <v>21</v>
      </c>
      <c r="B37" s="623" t="s">
        <v>173</v>
      </c>
      <c r="C37" s="686">
        <v>891522340.9799999</v>
      </c>
      <c r="D37" s="686">
        <v>280581298.56</v>
      </c>
      <c r="E37" s="686">
        <v>48900088.100000001</v>
      </c>
      <c r="F37" s="686">
        <v>25932115.629999999</v>
      </c>
      <c r="G37" s="645">
        <v>0</v>
      </c>
      <c r="H37" s="645">
        <v>0</v>
      </c>
      <c r="I37" s="686">
        <v>292327.40999999997</v>
      </c>
      <c r="J37" s="645"/>
      <c r="K37" s="686">
        <v>127755.79</v>
      </c>
      <c r="L37" s="645">
        <v>0</v>
      </c>
      <c r="M37" s="645">
        <v>0</v>
      </c>
      <c r="N37" s="645">
        <v>0</v>
      </c>
      <c r="P37" s="623"/>
    </row>
    <row r="38" spans="1:16">
      <c r="A38" s="626">
        <v>22</v>
      </c>
      <c r="B38" s="623" t="s">
        <v>528</v>
      </c>
      <c r="C38" s="686">
        <v>889387627.21999991</v>
      </c>
      <c r="D38" s="686">
        <v>282611540.86000001</v>
      </c>
      <c r="E38" s="686">
        <v>49842939.359999999</v>
      </c>
      <c r="F38" s="686">
        <v>26496100.390000001</v>
      </c>
      <c r="G38" s="645">
        <v>0</v>
      </c>
      <c r="H38" s="645">
        <v>0</v>
      </c>
      <c r="I38" s="686">
        <v>301672.02999999997</v>
      </c>
      <c r="J38" s="645"/>
      <c r="K38" s="686">
        <v>127583.9</v>
      </c>
      <c r="L38" s="645">
        <v>0</v>
      </c>
      <c r="M38" s="645">
        <v>0</v>
      </c>
      <c r="N38" s="645">
        <v>0</v>
      </c>
      <c r="P38" s="623"/>
    </row>
    <row r="39" spans="1:16">
      <c r="A39" s="626">
        <v>23</v>
      </c>
      <c r="B39" s="623" t="s">
        <v>529</v>
      </c>
      <c r="C39" s="686">
        <v>896123528.36000001</v>
      </c>
      <c r="D39" s="686">
        <v>285195983.07999998</v>
      </c>
      <c r="E39" s="686">
        <v>50782501.200000003</v>
      </c>
      <c r="F39" s="686">
        <v>27133463.870000001</v>
      </c>
      <c r="G39" s="645">
        <v>0</v>
      </c>
      <c r="H39" s="645">
        <v>0</v>
      </c>
      <c r="I39" s="686">
        <v>307728.53999999998</v>
      </c>
      <c r="J39" s="645"/>
      <c r="K39" s="686">
        <v>127412.01</v>
      </c>
      <c r="L39" s="645">
        <v>0</v>
      </c>
      <c r="M39" s="645">
        <v>0</v>
      </c>
      <c r="N39" s="645">
        <v>0</v>
      </c>
      <c r="P39" s="623"/>
    </row>
    <row r="40" spans="1:16">
      <c r="A40" s="626">
        <v>24</v>
      </c>
      <c r="B40" s="623" t="s">
        <v>530</v>
      </c>
      <c r="C40" s="686">
        <v>902981085.28000021</v>
      </c>
      <c r="D40" s="686">
        <v>280946006.39000005</v>
      </c>
      <c r="E40" s="686">
        <v>51499693.879999995</v>
      </c>
      <c r="F40" s="686">
        <v>27796256.239999998</v>
      </c>
      <c r="G40" s="645">
        <v>0</v>
      </c>
      <c r="H40" s="645">
        <v>0</v>
      </c>
      <c r="I40" s="686">
        <v>318891.82</v>
      </c>
      <c r="J40" s="645"/>
      <c r="K40" s="686">
        <v>127229.14</v>
      </c>
      <c r="L40" s="645">
        <v>0</v>
      </c>
      <c r="M40" s="645">
        <v>0</v>
      </c>
      <c r="N40" s="645">
        <v>0</v>
      </c>
      <c r="P40" s="623"/>
    </row>
    <row r="41" spans="1:16">
      <c r="A41" s="626">
        <v>25</v>
      </c>
      <c r="B41" s="623" t="s">
        <v>531</v>
      </c>
      <c r="C41" s="686">
        <v>899641799.6400001</v>
      </c>
      <c r="D41" s="686">
        <v>281838763.44</v>
      </c>
      <c r="E41" s="686">
        <v>52184101.060000002</v>
      </c>
      <c r="F41" s="686">
        <v>28526708.920000002</v>
      </c>
      <c r="G41" s="645">
        <v>0</v>
      </c>
      <c r="H41" s="645">
        <v>0</v>
      </c>
      <c r="I41" s="686">
        <v>331829</v>
      </c>
      <c r="J41" s="645"/>
      <c r="K41" s="686">
        <v>127035.17</v>
      </c>
      <c r="L41" s="645">
        <v>0</v>
      </c>
      <c r="M41" s="645">
        <v>0</v>
      </c>
      <c r="N41" s="645">
        <v>0</v>
      </c>
      <c r="P41" s="623"/>
    </row>
    <row r="42" spans="1:16">
      <c r="A42" s="626">
        <v>26</v>
      </c>
      <c r="B42" s="623" t="s">
        <v>532</v>
      </c>
      <c r="C42" s="686">
        <v>905683667.35000002</v>
      </c>
      <c r="D42" s="686">
        <v>283297719.62</v>
      </c>
      <c r="E42" s="686">
        <v>53027545.289999999</v>
      </c>
      <c r="F42" s="686">
        <v>29317646.129999999</v>
      </c>
      <c r="G42" s="645">
        <v>0</v>
      </c>
      <c r="H42" s="645">
        <v>0</v>
      </c>
      <c r="I42" s="686">
        <v>343677.52</v>
      </c>
      <c r="J42" s="645"/>
      <c r="K42" s="686">
        <v>126841.2</v>
      </c>
      <c r="L42" s="645">
        <v>0</v>
      </c>
      <c r="M42" s="645">
        <v>0</v>
      </c>
      <c r="N42" s="645">
        <v>0</v>
      </c>
      <c r="P42" s="623"/>
    </row>
    <row r="43" spans="1:16">
      <c r="A43" s="626">
        <v>27</v>
      </c>
      <c r="B43" s="623" t="s">
        <v>533</v>
      </c>
      <c r="C43" s="686">
        <f>+'5 - Cost Support 1'!I199</f>
        <v>920250757</v>
      </c>
      <c r="D43" s="645">
        <v>284525424</v>
      </c>
      <c r="E43" s="645">
        <f>+'5 - Cost Support 1'!I203</f>
        <v>53563530</v>
      </c>
      <c r="F43" s="686">
        <f>+'5 - Cost Support 1'!I200</f>
        <v>29627601.469999999</v>
      </c>
      <c r="G43" s="645">
        <v>0</v>
      </c>
      <c r="H43" s="645">
        <v>0</v>
      </c>
      <c r="I43" s="645">
        <v>341520.89</v>
      </c>
      <c r="J43" s="645"/>
      <c r="K43" s="645">
        <v>126647.23</v>
      </c>
      <c r="L43" s="645">
        <v>0</v>
      </c>
      <c r="M43" s="645">
        <v>0</v>
      </c>
      <c r="N43" s="645">
        <v>0</v>
      </c>
      <c r="P43" s="623"/>
    </row>
    <row r="44" spans="1:16" ht="13.5" thickBot="1">
      <c r="A44" s="626">
        <v>28</v>
      </c>
      <c r="B44" s="625" t="s">
        <v>534</v>
      </c>
      <c r="C44" s="647">
        <f t="shared" ref="C44:L44" si="6">SUM(C31:C43)/13</f>
        <v>883600287.87615383</v>
      </c>
      <c r="D44" s="647">
        <f t="shared" si="6"/>
        <v>277871788.37230772</v>
      </c>
      <c r="E44" s="647">
        <f t="shared" si="6"/>
        <v>49353223.460000001</v>
      </c>
      <c r="F44" s="647">
        <f t="shared" si="6"/>
        <v>25951383.566923078</v>
      </c>
      <c r="G44" s="647">
        <f t="shared" si="6"/>
        <v>0</v>
      </c>
      <c r="H44" s="647">
        <f t="shared" si="6"/>
        <v>0</v>
      </c>
      <c r="I44" s="647">
        <f t="shared" si="6"/>
        <v>306659.66000000003</v>
      </c>
      <c r="J44" s="647">
        <f t="shared" si="6"/>
        <v>0</v>
      </c>
      <c r="K44" s="647">
        <f t="shared" si="6"/>
        <v>127742.22076923074</v>
      </c>
      <c r="L44" s="647">
        <f t="shared" si="6"/>
        <v>0</v>
      </c>
      <c r="M44" s="647">
        <f t="shared" ref="M44:N44" si="7">SUM(M31:M43)/13</f>
        <v>0</v>
      </c>
      <c r="N44" s="647">
        <f t="shared" si="7"/>
        <v>0</v>
      </c>
    </row>
    <row r="45" spans="1:16" ht="14" thickTop="1" thickBot="1"/>
    <row r="46" spans="1:16" s="895" customFormat="1" ht="15" thickBot="1">
      <c r="A46" s="896"/>
      <c r="C46" s="1897" t="s">
        <v>857</v>
      </c>
      <c r="D46" s="1898"/>
      <c r="E46" s="1898"/>
      <c r="F46" s="1898"/>
      <c r="G46" s="1898"/>
      <c r="H46" s="1899"/>
    </row>
    <row r="47" spans="1:16" ht="26">
      <c r="A47" s="897" t="s">
        <v>504</v>
      </c>
      <c r="B47" s="633" t="s">
        <v>169</v>
      </c>
      <c r="C47" s="633" t="s">
        <v>559</v>
      </c>
      <c r="D47" s="633" t="s">
        <v>228</v>
      </c>
      <c r="E47" s="633" t="s">
        <v>150</v>
      </c>
      <c r="F47" s="633" t="s">
        <v>371</v>
      </c>
      <c r="G47" s="899" t="s">
        <v>801</v>
      </c>
      <c r="H47" s="899" t="s">
        <v>802</v>
      </c>
    </row>
    <row r="48" spans="1:16">
      <c r="A48" s="894"/>
      <c r="B48" s="631" t="s">
        <v>510</v>
      </c>
      <c r="C48" s="631" t="s">
        <v>511</v>
      </c>
      <c r="D48" s="631" t="s">
        <v>512</v>
      </c>
      <c r="E48" s="633" t="s">
        <v>513</v>
      </c>
      <c r="F48" s="631" t="s">
        <v>514</v>
      </c>
      <c r="G48" s="631" t="s">
        <v>515</v>
      </c>
      <c r="H48" s="633" t="s">
        <v>516</v>
      </c>
    </row>
    <row r="49" spans="1:8">
      <c r="A49" s="894"/>
      <c r="B49" s="898" t="s">
        <v>1775</v>
      </c>
      <c r="C49" s="627">
        <v>9</v>
      </c>
      <c r="D49" s="627">
        <v>30</v>
      </c>
      <c r="E49" s="627">
        <v>31</v>
      </c>
      <c r="F49" s="627">
        <v>32</v>
      </c>
      <c r="G49" s="627">
        <v>12</v>
      </c>
      <c r="H49" s="627">
        <v>11</v>
      </c>
    </row>
    <row r="50" spans="1:8">
      <c r="A50" s="894"/>
      <c r="B50" s="631"/>
      <c r="C50" s="641" t="s">
        <v>969</v>
      </c>
      <c r="D50" s="641" t="s">
        <v>970</v>
      </c>
      <c r="E50" s="641" t="s">
        <v>971</v>
      </c>
      <c r="F50" s="641" t="s">
        <v>972</v>
      </c>
      <c r="G50" s="641" t="s">
        <v>974</v>
      </c>
      <c r="H50" s="641" t="s">
        <v>973</v>
      </c>
    </row>
    <row r="51" spans="1:8">
      <c r="A51" s="894">
        <v>29</v>
      </c>
      <c r="B51" s="644" t="s">
        <v>524</v>
      </c>
      <c r="C51" s="645">
        <f t="shared" ref="C51:C63" si="8">+C31-I31</f>
        <v>852359775.58000004</v>
      </c>
      <c r="D51" s="645">
        <f t="shared" ref="D51" si="9">+D31-J31</f>
        <v>269061580</v>
      </c>
      <c r="E51" s="645">
        <f t="shared" ref="E51" si="10">+E31-K31</f>
        <v>44405716.869999997</v>
      </c>
      <c r="F51" s="645">
        <f t="shared" ref="F51" si="11">+F31-L31</f>
        <v>22270694.789999999</v>
      </c>
      <c r="G51" s="645">
        <f>+G31-M31</f>
        <v>0</v>
      </c>
      <c r="H51" s="645">
        <f>+H31-N31</f>
        <v>0</v>
      </c>
    </row>
    <row r="52" spans="1:8">
      <c r="A52" s="894">
        <v>30</v>
      </c>
      <c r="B52" s="644" t="s">
        <v>525</v>
      </c>
      <c r="C52" s="645">
        <f t="shared" si="8"/>
        <v>852306341.44999993</v>
      </c>
      <c r="D52" s="645">
        <f t="shared" ref="D52:D63" si="12">+D32-J32</f>
        <v>268788801.67000002</v>
      </c>
      <c r="E52" s="645">
        <f t="shared" ref="E52:E63" si="13">+E32-K32</f>
        <v>46759546.669999994</v>
      </c>
      <c r="F52" s="645">
        <f t="shared" ref="F52:F63" si="14">+F32-L32</f>
        <v>22855060.43</v>
      </c>
      <c r="G52" s="645">
        <f t="shared" ref="G52:H52" si="15">+G32-M32</f>
        <v>0</v>
      </c>
      <c r="H52" s="645">
        <f t="shared" si="15"/>
        <v>0</v>
      </c>
    </row>
    <row r="53" spans="1:8">
      <c r="A53" s="894">
        <v>31</v>
      </c>
      <c r="B53" s="623" t="s">
        <v>526</v>
      </c>
      <c r="C53" s="645">
        <f t="shared" si="8"/>
        <v>856034384.35000002</v>
      </c>
      <c r="D53" s="645">
        <f t="shared" si="12"/>
        <v>270352620.91000003</v>
      </c>
      <c r="E53" s="645">
        <f t="shared" si="13"/>
        <v>46108566.700000003</v>
      </c>
      <c r="F53" s="645">
        <f t="shared" si="14"/>
        <v>23441088.440000001</v>
      </c>
      <c r="G53" s="645">
        <f t="shared" ref="G53:H53" si="16">+G33-M33</f>
        <v>0</v>
      </c>
      <c r="H53" s="645">
        <f t="shared" si="16"/>
        <v>0</v>
      </c>
    </row>
    <row r="54" spans="1:8">
      <c r="A54" s="894">
        <v>32</v>
      </c>
      <c r="B54" s="623" t="s">
        <v>527</v>
      </c>
      <c r="C54" s="645">
        <f t="shared" si="8"/>
        <v>871272981.03000009</v>
      </c>
      <c r="D54" s="645">
        <f t="shared" si="12"/>
        <v>272971603.17000002</v>
      </c>
      <c r="E54" s="645">
        <f t="shared" si="13"/>
        <v>46936295.359999999</v>
      </c>
      <c r="F54" s="645">
        <f t="shared" si="14"/>
        <v>24043812.890000001</v>
      </c>
      <c r="G54" s="645">
        <f t="shared" ref="G54:H54" si="17">+G34-M34</f>
        <v>0</v>
      </c>
      <c r="H54" s="645">
        <f t="shared" si="17"/>
        <v>0</v>
      </c>
    </row>
    <row r="55" spans="1:8">
      <c r="A55" s="894">
        <v>33</v>
      </c>
      <c r="B55" s="623" t="s">
        <v>171</v>
      </c>
      <c r="C55" s="645">
        <f t="shared" si="8"/>
        <v>868864119.45999992</v>
      </c>
      <c r="D55" s="645">
        <f t="shared" si="12"/>
        <v>274633544.41000003</v>
      </c>
      <c r="E55" s="645">
        <f t="shared" si="13"/>
        <v>47275893.43</v>
      </c>
      <c r="F55" s="645">
        <f t="shared" si="14"/>
        <v>24656784.949999999</v>
      </c>
      <c r="G55" s="645">
        <f t="shared" ref="G55:H55" si="18">+G35-M35</f>
        <v>0</v>
      </c>
      <c r="H55" s="645">
        <f t="shared" si="18"/>
        <v>0</v>
      </c>
    </row>
    <row r="56" spans="1:8">
      <c r="A56" s="894">
        <v>34</v>
      </c>
      <c r="B56" s="623" t="s">
        <v>172</v>
      </c>
      <c r="C56" s="645">
        <f t="shared" si="8"/>
        <v>878626406.32000005</v>
      </c>
      <c r="D56" s="645">
        <f t="shared" si="12"/>
        <v>277528362.73000002</v>
      </c>
      <c r="E56" s="645">
        <f t="shared" si="13"/>
        <v>49535342.629999995</v>
      </c>
      <c r="F56" s="645">
        <f t="shared" si="14"/>
        <v>25270652.219999999</v>
      </c>
      <c r="G56" s="645">
        <f t="shared" ref="G56:H56" si="19">+G36-M36</f>
        <v>0</v>
      </c>
      <c r="H56" s="645">
        <f t="shared" si="19"/>
        <v>0</v>
      </c>
    </row>
    <row r="57" spans="1:8">
      <c r="A57" s="894">
        <v>35</v>
      </c>
      <c r="B57" s="623" t="s">
        <v>173</v>
      </c>
      <c r="C57" s="645">
        <f t="shared" si="8"/>
        <v>891230013.56999993</v>
      </c>
      <c r="D57" s="645">
        <f t="shared" si="12"/>
        <v>280581298.56</v>
      </c>
      <c r="E57" s="645">
        <f t="shared" si="13"/>
        <v>48772332.310000002</v>
      </c>
      <c r="F57" s="645">
        <f t="shared" si="14"/>
        <v>25932115.629999999</v>
      </c>
      <c r="G57" s="645">
        <f t="shared" ref="G57:H57" si="20">+G37-M37</f>
        <v>0</v>
      </c>
      <c r="H57" s="645">
        <f t="shared" si="20"/>
        <v>0</v>
      </c>
    </row>
    <row r="58" spans="1:8">
      <c r="A58" s="894">
        <v>36</v>
      </c>
      <c r="B58" s="623" t="s">
        <v>528</v>
      </c>
      <c r="C58" s="645">
        <f t="shared" si="8"/>
        <v>889085955.18999994</v>
      </c>
      <c r="D58" s="645">
        <f t="shared" si="12"/>
        <v>282611540.86000001</v>
      </c>
      <c r="E58" s="645">
        <f t="shared" si="13"/>
        <v>49715355.460000001</v>
      </c>
      <c r="F58" s="645">
        <f t="shared" si="14"/>
        <v>26496100.390000001</v>
      </c>
      <c r="G58" s="645">
        <f t="shared" ref="G58:H58" si="21">+G38-M38</f>
        <v>0</v>
      </c>
      <c r="H58" s="645">
        <f t="shared" si="21"/>
        <v>0</v>
      </c>
    </row>
    <row r="59" spans="1:8">
      <c r="A59" s="894">
        <v>37</v>
      </c>
      <c r="B59" s="623" t="s">
        <v>529</v>
      </c>
      <c r="C59" s="645">
        <f t="shared" si="8"/>
        <v>895815799.82000005</v>
      </c>
      <c r="D59" s="645">
        <f t="shared" si="12"/>
        <v>285195983.07999998</v>
      </c>
      <c r="E59" s="645">
        <f t="shared" si="13"/>
        <v>50655089.190000005</v>
      </c>
      <c r="F59" s="645">
        <f t="shared" si="14"/>
        <v>27133463.870000001</v>
      </c>
      <c r="G59" s="645">
        <f t="shared" ref="G59:H59" si="22">+G39-M39</f>
        <v>0</v>
      </c>
      <c r="H59" s="645">
        <f t="shared" si="22"/>
        <v>0</v>
      </c>
    </row>
    <row r="60" spans="1:8">
      <c r="A60" s="894">
        <v>38</v>
      </c>
      <c r="B60" s="623" t="s">
        <v>530</v>
      </c>
      <c r="C60" s="645">
        <f t="shared" si="8"/>
        <v>902662193.46000016</v>
      </c>
      <c r="D60" s="645">
        <f t="shared" si="12"/>
        <v>280946006.39000005</v>
      </c>
      <c r="E60" s="645">
        <f t="shared" si="13"/>
        <v>51372464.739999995</v>
      </c>
      <c r="F60" s="645">
        <f t="shared" si="14"/>
        <v>27796256.239999998</v>
      </c>
      <c r="G60" s="645">
        <f t="shared" ref="G60:H60" si="23">+G40-M40</f>
        <v>0</v>
      </c>
      <c r="H60" s="645">
        <f t="shared" si="23"/>
        <v>0</v>
      </c>
    </row>
    <row r="61" spans="1:8">
      <c r="A61" s="894">
        <v>39</v>
      </c>
      <c r="B61" s="623" t="s">
        <v>531</v>
      </c>
      <c r="C61" s="645">
        <f t="shared" si="8"/>
        <v>899309970.6400001</v>
      </c>
      <c r="D61" s="645">
        <f t="shared" si="12"/>
        <v>281838763.44</v>
      </c>
      <c r="E61" s="645">
        <f t="shared" si="13"/>
        <v>52057065.890000001</v>
      </c>
      <c r="F61" s="645">
        <f t="shared" si="14"/>
        <v>28526708.920000002</v>
      </c>
      <c r="G61" s="645">
        <f t="shared" ref="G61:H61" si="24">+G41-M41</f>
        <v>0</v>
      </c>
      <c r="H61" s="645">
        <f t="shared" si="24"/>
        <v>0</v>
      </c>
    </row>
    <row r="62" spans="1:8">
      <c r="A62" s="894">
        <v>40</v>
      </c>
      <c r="B62" s="623" t="s">
        <v>532</v>
      </c>
      <c r="C62" s="645">
        <f t="shared" si="8"/>
        <v>905339989.83000004</v>
      </c>
      <c r="D62" s="645">
        <f t="shared" si="12"/>
        <v>283297719.62</v>
      </c>
      <c r="E62" s="645">
        <f t="shared" si="13"/>
        <v>52900704.089999996</v>
      </c>
      <c r="F62" s="645">
        <f t="shared" si="14"/>
        <v>29317646.129999999</v>
      </c>
      <c r="G62" s="645">
        <f t="shared" ref="G62:H62" si="25">+G42-M42</f>
        <v>0</v>
      </c>
      <c r="H62" s="645">
        <f t="shared" si="25"/>
        <v>0</v>
      </c>
    </row>
    <row r="63" spans="1:8">
      <c r="A63" s="894">
        <v>41</v>
      </c>
      <c r="B63" s="623" t="s">
        <v>533</v>
      </c>
      <c r="C63" s="645">
        <f t="shared" si="8"/>
        <v>919909236.11000001</v>
      </c>
      <c r="D63" s="645">
        <f t="shared" si="12"/>
        <v>284525424</v>
      </c>
      <c r="E63" s="645">
        <f t="shared" si="13"/>
        <v>53436882.770000003</v>
      </c>
      <c r="F63" s="645">
        <f t="shared" si="14"/>
        <v>29627601.469999999</v>
      </c>
      <c r="G63" s="645">
        <f t="shared" ref="G63:H63" si="26">+G43-M43</f>
        <v>0</v>
      </c>
      <c r="H63" s="645">
        <f t="shared" si="26"/>
        <v>0</v>
      </c>
    </row>
    <row r="64" spans="1:8" ht="13.5" thickBot="1">
      <c r="A64" s="894">
        <v>42</v>
      </c>
      <c r="B64" s="625" t="s">
        <v>534</v>
      </c>
      <c r="C64" s="647">
        <f t="shared" ref="C64:F64" si="27">SUM(C51:C63)/13</f>
        <v>883293628.21615386</v>
      </c>
      <c r="D64" s="647">
        <f t="shared" si="27"/>
        <v>277871788.37230772</v>
      </c>
      <c r="E64" s="647">
        <f t="shared" si="27"/>
        <v>49225481.239230767</v>
      </c>
      <c r="F64" s="647">
        <f t="shared" si="27"/>
        <v>25951383.566923078</v>
      </c>
      <c r="G64" s="647">
        <f t="shared" ref="G64:H64" si="28">SUM(G51:G63)/13</f>
        <v>0</v>
      </c>
      <c r="H64" s="647">
        <f t="shared" si="28"/>
        <v>0</v>
      </c>
    </row>
    <row r="65" spans="1:2" ht="13.5" thickTop="1"/>
    <row r="68" spans="1:2">
      <c r="A68" s="626" t="s">
        <v>662</v>
      </c>
    </row>
    <row r="69" spans="1:2">
      <c r="A69" s="626" t="s">
        <v>9</v>
      </c>
      <c r="B69" s="1142" t="s">
        <v>1191</v>
      </c>
    </row>
    <row r="70" spans="1:2">
      <c r="A70" s="626"/>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topLeftCell="A34" zoomScale="90" zoomScaleNormal="90" workbookViewId="0">
      <selection activeCell="J140" sqref="J140:L140"/>
    </sheetView>
  </sheetViews>
  <sheetFormatPr defaultColWidth="9.1796875" defaultRowHeight="15.5"/>
  <cols>
    <col min="1" max="1" width="6.1796875" style="674" customWidth="1"/>
    <col min="2" max="2" width="79.7265625" style="674" customWidth="1"/>
    <col min="3" max="6" width="15" style="674" customWidth="1"/>
    <col min="7" max="7" width="14.1796875" style="674" bestFit="1" customWidth="1"/>
    <col min="8" max="8" width="9.1796875" style="674"/>
    <col min="9" max="9" width="17.7265625" style="674" bestFit="1" customWidth="1"/>
    <col min="10" max="10" width="16" style="674" bestFit="1" customWidth="1"/>
    <col min="11" max="11" width="9.1796875" style="674"/>
    <col min="12" max="12" width="11.453125" style="674" bestFit="1" customWidth="1"/>
    <col min="13" max="13" width="17.54296875" style="674" customWidth="1"/>
    <col min="14" max="16384" width="9.1796875" style="674"/>
  </cols>
  <sheetData>
    <row r="1" spans="1:13" ht="18">
      <c r="A1" s="1903" t="s">
        <v>1551</v>
      </c>
      <c r="B1" s="1903"/>
      <c r="C1" s="1903"/>
      <c r="D1" s="1903"/>
      <c r="E1" s="1903"/>
      <c r="F1" s="673"/>
      <c r="I1" s="972"/>
    </row>
    <row r="2" spans="1:13" ht="20">
      <c r="A2" s="675"/>
      <c r="B2" s="676"/>
      <c r="C2" s="677"/>
      <c r="D2" s="673"/>
      <c r="E2" s="673"/>
      <c r="F2" s="673"/>
    </row>
    <row r="3" spans="1:13">
      <c r="A3" s="1904" t="s">
        <v>556</v>
      </c>
      <c r="B3" s="1904"/>
      <c r="C3" s="1904"/>
      <c r="D3" s="1904"/>
      <c r="E3" s="1904"/>
      <c r="F3" s="673"/>
    </row>
    <row r="4" spans="1:13">
      <c r="B4" s="671" t="s">
        <v>510</v>
      </c>
      <c r="C4" s="671" t="s">
        <v>511</v>
      </c>
      <c r="D4" s="671" t="s">
        <v>512</v>
      </c>
      <c r="E4" s="671" t="s">
        <v>513</v>
      </c>
      <c r="F4" s="671" t="s">
        <v>550</v>
      </c>
      <c r="G4" s="671" t="s">
        <v>551</v>
      </c>
      <c r="H4" s="967"/>
      <c r="I4" s="671"/>
      <c r="J4" s="671"/>
      <c r="K4" s="671"/>
      <c r="L4" s="671"/>
      <c r="M4" s="671"/>
    </row>
    <row r="5" spans="1:13">
      <c r="B5" s="678" t="s">
        <v>552</v>
      </c>
    </row>
    <row r="6" spans="1:13">
      <c r="B6" s="644" t="s">
        <v>553</v>
      </c>
      <c r="C6" s="679" t="s">
        <v>44</v>
      </c>
      <c r="D6" s="679" t="s">
        <v>767</v>
      </c>
      <c r="E6" s="680"/>
      <c r="F6" s="680"/>
      <c r="G6" s="681" t="s">
        <v>44</v>
      </c>
    </row>
    <row r="7" spans="1:13">
      <c r="A7" s="681">
        <v>1</v>
      </c>
      <c r="B7" s="682" t="s">
        <v>766</v>
      </c>
      <c r="C7" s="952">
        <v>0</v>
      </c>
      <c r="D7" s="1000">
        <v>1</v>
      </c>
      <c r="E7" s="887"/>
      <c r="F7" s="887"/>
      <c r="G7" s="683">
        <f>+C7*D7</f>
        <v>0</v>
      </c>
      <c r="H7" s="681"/>
    </row>
    <row r="8" spans="1:13">
      <c r="A8" s="681">
        <v>2</v>
      </c>
      <c r="B8" s="682" t="s">
        <v>564</v>
      </c>
      <c r="C8" s="1628">
        <v>-21209.119999999995</v>
      </c>
      <c r="D8" s="1000">
        <f>+'ATT H-1A'!H16</f>
        <v>0.13888944064369446</v>
      </c>
      <c r="E8" s="887"/>
      <c r="F8" s="887"/>
      <c r="G8" s="683">
        <f>+C8*D8</f>
        <v>-2945.7228133449926</v>
      </c>
      <c r="H8" s="681"/>
    </row>
    <row r="9" spans="1:13">
      <c r="A9" s="681">
        <v>3</v>
      </c>
      <c r="B9" s="682"/>
      <c r="C9" s="687"/>
      <c r="D9" s="887"/>
      <c r="E9" s="887"/>
      <c r="F9" s="887"/>
      <c r="G9" s="683">
        <f t="shared" ref="G9" si="0">+C9*D9</f>
        <v>0</v>
      </c>
      <c r="H9" s="681"/>
    </row>
    <row r="10" spans="1:13">
      <c r="A10" s="681">
        <v>4</v>
      </c>
      <c r="B10" s="644" t="s">
        <v>44</v>
      </c>
      <c r="C10" s="683">
        <f>SUM(C7:C9)</f>
        <v>-21209.119999999995</v>
      </c>
      <c r="D10" s="683"/>
      <c r="E10" s="683"/>
      <c r="F10" s="683"/>
      <c r="G10" s="683">
        <f>SUM(G7:G9)</f>
        <v>-2945.7228133449926</v>
      </c>
      <c r="H10" s="681"/>
      <c r="L10" s="1151"/>
    </row>
    <row r="11" spans="1:13">
      <c r="A11" s="681">
        <v>5</v>
      </c>
      <c r="B11" s="906"/>
      <c r="C11" s="906"/>
      <c r="D11" s="906"/>
      <c r="E11" s="906"/>
      <c r="F11" s="906"/>
      <c r="G11" s="906"/>
      <c r="H11" s="681"/>
      <c r="L11" s="1151"/>
    </row>
    <row r="12" spans="1:13">
      <c r="A12" s="681">
        <v>6</v>
      </c>
      <c r="B12" s="678" t="s">
        <v>804</v>
      </c>
      <c r="C12" s="906"/>
      <c r="D12" s="906"/>
      <c r="E12" s="906"/>
      <c r="F12" s="906"/>
      <c r="G12" s="906"/>
      <c r="H12" s="681"/>
    </row>
    <row r="13" spans="1:13">
      <c r="A13" s="681">
        <v>7</v>
      </c>
      <c r="B13" s="644" t="s">
        <v>553</v>
      </c>
      <c r="C13" s="679" t="s">
        <v>44</v>
      </c>
      <c r="D13" s="679" t="s">
        <v>767</v>
      </c>
      <c r="E13" s="907"/>
      <c r="F13" s="907"/>
      <c r="G13" s="681" t="s">
        <v>44</v>
      </c>
      <c r="H13" s="681"/>
    </row>
    <row r="14" spans="1:13">
      <c r="A14" s="681">
        <v>8</v>
      </c>
      <c r="B14" s="682" t="s">
        <v>805</v>
      </c>
      <c r="C14" s="1628">
        <f>+C86</f>
        <v>23717.8359716667</v>
      </c>
      <c r="D14" s="1000">
        <f>+'ATT H-1A'!H16</f>
        <v>0.13888944064369446</v>
      </c>
      <c r="E14" s="909"/>
      <c r="F14" s="909"/>
      <c r="G14" s="910">
        <f>+C14*D14</f>
        <v>3294.1569713836834</v>
      </c>
      <c r="H14" s="681"/>
    </row>
    <row r="15" spans="1:13">
      <c r="A15" s="681">
        <v>9</v>
      </c>
      <c r="B15" s="682" t="s">
        <v>806</v>
      </c>
      <c r="C15" s="1628">
        <f>+D86</f>
        <v>172037.55602833297</v>
      </c>
      <c r="D15" s="1000">
        <f>+'ATT H-1A'!H16</f>
        <v>0.13888944064369446</v>
      </c>
      <c r="E15" s="909"/>
      <c r="F15" s="909"/>
      <c r="G15" s="910">
        <f>+C15*D15</f>
        <v>23894.199926483412</v>
      </c>
      <c r="H15" s="681"/>
    </row>
    <row r="16" spans="1:13">
      <c r="A16" s="681">
        <v>10</v>
      </c>
      <c r="B16" s="682"/>
      <c r="C16" s="908"/>
      <c r="D16" s="909"/>
      <c r="E16" s="909"/>
      <c r="F16" s="909"/>
      <c r="G16" s="910">
        <f t="shared" ref="G16" si="1">+C16*D16</f>
        <v>0</v>
      </c>
      <c r="H16" s="681"/>
    </row>
    <row r="17" spans="1:9">
      <c r="A17" s="681">
        <v>11</v>
      </c>
      <c r="B17" s="644" t="s">
        <v>44</v>
      </c>
      <c r="C17" s="683">
        <f>SUM(C14:C16)</f>
        <v>195755.39199999967</v>
      </c>
      <c r="D17" s="910"/>
      <c r="E17" s="910"/>
      <c r="F17" s="910"/>
      <c r="G17" s="910">
        <f>SUM(G14:G16)</f>
        <v>27188.356897867096</v>
      </c>
      <c r="H17" s="681"/>
    </row>
    <row r="18" spans="1:9">
      <c r="A18" s="668"/>
      <c r="B18" s="644"/>
      <c r="C18" s="683"/>
      <c r="D18" s="683"/>
      <c r="E18" s="683"/>
      <c r="F18" s="683"/>
      <c r="G18" s="683"/>
      <c r="H18" s="681"/>
    </row>
    <row r="19" spans="1:9">
      <c r="A19" s="669"/>
      <c r="B19" s="678" t="s">
        <v>860</v>
      </c>
      <c r="C19" s="911" t="s">
        <v>229</v>
      </c>
      <c r="D19" s="911" t="s">
        <v>796</v>
      </c>
      <c r="H19" s="681"/>
    </row>
    <row r="20" spans="1:9">
      <c r="B20" s="678" t="s">
        <v>548</v>
      </c>
      <c r="C20" s="644"/>
      <c r="D20" s="644"/>
      <c r="E20" s="644"/>
      <c r="F20" s="644"/>
      <c r="G20" s="681" t="s">
        <v>44</v>
      </c>
    </row>
    <row r="21" spans="1:9">
      <c r="A21" s="681">
        <v>12</v>
      </c>
      <c r="B21" s="644" t="s">
        <v>524</v>
      </c>
      <c r="C21" s="1628">
        <f>+C90*$C$14/($C$14+$C$15)</f>
        <v>117442.31746750441</v>
      </c>
      <c r="D21" s="1628">
        <f>+C90-C21</f>
        <v>851869.00253249577</v>
      </c>
      <c r="E21" s="684"/>
      <c r="F21" s="684"/>
      <c r="G21" s="683">
        <f t="shared" ref="G21:G33" si="2">SUM(C21:F21)</f>
        <v>969311.32000000018</v>
      </c>
      <c r="H21" s="681"/>
      <c r="I21" s="324"/>
    </row>
    <row r="22" spans="1:9">
      <c r="A22" s="681">
        <v>13</v>
      </c>
      <c r="B22" s="644" t="s">
        <v>525</v>
      </c>
      <c r="C22" s="1628">
        <f t="shared" ref="C22:C33" si="3">+C91*$C$14/($C$14+$C$15)</f>
        <v>117442.31746750441</v>
      </c>
      <c r="D22" s="1628">
        <f t="shared" ref="D22:D33" si="4">+C91-C22</f>
        <v>851869.00253249577</v>
      </c>
      <c r="E22" s="684"/>
      <c r="F22" s="684"/>
      <c r="G22" s="683">
        <f t="shared" si="2"/>
        <v>969311.32000000018</v>
      </c>
      <c r="H22" s="681"/>
      <c r="I22" s="324"/>
    </row>
    <row r="23" spans="1:9">
      <c r="A23" s="681">
        <v>14</v>
      </c>
      <c r="B23" s="644" t="s">
        <v>526</v>
      </c>
      <c r="C23" s="1628">
        <f t="shared" si="3"/>
        <v>117442.31746750441</v>
      </c>
      <c r="D23" s="1628">
        <f t="shared" si="4"/>
        <v>851869.00253249577</v>
      </c>
      <c r="E23" s="684"/>
      <c r="F23" s="684"/>
      <c r="G23" s="683">
        <f t="shared" si="2"/>
        <v>969311.32000000018</v>
      </c>
      <c r="H23" s="681"/>
      <c r="I23" s="324"/>
    </row>
    <row r="24" spans="1:9">
      <c r="A24" s="681">
        <v>15</v>
      </c>
      <c r="B24" s="644" t="s">
        <v>527</v>
      </c>
      <c r="C24" s="1628">
        <f t="shared" si="3"/>
        <v>117442.31746750441</v>
      </c>
      <c r="D24" s="1628">
        <f t="shared" si="4"/>
        <v>851869.00253249577</v>
      </c>
      <c r="E24" s="684"/>
      <c r="F24" s="684"/>
      <c r="G24" s="683">
        <f t="shared" si="2"/>
        <v>969311.32000000018</v>
      </c>
      <c r="H24" s="681"/>
      <c r="I24" s="324"/>
    </row>
    <row r="25" spans="1:9">
      <c r="A25" s="681">
        <v>16</v>
      </c>
      <c r="B25" s="644" t="s">
        <v>171</v>
      </c>
      <c r="C25" s="1628">
        <f t="shared" si="3"/>
        <v>117442.31746750441</v>
      </c>
      <c r="D25" s="1628">
        <f t="shared" si="4"/>
        <v>851869.00253249577</v>
      </c>
      <c r="E25" s="684"/>
      <c r="F25" s="684"/>
      <c r="G25" s="683">
        <f t="shared" si="2"/>
        <v>969311.32000000018</v>
      </c>
      <c r="H25" s="681"/>
      <c r="I25" s="324"/>
    </row>
    <row r="26" spans="1:9">
      <c r="A26" s="681">
        <v>17</v>
      </c>
      <c r="B26" s="644" t="s">
        <v>172</v>
      </c>
      <c r="C26" s="1628">
        <f t="shared" si="3"/>
        <v>117442.31746750441</v>
      </c>
      <c r="D26" s="1628">
        <f t="shared" si="4"/>
        <v>851869.00253249577</v>
      </c>
      <c r="E26" s="684"/>
      <c r="F26" s="684"/>
      <c r="G26" s="683">
        <f t="shared" si="2"/>
        <v>969311.32000000018</v>
      </c>
      <c r="H26" s="681"/>
      <c r="I26" s="324"/>
    </row>
    <row r="27" spans="1:9">
      <c r="A27" s="681">
        <v>18</v>
      </c>
      <c r="B27" s="644" t="s">
        <v>173</v>
      </c>
      <c r="C27" s="1628">
        <f t="shared" si="3"/>
        <v>117442.31746750441</v>
      </c>
      <c r="D27" s="1628">
        <f t="shared" si="4"/>
        <v>851869.00253249577</v>
      </c>
      <c r="E27" s="684"/>
      <c r="F27" s="684"/>
      <c r="G27" s="683">
        <f t="shared" si="2"/>
        <v>969311.32000000018</v>
      </c>
      <c r="H27" s="681"/>
      <c r="I27" s="324"/>
    </row>
    <row r="28" spans="1:9">
      <c r="A28" s="681">
        <v>19</v>
      </c>
      <c r="B28" s="644" t="s">
        <v>528</v>
      </c>
      <c r="C28" s="1628">
        <f t="shared" si="3"/>
        <v>117442.31746750441</v>
      </c>
      <c r="D28" s="1628">
        <f t="shared" si="4"/>
        <v>851869.00253249577</v>
      </c>
      <c r="E28" s="684"/>
      <c r="F28" s="684"/>
      <c r="G28" s="683">
        <f t="shared" si="2"/>
        <v>969311.32000000018</v>
      </c>
      <c r="H28" s="681"/>
      <c r="I28" s="324"/>
    </row>
    <row r="29" spans="1:9">
      <c r="A29" s="681">
        <v>20</v>
      </c>
      <c r="B29" s="644" t="s">
        <v>529</v>
      </c>
      <c r="C29" s="1628">
        <f t="shared" si="3"/>
        <v>117442.31746750441</v>
      </c>
      <c r="D29" s="1628">
        <f t="shared" si="4"/>
        <v>851869.00253249577</v>
      </c>
      <c r="E29" s="684"/>
      <c r="F29" s="684"/>
      <c r="G29" s="683">
        <f t="shared" si="2"/>
        <v>969311.32000000018</v>
      </c>
      <c r="H29" s="681"/>
      <c r="I29" s="324"/>
    </row>
    <row r="30" spans="1:9">
      <c r="A30" s="681">
        <v>21</v>
      </c>
      <c r="B30" s="644" t="s">
        <v>530</v>
      </c>
      <c r="C30" s="1628">
        <f t="shared" si="3"/>
        <v>117442.31746750441</v>
      </c>
      <c r="D30" s="1628">
        <f t="shared" si="4"/>
        <v>851869.00253249577</v>
      </c>
      <c r="E30" s="684"/>
      <c r="F30" s="684"/>
      <c r="G30" s="683">
        <f t="shared" si="2"/>
        <v>969311.32000000018</v>
      </c>
      <c r="H30" s="681"/>
      <c r="I30" s="324"/>
    </row>
    <row r="31" spans="1:9">
      <c r="A31" s="681">
        <v>22</v>
      </c>
      <c r="B31" s="644" t="s">
        <v>531</v>
      </c>
      <c r="C31" s="1628">
        <f t="shared" si="3"/>
        <v>117442.31746750441</v>
      </c>
      <c r="D31" s="1628">
        <f t="shared" si="4"/>
        <v>851869.00253249577</v>
      </c>
      <c r="E31" s="684"/>
      <c r="F31" s="684"/>
      <c r="G31" s="683">
        <f t="shared" si="2"/>
        <v>969311.32000000018</v>
      </c>
      <c r="H31" s="681"/>
      <c r="I31" s="324"/>
    </row>
    <row r="32" spans="1:9">
      <c r="A32" s="681">
        <v>23</v>
      </c>
      <c r="B32" s="644" t="s">
        <v>532</v>
      </c>
      <c r="C32" s="1628">
        <f t="shared" si="3"/>
        <v>117442.31746750441</v>
      </c>
      <c r="D32" s="1628">
        <f t="shared" si="4"/>
        <v>851869.00253249577</v>
      </c>
      <c r="E32" s="684"/>
      <c r="F32" s="684"/>
      <c r="G32" s="683">
        <f t="shared" si="2"/>
        <v>969311.32000000018</v>
      </c>
      <c r="H32" s="681"/>
      <c r="I32" s="324"/>
    </row>
    <row r="33" spans="1:9">
      <c r="A33" s="681">
        <v>24</v>
      </c>
      <c r="B33" s="644" t="s">
        <v>533</v>
      </c>
      <c r="C33" s="1628">
        <f t="shared" si="3"/>
        <v>117442.31746750441</v>
      </c>
      <c r="D33" s="1628">
        <f t="shared" si="4"/>
        <v>851869.00253249577</v>
      </c>
      <c r="E33" s="684"/>
      <c r="F33" s="684"/>
      <c r="G33" s="683">
        <f t="shared" si="2"/>
        <v>969311.32000000018</v>
      </c>
      <c r="H33" s="681"/>
      <c r="I33" s="324"/>
    </row>
    <row r="34" spans="1:9">
      <c r="A34" s="681">
        <v>25</v>
      </c>
      <c r="B34" s="644" t="s">
        <v>547</v>
      </c>
      <c r="C34" s="685">
        <f>AVERAGE(C21:C33)</f>
        <v>117442.31746750441</v>
      </c>
      <c r="D34" s="685">
        <f>AVERAGE(D21:D33)</f>
        <v>851869.00253249577</v>
      </c>
      <c r="E34" s="685"/>
      <c r="F34" s="685"/>
      <c r="G34" s="685">
        <f>AVERAGE(G21:G33)</f>
        <v>969311.32000000018</v>
      </c>
      <c r="H34" s="681"/>
      <c r="I34" s="324"/>
    </row>
    <row r="35" spans="1:9">
      <c r="A35" s="681"/>
      <c r="B35" s="644"/>
      <c r="C35" s="685"/>
      <c r="D35" s="685"/>
      <c r="E35" s="685"/>
      <c r="I35" s="324"/>
    </row>
    <row r="36" spans="1:9">
      <c r="I36" s="324"/>
    </row>
    <row r="37" spans="1:9">
      <c r="B37" s="678" t="s">
        <v>73</v>
      </c>
      <c r="C37" s="911" t="s">
        <v>229</v>
      </c>
      <c r="D37" s="911" t="s">
        <v>796</v>
      </c>
      <c r="E37" s="644"/>
      <c r="F37" s="644"/>
      <c r="G37" s="681" t="s">
        <v>44</v>
      </c>
      <c r="I37" s="324"/>
    </row>
    <row r="38" spans="1:9">
      <c r="A38" s="681">
        <v>26</v>
      </c>
      <c r="B38" s="644" t="s">
        <v>524</v>
      </c>
      <c r="C38" s="1628">
        <v>31058.376028333299</v>
      </c>
      <c r="D38" s="1629">
        <v>348268.40000000008</v>
      </c>
      <c r="E38" s="684"/>
      <c r="F38" s="684"/>
      <c r="G38" s="683">
        <f t="shared" ref="G38:G50" si="5">SUM(C38:F38)</f>
        <v>379326.77602833341</v>
      </c>
      <c r="H38" s="681"/>
      <c r="I38" s="324"/>
    </row>
    <row r="39" spans="1:9">
      <c r="A39" s="681">
        <v>27</v>
      </c>
      <c r="B39" s="644" t="s">
        <v>525</v>
      </c>
      <c r="C39" s="1628">
        <v>33034.517666666667</v>
      </c>
      <c r="D39" s="1628">
        <v>362448.48436166655</v>
      </c>
      <c r="E39" s="684"/>
      <c r="F39" s="684"/>
      <c r="G39" s="683">
        <f t="shared" si="5"/>
        <v>395483.0020283332</v>
      </c>
      <c r="H39" s="681"/>
      <c r="I39" s="324"/>
    </row>
    <row r="40" spans="1:9">
      <c r="A40" s="681">
        <v>28</v>
      </c>
      <c r="B40" s="644" t="s">
        <v>526</v>
      </c>
      <c r="C40" s="1628">
        <v>35011.035333333333</v>
      </c>
      <c r="D40" s="1628">
        <v>376628.21269499988</v>
      </c>
      <c r="E40" s="684"/>
      <c r="F40" s="684"/>
      <c r="G40" s="683">
        <f t="shared" si="5"/>
        <v>411639.24802833318</v>
      </c>
      <c r="H40" s="681"/>
      <c r="I40" s="324"/>
    </row>
    <row r="41" spans="1:9">
      <c r="A41" s="681">
        <v>29</v>
      </c>
      <c r="B41" s="644" t="s">
        <v>527</v>
      </c>
      <c r="C41" s="1628">
        <v>36987.553</v>
      </c>
      <c r="D41" s="1628">
        <v>390807.9310283332</v>
      </c>
      <c r="E41" s="684"/>
      <c r="F41" s="684"/>
      <c r="G41" s="683">
        <f t="shared" si="5"/>
        <v>427795.48402833322</v>
      </c>
      <c r="H41" s="681"/>
      <c r="I41" s="324"/>
    </row>
    <row r="42" spans="1:9">
      <c r="A42" s="681">
        <v>30</v>
      </c>
      <c r="B42" s="644" t="s">
        <v>171</v>
      </c>
      <c r="C42" s="1628">
        <v>38964.070666666667</v>
      </c>
      <c r="D42" s="1628">
        <v>404987.65936166653</v>
      </c>
      <c r="E42" s="684"/>
      <c r="F42" s="684"/>
      <c r="G42" s="683">
        <f t="shared" si="5"/>
        <v>443951.7300283332</v>
      </c>
      <c r="H42" s="681"/>
      <c r="I42" s="324"/>
    </row>
    <row r="43" spans="1:9">
      <c r="A43" s="681">
        <v>31</v>
      </c>
      <c r="B43" s="644" t="s">
        <v>172</v>
      </c>
      <c r="C43" s="1628">
        <v>40940.588333333333</v>
      </c>
      <c r="D43" s="1628">
        <v>419167.37769499986</v>
      </c>
      <c r="E43" s="684"/>
      <c r="F43" s="684"/>
      <c r="G43" s="683">
        <f t="shared" si="5"/>
        <v>460107.96602833318</v>
      </c>
      <c r="H43" s="681"/>
      <c r="I43" s="324"/>
    </row>
    <row r="44" spans="1:9">
      <c r="A44" s="681">
        <v>32</v>
      </c>
      <c r="B44" s="644" t="s">
        <v>173</v>
      </c>
      <c r="C44" s="1628">
        <v>42917.106</v>
      </c>
      <c r="D44" s="1628">
        <v>433347.09602833318</v>
      </c>
      <c r="E44" s="684"/>
      <c r="F44" s="684"/>
      <c r="G44" s="683">
        <f t="shared" si="5"/>
        <v>476264.20202833321</v>
      </c>
      <c r="H44" s="681"/>
      <c r="I44" s="324"/>
    </row>
    <row r="45" spans="1:9">
      <c r="A45" s="681">
        <v>33</v>
      </c>
      <c r="B45" s="644" t="s">
        <v>528</v>
      </c>
      <c r="C45" s="1628">
        <v>44893.623666666666</v>
      </c>
      <c r="D45" s="1628">
        <v>447526.8143616665</v>
      </c>
      <c r="E45" s="684"/>
      <c r="F45" s="684"/>
      <c r="G45" s="683">
        <f t="shared" si="5"/>
        <v>492420.43802833318</v>
      </c>
      <c r="H45" s="681"/>
      <c r="I45" s="324"/>
    </row>
    <row r="46" spans="1:9">
      <c r="A46" s="681">
        <v>34</v>
      </c>
      <c r="B46" s="644" t="s">
        <v>529</v>
      </c>
      <c r="C46" s="1628">
        <v>46870.141333333333</v>
      </c>
      <c r="D46" s="1628">
        <v>462082.64269499981</v>
      </c>
      <c r="E46" s="684"/>
      <c r="F46" s="684"/>
      <c r="G46" s="683">
        <f t="shared" si="5"/>
        <v>508952.78402833315</v>
      </c>
      <c r="H46" s="681"/>
      <c r="I46" s="324"/>
    </row>
    <row r="47" spans="1:9">
      <c r="A47" s="681">
        <v>35</v>
      </c>
      <c r="B47" s="644" t="s">
        <v>530</v>
      </c>
      <c r="C47" s="1628">
        <v>48846.659</v>
      </c>
      <c r="D47" s="1628">
        <v>476638.47102833312</v>
      </c>
      <c r="E47" s="684"/>
      <c r="F47" s="684"/>
      <c r="G47" s="683">
        <f t="shared" si="5"/>
        <v>525485.13002833317</v>
      </c>
      <c r="H47" s="681"/>
      <c r="I47" s="324"/>
    </row>
    <row r="48" spans="1:9">
      <c r="A48" s="681">
        <v>36</v>
      </c>
      <c r="B48" s="644" t="s">
        <v>531</v>
      </c>
      <c r="C48" s="1628">
        <v>50823.176666666666</v>
      </c>
      <c r="D48" s="1628">
        <v>491194.29936166643</v>
      </c>
      <c r="E48" s="684"/>
      <c r="F48" s="684"/>
      <c r="G48" s="683">
        <f t="shared" si="5"/>
        <v>542017.47602833307</v>
      </c>
      <c r="H48" s="681"/>
      <c r="I48" s="324"/>
    </row>
    <row r="49" spans="1:9">
      <c r="A49" s="681">
        <v>37</v>
      </c>
      <c r="B49" s="644" t="s">
        <v>532</v>
      </c>
      <c r="C49" s="1628">
        <v>52799.694333333333</v>
      </c>
      <c r="D49" s="1628">
        <v>505750.12769499974</v>
      </c>
      <c r="E49" s="684"/>
      <c r="F49" s="684"/>
      <c r="G49" s="683">
        <f t="shared" si="5"/>
        <v>558549.82202833309</v>
      </c>
      <c r="H49" s="681"/>
      <c r="I49" s="324"/>
    </row>
    <row r="50" spans="1:9">
      <c r="A50" s="681">
        <v>38</v>
      </c>
      <c r="B50" s="644" t="s">
        <v>533</v>
      </c>
      <c r="C50" s="1628">
        <v>54776.212</v>
      </c>
      <c r="D50" s="1629">
        <v>520305.95602833305</v>
      </c>
      <c r="E50" s="684"/>
      <c r="F50" s="684"/>
      <c r="G50" s="683">
        <f t="shared" si="5"/>
        <v>575082.16802833299</v>
      </c>
      <c r="H50" s="681"/>
      <c r="I50" s="324"/>
    </row>
    <row r="51" spans="1:9">
      <c r="A51" s="681">
        <v>39</v>
      </c>
      <c r="B51" s="644" t="s">
        <v>547</v>
      </c>
      <c r="C51" s="685">
        <f>AVERAGE(C38:C50)</f>
        <v>42917.134925256403</v>
      </c>
      <c r="D51" s="685">
        <f>AVERAGE(D38:D50)</f>
        <v>433781.03633384599</v>
      </c>
      <c r="E51" s="685"/>
      <c r="F51" s="685"/>
      <c r="G51" s="685">
        <f>AVERAGE(G38:G50)</f>
        <v>476698.17125910247</v>
      </c>
      <c r="I51" s="324"/>
    </row>
    <row r="52" spans="1:9" ht="18">
      <c r="B52" s="1903" t="s">
        <v>1551</v>
      </c>
      <c r="C52" s="1903"/>
      <c r="D52" s="1903"/>
      <c r="E52" s="1903"/>
      <c r="F52" s="1903"/>
    </row>
    <row r="53" spans="1:9" ht="20">
      <c r="A53" s="675"/>
      <c r="B53" s="676"/>
      <c r="C53" s="677"/>
      <c r="D53" s="673"/>
      <c r="E53" s="673"/>
      <c r="F53" s="673"/>
    </row>
    <row r="54" spans="1:9">
      <c r="A54" s="1904" t="s">
        <v>556</v>
      </c>
      <c r="B54" s="1904"/>
      <c r="C54" s="1904"/>
      <c r="D54" s="1904"/>
      <c r="E54" s="1904"/>
      <c r="F54" s="673"/>
    </row>
    <row r="55" spans="1:9">
      <c r="B55" s="671" t="s">
        <v>510</v>
      </c>
      <c r="C55" s="671" t="s">
        <v>511</v>
      </c>
      <c r="D55" s="671" t="s">
        <v>512</v>
      </c>
      <c r="E55" s="671" t="s">
        <v>513</v>
      </c>
      <c r="F55" s="671" t="s">
        <v>550</v>
      </c>
      <c r="G55" s="671" t="s">
        <v>551</v>
      </c>
    </row>
    <row r="56" spans="1:9">
      <c r="A56" s="673"/>
      <c r="B56" s="678" t="s">
        <v>554</v>
      </c>
      <c r="C56" s="911" t="s">
        <v>229</v>
      </c>
      <c r="D56" s="911" t="s">
        <v>796</v>
      </c>
      <c r="E56" s="644"/>
      <c r="F56" s="644"/>
      <c r="G56" s="681" t="s">
        <v>44</v>
      </c>
    </row>
    <row r="57" spans="1:9">
      <c r="A57" s="681">
        <v>40</v>
      </c>
      <c r="B57" s="644" t="s">
        <v>524</v>
      </c>
      <c r="C57" s="685">
        <f>C21-C38</f>
        <v>86383.941439171118</v>
      </c>
      <c r="D57" s="685">
        <f>D21-D38</f>
        <v>503600.60253249569</v>
      </c>
      <c r="E57" s="685">
        <f t="shared" ref="C57:F69" si="6">E21-E38</f>
        <v>0</v>
      </c>
      <c r="F57" s="685">
        <f t="shared" si="6"/>
        <v>0</v>
      </c>
      <c r="G57" s="683">
        <f t="shared" ref="G57:G69" si="7">SUM(C57:F57)</f>
        <v>589984.54397166683</v>
      </c>
      <c r="H57" s="681"/>
    </row>
    <row r="58" spans="1:9">
      <c r="A58" s="681">
        <v>41</v>
      </c>
      <c r="B58" s="644" t="s">
        <v>525</v>
      </c>
      <c r="C58" s="685">
        <f t="shared" si="6"/>
        <v>84407.799800837747</v>
      </c>
      <c r="D58" s="685">
        <f t="shared" si="6"/>
        <v>489420.51817082922</v>
      </c>
      <c r="E58" s="685">
        <f t="shared" si="6"/>
        <v>0</v>
      </c>
      <c r="F58" s="685">
        <f t="shared" si="6"/>
        <v>0</v>
      </c>
      <c r="G58" s="683">
        <f t="shared" si="7"/>
        <v>573828.31797166693</v>
      </c>
      <c r="H58" s="681"/>
    </row>
    <row r="59" spans="1:9">
      <c r="A59" s="681">
        <v>42</v>
      </c>
      <c r="B59" s="644" t="s">
        <v>526</v>
      </c>
      <c r="C59" s="685">
        <f t="shared" si="6"/>
        <v>82431.282134171081</v>
      </c>
      <c r="D59" s="685">
        <f t="shared" si="6"/>
        <v>475240.78983749589</v>
      </c>
      <c r="E59" s="685">
        <f t="shared" si="6"/>
        <v>0</v>
      </c>
      <c r="F59" s="685">
        <f t="shared" si="6"/>
        <v>0</v>
      </c>
      <c r="G59" s="683">
        <f t="shared" si="7"/>
        <v>557672.071971667</v>
      </c>
      <c r="H59" s="681"/>
    </row>
    <row r="60" spans="1:9">
      <c r="A60" s="681">
        <v>43</v>
      </c>
      <c r="B60" s="644" t="s">
        <v>527</v>
      </c>
      <c r="C60" s="685">
        <f t="shared" si="6"/>
        <v>80454.764467504414</v>
      </c>
      <c r="D60" s="685">
        <f t="shared" si="6"/>
        <v>461061.07150416257</v>
      </c>
      <c r="E60" s="685">
        <f t="shared" si="6"/>
        <v>0</v>
      </c>
      <c r="F60" s="685">
        <f t="shared" si="6"/>
        <v>0</v>
      </c>
      <c r="G60" s="683">
        <f t="shared" si="7"/>
        <v>541515.83597166697</v>
      </c>
      <c r="H60" s="681"/>
    </row>
    <row r="61" spans="1:9">
      <c r="A61" s="681">
        <v>44</v>
      </c>
      <c r="B61" s="644" t="s">
        <v>171</v>
      </c>
      <c r="C61" s="685">
        <f t="shared" si="6"/>
        <v>78478.246800837747</v>
      </c>
      <c r="D61" s="685">
        <f t="shared" si="6"/>
        <v>446881.34317082923</v>
      </c>
      <c r="E61" s="685">
        <f t="shared" si="6"/>
        <v>0</v>
      </c>
      <c r="F61" s="685">
        <f t="shared" si="6"/>
        <v>0</v>
      </c>
      <c r="G61" s="683">
        <f t="shared" si="7"/>
        <v>525359.58997166692</v>
      </c>
      <c r="H61" s="681"/>
    </row>
    <row r="62" spans="1:9">
      <c r="A62" s="681">
        <v>45</v>
      </c>
      <c r="B62" s="644" t="s">
        <v>172</v>
      </c>
      <c r="C62" s="685">
        <f t="shared" si="6"/>
        <v>76501.729134171081</v>
      </c>
      <c r="D62" s="685">
        <f t="shared" si="6"/>
        <v>432701.62483749591</v>
      </c>
      <c r="E62" s="685">
        <f t="shared" si="6"/>
        <v>0</v>
      </c>
      <c r="F62" s="685">
        <f t="shared" si="6"/>
        <v>0</v>
      </c>
      <c r="G62" s="683">
        <f t="shared" si="7"/>
        <v>509203.35397166701</v>
      </c>
      <c r="H62" s="681"/>
    </row>
    <row r="63" spans="1:9">
      <c r="A63" s="681">
        <v>46</v>
      </c>
      <c r="B63" s="644" t="s">
        <v>173</v>
      </c>
      <c r="C63" s="685">
        <f t="shared" si="6"/>
        <v>74525.211467504414</v>
      </c>
      <c r="D63" s="685">
        <f t="shared" si="6"/>
        <v>418521.90650416259</v>
      </c>
      <c r="E63" s="685">
        <f t="shared" si="6"/>
        <v>0</v>
      </c>
      <c r="F63" s="685">
        <f t="shared" si="6"/>
        <v>0</v>
      </c>
      <c r="G63" s="683">
        <f t="shared" si="7"/>
        <v>493047.11797166697</v>
      </c>
      <c r="H63" s="681"/>
    </row>
    <row r="64" spans="1:9">
      <c r="A64" s="681">
        <v>47</v>
      </c>
      <c r="B64" s="644" t="s">
        <v>528</v>
      </c>
      <c r="C64" s="685">
        <f t="shared" si="6"/>
        <v>72548.693800837747</v>
      </c>
      <c r="D64" s="685">
        <f t="shared" si="6"/>
        <v>404342.18817082926</v>
      </c>
      <c r="E64" s="685">
        <f t="shared" si="6"/>
        <v>0</v>
      </c>
      <c r="F64" s="685">
        <f t="shared" si="6"/>
        <v>0</v>
      </c>
      <c r="G64" s="683">
        <f t="shared" si="7"/>
        <v>476890.881971667</v>
      </c>
      <c r="H64" s="681"/>
    </row>
    <row r="65" spans="1:8">
      <c r="A65" s="681">
        <v>48</v>
      </c>
      <c r="B65" s="644" t="s">
        <v>529</v>
      </c>
      <c r="C65" s="685">
        <f t="shared" si="6"/>
        <v>70572.176134171081</v>
      </c>
      <c r="D65" s="685">
        <f t="shared" si="6"/>
        <v>389786.35983749595</v>
      </c>
      <c r="E65" s="685">
        <f t="shared" si="6"/>
        <v>0</v>
      </c>
      <c r="F65" s="685">
        <f t="shared" si="6"/>
        <v>0</v>
      </c>
      <c r="G65" s="683">
        <f t="shared" si="7"/>
        <v>460358.53597166704</v>
      </c>
      <c r="H65" s="681"/>
    </row>
    <row r="66" spans="1:8">
      <c r="A66" s="681">
        <v>49</v>
      </c>
      <c r="B66" s="644" t="s">
        <v>530</v>
      </c>
      <c r="C66" s="685">
        <f t="shared" si="6"/>
        <v>68595.658467504414</v>
      </c>
      <c r="D66" s="685">
        <f t="shared" si="6"/>
        <v>375230.53150416265</v>
      </c>
      <c r="E66" s="685">
        <f t="shared" si="6"/>
        <v>0</v>
      </c>
      <c r="F66" s="685">
        <f t="shared" si="6"/>
        <v>0</v>
      </c>
      <c r="G66" s="683">
        <f t="shared" si="7"/>
        <v>443826.18997166707</v>
      </c>
      <c r="H66" s="681"/>
    </row>
    <row r="67" spans="1:8">
      <c r="A67" s="681">
        <v>50</v>
      </c>
      <c r="B67" s="644" t="s">
        <v>531</v>
      </c>
      <c r="C67" s="685">
        <f t="shared" si="6"/>
        <v>66619.140800837748</v>
      </c>
      <c r="D67" s="685">
        <f t="shared" si="6"/>
        <v>360674.70317082934</v>
      </c>
      <c r="E67" s="685">
        <f t="shared" si="6"/>
        <v>0</v>
      </c>
      <c r="F67" s="685">
        <f t="shared" si="6"/>
        <v>0</v>
      </c>
      <c r="G67" s="683">
        <f t="shared" si="7"/>
        <v>427293.84397166711</v>
      </c>
      <c r="H67" s="681"/>
    </row>
    <row r="68" spans="1:8">
      <c r="A68" s="681">
        <v>51</v>
      </c>
      <c r="B68" s="644" t="s">
        <v>532</v>
      </c>
      <c r="C68" s="685">
        <f t="shared" si="6"/>
        <v>64642.623134171081</v>
      </c>
      <c r="D68" s="685">
        <f t="shared" si="6"/>
        <v>346118.87483749603</v>
      </c>
      <c r="E68" s="685">
        <f t="shared" si="6"/>
        <v>0</v>
      </c>
      <c r="F68" s="685">
        <f t="shared" si="6"/>
        <v>0</v>
      </c>
      <c r="G68" s="683">
        <f t="shared" si="7"/>
        <v>410761.49797166709</v>
      </c>
      <c r="H68" s="681"/>
    </row>
    <row r="69" spans="1:8">
      <c r="A69" s="681">
        <v>52</v>
      </c>
      <c r="B69" s="644" t="s">
        <v>533</v>
      </c>
      <c r="C69" s="685">
        <f t="shared" si="6"/>
        <v>62666.105467504414</v>
      </c>
      <c r="D69" s="685">
        <f t="shared" si="6"/>
        <v>331563.04650416272</v>
      </c>
      <c r="E69" s="685">
        <f t="shared" si="6"/>
        <v>0</v>
      </c>
      <c r="F69" s="685">
        <f t="shared" si="6"/>
        <v>0</v>
      </c>
      <c r="G69" s="683">
        <f t="shared" si="7"/>
        <v>394229.15197166713</v>
      </c>
      <c r="H69" s="681"/>
    </row>
    <row r="70" spans="1:8">
      <c r="A70" s="681">
        <v>53</v>
      </c>
      <c r="B70" s="644" t="s">
        <v>547</v>
      </c>
      <c r="C70" s="685">
        <f>AVERAGE(C57:C69)</f>
        <v>74525.182542248018</v>
      </c>
      <c r="D70" s="685">
        <f t="shared" ref="D70:F70" si="8">AVERAGE(D57:D69)</f>
        <v>418087.96619864984</v>
      </c>
      <c r="E70" s="685">
        <f t="shared" si="8"/>
        <v>0</v>
      </c>
      <c r="F70" s="685">
        <f t="shared" si="8"/>
        <v>0</v>
      </c>
      <c r="G70" s="685">
        <f>AVERAGE(G57:G69)</f>
        <v>492613.14874089777</v>
      </c>
      <c r="H70" s="681"/>
    </row>
    <row r="71" spans="1:8">
      <c r="A71" s="673"/>
    </row>
    <row r="72" spans="1:8">
      <c r="A72" s="673"/>
    </row>
    <row r="73" spans="1:8">
      <c r="A73" s="673"/>
      <c r="B73" s="678" t="s">
        <v>555</v>
      </c>
      <c r="C73" s="911" t="s">
        <v>229</v>
      </c>
      <c r="D73" s="911" t="s">
        <v>796</v>
      </c>
      <c r="G73" s="681" t="s">
        <v>44</v>
      </c>
    </row>
    <row r="74" spans="1:8">
      <c r="A74" s="681">
        <v>54</v>
      </c>
      <c r="B74" s="644" t="s">
        <v>525</v>
      </c>
      <c r="C74" s="685">
        <f>C39-C38</f>
        <v>1976.1416383333672</v>
      </c>
      <c r="D74" s="685">
        <f>D39-D38</f>
        <v>14180.084361666464</v>
      </c>
      <c r="G74" s="683">
        <f t="shared" ref="G74:G86" si="9">SUM(C74:F74)</f>
        <v>16156.225999999831</v>
      </c>
      <c r="H74" s="681"/>
    </row>
    <row r="75" spans="1:8">
      <c r="A75" s="681">
        <v>55</v>
      </c>
      <c r="B75" s="644" t="s">
        <v>526</v>
      </c>
      <c r="C75" s="685">
        <f>C40-C39</f>
        <v>1976.5176666666666</v>
      </c>
      <c r="D75" s="685">
        <f>D40-D39</f>
        <v>14179.728333333333</v>
      </c>
      <c r="G75" s="683">
        <f t="shared" si="9"/>
        <v>16156.245999999999</v>
      </c>
      <c r="H75" s="681"/>
    </row>
    <row r="76" spans="1:8">
      <c r="A76" s="681">
        <v>56</v>
      </c>
      <c r="B76" s="644" t="s">
        <v>527</v>
      </c>
      <c r="C76" s="685">
        <f t="shared" ref="C76:D85" si="10">C41-C40</f>
        <v>1976.5176666666666</v>
      </c>
      <c r="D76" s="685">
        <f t="shared" si="10"/>
        <v>14179.718333333323</v>
      </c>
      <c r="G76" s="683">
        <f t="shared" si="9"/>
        <v>16156.23599999999</v>
      </c>
      <c r="H76" s="681"/>
    </row>
    <row r="77" spans="1:8">
      <c r="A77" s="681">
        <v>57</v>
      </c>
      <c r="B77" s="644" t="s">
        <v>171</v>
      </c>
      <c r="C77" s="685">
        <f t="shared" si="10"/>
        <v>1976.5176666666666</v>
      </c>
      <c r="D77" s="685">
        <f t="shared" si="10"/>
        <v>14179.728333333333</v>
      </c>
      <c r="G77" s="683">
        <f t="shared" si="9"/>
        <v>16156.245999999999</v>
      </c>
      <c r="H77" s="681"/>
    </row>
    <row r="78" spans="1:8">
      <c r="A78" s="681">
        <v>58</v>
      </c>
      <c r="B78" s="644" t="s">
        <v>172</v>
      </c>
      <c r="C78" s="685">
        <f t="shared" si="10"/>
        <v>1976.5176666666666</v>
      </c>
      <c r="D78" s="685">
        <f t="shared" si="10"/>
        <v>14179.718333333323</v>
      </c>
      <c r="G78" s="683">
        <f t="shared" si="9"/>
        <v>16156.23599999999</v>
      </c>
      <c r="H78" s="681"/>
    </row>
    <row r="79" spans="1:8">
      <c r="A79" s="681">
        <v>59</v>
      </c>
      <c r="B79" s="644" t="s">
        <v>173</v>
      </c>
      <c r="C79" s="685">
        <f t="shared" si="10"/>
        <v>1976.5176666666666</v>
      </c>
      <c r="D79" s="685">
        <f t="shared" si="10"/>
        <v>14179.718333333323</v>
      </c>
      <c r="G79" s="683">
        <f t="shared" si="9"/>
        <v>16156.23599999999</v>
      </c>
      <c r="H79" s="681"/>
    </row>
    <row r="80" spans="1:8">
      <c r="A80" s="681">
        <v>60</v>
      </c>
      <c r="B80" s="644" t="s">
        <v>528</v>
      </c>
      <c r="C80" s="685">
        <f t="shared" si="10"/>
        <v>1976.5176666666666</v>
      </c>
      <c r="D80" s="685">
        <f t="shared" si="10"/>
        <v>14179.718333333323</v>
      </c>
      <c r="G80" s="683">
        <f t="shared" si="9"/>
        <v>16156.23599999999</v>
      </c>
      <c r="H80" s="681"/>
    </row>
    <row r="81" spans="1:8">
      <c r="A81" s="681">
        <v>61</v>
      </c>
      <c r="B81" s="644" t="s">
        <v>529</v>
      </c>
      <c r="C81" s="685">
        <f t="shared" si="10"/>
        <v>1976.5176666666666</v>
      </c>
      <c r="D81" s="685">
        <f t="shared" si="10"/>
        <v>14555.828333333309</v>
      </c>
      <c r="G81" s="683">
        <f t="shared" si="9"/>
        <v>16532.345999999976</v>
      </c>
      <c r="H81" s="681"/>
    </row>
    <row r="82" spans="1:8">
      <c r="A82" s="681">
        <v>62</v>
      </c>
      <c r="B82" s="644" t="s">
        <v>530</v>
      </c>
      <c r="C82" s="685">
        <f t="shared" si="10"/>
        <v>1976.5176666666666</v>
      </c>
      <c r="D82" s="685">
        <f t="shared" si="10"/>
        <v>14555.828333333309</v>
      </c>
      <c r="G82" s="683">
        <f t="shared" si="9"/>
        <v>16532.345999999976</v>
      </c>
      <c r="H82" s="681"/>
    </row>
    <row r="83" spans="1:8">
      <c r="A83" s="681">
        <v>63</v>
      </c>
      <c r="B83" s="644" t="s">
        <v>531</v>
      </c>
      <c r="C83" s="685">
        <f t="shared" si="10"/>
        <v>1976.5176666666666</v>
      </c>
      <c r="D83" s="685">
        <f t="shared" si="10"/>
        <v>14555.828333333309</v>
      </c>
      <c r="G83" s="683">
        <f t="shared" si="9"/>
        <v>16532.345999999976</v>
      </c>
      <c r="H83" s="681"/>
    </row>
    <row r="84" spans="1:8">
      <c r="A84" s="681">
        <v>64</v>
      </c>
      <c r="B84" s="644" t="s">
        <v>532</v>
      </c>
      <c r="C84" s="685">
        <f t="shared" si="10"/>
        <v>1976.5176666666666</v>
      </c>
      <c r="D84" s="685">
        <f t="shared" si="10"/>
        <v>14555.828333333309</v>
      </c>
      <c r="G84" s="683">
        <f t="shared" si="9"/>
        <v>16532.345999999976</v>
      </c>
      <c r="H84" s="681"/>
    </row>
    <row r="85" spans="1:8">
      <c r="A85" s="681">
        <v>65</v>
      </c>
      <c r="B85" s="644" t="s">
        <v>533</v>
      </c>
      <c r="C85" s="685">
        <f t="shared" si="10"/>
        <v>1976.5176666666666</v>
      </c>
      <c r="D85" s="685">
        <f t="shared" si="10"/>
        <v>14555.828333333309</v>
      </c>
      <c r="G85" s="683">
        <f t="shared" si="9"/>
        <v>16532.345999999976</v>
      </c>
      <c r="H85" s="681"/>
    </row>
    <row r="86" spans="1:8">
      <c r="A86" s="681">
        <v>66</v>
      </c>
      <c r="B86" s="644" t="s">
        <v>44</v>
      </c>
      <c r="C86" s="685">
        <f>SUM(C74:C85)</f>
        <v>23717.8359716667</v>
      </c>
      <c r="D86" s="685">
        <f>SUM(D74:D85)</f>
        <v>172037.55602833297</v>
      </c>
      <c r="G86" s="683">
        <f t="shared" si="9"/>
        <v>195755.39199999967</v>
      </c>
    </row>
    <row r="87" spans="1:8">
      <c r="G87" s="685"/>
    </row>
    <row r="89" spans="1:8">
      <c r="B89" s="678" t="s">
        <v>809</v>
      </c>
      <c r="C89" s="644"/>
    </row>
    <row r="90" spans="1:8">
      <c r="A90" s="681">
        <v>67</v>
      </c>
      <c r="B90" s="644" t="s">
        <v>524</v>
      </c>
      <c r="C90" s="1628">
        <v>969311.32000000018</v>
      </c>
    </row>
    <row r="91" spans="1:8">
      <c r="A91" s="681">
        <v>68</v>
      </c>
      <c r="B91" s="644" t="s">
        <v>525</v>
      </c>
      <c r="C91" s="1628">
        <v>969311.32000000018</v>
      </c>
    </row>
    <row r="92" spans="1:8">
      <c r="A92" s="681">
        <v>69</v>
      </c>
      <c r="B92" s="644" t="s">
        <v>526</v>
      </c>
      <c r="C92" s="1628">
        <v>969311.32000000018</v>
      </c>
    </row>
    <row r="93" spans="1:8">
      <c r="A93" s="681">
        <v>70</v>
      </c>
      <c r="B93" s="644" t="s">
        <v>527</v>
      </c>
      <c r="C93" s="1628">
        <v>969311.32000000018</v>
      </c>
    </row>
    <row r="94" spans="1:8">
      <c r="A94" s="681">
        <v>71</v>
      </c>
      <c r="B94" s="644" t="s">
        <v>171</v>
      </c>
      <c r="C94" s="1628">
        <v>969311.32000000018</v>
      </c>
    </row>
    <row r="95" spans="1:8">
      <c r="A95" s="681">
        <v>72</v>
      </c>
      <c r="B95" s="644" t="s">
        <v>172</v>
      </c>
      <c r="C95" s="1628">
        <v>969311.32000000018</v>
      </c>
    </row>
    <row r="96" spans="1:8">
      <c r="A96" s="681">
        <v>73</v>
      </c>
      <c r="B96" s="644" t="s">
        <v>173</v>
      </c>
      <c r="C96" s="1628">
        <v>969311.32000000018</v>
      </c>
    </row>
    <row r="97" spans="1:3">
      <c r="A97" s="681">
        <v>74</v>
      </c>
      <c r="B97" s="644" t="s">
        <v>528</v>
      </c>
      <c r="C97" s="1628">
        <v>969311.32000000018</v>
      </c>
    </row>
    <row r="98" spans="1:3">
      <c r="A98" s="681">
        <v>75</v>
      </c>
      <c r="B98" s="644" t="s">
        <v>529</v>
      </c>
      <c r="C98" s="1628">
        <v>969311.32000000018</v>
      </c>
    </row>
    <row r="99" spans="1:3">
      <c r="A99" s="681">
        <v>76</v>
      </c>
      <c r="B99" s="644" t="s">
        <v>530</v>
      </c>
      <c r="C99" s="1628">
        <v>969311.32000000018</v>
      </c>
    </row>
    <row r="100" spans="1:3">
      <c r="A100" s="681">
        <v>77</v>
      </c>
      <c r="B100" s="644" t="s">
        <v>531</v>
      </c>
      <c r="C100" s="1628">
        <v>969311.32000000018</v>
      </c>
    </row>
    <row r="101" spans="1:3">
      <c r="A101" s="681">
        <v>78</v>
      </c>
      <c r="B101" s="644" t="s">
        <v>532</v>
      </c>
      <c r="C101" s="1628">
        <v>969311.32000000018</v>
      </c>
    </row>
    <row r="102" spans="1:3">
      <c r="A102" s="681">
        <v>79</v>
      </c>
      <c r="B102" s="644" t="s">
        <v>533</v>
      </c>
      <c r="C102" s="1628">
        <v>969311.32000000018</v>
      </c>
    </row>
    <row r="103" spans="1:3">
      <c r="A103" s="681">
        <v>80</v>
      </c>
      <c r="B103" s="644" t="s">
        <v>547</v>
      </c>
      <c r="C103" s="1628">
        <f>AVERAGE(C90:C102)</f>
        <v>969311.32000000018</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topLeftCell="A16" zoomScaleNormal="100" workbookViewId="0">
      <selection activeCell="J140" sqref="J140:L140"/>
    </sheetView>
  </sheetViews>
  <sheetFormatPr defaultColWidth="11.453125" defaultRowHeight="14"/>
  <cols>
    <col min="1" max="1" width="5.26953125" style="1075" customWidth="1"/>
    <col min="2" max="2" width="46.54296875" style="1075" customWidth="1"/>
    <col min="3" max="3" width="2.1796875" style="1075" customWidth="1"/>
    <col min="4" max="4" width="6.81640625" style="1075" bestFit="1" customWidth="1"/>
    <col min="5" max="5" width="21.81640625" style="1075" bestFit="1" customWidth="1"/>
    <col min="6" max="6" width="18" style="1075" bestFit="1" customWidth="1"/>
    <col min="7" max="7" width="19" style="1075" bestFit="1" customWidth="1"/>
    <col min="8" max="8" width="15.7265625" style="1075" customWidth="1"/>
    <col min="9" max="16384" width="11.453125" style="1075"/>
  </cols>
  <sheetData>
    <row r="1" spans="1:8">
      <c r="A1" s="1077"/>
      <c r="B1" s="1905" t="s">
        <v>1551</v>
      </c>
      <c r="C1" s="1905"/>
      <c r="D1" s="1905"/>
      <c r="E1" s="1905"/>
      <c r="F1" s="1077"/>
      <c r="G1" s="1077"/>
      <c r="H1" s="1077"/>
    </row>
    <row r="2" spans="1:8">
      <c r="A2" s="1077"/>
      <c r="B2" s="1906" t="s">
        <v>1095</v>
      </c>
      <c r="C2" s="1906"/>
      <c r="D2" s="1906"/>
      <c r="E2" s="1906"/>
      <c r="F2" s="1077"/>
      <c r="G2" s="1077"/>
      <c r="H2" s="1077"/>
    </row>
    <row r="3" spans="1:8">
      <c r="A3" s="1077"/>
      <c r="B3" s="1077"/>
      <c r="C3" s="1077"/>
      <c r="D3" s="1077"/>
      <c r="E3" s="1077"/>
      <c r="F3" s="1077"/>
      <c r="G3" s="1077"/>
      <c r="H3" s="1077"/>
    </row>
    <row r="4" spans="1:8">
      <c r="A4" s="1077"/>
      <c r="B4" s="1098"/>
      <c r="C4" s="1098"/>
      <c r="D4" s="1098"/>
      <c r="E4" s="1098"/>
      <c r="F4" s="1077"/>
      <c r="G4" s="1077"/>
      <c r="H4" s="1077"/>
    </row>
    <row r="5" spans="1:8">
      <c r="A5" s="1077"/>
      <c r="B5" s="1098"/>
      <c r="C5" s="1077"/>
      <c r="D5" s="1077"/>
      <c r="E5" s="1077"/>
      <c r="F5" s="1077"/>
      <c r="G5" s="1077"/>
      <c r="H5" s="1077"/>
    </row>
    <row r="6" spans="1:8">
      <c r="A6" s="1077"/>
      <c r="B6" s="1077"/>
      <c r="C6" s="1077"/>
      <c r="D6" s="1077"/>
      <c r="E6" s="1099" t="s">
        <v>510</v>
      </c>
      <c r="F6" s="1099" t="s">
        <v>511</v>
      </c>
      <c r="G6" s="1099" t="s">
        <v>512</v>
      </c>
      <c r="H6" s="1077"/>
    </row>
    <row r="7" spans="1:8">
      <c r="A7" s="1077"/>
      <c r="B7" s="1077"/>
      <c r="C7" s="1077"/>
      <c r="D7" s="1077"/>
      <c r="E7" s="1100" t="s">
        <v>1096</v>
      </c>
      <c r="F7" s="1077"/>
      <c r="G7" s="1077"/>
      <c r="H7" s="1077"/>
    </row>
    <row r="8" spans="1:8">
      <c r="A8" s="1077"/>
      <c r="B8" s="1077"/>
      <c r="C8" s="1077"/>
      <c r="D8" s="1077"/>
      <c r="E8" s="1101"/>
      <c r="F8" s="1102"/>
      <c r="G8" s="1102"/>
      <c r="H8" s="1077"/>
    </row>
    <row r="9" spans="1:8">
      <c r="A9" s="1077"/>
      <c r="B9" s="1103"/>
      <c r="C9" s="1104"/>
      <c r="D9" s="1105"/>
      <c r="E9" s="1106" t="s">
        <v>44</v>
      </c>
      <c r="F9" s="1106" t="s">
        <v>1097</v>
      </c>
      <c r="G9" s="1106" t="s">
        <v>1098</v>
      </c>
      <c r="H9" s="1077"/>
    </row>
    <row r="10" spans="1:8">
      <c r="A10" s="1107">
        <v>1</v>
      </c>
      <c r="B10" s="1108" t="s">
        <v>1099</v>
      </c>
      <c r="C10" s="1077"/>
      <c r="D10" s="1109">
        <v>560</v>
      </c>
      <c r="E10" s="1097">
        <v>2897495</v>
      </c>
      <c r="F10" s="1122"/>
      <c r="G10" s="1111">
        <f>E10-F10</f>
        <v>2897495</v>
      </c>
      <c r="H10" s="1077"/>
    </row>
    <row r="11" spans="1:8">
      <c r="A11" s="1107">
        <f>A10+1</f>
        <v>2</v>
      </c>
      <c r="B11" s="1108" t="s">
        <v>1100</v>
      </c>
      <c r="C11" s="1077"/>
      <c r="D11" s="1109">
        <v>561.1</v>
      </c>
      <c r="E11" s="1076">
        <v>3066</v>
      </c>
      <c r="F11" s="1122"/>
      <c r="G11" s="1111">
        <f t="shared" ref="G11:G34" si="0">E11-F11</f>
        <v>3066</v>
      </c>
      <c r="H11" s="1077"/>
    </row>
    <row r="12" spans="1:8">
      <c r="A12" s="1107">
        <f t="shared" ref="A12:A35" si="1">A11+1</f>
        <v>3</v>
      </c>
      <c r="B12" s="1108" t="s">
        <v>1101</v>
      </c>
      <c r="C12" s="1077"/>
      <c r="D12" s="1109">
        <v>561.20000000000005</v>
      </c>
      <c r="E12" s="1076">
        <v>988559</v>
      </c>
      <c r="F12" s="1124"/>
      <c r="G12" s="1111">
        <f t="shared" si="0"/>
        <v>988559</v>
      </c>
      <c r="H12" s="1077"/>
    </row>
    <row r="13" spans="1:8">
      <c r="A13" s="1107">
        <f t="shared" si="1"/>
        <v>4</v>
      </c>
      <c r="B13" s="1108" t="s">
        <v>1102</v>
      </c>
      <c r="C13" s="1077"/>
      <c r="D13" s="1109">
        <v>561.29999999999995</v>
      </c>
      <c r="E13" s="1076">
        <v>1408</v>
      </c>
      <c r="F13" s="1124"/>
      <c r="G13" s="1111">
        <f t="shared" si="0"/>
        <v>1408</v>
      </c>
      <c r="H13" s="1077"/>
    </row>
    <row r="14" spans="1:8">
      <c r="A14" s="1107">
        <f t="shared" si="1"/>
        <v>5</v>
      </c>
      <c r="B14" s="1108" t="s">
        <v>1103</v>
      </c>
      <c r="C14" s="1077"/>
      <c r="D14" s="1109">
        <v>561.4</v>
      </c>
      <c r="E14" s="1076">
        <v>-3038</v>
      </c>
      <c r="F14" s="1124"/>
      <c r="G14" s="1111">
        <f t="shared" si="0"/>
        <v>-3038</v>
      </c>
      <c r="H14" s="1077"/>
    </row>
    <row r="15" spans="1:8">
      <c r="A15" s="1107">
        <f t="shared" si="1"/>
        <v>6</v>
      </c>
      <c r="B15" s="1108" t="s">
        <v>1104</v>
      </c>
      <c r="C15" s="1077"/>
      <c r="D15" s="1109">
        <v>561.5</v>
      </c>
      <c r="E15" s="1076">
        <v>5916</v>
      </c>
      <c r="F15" s="1124"/>
      <c r="G15" s="1111">
        <f t="shared" si="0"/>
        <v>5916</v>
      </c>
      <c r="H15" s="1077"/>
    </row>
    <row r="16" spans="1:8">
      <c r="A16" s="1107">
        <f t="shared" si="1"/>
        <v>7</v>
      </c>
      <c r="B16" s="1108" t="s">
        <v>1105</v>
      </c>
      <c r="C16" s="1077"/>
      <c r="D16" s="1109">
        <v>561.6</v>
      </c>
      <c r="E16" s="1076">
        <v>0</v>
      </c>
      <c r="F16" s="1124"/>
      <c r="G16" s="1111">
        <f t="shared" si="0"/>
        <v>0</v>
      </c>
      <c r="H16" s="1077"/>
    </row>
    <row r="17" spans="1:8">
      <c r="A17" s="1107">
        <f t="shared" si="1"/>
        <v>8</v>
      </c>
      <c r="B17" s="1108" t="s">
        <v>1106</v>
      </c>
      <c r="C17" s="1077"/>
      <c r="D17" s="1113">
        <v>561.70000000000005</v>
      </c>
      <c r="E17" s="1076">
        <v>0</v>
      </c>
      <c r="F17" s="1124"/>
      <c r="G17" s="1111">
        <f t="shared" si="0"/>
        <v>0</v>
      </c>
      <c r="H17" s="1077"/>
    </row>
    <row r="18" spans="1:8">
      <c r="A18" s="1107">
        <f t="shared" si="1"/>
        <v>9</v>
      </c>
      <c r="B18" s="1108" t="s">
        <v>1107</v>
      </c>
      <c r="C18" s="1077"/>
      <c r="D18" s="1109">
        <v>561.79999999999995</v>
      </c>
      <c r="E18" s="1076">
        <v>-120</v>
      </c>
      <c r="F18" s="1124"/>
      <c r="G18" s="1111">
        <f t="shared" si="0"/>
        <v>-120</v>
      </c>
      <c r="H18" s="1077"/>
    </row>
    <row r="19" spans="1:8">
      <c r="A19" s="1107">
        <f t="shared" si="1"/>
        <v>10</v>
      </c>
      <c r="B19" s="1108" t="s">
        <v>1108</v>
      </c>
      <c r="C19" s="1077"/>
      <c r="D19" s="1109">
        <v>562</v>
      </c>
      <c r="E19" s="1076">
        <v>0</v>
      </c>
      <c r="F19" s="1124"/>
      <c r="G19" s="1111">
        <f t="shared" si="0"/>
        <v>0</v>
      </c>
      <c r="H19" s="1077"/>
    </row>
    <row r="20" spans="1:8">
      <c r="A20" s="1107">
        <f t="shared" si="1"/>
        <v>11</v>
      </c>
      <c r="B20" s="1108" t="s">
        <v>1109</v>
      </c>
      <c r="C20" s="1077"/>
      <c r="D20" s="1109">
        <v>563</v>
      </c>
      <c r="E20" s="1076">
        <v>0</v>
      </c>
      <c r="F20" s="1124"/>
      <c r="G20" s="1111">
        <f t="shared" si="0"/>
        <v>0</v>
      </c>
      <c r="H20" s="1077"/>
    </row>
    <row r="21" spans="1:8">
      <c r="A21" s="1107">
        <f t="shared" si="1"/>
        <v>12</v>
      </c>
      <c r="B21" s="1108" t="s">
        <v>1110</v>
      </c>
      <c r="C21" s="1077"/>
      <c r="D21" s="1109">
        <v>564</v>
      </c>
      <c r="E21" s="1076">
        <v>0</v>
      </c>
      <c r="F21" s="1124"/>
      <c r="G21" s="1111">
        <f t="shared" si="0"/>
        <v>0</v>
      </c>
      <c r="H21" s="1077"/>
    </row>
    <row r="22" spans="1:8">
      <c r="A22" s="1107">
        <f t="shared" si="1"/>
        <v>13</v>
      </c>
      <c r="B22" s="1108" t="s">
        <v>1111</v>
      </c>
      <c r="C22" s="1077"/>
      <c r="D22" s="1109">
        <v>565</v>
      </c>
      <c r="E22" s="1076">
        <v>0</v>
      </c>
      <c r="F22" s="1124"/>
      <c r="G22" s="1111">
        <f t="shared" si="0"/>
        <v>0</v>
      </c>
      <c r="H22" s="1077"/>
    </row>
    <row r="23" spans="1:8">
      <c r="A23" s="1107">
        <f t="shared" si="1"/>
        <v>14</v>
      </c>
      <c r="B23" s="1108" t="s">
        <v>1112</v>
      </c>
      <c r="C23" s="1077"/>
      <c r="D23" s="1109">
        <v>566</v>
      </c>
      <c r="E23" s="1076">
        <v>1939060</v>
      </c>
      <c r="F23" s="1124"/>
      <c r="G23" s="1111">
        <f>E23-F23</f>
        <v>1939060</v>
      </c>
      <c r="H23" s="1077"/>
    </row>
    <row r="24" spans="1:8">
      <c r="A24" s="1107">
        <f t="shared" si="1"/>
        <v>15</v>
      </c>
      <c r="B24" s="1108" t="s">
        <v>1025</v>
      </c>
      <c r="C24" s="1077"/>
      <c r="D24" s="1109">
        <v>567</v>
      </c>
      <c r="E24" s="1076">
        <v>0</v>
      </c>
      <c r="F24" s="1124"/>
      <c r="G24" s="1111">
        <f t="shared" si="0"/>
        <v>0</v>
      </c>
      <c r="H24" s="1077"/>
    </row>
    <row r="25" spans="1:8">
      <c r="A25" s="1107">
        <f t="shared" si="1"/>
        <v>16</v>
      </c>
      <c r="B25" s="1108" t="s">
        <v>1113</v>
      </c>
      <c r="C25" s="1077"/>
      <c r="D25" s="1109">
        <v>568</v>
      </c>
      <c r="E25" s="1076"/>
      <c r="F25" s="1124"/>
      <c r="G25" s="1111">
        <f t="shared" si="0"/>
        <v>0</v>
      </c>
      <c r="H25" s="1077"/>
    </row>
    <row r="26" spans="1:8">
      <c r="A26" s="1107">
        <f t="shared" si="1"/>
        <v>17</v>
      </c>
      <c r="B26" s="1108" t="s">
        <v>1114</v>
      </c>
      <c r="C26" s="1077"/>
      <c r="D26" s="1109">
        <v>569</v>
      </c>
      <c r="E26" s="1076">
        <v>856080</v>
      </c>
      <c r="F26" s="1124"/>
      <c r="G26" s="1111">
        <f t="shared" si="0"/>
        <v>856080</v>
      </c>
      <c r="H26" s="1077"/>
    </row>
    <row r="27" spans="1:8">
      <c r="A27" s="1107">
        <f t="shared" si="1"/>
        <v>18</v>
      </c>
      <c r="B27" s="1108" t="s">
        <v>1115</v>
      </c>
      <c r="C27" s="1077"/>
      <c r="D27" s="1109">
        <v>569.1</v>
      </c>
      <c r="E27" s="1076">
        <v>0</v>
      </c>
      <c r="F27" s="1124"/>
      <c r="G27" s="1111">
        <f t="shared" si="0"/>
        <v>0</v>
      </c>
      <c r="H27" s="1077"/>
    </row>
    <row r="28" spans="1:8">
      <c r="A28" s="1107">
        <f t="shared" si="1"/>
        <v>19</v>
      </c>
      <c r="B28" s="1108" t="s">
        <v>1116</v>
      </c>
      <c r="C28" s="1077"/>
      <c r="D28" s="1109">
        <v>569.20000000000005</v>
      </c>
      <c r="E28" s="1076"/>
      <c r="F28" s="1124"/>
      <c r="G28" s="1111">
        <f t="shared" si="0"/>
        <v>0</v>
      </c>
      <c r="H28" s="1077"/>
    </row>
    <row r="29" spans="1:8">
      <c r="A29" s="1107">
        <f t="shared" si="1"/>
        <v>20</v>
      </c>
      <c r="B29" s="1108" t="s">
        <v>1117</v>
      </c>
      <c r="C29" s="1077"/>
      <c r="D29" s="1109">
        <v>569.29999999999995</v>
      </c>
      <c r="E29" s="1076">
        <v>0</v>
      </c>
      <c r="F29" s="1124"/>
      <c r="G29" s="1111">
        <f t="shared" si="0"/>
        <v>0</v>
      </c>
      <c r="H29" s="1077"/>
    </row>
    <row r="30" spans="1:8">
      <c r="A30" s="1107">
        <f t="shared" si="1"/>
        <v>21</v>
      </c>
      <c r="B30" s="1108" t="s">
        <v>1118</v>
      </c>
      <c r="C30" s="1077"/>
      <c r="D30" s="1109">
        <v>569.4</v>
      </c>
      <c r="E30" s="1076">
        <v>0</v>
      </c>
      <c r="F30" s="1124"/>
      <c r="G30" s="1111">
        <f t="shared" si="0"/>
        <v>0</v>
      </c>
      <c r="H30" s="1077"/>
    </row>
    <row r="31" spans="1:8">
      <c r="A31" s="1107">
        <f t="shared" si="1"/>
        <v>22</v>
      </c>
      <c r="B31" s="1108" t="s">
        <v>1119</v>
      </c>
      <c r="C31" s="1077"/>
      <c r="D31" s="1109">
        <v>570</v>
      </c>
      <c r="E31" s="1076">
        <v>6883492</v>
      </c>
      <c r="F31" s="1124"/>
      <c r="G31" s="1111">
        <f t="shared" si="0"/>
        <v>6883492</v>
      </c>
      <c r="H31" s="1077"/>
    </row>
    <row r="32" spans="1:8">
      <c r="A32" s="1107">
        <f t="shared" si="1"/>
        <v>23</v>
      </c>
      <c r="B32" s="1108" t="s">
        <v>1120</v>
      </c>
      <c r="C32" s="1077"/>
      <c r="D32" s="1109">
        <v>571</v>
      </c>
      <c r="E32" s="1076">
        <v>8030202</v>
      </c>
      <c r="F32" s="1124"/>
      <c r="G32" s="1111">
        <f t="shared" si="0"/>
        <v>8030202</v>
      </c>
      <c r="H32" s="1077"/>
    </row>
    <row r="33" spans="1:8">
      <c r="A33" s="1107">
        <f t="shared" si="1"/>
        <v>24</v>
      </c>
      <c r="B33" s="1108" t="s">
        <v>1121</v>
      </c>
      <c r="C33" s="1077"/>
      <c r="D33" s="1109">
        <v>572</v>
      </c>
      <c r="E33" s="1076">
        <v>38303</v>
      </c>
      <c r="F33" s="1124"/>
      <c r="G33" s="1111">
        <f t="shared" si="0"/>
        <v>38303</v>
      </c>
      <c r="H33" s="1077"/>
    </row>
    <row r="34" spans="1:8">
      <c r="A34" s="1107">
        <f t="shared" si="1"/>
        <v>25</v>
      </c>
      <c r="B34" s="1114" t="s">
        <v>1122</v>
      </c>
      <c r="C34" s="1077"/>
      <c r="D34" s="1109">
        <v>573</v>
      </c>
      <c r="E34" s="1076">
        <v>493582</v>
      </c>
      <c r="F34" s="1122"/>
      <c r="G34" s="1111">
        <f t="shared" si="0"/>
        <v>493582</v>
      </c>
      <c r="H34" s="1112"/>
    </row>
    <row r="35" spans="1:8">
      <c r="A35" s="1107">
        <f t="shared" si="1"/>
        <v>26</v>
      </c>
      <c r="B35" s="1098" t="s">
        <v>1286</v>
      </c>
      <c r="C35" s="1077"/>
      <c r="D35" s="1107"/>
      <c r="E35" s="1115">
        <f>SUM(E10:E34)</f>
        <v>22134005</v>
      </c>
      <c r="F35" s="1115">
        <f>SUM(F10:F34)</f>
        <v>0</v>
      </c>
      <c r="G35" s="1115">
        <f>SUM(G10:G34)</f>
        <v>22134005</v>
      </c>
      <c r="H35" s="1077"/>
    </row>
    <row r="36" spans="1:8">
      <c r="A36" s="1107"/>
      <c r="B36" s="1077"/>
      <c r="C36" s="1077"/>
      <c r="D36" s="1077"/>
      <c r="E36" s="1077"/>
      <c r="F36" s="1077"/>
      <c r="G36" s="1077"/>
      <c r="H36" s="1077"/>
    </row>
    <row r="37" spans="1:8">
      <c r="A37" s="1077"/>
      <c r="B37" s="1077"/>
      <c r="C37" s="1077"/>
      <c r="D37" s="1077"/>
      <c r="E37" s="1116"/>
      <c r="F37" s="1117"/>
      <c r="G37" s="1117"/>
      <c r="H37" s="1077"/>
    </row>
    <row r="38" spans="1:8">
      <c r="A38" s="1107">
        <f>A35+1</f>
        <v>27</v>
      </c>
      <c r="B38" s="1116" t="s">
        <v>1123</v>
      </c>
      <c r="C38" s="1077"/>
      <c r="D38" s="1077"/>
      <c r="E38" s="1077"/>
      <c r="F38" s="1116" t="s">
        <v>44</v>
      </c>
      <c r="G38" s="1112">
        <f>+G35</f>
        <v>22134005</v>
      </c>
      <c r="H38" s="1077"/>
    </row>
    <row r="39" spans="1:8">
      <c r="A39" s="1107"/>
      <c r="B39" s="1077"/>
      <c r="C39" s="1077"/>
      <c r="D39" s="1077"/>
      <c r="E39" s="1077"/>
      <c r="F39" s="1077"/>
      <c r="G39" s="1118"/>
      <c r="H39" s="1119"/>
    </row>
    <row r="40" spans="1:8">
      <c r="A40" s="1077"/>
      <c r="B40" s="1077"/>
      <c r="C40" s="1077"/>
      <c r="D40" s="1077"/>
      <c r="E40" s="1077"/>
      <c r="F40" s="1077"/>
      <c r="G40" s="1077"/>
      <c r="H40" s="1077"/>
    </row>
    <row r="41" spans="1:8">
      <c r="A41" s="1077"/>
      <c r="B41" s="1077"/>
      <c r="C41" s="1077"/>
      <c r="D41" s="1077"/>
      <c r="E41" s="1077"/>
      <c r="F41" s="1077"/>
      <c r="G41" s="1155"/>
      <c r="H41" s="1077"/>
    </row>
  </sheetData>
  <mergeCells count="2">
    <mergeCell ref="B1:E1"/>
    <mergeCell ref="B2:E2"/>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topLeftCell="A4" zoomScaleNormal="100" workbookViewId="0">
      <selection activeCell="L18" sqref="L18"/>
    </sheetView>
  </sheetViews>
  <sheetFormatPr defaultColWidth="11.453125" defaultRowHeight="14"/>
  <cols>
    <col min="1" max="1" width="5.26953125" style="1075" customWidth="1"/>
    <col min="2" max="2" width="46.54296875" style="1075" customWidth="1"/>
    <col min="3" max="3" width="2.1796875" style="1075" customWidth="1"/>
    <col min="4" max="4" width="9.7265625" style="1075" customWidth="1"/>
    <col min="5" max="5" width="21.81640625" style="1075" bestFit="1" customWidth="1"/>
    <col min="6" max="6" width="2.81640625" style="1075" customWidth="1"/>
    <col min="7" max="7" width="19" style="1075" bestFit="1" customWidth="1"/>
    <col min="8" max="8" width="22.54296875" style="1075" bestFit="1" customWidth="1"/>
    <col min="9" max="9" width="18" style="1075" bestFit="1" customWidth="1"/>
    <col min="10" max="10" width="19" style="1075" bestFit="1" customWidth="1"/>
    <col min="11" max="11" width="5.54296875" style="1075" customWidth="1"/>
    <col min="12" max="16384" width="11.453125" style="1075"/>
  </cols>
  <sheetData>
    <row r="1" spans="1:12">
      <c r="A1" s="1077"/>
      <c r="B1" s="1905" t="s">
        <v>1551</v>
      </c>
      <c r="C1" s="1905"/>
      <c r="D1" s="1905"/>
      <c r="E1" s="1905"/>
      <c r="F1" s="1905"/>
      <c r="G1" s="1905"/>
      <c r="H1" s="1077"/>
      <c r="I1" s="1077"/>
      <c r="J1" s="1077"/>
      <c r="K1" s="1077"/>
      <c r="L1" s="1077"/>
    </row>
    <row r="2" spans="1:12">
      <c r="A2" s="1077"/>
      <c r="B2" s="1906" t="s">
        <v>1124</v>
      </c>
      <c r="C2" s="1906"/>
      <c r="D2" s="1906"/>
      <c r="E2" s="1906"/>
      <c r="F2" s="1906"/>
      <c r="G2" s="1906"/>
      <c r="H2" s="1077"/>
      <c r="I2" s="1077"/>
      <c r="J2" s="1077"/>
      <c r="K2" s="1077"/>
      <c r="L2" s="1077"/>
    </row>
    <row r="3" spans="1:12">
      <c r="A3" s="1077"/>
      <c r="B3" s="1077"/>
      <c r="C3" s="1077"/>
      <c r="D3" s="1077"/>
      <c r="E3" s="1077"/>
      <c r="F3" s="1077"/>
      <c r="G3" s="1077"/>
      <c r="H3" s="1077"/>
      <c r="I3" s="1077"/>
      <c r="J3" s="1077"/>
      <c r="K3" s="1077"/>
      <c r="L3" s="1077"/>
    </row>
    <row r="4" spans="1:12">
      <c r="A4" s="1077"/>
      <c r="B4" s="1098"/>
      <c r="C4" s="1098"/>
      <c r="D4" s="1098"/>
      <c r="E4" s="1098"/>
      <c r="F4" s="1098"/>
      <c r="G4" s="1098"/>
      <c r="H4" s="1077"/>
      <c r="I4" s="1077"/>
      <c r="J4" s="1077"/>
      <c r="K4" s="1077"/>
      <c r="L4" s="1077"/>
    </row>
    <row r="5" spans="1:12">
      <c r="A5" s="1077"/>
      <c r="B5" s="1098"/>
      <c r="C5" s="1077"/>
      <c r="D5" s="1077"/>
      <c r="E5" s="1077"/>
      <c r="F5" s="1077"/>
      <c r="G5" s="1077"/>
      <c r="H5" s="1077"/>
      <c r="I5" s="1077"/>
      <c r="J5" s="1077"/>
      <c r="K5" s="1077"/>
      <c r="L5" s="1077"/>
    </row>
    <row r="6" spans="1:12">
      <c r="A6" s="1077"/>
      <c r="B6" s="1077"/>
      <c r="C6" s="1077"/>
      <c r="D6" s="1077"/>
      <c r="E6" s="1099" t="s">
        <v>510</v>
      </c>
      <c r="F6" s="1077"/>
      <c r="G6" s="1099" t="s">
        <v>511</v>
      </c>
      <c r="H6" s="1099" t="s">
        <v>512</v>
      </c>
      <c r="I6" s="1120" t="s">
        <v>513</v>
      </c>
      <c r="J6" s="1099" t="s">
        <v>514</v>
      </c>
      <c r="K6" s="1077"/>
      <c r="L6" s="1077"/>
    </row>
    <row r="7" spans="1:12">
      <c r="A7" s="1077"/>
      <c r="B7" s="1077"/>
      <c r="C7" s="1077"/>
      <c r="D7" s="1077"/>
      <c r="E7" s="1100" t="s">
        <v>1125</v>
      </c>
      <c r="F7" s="1077"/>
      <c r="G7" s="1077"/>
      <c r="H7" s="1077"/>
      <c r="I7" s="1077"/>
      <c r="J7" s="1077"/>
      <c r="K7" s="1077"/>
      <c r="L7" s="1077"/>
    </row>
    <row r="8" spans="1:12">
      <c r="A8" s="1077"/>
      <c r="B8" s="1077"/>
      <c r="C8" s="1077"/>
      <c r="D8" s="1077"/>
      <c r="E8" s="1101"/>
      <c r="F8" s="1102"/>
      <c r="G8" s="1102"/>
      <c r="H8" s="1102"/>
      <c r="I8" s="1102"/>
      <c r="J8" s="1102"/>
      <c r="K8" s="1077"/>
      <c r="L8" s="1077"/>
    </row>
    <row r="9" spans="1:12">
      <c r="A9" s="1077"/>
      <c r="B9" s="1103"/>
      <c r="C9" s="1104"/>
      <c r="D9" s="1105"/>
      <c r="E9" s="1106" t="s">
        <v>44</v>
      </c>
      <c r="F9" s="1106"/>
      <c r="G9" s="1106" t="s">
        <v>1126</v>
      </c>
      <c r="H9" s="1106" t="s">
        <v>1127</v>
      </c>
      <c r="I9" s="1106" t="s">
        <v>1097</v>
      </c>
      <c r="J9" s="1106" t="s">
        <v>1098</v>
      </c>
      <c r="K9" s="1077"/>
      <c r="L9" s="1077"/>
    </row>
    <row r="10" spans="1:12">
      <c r="A10" s="1107">
        <v>1</v>
      </c>
      <c r="B10" s="1108" t="s">
        <v>1128</v>
      </c>
      <c r="C10" s="1077"/>
      <c r="D10" s="1109">
        <v>920</v>
      </c>
      <c r="E10" s="1097">
        <f>SUM(G10:J10)</f>
        <v>3793261</v>
      </c>
      <c r="F10" s="1121"/>
      <c r="G10" s="1097">
        <v>3793261</v>
      </c>
      <c r="H10" s="1110"/>
      <c r="I10" s="1122"/>
      <c r="J10" s="1111">
        <v>0</v>
      </c>
      <c r="K10" s="1077"/>
      <c r="L10" s="1077"/>
    </row>
    <row r="11" spans="1:12">
      <c r="A11" s="1107">
        <f>A10+1</f>
        <v>2</v>
      </c>
      <c r="B11" s="1108" t="s">
        <v>1129</v>
      </c>
      <c r="C11" s="1077"/>
      <c r="D11" s="1109">
        <v>921</v>
      </c>
      <c r="E11" s="1097">
        <f t="shared" ref="E11:E23" si="0">SUM(G11:J11)</f>
        <v>3593725</v>
      </c>
      <c r="F11" s="1123"/>
      <c r="G11" s="1076">
        <v>3593725</v>
      </c>
      <c r="H11" s="1112"/>
      <c r="I11" s="1124"/>
      <c r="J11" s="1125">
        <v>0</v>
      </c>
      <c r="K11" s="1077"/>
      <c r="L11" s="1077"/>
    </row>
    <row r="12" spans="1:12">
      <c r="A12" s="1107">
        <f t="shared" ref="A12:A24" si="1">A11+1</f>
        <v>3</v>
      </c>
      <c r="B12" s="1108" t="s">
        <v>1130</v>
      </c>
      <c r="C12" s="1077"/>
      <c r="D12" s="1109">
        <v>922</v>
      </c>
      <c r="E12" s="1097">
        <f t="shared" si="0"/>
        <v>0</v>
      </c>
      <c r="F12" s="1123"/>
      <c r="G12" s="1076">
        <v>0</v>
      </c>
      <c r="H12" s="1112"/>
      <c r="I12" s="1124"/>
      <c r="J12" s="1125">
        <v>0</v>
      </c>
      <c r="K12" s="1077"/>
      <c r="L12" s="1077"/>
    </row>
    <row r="13" spans="1:12">
      <c r="A13" s="1107">
        <f t="shared" si="1"/>
        <v>4</v>
      </c>
      <c r="B13" s="1108" t="s">
        <v>1131</v>
      </c>
      <c r="C13" s="1077"/>
      <c r="D13" s="1109">
        <v>923</v>
      </c>
      <c r="E13" s="1097">
        <f t="shared" si="0"/>
        <v>71246114</v>
      </c>
      <c r="F13" s="1123"/>
      <c r="G13" s="1076">
        <f>71246114-I13</f>
        <v>70870986.455129996</v>
      </c>
      <c r="H13" s="1128"/>
      <c r="I13" s="1124">
        <f>+'5 - Cost Support 1'!H209+'5 - Cost Support 1'!K209+'5 - Cost Support 1'!J209+'5 - Cost Support 1'!I209</f>
        <v>375127.54486999998</v>
      </c>
      <c r="J13" s="1125">
        <v>0</v>
      </c>
      <c r="K13" s="1077"/>
      <c r="L13" s="1077"/>
    </row>
    <row r="14" spans="1:12">
      <c r="A14" s="1107">
        <f t="shared" si="1"/>
        <v>5</v>
      </c>
      <c r="B14" s="1108" t="s">
        <v>1026</v>
      </c>
      <c r="C14" s="1077"/>
      <c r="D14" s="1109">
        <v>924</v>
      </c>
      <c r="E14" s="1715">
        <f t="shared" si="0"/>
        <v>595673</v>
      </c>
      <c r="F14" s="1123"/>
      <c r="G14" s="1076"/>
      <c r="H14" s="1715">
        <v>595673</v>
      </c>
      <c r="I14" s="1124"/>
      <c r="J14" s="1125">
        <v>0</v>
      </c>
      <c r="K14" s="1077"/>
      <c r="L14" s="1077"/>
    </row>
    <row r="15" spans="1:12">
      <c r="A15" s="1107">
        <f t="shared" si="1"/>
        <v>6</v>
      </c>
      <c r="B15" s="1108" t="s">
        <v>1132</v>
      </c>
      <c r="C15" s="1077"/>
      <c r="D15" s="1109">
        <v>925</v>
      </c>
      <c r="E15" s="1097">
        <f t="shared" si="0"/>
        <v>1594625</v>
      </c>
      <c r="F15" s="1123"/>
      <c r="G15" s="1076">
        <v>1594625</v>
      </c>
      <c r="H15" s="1112"/>
      <c r="I15" s="1124"/>
      <c r="J15" s="1125">
        <v>0</v>
      </c>
      <c r="K15" s="1077"/>
      <c r="L15" s="1077"/>
    </row>
    <row r="16" spans="1:12">
      <c r="A16" s="1107">
        <f t="shared" si="1"/>
        <v>7</v>
      </c>
      <c r="B16" s="1108" t="s">
        <v>1133</v>
      </c>
      <c r="C16" s="1077"/>
      <c r="D16" s="1113">
        <v>926</v>
      </c>
      <c r="E16" s="1097">
        <f t="shared" si="0"/>
        <v>11763379</v>
      </c>
      <c r="F16" s="1123"/>
      <c r="G16" s="1076">
        <v>11763379</v>
      </c>
      <c r="H16" s="1112"/>
      <c r="I16" s="1124"/>
      <c r="J16" s="1125">
        <v>0</v>
      </c>
      <c r="K16" s="1077"/>
      <c r="L16" s="1077"/>
    </row>
    <row r="17" spans="1:12">
      <c r="A17" s="1107">
        <f t="shared" si="1"/>
        <v>8</v>
      </c>
      <c r="B17" s="1108" t="s">
        <v>1134</v>
      </c>
      <c r="C17" s="1077"/>
      <c r="D17" s="1109">
        <v>927</v>
      </c>
      <c r="E17" s="1097">
        <f t="shared" si="0"/>
        <v>0</v>
      </c>
      <c r="F17" s="1123"/>
      <c r="G17" s="1076">
        <v>0</v>
      </c>
      <c r="H17" s="1112"/>
      <c r="I17" s="1124"/>
      <c r="J17" s="1125">
        <v>0</v>
      </c>
      <c r="K17" s="1077"/>
      <c r="L17" s="1077"/>
    </row>
    <row r="18" spans="1:12">
      <c r="A18" s="1107">
        <f t="shared" si="1"/>
        <v>9</v>
      </c>
      <c r="B18" s="1108" t="s">
        <v>1135</v>
      </c>
      <c r="C18" s="1077"/>
      <c r="D18" s="1109">
        <v>928</v>
      </c>
      <c r="E18" s="1097">
        <f t="shared" si="0"/>
        <v>1551388</v>
      </c>
      <c r="F18" s="1123"/>
      <c r="G18" s="1076">
        <v>0</v>
      </c>
      <c r="H18" s="1112"/>
      <c r="I18" s="1124">
        <f>1551388-J18</f>
        <v>1285847</v>
      </c>
      <c r="J18" s="1076">
        <f>+'5 - Cost Support 1'!H50</f>
        <v>265541</v>
      </c>
      <c r="K18" s="1077"/>
      <c r="L18" s="1077"/>
    </row>
    <row r="19" spans="1:12">
      <c r="A19" s="1107">
        <f t="shared" si="1"/>
        <v>10</v>
      </c>
      <c r="B19" s="1108" t="s">
        <v>1136</v>
      </c>
      <c r="C19" s="1077"/>
      <c r="D19" s="1109">
        <v>929</v>
      </c>
      <c r="E19" s="1097">
        <f t="shared" si="0"/>
        <v>0</v>
      </c>
      <c r="F19" s="1123"/>
      <c r="G19" s="1076">
        <v>0</v>
      </c>
      <c r="H19" s="1112"/>
      <c r="I19" s="1124"/>
      <c r="J19" s="1125">
        <v>0</v>
      </c>
      <c r="K19" s="1077"/>
      <c r="L19" s="1077"/>
    </row>
    <row r="20" spans="1:12">
      <c r="A20" s="1107">
        <f t="shared" si="1"/>
        <v>11</v>
      </c>
      <c r="B20" s="1108" t="s">
        <v>1137</v>
      </c>
      <c r="C20" s="1077"/>
      <c r="D20" s="1109">
        <v>930.1</v>
      </c>
      <c r="E20" s="1097">
        <f t="shared" si="0"/>
        <v>458332</v>
      </c>
      <c r="F20" s="1123"/>
      <c r="G20" s="1076"/>
      <c r="H20" s="1112"/>
      <c r="I20" s="1124">
        <v>458332</v>
      </c>
      <c r="J20" s="1125">
        <v>0</v>
      </c>
      <c r="K20" s="1077"/>
      <c r="L20" s="1077"/>
    </row>
    <row r="21" spans="1:12">
      <c r="A21" s="1107">
        <f t="shared" si="1"/>
        <v>12</v>
      </c>
      <c r="B21" s="1108" t="s">
        <v>1138</v>
      </c>
      <c r="C21" s="1077"/>
      <c r="D21" s="1109">
        <v>930.2</v>
      </c>
      <c r="E21" s="1097">
        <f t="shared" si="0"/>
        <v>952692</v>
      </c>
      <c r="F21" s="1123"/>
      <c r="G21" s="1076">
        <f>952692-I21</f>
        <v>686358</v>
      </c>
      <c r="H21" s="1112"/>
      <c r="I21" s="1124">
        <f>+'5 - Cost Support 1'!G44</f>
        <v>266334</v>
      </c>
      <c r="J21" s="1125">
        <v>0</v>
      </c>
      <c r="K21" s="1077"/>
      <c r="L21" s="1077"/>
    </row>
    <row r="22" spans="1:12">
      <c r="A22" s="1107">
        <f t="shared" si="1"/>
        <v>13</v>
      </c>
      <c r="B22" s="1108" t="s">
        <v>1025</v>
      </c>
      <c r="C22" s="1077"/>
      <c r="D22" s="1109">
        <v>931</v>
      </c>
      <c r="E22" s="1097">
        <f t="shared" si="0"/>
        <v>0</v>
      </c>
      <c r="F22" s="1123"/>
      <c r="G22" s="1076">
        <v>0</v>
      </c>
      <c r="H22" s="1112"/>
      <c r="I22" s="1124"/>
      <c r="J22" s="1125">
        <v>0</v>
      </c>
      <c r="K22" s="1077"/>
      <c r="L22" s="1077"/>
    </row>
    <row r="23" spans="1:12">
      <c r="A23" s="1107">
        <f t="shared" si="1"/>
        <v>14</v>
      </c>
      <c r="B23" s="1114" t="s">
        <v>1139</v>
      </c>
      <c r="C23" s="1077"/>
      <c r="D23" s="1105">
        <v>935</v>
      </c>
      <c r="E23" s="1097">
        <f t="shared" si="0"/>
        <v>1763</v>
      </c>
      <c r="F23" s="1123"/>
      <c r="G23" s="1097">
        <v>1763</v>
      </c>
      <c r="H23" s="1110"/>
      <c r="I23" s="1122"/>
      <c r="J23" s="1126">
        <v>0</v>
      </c>
      <c r="K23" s="1112"/>
      <c r="L23" s="1077"/>
    </row>
    <row r="24" spans="1:12">
      <c r="A24" s="1107">
        <f t="shared" si="1"/>
        <v>15</v>
      </c>
      <c r="B24" s="1098" t="s">
        <v>1140</v>
      </c>
      <c r="C24" s="1077"/>
      <c r="D24" s="1107"/>
      <c r="E24" s="1115">
        <f>SUM(E10:E23)</f>
        <v>95550952</v>
      </c>
      <c r="F24" s="1127"/>
      <c r="G24" s="1115">
        <f>SUM(G10:G23)</f>
        <v>92304097.455129996</v>
      </c>
      <c r="H24" s="1115">
        <f t="shared" ref="H24:J24" si="2">SUM(H10:H23)</f>
        <v>595673</v>
      </c>
      <c r="I24" s="1115">
        <f t="shared" si="2"/>
        <v>2385640.5448699999</v>
      </c>
      <c r="J24" s="1115">
        <f t="shared" si="2"/>
        <v>265541</v>
      </c>
      <c r="K24" s="1077"/>
      <c r="L24" s="1077"/>
    </row>
    <row r="25" spans="1:12">
      <c r="A25" s="1107"/>
      <c r="B25" s="1077"/>
      <c r="C25" s="1077"/>
      <c r="D25" s="1077"/>
      <c r="E25" s="1077"/>
      <c r="F25" s="1077"/>
      <c r="G25" s="1077"/>
      <c r="H25" s="1077"/>
      <c r="I25" s="1077"/>
      <c r="J25" s="1077"/>
      <c r="K25" s="1077"/>
      <c r="L25" s="1077"/>
    </row>
    <row r="26" spans="1:12">
      <c r="A26" s="1107">
        <f>A24+1</f>
        <v>16</v>
      </c>
      <c r="B26" s="1077"/>
      <c r="C26" s="1077"/>
      <c r="D26" s="1077"/>
      <c r="E26" s="1116" t="s">
        <v>1046</v>
      </c>
      <c r="F26" s="1077"/>
      <c r="G26" s="1117">
        <f>+'ATT H-1A'!H16</f>
        <v>0.13888944064369446</v>
      </c>
      <c r="H26" s="1117">
        <f>+'ATT H-1A'!H40</f>
        <v>0.3874728880161436</v>
      </c>
      <c r="I26" s="1117">
        <v>0</v>
      </c>
      <c r="J26" s="1117">
        <v>1</v>
      </c>
      <c r="K26" s="1077"/>
      <c r="L26" s="1077"/>
    </row>
    <row r="27" spans="1:12" ht="15.5">
      <c r="A27" s="1107">
        <f t="shared" ref="A27:A28" si="3">A26+1</f>
        <v>17</v>
      </c>
      <c r="B27" s="1077"/>
      <c r="C27" s="1077"/>
      <c r="D27" s="1077"/>
      <c r="E27" s="1116" t="s">
        <v>1183</v>
      </c>
      <c r="F27" s="1077"/>
      <c r="G27" s="1112">
        <f>G24*G26</f>
        <v>12820064.464664066</v>
      </c>
      <c r="H27" s="1112">
        <f t="shared" ref="H27:J27" si="4">H24*H26</f>
        <v>230807.1376232403</v>
      </c>
      <c r="I27" s="1112">
        <f t="shared" si="4"/>
        <v>0</v>
      </c>
      <c r="J27" s="1112">
        <f t="shared" si="4"/>
        <v>265541</v>
      </c>
      <c r="K27" s="1077"/>
      <c r="L27" s="1077"/>
    </row>
    <row r="28" spans="1:12" ht="15.5">
      <c r="A28" s="1107">
        <f t="shared" si="3"/>
        <v>18</v>
      </c>
      <c r="B28" s="1077"/>
      <c r="C28" s="1077"/>
      <c r="D28" s="1077"/>
      <c r="E28" s="1077"/>
      <c r="F28" s="1077"/>
      <c r="G28" s="1077"/>
      <c r="H28" s="1077"/>
      <c r="I28" s="1116" t="s">
        <v>1184</v>
      </c>
      <c r="J28" s="1118">
        <f>SUM(G27:J27)</f>
        <v>13316412.602287307</v>
      </c>
      <c r="K28" s="1119"/>
      <c r="L28" s="1077"/>
    </row>
    <row r="29" spans="1:12">
      <c r="A29" s="1077"/>
      <c r="B29" s="1077"/>
      <c r="C29" s="1077"/>
      <c r="D29" s="1077"/>
      <c r="E29" s="1077"/>
      <c r="F29" s="1077"/>
      <c r="G29" s="1077"/>
      <c r="H29" s="1077"/>
      <c r="I29" s="1077"/>
      <c r="J29" s="1077"/>
      <c r="K29" s="1077"/>
      <c r="L29" s="1077"/>
    </row>
    <row r="30" spans="1:12" ht="15.5">
      <c r="A30" s="1077" t="s">
        <v>1185</v>
      </c>
      <c r="B30" s="1077"/>
      <c r="C30" s="1077"/>
      <c r="D30" s="1077"/>
      <c r="E30" s="1077"/>
      <c r="F30" s="1077"/>
      <c r="G30" s="1077"/>
      <c r="H30" s="1077"/>
      <c r="I30" s="1077"/>
      <c r="J30" s="1077"/>
      <c r="K30" s="1077"/>
      <c r="L30" s="1077"/>
    </row>
    <row r="31" spans="1:12" ht="15.5">
      <c r="A31" s="1077" t="s">
        <v>1186</v>
      </c>
      <c r="B31" s="1077"/>
      <c r="C31" s="1077"/>
      <c r="D31" s="1077"/>
      <c r="E31" s="1077"/>
      <c r="F31" s="1077"/>
      <c r="G31" s="1112"/>
      <c r="H31" s="1077"/>
      <c r="I31" s="1077"/>
      <c r="J31" s="1077"/>
      <c r="K31" s="1077"/>
      <c r="L31" s="1077"/>
    </row>
    <row r="32" spans="1:12">
      <c r="A32" s="1077"/>
      <c r="B32" s="1077"/>
      <c r="C32" s="1077"/>
      <c r="D32" s="1077"/>
      <c r="E32" s="1077"/>
      <c r="F32" s="1077"/>
      <c r="G32" s="1112"/>
      <c r="H32" s="1077"/>
      <c r="I32" s="1077"/>
      <c r="J32" s="1077"/>
      <c r="K32" s="1077"/>
      <c r="L32" s="1077"/>
    </row>
    <row r="33" spans="7:7">
      <c r="G33" s="1150"/>
    </row>
    <row r="34" spans="7:7">
      <c r="G34" s="1150"/>
    </row>
    <row r="35" spans="7:7">
      <c r="G35" s="1150"/>
    </row>
    <row r="36" spans="7:7">
      <c r="G36" s="1150"/>
    </row>
    <row r="37" spans="7:7">
      <c r="G37" s="1150"/>
    </row>
    <row r="38" spans="7:7">
      <c r="G38" s="1150"/>
    </row>
    <row r="39" spans="7:7">
      <c r="G39" s="1150"/>
    </row>
    <row r="40" spans="7:7">
      <c r="G40" s="1150"/>
    </row>
    <row r="41" spans="7:7">
      <c r="G41" s="1150"/>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60"/>
  <sheetViews>
    <sheetView topLeftCell="A24" zoomScaleNormal="100" workbookViewId="0">
      <selection activeCell="J140" sqref="J140:L140"/>
    </sheetView>
  </sheetViews>
  <sheetFormatPr defaultColWidth="9.1796875" defaultRowHeight="14"/>
  <cols>
    <col min="1" max="1" width="25.1796875" style="1075" customWidth="1"/>
    <col min="2" max="2" width="61" style="1075" customWidth="1"/>
    <col min="3" max="3" width="18" style="1075" bestFit="1" customWidth="1"/>
    <col min="4" max="16384" width="9.1796875" style="1075"/>
  </cols>
  <sheetData>
    <row r="1" spans="1:4">
      <c r="A1" s="1907" t="s">
        <v>1551</v>
      </c>
      <c r="B1" s="1907"/>
      <c r="C1" s="1907"/>
    </row>
    <row r="2" spans="1:4">
      <c r="A2" s="1908" t="s">
        <v>1141</v>
      </c>
      <c r="B2" s="1908"/>
      <c r="C2" s="1908"/>
    </row>
    <row r="3" spans="1:4">
      <c r="A3" s="1078"/>
      <c r="B3" s="1078"/>
      <c r="C3" s="1078"/>
    </row>
    <row r="4" spans="1:4">
      <c r="A4" s="1078"/>
      <c r="B4" s="1078"/>
      <c r="C4" s="1078"/>
    </row>
    <row r="5" spans="1:4">
      <c r="A5" s="1079" t="s">
        <v>174</v>
      </c>
      <c r="B5" s="1079" t="s">
        <v>175</v>
      </c>
      <c r="C5" s="1080" t="s">
        <v>1142</v>
      </c>
      <c r="D5" s="1081"/>
    </row>
    <row r="6" spans="1:4">
      <c r="A6" s="1078"/>
      <c r="B6" s="1082"/>
      <c r="C6" s="1083"/>
      <c r="D6" s="1081"/>
    </row>
    <row r="7" spans="1:4">
      <c r="A7" s="1078"/>
      <c r="B7" s="1082"/>
      <c r="C7" s="1083" t="s">
        <v>1143</v>
      </c>
      <c r="D7" s="1081"/>
    </row>
    <row r="8" spans="1:4">
      <c r="A8" s="1079" t="s">
        <v>1144</v>
      </c>
      <c r="B8" s="1079" t="s">
        <v>1145</v>
      </c>
      <c r="C8" s="1083" t="s">
        <v>1146</v>
      </c>
      <c r="D8" s="1081"/>
    </row>
    <row r="9" spans="1:4">
      <c r="A9" s="1079"/>
      <c r="B9" s="1084"/>
      <c r="C9" s="1085"/>
      <c r="D9" s="1081"/>
    </row>
    <row r="10" spans="1:4">
      <c r="A10" s="1079"/>
      <c r="B10" s="1084"/>
      <c r="C10" s="1085"/>
      <c r="D10" s="1081"/>
    </row>
    <row r="11" spans="1:4">
      <c r="A11" s="1086"/>
      <c r="B11" s="1078"/>
      <c r="C11" s="1087"/>
      <c r="D11" s="1081"/>
    </row>
    <row r="12" spans="1:4">
      <c r="A12" s="1086"/>
      <c r="B12" s="1088" t="s">
        <v>1147</v>
      </c>
      <c r="C12" s="1089"/>
      <c r="D12" s="1081"/>
    </row>
    <row r="13" spans="1:4">
      <c r="A13" s="1086"/>
      <c r="B13" s="1088"/>
      <c r="C13" s="1089"/>
      <c r="D13" s="1081"/>
    </row>
    <row r="14" spans="1:4">
      <c r="A14" s="1090">
        <v>350</v>
      </c>
      <c r="B14" s="1090" t="s">
        <v>1148</v>
      </c>
      <c r="C14" s="1703" t="s">
        <v>1553</v>
      </c>
      <c r="D14" s="1081"/>
    </row>
    <row r="15" spans="1:4">
      <c r="A15" s="1090">
        <v>352</v>
      </c>
      <c r="B15" s="1090" t="s">
        <v>1149</v>
      </c>
      <c r="C15" s="1702">
        <v>2.2200000000000001E-2</v>
      </c>
      <c r="D15" s="1081"/>
    </row>
    <row r="16" spans="1:4">
      <c r="A16" s="1090">
        <v>353</v>
      </c>
      <c r="B16" s="1090" t="s">
        <v>1150</v>
      </c>
      <c r="C16" s="1702">
        <v>2.5000000000000001E-2</v>
      </c>
      <c r="D16" s="1081"/>
    </row>
    <row r="17" spans="1:4">
      <c r="A17" s="1090">
        <v>354</v>
      </c>
      <c r="B17" s="1090" t="s">
        <v>1151</v>
      </c>
      <c r="C17" s="1702">
        <v>1.8200000000000001E-2</v>
      </c>
      <c r="D17" s="1081"/>
    </row>
    <row r="18" spans="1:4">
      <c r="A18" s="1090">
        <v>355</v>
      </c>
      <c r="B18" s="1090" t="s">
        <v>1152</v>
      </c>
      <c r="C18" s="1702">
        <v>3.0300000000000001E-2</v>
      </c>
      <c r="D18" s="1081"/>
    </row>
    <row r="19" spans="1:4">
      <c r="A19" s="1090">
        <v>356</v>
      </c>
      <c r="B19" s="1090" t="s">
        <v>1153</v>
      </c>
      <c r="C19" s="1702">
        <v>2.2700000000000001E-2</v>
      </c>
      <c r="D19" s="1081"/>
    </row>
    <row r="20" spans="1:4">
      <c r="A20" s="1090">
        <v>357</v>
      </c>
      <c r="B20" s="1090" t="s">
        <v>1154</v>
      </c>
      <c r="C20" s="1702">
        <v>0.02</v>
      </c>
      <c r="D20" s="1081"/>
    </row>
    <row r="21" spans="1:4">
      <c r="A21" s="1090">
        <v>358</v>
      </c>
      <c r="B21" s="1090" t="s">
        <v>1155</v>
      </c>
      <c r="C21" s="1702">
        <v>2.5600000000000001E-2</v>
      </c>
      <c r="D21" s="1081"/>
    </row>
    <row r="22" spans="1:4">
      <c r="A22" s="1090">
        <v>359</v>
      </c>
      <c r="B22" s="1090" t="s">
        <v>1156</v>
      </c>
      <c r="C22" s="1702" t="s">
        <v>1553</v>
      </c>
      <c r="D22" s="1081"/>
    </row>
    <row r="23" spans="1:4">
      <c r="A23" s="1090"/>
      <c r="B23" s="1090"/>
      <c r="C23" s="1083"/>
      <c r="D23" s="1081"/>
    </row>
    <row r="24" spans="1:4">
      <c r="A24" s="1086"/>
      <c r="B24" s="1088" t="s">
        <v>1157</v>
      </c>
      <c r="C24" s="1089"/>
      <c r="D24" s="1081"/>
    </row>
    <row r="25" spans="1:4">
      <c r="A25" s="1090">
        <v>390</v>
      </c>
      <c r="B25" s="1090" t="s">
        <v>1149</v>
      </c>
      <c r="C25" s="1702">
        <v>1.29E-2</v>
      </c>
      <c r="D25" s="1081"/>
    </row>
    <row r="26" spans="1:4">
      <c r="A26" s="1090">
        <v>390.1</v>
      </c>
      <c r="B26" s="1090" t="s">
        <v>1149</v>
      </c>
      <c r="C26" s="1702">
        <v>2.4E-2</v>
      </c>
      <c r="D26" s="1081"/>
    </row>
    <row r="27" spans="1:4">
      <c r="A27" s="1090">
        <v>390.2</v>
      </c>
      <c r="B27" s="1090" t="s">
        <v>1149</v>
      </c>
      <c r="C27" s="1702">
        <v>3.5900000000000001E-2</v>
      </c>
      <c r="D27" s="1081"/>
    </row>
    <row r="28" spans="1:4">
      <c r="A28" s="1090">
        <v>390.3</v>
      </c>
      <c r="B28" s="1090" t="s">
        <v>1149</v>
      </c>
      <c r="C28" s="1702">
        <v>2.6100000000000002E-2</v>
      </c>
      <c r="D28" s="1081"/>
    </row>
    <row r="29" spans="1:4">
      <c r="A29" s="1090">
        <v>391</v>
      </c>
      <c r="B29" s="1090" t="s">
        <v>1158</v>
      </c>
      <c r="C29" s="1702">
        <v>0.2</v>
      </c>
      <c r="D29" s="1081"/>
    </row>
    <row r="30" spans="1:4">
      <c r="A30" s="1090">
        <v>391.1</v>
      </c>
      <c r="B30" s="1090" t="s">
        <v>1158</v>
      </c>
      <c r="C30" s="1702">
        <v>7.3000000000000001E-3</v>
      </c>
      <c r="D30" s="1081"/>
    </row>
    <row r="31" spans="1:4">
      <c r="A31" s="1090">
        <v>392</v>
      </c>
      <c r="B31" s="1090" t="s">
        <v>1552</v>
      </c>
      <c r="C31" s="1702">
        <v>9.0800000000000006E-2</v>
      </c>
      <c r="D31" s="1081"/>
    </row>
    <row r="32" spans="1:4">
      <c r="A32" s="1090">
        <v>392.1</v>
      </c>
      <c r="B32" s="1090" t="s">
        <v>1552</v>
      </c>
      <c r="C32" s="1702">
        <v>9.0800000000000006E-2</v>
      </c>
      <c r="D32" s="1081"/>
    </row>
    <row r="33" spans="1:9">
      <c r="A33" s="1090">
        <v>393</v>
      </c>
      <c r="B33" s="1090" t="s">
        <v>1159</v>
      </c>
      <c r="C33" s="1702">
        <v>0.04</v>
      </c>
      <c r="D33" s="1081"/>
    </row>
    <row r="34" spans="1:9">
      <c r="A34" s="1090">
        <v>394</v>
      </c>
      <c r="B34" s="1090" t="s">
        <v>1160</v>
      </c>
      <c r="C34" s="1702">
        <v>0.04</v>
      </c>
      <c r="D34" s="1081"/>
    </row>
    <row r="35" spans="1:9">
      <c r="A35" s="1090">
        <v>394.1</v>
      </c>
      <c r="B35" s="1090" t="s">
        <v>1160</v>
      </c>
      <c r="C35" s="1702">
        <v>0.04</v>
      </c>
      <c r="D35" s="1081"/>
    </row>
    <row r="36" spans="1:9">
      <c r="A36" s="1090">
        <v>395</v>
      </c>
      <c r="B36" s="1090" t="s">
        <v>1161</v>
      </c>
      <c r="C36" s="1702"/>
      <c r="D36" s="1081"/>
    </row>
    <row r="37" spans="1:9">
      <c r="A37" s="1090">
        <v>396</v>
      </c>
      <c r="B37" s="1090" t="s">
        <v>1162</v>
      </c>
      <c r="C37" s="1702" t="s">
        <v>1553</v>
      </c>
      <c r="D37" s="1081"/>
    </row>
    <row r="38" spans="1:9">
      <c r="A38" s="1090">
        <v>397.1</v>
      </c>
      <c r="B38" s="1090" t="s">
        <v>1163</v>
      </c>
      <c r="C38" s="1702">
        <v>6.6699999999999995E-2</v>
      </c>
      <c r="D38" s="1081"/>
    </row>
    <row r="39" spans="1:9">
      <c r="A39" s="1090">
        <v>397.2</v>
      </c>
      <c r="B39" s="1090" t="s">
        <v>1163</v>
      </c>
      <c r="C39" s="1702">
        <v>3.8699999999999998E-2</v>
      </c>
      <c r="D39" s="1081"/>
    </row>
    <row r="40" spans="1:9">
      <c r="A40" s="1090">
        <v>398.1</v>
      </c>
      <c r="B40" s="1078" t="s">
        <v>1164</v>
      </c>
      <c r="C40" s="1702">
        <v>4.87E-2</v>
      </c>
      <c r="D40" s="1081"/>
    </row>
    <row r="41" spans="1:9" ht="16.5" customHeight="1">
      <c r="A41" s="1090"/>
      <c r="B41" s="1078"/>
      <c r="C41" s="1078"/>
      <c r="D41" s="1081"/>
    </row>
    <row r="42" spans="1:9">
      <c r="A42" s="1090"/>
      <c r="B42" s="1078"/>
      <c r="C42" s="1078"/>
      <c r="D42" s="1081"/>
    </row>
    <row r="43" spans="1:9">
      <c r="A43" s="1090"/>
      <c r="B43" s="1088" t="s">
        <v>1165</v>
      </c>
      <c r="C43" s="1089"/>
      <c r="D43" s="1081"/>
    </row>
    <row r="44" spans="1:9">
      <c r="A44" s="1090">
        <v>302</v>
      </c>
      <c r="B44" s="1090" t="s">
        <v>1166</v>
      </c>
      <c r="C44" s="1157"/>
      <c r="D44" s="1081"/>
    </row>
    <row r="45" spans="1:9">
      <c r="A45" s="1090">
        <v>303</v>
      </c>
      <c r="B45" s="1090" t="s">
        <v>1167</v>
      </c>
      <c r="C45" s="1157"/>
      <c r="D45" s="1081"/>
    </row>
    <row r="46" spans="1:9">
      <c r="A46" s="1154">
        <v>303.10000000000002</v>
      </c>
      <c r="B46" s="1154" t="s">
        <v>1193</v>
      </c>
      <c r="C46" s="1701">
        <f>1/2</f>
        <v>0.5</v>
      </c>
      <c r="D46" s="1081"/>
    </row>
    <row r="47" spans="1:9">
      <c r="A47" s="1154">
        <v>303.2</v>
      </c>
      <c r="B47" s="1154" t="s">
        <v>1168</v>
      </c>
      <c r="C47" s="1701">
        <v>0.33333333333333331</v>
      </c>
      <c r="D47" s="1081"/>
    </row>
    <row r="48" spans="1:9" ht="16.5" customHeight="1">
      <c r="A48" s="1154">
        <v>303.3</v>
      </c>
      <c r="B48" s="1154" t="s">
        <v>1169</v>
      </c>
      <c r="C48" s="1701">
        <v>0.25</v>
      </c>
      <c r="D48" s="1091"/>
      <c r="E48" s="1091"/>
      <c r="F48" s="1091"/>
      <c r="G48" s="1091"/>
      <c r="H48" s="1091"/>
      <c r="I48" s="1091"/>
    </row>
    <row r="49" spans="1:9">
      <c r="A49" s="1154">
        <v>303.39999999999998</v>
      </c>
      <c r="B49" s="1154" t="s">
        <v>1170</v>
      </c>
      <c r="C49" s="1701">
        <v>0.2</v>
      </c>
    </row>
    <row r="50" spans="1:9">
      <c r="A50" s="1154">
        <v>303.5</v>
      </c>
      <c r="B50" s="1154" t="s">
        <v>1171</v>
      </c>
      <c r="C50" s="1701">
        <v>0.14285714285714285</v>
      </c>
    </row>
    <row r="51" spans="1:9">
      <c r="A51" s="1154">
        <v>303.60000000000002</v>
      </c>
      <c r="B51" s="1154" t="s">
        <v>1172</v>
      </c>
      <c r="C51" s="1701">
        <v>0.1</v>
      </c>
      <c r="D51" s="1081"/>
    </row>
    <row r="52" spans="1:9">
      <c r="A52" s="1154">
        <v>303.7</v>
      </c>
      <c r="B52" s="1154" t="s">
        <v>1173</v>
      </c>
      <c r="C52" s="1701">
        <v>8.3333333333333329E-2</v>
      </c>
      <c r="D52" s="1081"/>
    </row>
    <row r="53" spans="1:9" ht="16.5" customHeight="1">
      <c r="A53" s="1154">
        <v>303.8</v>
      </c>
      <c r="B53" s="1154" t="s">
        <v>1174</v>
      </c>
      <c r="C53" s="1701">
        <v>6.6666666666666666E-2</v>
      </c>
      <c r="D53" s="1091"/>
      <c r="E53" s="1091"/>
      <c r="F53" s="1091"/>
      <c r="G53" s="1091"/>
      <c r="H53" s="1091"/>
      <c r="I53" s="1091"/>
    </row>
    <row r="54" spans="1:9">
      <c r="A54" s="1152"/>
      <c r="B54" s="1153"/>
    </row>
    <row r="55" spans="1:9">
      <c r="A55" s="1152"/>
      <c r="B55" s="1152"/>
    </row>
    <row r="56" spans="1:9">
      <c r="A56" s="1152"/>
      <c r="B56" s="1152"/>
    </row>
    <row r="57" spans="1:9">
      <c r="A57" s="1152"/>
      <c r="B57" s="1152"/>
    </row>
    <row r="58" spans="1:9">
      <c r="A58" s="1116" t="s">
        <v>1194</v>
      </c>
      <c r="B58" s="1156" t="s">
        <v>1195</v>
      </c>
      <c r="C58" s="1157"/>
    </row>
    <row r="59" spans="1:9">
      <c r="A59" s="1152"/>
      <c r="B59" s="1152"/>
    </row>
    <row r="60" spans="1:9">
      <c r="A60" s="1152"/>
      <c r="B60" s="1152"/>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6"/>
  <sheetViews>
    <sheetView topLeftCell="D58" zoomScale="80" zoomScaleNormal="80" zoomScaleSheetLayoutView="55" workbookViewId="0">
      <selection activeCell="M58" sqref="M58"/>
    </sheetView>
  </sheetViews>
  <sheetFormatPr defaultColWidth="9.1796875" defaultRowHeight="12.5"/>
  <cols>
    <col min="1" max="1" width="5.7265625" style="1352" customWidth="1"/>
    <col min="2" max="2" width="11.453125" style="1354" customWidth="1"/>
    <col min="3" max="3" width="75.1796875" style="1352" customWidth="1"/>
    <col min="4" max="4" width="0.54296875" style="1352" customWidth="1"/>
    <col min="5" max="5" width="29.1796875" style="1352" customWidth="1"/>
    <col min="6" max="6" width="26.453125" style="1352" customWidth="1"/>
    <col min="7" max="7" width="18.81640625" style="1352" customWidth="1"/>
    <col min="8" max="8" width="27.81640625" style="1352" customWidth="1"/>
    <col min="9" max="9" width="28.81640625" style="1352" customWidth="1"/>
    <col min="10" max="10" width="85.7265625" style="1352" customWidth="1"/>
    <col min="11" max="11" width="5.7265625" style="1352" customWidth="1"/>
    <col min="12" max="16384" width="9.1796875" style="1352"/>
  </cols>
  <sheetData>
    <row r="1" spans="1:18" ht="15.5">
      <c r="A1" s="1745" t="s">
        <v>1551</v>
      </c>
      <c r="B1" s="1745"/>
      <c r="C1" s="1745"/>
      <c r="D1" s="1745"/>
      <c r="E1" s="1745"/>
      <c r="F1" s="1745"/>
      <c r="G1" s="1745"/>
      <c r="H1" s="1745"/>
      <c r="I1" s="1745"/>
      <c r="J1" s="1745"/>
      <c r="K1" s="1745"/>
    </row>
    <row r="2" spans="1:18" ht="15.5">
      <c r="A2" s="1746" t="s">
        <v>896</v>
      </c>
      <c r="B2" s="1746"/>
      <c r="C2" s="1746"/>
      <c r="D2" s="1746"/>
      <c r="E2" s="1746"/>
      <c r="F2" s="1746"/>
      <c r="G2" s="1746"/>
      <c r="H2" s="1746"/>
      <c r="I2" s="1746"/>
      <c r="J2" s="1746"/>
      <c r="K2" s="1746"/>
    </row>
    <row r="3" spans="1:18" ht="15.5">
      <c r="A3" s="1745" t="s">
        <v>1328</v>
      </c>
      <c r="B3" s="1745"/>
      <c r="C3" s="1745"/>
      <c r="D3" s="1745"/>
      <c r="E3" s="1745"/>
      <c r="F3" s="1745"/>
      <c r="G3" s="1745"/>
      <c r="H3" s="1745"/>
      <c r="I3" s="1745"/>
      <c r="J3" s="1745"/>
      <c r="K3" s="1745"/>
    </row>
    <row r="4" spans="1:18" ht="13">
      <c r="B4" s="1353"/>
    </row>
    <row r="5" spans="1:18" ht="13">
      <c r="I5" s="1355"/>
    </row>
    <row r="6" spans="1:18" ht="13">
      <c r="B6" s="1747" t="s">
        <v>1801</v>
      </c>
      <c r="C6" s="1747"/>
      <c r="D6" s="1747"/>
      <c r="E6" s="1747"/>
      <c r="F6" s="1747"/>
      <c r="G6" s="1747"/>
      <c r="H6" s="1747"/>
      <c r="I6" s="1747"/>
      <c r="J6" s="1747"/>
    </row>
    <row r="7" spans="1:18" ht="13">
      <c r="F7" s="1356" t="s">
        <v>1329</v>
      </c>
      <c r="G7" s="1357" t="s">
        <v>258</v>
      </c>
      <c r="H7" s="1357"/>
    </row>
    <row r="8" spans="1:18" ht="13">
      <c r="F8" s="1356" t="s">
        <v>1330</v>
      </c>
      <c r="G8" s="1357" t="s">
        <v>228</v>
      </c>
      <c r="H8" s="1357" t="s">
        <v>259</v>
      </c>
      <c r="I8" s="1357" t="s">
        <v>260</v>
      </c>
    </row>
    <row r="9" spans="1:18" ht="13">
      <c r="B9" s="1358" t="s">
        <v>573</v>
      </c>
      <c r="C9" s="1358" t="s">
        <v>926</v>
      </c>
      <c r="E9" s="1359" t="s">
        <v>44</v>
      </c>
      <c r="F9" s="1359" t="s">
        <v>1331</v>
      </c>
      <c r="G9" s="1360" t="s">
        <v>261</v>
      </c>
      <c r="H9" s="1360" t="s">
        <v>261</v>
      </c>
      <c r="I9" s="1360" t="s">
        <v>261</v>
      </c>
    </row>
    <row r="10" spans="1:18" ht="5.15" customHeight="1"/>
    <row r="11" spans="1:18">
      <c r="B11" s="1354">
        <v>1</v>
      </c>
      <c r="C11" s="1361" t="s">
        <v>263</v>
      </c>
      <c r="E11" s="1362">
        <f>F11+G11+H11+I11</f>
        <v>15125589.748492952</v>
      </c>
      <c r="F11" s="1362">
        <f>F77</f>
        <v>0</v>
      </c>
      <c r="G11" s="1362">
        <f>G77</f>
        <v>0</v>
      </c>
      <c r="H11" s="1362">
        <f>H77</f>
        <v>14229288.706518067</v>
      </c>
      <c r="I11" s="1362">
        <f>I77</f>
        <v>896301.04197488632</v>
      </c>
    </row>
    <row r="12" spans="1:18">
      <c r="B12" s="1354">
        <f>B11+1</f>
        <v>2</v>
      </c>
      <c r="C12" s="1361" t="s">
        <v>927</v>
      </c>
      <c r="E12" s="1362">
        <f>F12+G12+H12+I12</f>
        <v>0</v>
      </c>
      <c r="F12" s="1362">
        <v>0</v>
      </c>
      <c r="G12" s="1362">
        <v>0</v>
      </c>
      <c r="H12" s="1362">
        <v>0</v>
      </c>
      <c r="I12" s="1362">
        <v>0</v>
      </c>
      <c r="O12" s="1363"/>
      <c r="P12" s="1363"/>
      <c r="Q12" s="1363"/>
      <c r="R12" s="1363"/>
    </row>
    <row r="13" spans="1:18">
      <c r="B13" s="1354">
        <f>B12+1</f>
        <v>3</v>
      </c>
      <c r="C13" s="1361" t="s">
        <v>928</v>
      </c>
      <c r="E13" s="1362">
        <f>F13+G13+H13+I13</f>
        <v>-179760360.51164731</v>
      </c>
      <c r="F13" s="1362">
        <f>F147</f>
        <v>0</v>
      </c>
      <c r="G13" s="1362">
        <f>G147</f>
        <v>0</v>
      </c>
      <c r="H13" s="1362">
        <f>H147</f>
        <v>-179760360.51164731</v>
      </c>
      <c r="I13" s="1362">
        <f>I147</f>
        <v>0</v>
      </c>
      <c r="O13" s="1363"/>
      <c r="P13" s="1363"/>
      <c r="Q13" s="1363"/>
      <c r="R13" s="1363"/>
    </row>
    <row r="14" spans="1:18">
      <c r="B14" s="1354">
        <f>B13+1</f>
        <v>4</v>
      </c>
      <c r="C14" s="1361" t="s">
        <v>262</v>
      </c>
      <c r="E14" s="1362">
        <f>F14+G14+H14+I14</f>
        <v>-2010011.8649776131</v>
      </c>
      <c r="F14" s="1362">
        <f>F220</f>
        <v>0</v>
      </c>
      <c r="G14" s="1362">
        <f>G220</f>
        <v>-378604.44019500003</v>
      </c>
      <c r="H14" s="1362">
        <f>H220</f>
        <v>51642.777106791509</v>
      </c>
      <c r="I14" s="1362">
        <f>I220</f>
        <v>-1683050.2018894046</v>
      </c>
      <c r="O14" s="1363"/>
      <c r="P14" s="1363"/>
      <c r="Q14" s="1363"/>
      <c r="R14" s="1363"/>
    </row>
    <row r="15" spans="1:18">
      <c r="B15" s="1354">
        <f>B14+1</f>
        <v>5</v>
      </c>
      <c r="C15" s="1361" t="s">
        <v>276</v>
      </c>
      <c r="E15" s="1362">
        <f>F15+G15+H15+I15</f>
        <v>0</v>
      </c>
      <c r="F15" s="1362">
        <f>F293</f>
        <v>0</v>
      </c>
      <c r="G15" s="1362">
        <f>G293</f>
        <v>0</v>
      </c>
      <c r="H15" s="1362">
        <f>H293</f>
        <v>0</v>
      </c>
      <c r="I15" s="1362">
        <f>I293</f>
        <v>0</v>
      </c>
      <c r="O15" s="1363"/>
      <c r="P15" s="1363"/>
      <c r="Q15" s="1363"/>
      <c r="R15" s="1363"/>
    </row>
    <row r="16" spans="1:18" ht="5.15" customHeight="1">
      <c r="E16" s="1364"/>
      <c r="F16" s="1364"/>
      <c r="G16" s="1364"/>
      <c r="H16" s="1364"/>
      <c r="I16" s="1364"/>
    </row>
    <row r="17" spans="2:10" ht="13">
      <c r="B17" s="1354">
        <f>B16+6</f>
        <v>6</v>
      </c>
      <c r="C17" s="1365" t="s">
        <v>929</v>
      </c>
      <c r="E17" s="1362">
        <f>E11+E12+E13+E14+E15</f>
        <v>-166644782.62813199</v>
      </c>
      <c r="F17" s="1362">
        <f>F11+F12+F13+F14+F15</f>
        <v>0</v>
      </c>
      <c r="G17" s="1362">
        <f>G11+G12+G13+G14+G15</f>
        <v>-378604.44019500003</v>
      </c>
      <c r="H17" s="1362">
        <f>H11+H12+H13+H14+H15</f>
        <v>-165479429.02802247</v>
      </c>
      <c r="I17" s="1362">
        <f>I11+I12+I13+I14+I15</f>
        <v>-786749.15991451824</v>
      </c>
      <c r="J17" s="1366"/>
    </row>
    <row r="18" spans="2:10">
      <c r="C18" s="1354"/>
      <c r="F18" s="1363"/>
      <c r="G18" s="1363"/>
      <c r="H18" s="1363"/>
      <c r="I18" s="1367"/>
    </row>
    <row r="19" spans="2:10">
      <c r="C19" s="1354"/>
      <c r="F19" s="1363"/>
      <c r="G19" s="1363"/>
      <c r="H19" s="1363"/>
      <c r="I19" s="1367"/>
    </row>
    <row r="20" spans="2:10" ht="13">
      <c r="B20" s="1368" t="s">
        <v>573</v>
      </c>
      <c r="C20" s="1368" t="s">
        <v>1332</v>
      </c>
      <c r="D20" s="367"/>
      <c r="E20" s="1359" t="s">
        <v>44</v>
      </c>
      <c r="F20" s="367"/>
      <c r="G20" s="367"/>
      <c r="H20" s="367"/>
      <c r="I20" s="1369"/>
    </row>
    <row r="21" spans="2:10">
      <c r="B21" s="367"/>
      <c r="C21" s="367"/>
      <c r="D21" s="367"/>
      <c r="E21" s="367"/>
      <c r="F21" s="367"/>
      <c r="G21" s="367"/>
      <c r="H21" s="367"/>
      <c r="I21" s="1369"/>
    </row>
    <row r="22" spans="2:10">
      <c r="B22" s="1370">
        <f>B17+1</f>
        <v>7</v>
      </c>
      <c r="C22" s="1352" t="s">
        <v>1333</v>
      </c>
      <c r="E22" s="1371">
        <v>-1038322</v>
      </c>
      <c r="I22" s="1372"/>
    </row>
    <row r="23" spans="2:10">
      <c r="B23" s="1352"/>
    </row>
    <row r="24" spans="2:10" ht="12.75" customHeight="1">
      <c r="B24" s="1748" t="s">
        <v>1761</v>
      </c>
      <c r="C24" s="1748"/>
      <c r="D24" s="1748"/>
      <c r="E24" s="1748"/>
      <c r="F24" s="1748"/>
      <c r="G24" s="1748"/>
      <c r="H24" s="1748"/>
      <c r="I24" s="1748"/>
    </row>
    <row r="25" spans="2:10">
      <c r="B25" s="1748"/>
      <c r="C25" s="1748"/>
      <c r="D25" s="1748"/>
      <c r="E25" s="1748"/>
      <c r="F25" s="1748"/>
      <c r="G25" s="1748"/>
      <c r="H25" s="1748"/>
      <c r="I25" s="1748"/>
    </row>
    <row r="26" spans="2:10">
      <c r="B26" s="1748"/>
      <c r="C26" s="1748"/>
      <c r="D26" s="1748"/>
      <c r="E26" s="1748"/>
      <c r="F26" s="1748"/>
      <c r="G26" s="1748"/>
      <c r="H26" s="1748"/>
      <c r="I26" s="1748"/>
    </row>
    <row r="27" spans="2:10">
      <c r="B27" s="367"/>
      <c r="C27" s="367"/>
      <c r="D27" s="367"/>
      <c r="E27" s="367"/>
      <c r="F27" s="367"/>
      <c r="G27" s="367"/>
      <c r="H27" s="367"/>
      <c r="I27" s="1369"/>
    </row>
    <row r="29" spans="2:10" ht="15" customHeight="1">
      <c r="B29" s="1748" t="s">
        <v>1334</v>
      </c>
      <c r="C29" s="1748"/>
      <c r="D29" s="1748"/>
      <c r="E29" s="1748"/>
      <c r="F29" s="1748"/>
      <c r="G29" s="1748"/>
      <c r="H29" s="1748"/>
      <c r="I29" s="1748"/>
      <c r="J29" s="1691"/>
    </row>
    <row r="30" spans="2:10">
      <c r="B30" s="1748"/>
      <c r="C30" s="1748"/>
      <c r="D30" s="1748"/>
      <c r="E30" s="1748"/>
      <c r="F30" s="1748"/>
      <c r="G30" s="1748"/>
      <c r="H30" s="1748"/>
      <c r="I30" s="1748"/>
      <c r="J30" s="1691"/>
    </row>
    <row r="31" spans="2:10" ht="13">
      <c r="I31" s="1355"/>
    </row>
    <row r="32" spans="2:10" ht="13">
      <c r="B32" s="1356" t="s">
        <v>174</v>
      </c>
      <c r="C32" s="1356"/>
      <c r="D32" s="1356"/>
      <c r="E32" s="1356" t="s">
        <v>175</v>
      </c>
      <c r="F32" s="1356" t="s">
        <v>1142</v>
      </c>
      <c r="G32" s="1356" t="s">
        <v>1295</v>
      </c>
      <c r="H32" s="1356" t="s">
        <v>1296</v>
      </c>
      <c r="I32" s="1356" t="s">
        <v>1297</v>
      </c>
      <c r="J32" s="1356" t="s">
        <v>1298</v>
      </c>
    </row>
    <row r="33" spans="2:10" ht="13">
      <c r="B33" s="1365"/>
      <c r="C33" s="367"/>
      <c r="D33" s="367"/>
      <c r="E33" s="1356"/>
      <c r="F33" s="1356" t="s">
        <v>1329</v>
      </c>
      <c r="G33" s="1356" t="s">
        <v>258</v>
      </c>
      <c r="H33" s="1356"/>
      <c r="I33" s="1356"/>
      <c r="J33" s="1692"/>
    </row>
    <row r="34" spans="2:10" ht="13">
      <c r="B34" s="1373"/>
      <c r="C34" s="367"/>
      <c r="D34" s="367"/>
      <c r="E34" s="1356"/>
      <c r="F34" s="1356" t="s">
        <v>1330</v>
      </c>
      <c r="G34" s="1356" t="s">
        <v>228</v>
      </c>
      <c r="H34" s="1356" t="s">
        <v>259</v>
      </c>
      <c r="I34" s="1356" t="s">
        <v>260</v>
      </c>
      <c r="J34" s="1692"/>
    </row>
    <row r="35" spans="2:10" ht="13">
      <c r="B35" s="1365" t="s">
        <v>930</v>
      </c>
      <c r="C35" s="367"/>
      <c r="D35" s="367"/>
      <c r="E35" s="1356" t="s">
        <v>44</v>
      </c>
      <c r="F35" s="1359" t="s">
        <v>1331</v>
      </c>
      <c r="G35" s="1356" t="s">
        <v>261</v>
      </c>
      <c r="H35" s="1356" t="s">
        <v>261</v>
      </c>
      <c r="I35" s="1356" t="s">
        <v>261</v>
      </c>
      <c r="J35" s="1356" t="s">
        <v>265</v>
      </c>
    </row>
    <row r="36" spans="2:10" ht="25">
      <c r="B36" s="1643" t="s">
        <v>1511</v>
      </c>
      <c r="C36" s="1644"/>
      <c r="D36" s="1644"/>
      <c r="E36" s="1645">
        <f>SUM(F36:I36)</f>
        <v>910738.32713700004</v>
      </c>
      <c r="F36" s="1645">
        <v>0</v>
      </c>
      <c r="G36" s="1645">
        <v>0</v>
      </c>
      <c r="H36" s="1645">
        <v>0</v>
      </c>
      <c r="I36" s="1645">
        <v>910738.32713700004</v>
      </c>
      <c r="J36" s="1726" t="s">
        <v>1534</v>
      </c>
    </row>
    <row r="37" spans="2:10" ht="25">
      <c r="B37" s="1643" t="s">
        <v>1085</v>
      </c>
      <c r="C37" s="1644"/>
      <c r="D37" s="1646"/>
      <c r="E37" s="1645">
        <f t="shared" ref="E37:E63" si="0">SUM(F37:I37)</f>
        <v>2337728.2309890003</v>
      </c>
      <c r="F37" s="1645">
        <v>0</v>
      </c>
      <c r="G37" s="1645">
        <v>0</v>
      </c>
      <c r="H37" s="1645">
        <v>0</v>
      </c>
      <c r="I37" s="1645">
        <v>2337728.2309890003</v>
      </c>
      <c r="J37" s="1726" t="s">
        <v>1534</v>
      </c>
    </row>
    <row r="38" spans="2:10">
      <c r="B38" s="1643" t="s">
        <v>1512</v>
      </c>
      <c r="C38" s="1644"/>
      <c r="D38" s="1646"/>
      <c r="E38" s="1645">
        <f t="shared" si="0"/>
        <v>335676.990177</v>
      </c>
      <c r="F38" s="1645">
        <v>335676.990177</v>
      </c>
      <c r="G38" s="1645">
        <v>0</v>
      </c>
      <c r="H38" s="1645">
        <v>0</v>
      </c>
      <c r="I38" s="1645">
        <v>0</v>
      </c>
      <c r="J38" s="1726" t="s">
        <v>1535</v>
      </c>
    </row>
    <row r="39" spans="2:10">
      <c r="B39" s="1643" t="s">
        <v>1802</v>
      </c>
      <c r="C39" s="1644"/>
      <c r="D39" s="1646"/>
      <c r="E39" s="1645">
        <f t="shared" si="0"/>
        <v>17568.75</v>
      </c>
      <c r="F39" s="1645">
        <v>17568.75</v>
      </c>
      <c r="G39" s="1645">
        <v>0</v>
      </c>
      <c r="H39" s="1645">
        <v>0</v>
      </c>
      <c r="I39" s="1645">
        <v>0</v>
      </c>
      <c r="J39" s="1726"/>
    </row>
    <row r="40" spans="2:10" ht="37.5">
      <c r="B40" s="1643" t="s">
        <v>1513</v>
      </c>
      <c r="C40" s="1644"/>
      <c r="D40" s="1646"/>
      <c r="E40" s="1645">
        <f t="shared" si="0"/>
        <v>4854641.1074010003</v>
      </c>
      <c r="F40" s="1645">
        <v>0</v>
      </c>
      <c r="G40" s="1645">
        <v>0</v>
      </c>
      <c r="H40" s="1645">
        <v>0</v>
      </c>
      <c r="I40" s="1645">
        <v>4854641.1074010003</v>
      </c>
      <c r="J40" s="1726" t="s">
        <v>1536</v>
      </c>
    </row>
    <row r="41" spans="2:10">
      <c r="B41" s="1643" t="s">
        <v>1514</v>
      </c>
      <c r="C41" s="1644"/>
      <c r="D41" s="1646"/>
      <c r="E41" s="1645">
        <f t="shared" si="0"/>
        <v>2181574.8478589999</v>
      </c>
      <c r="F41" s="1645">
        <v>2181574.8478589999</v>
      </c>
      <c r="G41" s="1645">
        <v>0</v>
      </c>
      <c r="H41" s="1645">
        <v>0</v>
      </c>
      <c r="I41" s="1645">
        <v>0</v>
      </c>
      <c r="J41" s="1726" t="s">
        <v>1535</v>
      </c>
    </row>
    <row r="42" spans="2:10" ht="25">
      <c r="B42" s="1643" t="s">
        <v>1515</v>
      </c>
      <c r="C42" s="1644"/>
      <c r="D42" s="1646"/>
      <c r="E42" s="1645">
        <f t="shared" si="0"/>
        <v>172674.39191100001</v>
      </c>
      <c r="F42" s="1645">
        <v>0</v>
      </c>
      <c r="G42" s="1645">
        <v>0</v>
      </c>
      <c r="H42" s="1645">
        <v>0</v>
      </c>
      <c r="I42" s="1645">
        <v>172674.39191100001</v>
      </c>
      <c r="J42" s="1726" t="s">
        <v>1534</v>
      </c>
    </row>
    <row r="43" spans="2:10" ht="25">
      <c r="B43" s="1643" t="s">
        <v>1259</v>
      </c>
      <c r="C43" s="1644"/>
      <c r="D43" s="1646"/>
      <c r="E43" s="1645">
        <f t="shared" si="0"/>
        <v>2248.8168660000001</v>
      </c>
      <c r="F43" s="1645">
        <v>0</v>
      </c>
      <c r="G43" s="1645">
        <v>0</v>
      </c>
      <c r="H43" s="1645">
        <v>0</v>
      </c>
      <c r="I43" s="1645">
        <v>2248.8168660000001</v>
      </c>
      <c r="J43" s="1726" t="s">
        <v>1534</v>
      </c>
    </row>
    <row r="44" spans="2:10" ht="25">
      <c r="B44" s="1643" t="s">
        <v>1469</v>
      </c>
      <c r="C44" s="1644"/>
      <c r="D44" s="1646"/>
      <c r="E44" s="1645">
        <f t="shared" si="0"/>
        <v>2461.7079510000003</v>
      </c>
      <c r="F44" s="1645">
        <v>0</v>
      </c>
      <c r="G44" s="1645">
        <v>0</v>
      </c>
      <c r="H44" s="1645">
        <v>0</v>
      </c>
      <c r="I44" s="1645">
        <v>2461.7079510000003</v>
      </c>
      <c r="J44" s="1726" t="s">
        <v>1534</v>
      </c>
    </row>
    <row r="45" spans="2:10">
      <c r="B45" s="1643" t="s">
        <v>1087</v>
      </c>
      <c r="C45" s="1644"/>
      <c r="D45" s="1646"/>
      <c r="E45" s="1645">
        <f t="shared" si="0"/>
        <v>877645.03131300013</v>
      </c>
      <c r="F45" s="1645">
        <v>877645.03131300013</v>
      </c>
      <c r="G45" s="1645">
        <v>0</v>
      </c>
      <c r="H45" s="1645">
        <v>0</v>
      </c>
      <c r="I45" s="1645">
        <v>0</v>
      </c>
      <c r="J45" s="1726" t="s">
        <v>1535</v>
      </c>
    </row>
    <row r="46" spans="2:10" ht="25">
      <c r="B46" s="1643" t="s">
        <v>1516</v>
      </c>
      <c r="C46" s="1644"/>
      <c r="D46" s="1646"/>
      <c r="E46" s="1645">
        <f t="shared" si="0"/>
        <v>3027490.3905960005</v>
      </c>
      <c r="F46" s="1645">
        <v>0</v>
      </c>
      <c r="G46" s="1645">
        <v>0</v>
      </c>
      <c r="H46" s="1645">
        <v>0</v>
      </c>
      <c r="I46" s="1645">
        <v>3027490.3905960005</v>
      </c>
      <c r="J46" s="1726" t="s">
        <v>1534</v>
      </c>
    </row>
    <row r="47" spans="2:10">
      <c r="B47" s="1643" t="s">
        <v>267</v>
      </c>
      <c r="C47" s="1644"/>
      <c r="D47" s="1646"/>
      <c r="E47" s="1645">
        <f t="shared" si="0"/>
        <v>12178747.415457003</v>
      </c>
      <c r="F47" s="1645">
        <v>12178747.415457003</v>
      </c>
      <c r="G47" s="1645">
        <v>0</v>
      </c>
      <c r="H47" s="1645">
        <v>0</v>
      </c>
      <c r="I47" s="1645">
        <v>0</v>
      </c>
      <c r="J47" s="1726" t="s">
        <v>1535</v>
      </c>
    </row>
    <row r="48" spans="2:10">
      <c r="B48" s="1643" t="s">
        <v>1517</v>
      </c>
      <c r="C48" s="1644"/>
      <c r="D48" s="1646"/>
      <c r="E48" s="1645">
        <f t="shared" si="0"/>
        <v>1593987.8157720002</v>
      </c>
      <c r="F48" s="1645">
        <v>1593987.8157720002</v>
      </c>
      <c r="G48" s="1645">
        <v>0</v>
      </c>
      <c r="H48" s="1645">
        <v>0</v>
      </c>
      <c r="I48" s="1645">
        <v>0</v>
      </c>
      <c r="J48" s="1726" t="s">
        <v>1535</v>
      </c>
    </row>
    <row r="49" spans="2:10">
      <c r="B49" s="1643" t="s">
        <v>266</v>
      </c>
      <c r="C49" s="1644"/>
      <c r="D49" s="1646"/>
      <c r="E49" s="1645">
        <f t="shared" si="0"/>
        <v>20113.596087000002</v>
      </c>
      <c r="F49" s="1645">
        <v>20113.596087000002</v>
      </c>
      <c r="G49" s="1645">
        <v>0</v>
      </c>
      <c r="H49" s="1645">
        <v>0</v>
      </c>
      <c r="I49" s="1645">
        <v>0</v>
      </c>
      <c r="J49" s="1726" t="s">
        <v>1535</v>
      </c>
    </row>
    <row r="50" spans="2:10">
      <c r="B50" s="1643" t="s">
        <v>1803</v>
      </c>
      <c r="C50" s="1644"/>
      <c r="D50" s="1646"/>
      <c r="E50" s="1645">
        <f t="shared" si="0"/>
        <v>3289206.0606720001</v>
      </c>
      <c r="F50" s="1645">
        <v>3289206.0606720001</v>
      </c>
      <c r="G50" s="1645">
        <v>0</v>
      </c>
      <c r="H50" s="1645">
        <v>0</v>
      </c>
      <c r="I50" s="1645">
        <v>0</v>
      </c>
      <c r="J50" s="1726" t="s">
        <v>1535</v>
      </c>
    </row>
    <row r="51" spans="2:10">
      <c r="B51" s="1643" t="s">
        <v>1631</v>
      </c>
      <c r="C51" s="1644"/>
      <c r="D51" s="1646"/>
      <c r="E51" s="1645">
        <f t="shared" si="0"/>
        <v>443467.26630000002</v>
      </c>
      <c r="F51" s="1645">
        <v>0</v>
      </c>
      <c r="G51" s="1645">
        <v>0</v>
      </c>
      <c r="H51" s="1645">
        <v>443467.26630000002</v>
      </c>
      <c r="I51" s="1645">
        <v>0</v>
      </c>
      <c r="J51" s="1726" t="s">
        <v>1632</v>
      </c>
    </row>
    <row r="52" spans="2:10">
      <c r="B52" s="1643" t="s">
        <v>1519</v>
      </c>
      <c r="C52" s="1644"/>
      <c r="D52" s="1646"/>
      <c r="E52" s="1645">
        <f t="shared" si="0"/>
        <v>49150.053900000006</v>
      </c>
      <c r="F52" s="1645">
        <v>49150.053900000006</v>
      </c>
      <c r="G52" s="1645">
        <v>0</v>
      </c>
      <c r="H52" s="1645">
        <v>0</v>
      </c>
      <c r="I52" s="1645">
        <v>0</v>
      </c>
      <c r="J52" s="1726" t="s">
        <v>1535</v>
      </c>
    </row>
    <row r="53" spans="2:10">
      <c r="B53" s="1643" t="s">
        <v>1804</v>
      </c>
      <c r="C53" s="1644"/>
      <c r="D53" s="1646"/>
      <c r="E53" s="1645">
        <f t="shared" si="0"/>
        <v>-130869.579396</v>
      </c>
      <c r="F53" s="1645">
        <v>-130869.579396</v>
      </c>
      <c r="G53" s="1645">
        <v>0</v>
      </c>
      <c r="H53" s="1645">
        <v>0</v>
      </c>
      <c r="I53" s="1645">
        <v>0</v>
      </c>
      <c r="J53" s="1726" t="s">
        <v>1535</v>
      </c>
    </row>
    <row r="54" spans="2:10">
      <c r="B54" s="1643" t="s">
        <v>1520</v>
      </c>
      <c r="C54" s="1644"/>
      <c r="D54" s="1646"/>
      <c r="E54" s="1645">
        <f t="shared" si="0"/>
        <v>8082488.4548699996</v>
      </c>
      <c r="F54" s="1645">
        <v>8082488.4548699996</v>
      </c>
      <c r="G54" s="1645">
        <v>0</v>
      </c>
      <c r="H54" s="1645">
        <v>0</v>
      </c>
      <c r="I54" s="1645">
        <v>0</v>
      </c>
      <c r="J54" s="1726" t="s">
        <v>1535</v>
      </c>
    </row>
    <row r="55" spans="2:10">
      <c r="B55" s="1643" t="s">
        <v>1521</v>
      </c>
      <c r="C55" s="1644"/>
      <c r="D55" s="1646"/>
      <c r="E55" s="1645">
        <f t="shared" si="0"/>
        <v>305989.43729999999</v>
      </c>
      <c r="F55" s="1645">
        <v>305989.43729999999</v>
      </c>
      <c r="G55" s="1645">
        <v>0</v>
      </c>
      <c r="H55" s="1645">
        <v>0</v>
      </c>
      <c r="I55" s="1645">
        <v>0</v>
      </c>
      <c r="J55" s="1726" t="s">
        <v>1535</v>
      </c>
    </row>
    <row r="56" spans="2:10">
      <c r="B56" s="1643" t="s">
        <v>1805</v>
      </c>
      <c r="C56" s="1644"/>
      <c r="D56" s="1646"/>
      <c r="E56" s="1645">
        <f t="shared" si="0"/>
        <v>-210</v>
      </c>
      <c r="F56" s="1645">
        <v>-210</v>
      </c>
      <c r="G56" s="1645">
        <v>0</v>
      </c>
      <c r="H56" s="1645">
        <v>0</v>
      </c>
      <c r="I56" s="1645">
        <v>0</v>
      </c>
      <c r="J56" s="1726" t="s">
        <v>1805</v>
      </c>
    </row>
    <row r="57" spans="2:10">
      <c r="B57" s="1643" t="s">
        <v>1474</v>
      </c>
      <c r="C57" s="1644"/>
      <c r="D57" s="1646"/>
      <c r="E57" s="1645">
        <f t="shared" si="0"/>
        <v>173731.57020000002</v>
      </c>
      <c r="F57" s="1645">
        <v>173731.57020000002</v>
      </c>
      <c r="G57" s="1645">
        <v>0</v>
      </c>
      <c r="H57" s="1645">
        <v>0</v>
      </c>
      <c r="I57" s="1645">
        <v>0</v>
      </c>
      <c r="J57" s="1726" t="s">
        <v>1535</v>
      </c>
    </row>
    <row r="58" spans="2:10" ht="25">
      <c r="B58" s="1643" t="s">
        <v>1522</v>
      </c>
      <c r="C58" s="1644"/>
      <c r="D58" s="1646"/>
      <c r="E58" s="1645">
        <f t="shared" si="0"/>
        <v>37719223.958775453</v>
      </c>
      <c r="F58" s="1645">
        <v>0</v>
      </c>
      <c r="G58" s="1645">
        <v>0</v>
      </c>
      <c r="H58" s="1645">
        <v>37719223.958775453</v>
      </c>
      <c r="I58" s="1645">
        <v>0</v>
      </c>
      <c r="J58" s="1726" t="s">
        <v>1537</v>
      </c>
    </row>
    <row r="59" spans="2:10" ht="50">
      <c r="B59" s="1643" t="s">
        <v>1523</v>
      </c>
      <c r="C59" s="1644"/>
      <c r="D59" s="1646"/>
      <c r="E59" s="1645">
        <f t="shared" si="0"/>
        <v>761275.86330000008</v>
      </c>
      <c r="F59" s="1645">
        <v>0</v>
      </c>
      <c r="G59" s="1645">
        <v>0</v>
      </c>
      <c r="H59" s="1645">
        <v>761275.86330000008</v>
      </c>
      <c r="I59" s="1645">
        <v>0</v>
      </c>
      <c r="J59" s="1726" t="s">
        <v>1538</v>
      </c>
    </row>
    <row r="60" spans="2:10">
      <c r="B60" s="1643" t="s">
        <v>1524</v>
      </c>
      <c r="C60" s="1644"/>
      <c r="D60" s="1646"/>
      <c r="E60" s="1645">
        <f t="shared" si="0"/>
        <v>2327</v>
      </c>
      <c r="F60" s="1645">
        <v>2327</v>
      </c>
      <c r="G60" s="1645">
        <v>0</v>
      </c>
      <c r="H60" s="1645">
        <v>0</v>
      </c>
      <c r="I60" s="1645">
        <v>0</v>
      </c>
      <c r="J60" s="1726" t="s">
        <v>1535</v>
      </c>
    </row>
    <row r="61" spans="2:10" ht="37.5">
      <c r="B61" s="1643" t="s">
        <v>1525</v>
      </c>
      <c r="C61" s="1644"/>
      <c r="D61" s="1646"/>
      <c r="E61" s="1645">
        <f t="shared" si="0"/>
        <v>76260427.779447049</v>
      </c>
      <c r="F61" s="1645">
        <v>76260427.779447049</v>
      </c>
      <c r="G61" s="1645">
        <v>0</v>
      </c>
      <c r="H61" s="1645">
        <v>0</v>
      </c>
      <c r="I61" s="1645">
        <v>0</v>
      </c>
      <c r="J61" s="1727" t="s">
        <v>1539</v>
      </c>
    </row>
    <row r="62" spans="2:10">
      <c r="B62" s="1643" t="s">
        <v>1477</v>
      </c>
      <c r="C62" s="1644"/>
      <c r="D62" s="1646"/>
      <c r="E62" s="1645">
        <f t="shared" si="0"/>
        <v>0</v>
      </c>
      <c r="F62" s="1645">
        <v>0</v>
      </c>
      <c r="G62" s="1645">
        <v>0</v>
      </c>
      <c r="H62" s="1645">
        <v>0</v>
      </c>
      <c r="I62" s="1645">
        <v>0</v>
      </c>
      <c r="J62" s="1726" t="s">
        <v>1535</v>
      </c>
    </row>
    <row r="63" spans="2:10" ht="25">
      <c r="B63" s="1643" t="s">
        <v>1518</v>
      </c>
      <c r="C63" s="1644"/>
      <c r="D63" s="1646"/>
      <c r="E63" s="1645">
        <f t="shared" si="0"/>
        <v>0</v>
      </c>
      <c r="F63" s="1645">
        <v>0</v>
      </c>
      <c r="G63" s="1645">
        <v>0</v>
      </c>
      <c r="H63" s="1645">
        <v>0</v>
      </c>
      <c r="I63" s="1645">
        <v>0</v>
      </c>
      <c r="J63" s="1726" t="s">
        <v>1534</v>
      </c>
    </row>
    <row r="64" spans="2:10" ht="13">
      <c r="B64" s="1377" t="s">
        <v>931</v>
      </c>
      <c r="C64" s="1378"/>
      <c r="D64" s="1379"/>
      <c r="E64" s="1380">
        <f>SUM(E36:E63)</f>
        <v>155469505.28488451</v>
      </c>
      <c r="F64" s="1380">
        <f>SUM(F36:F63)</f>
        <v>105237555.22365806</v>
      </c>
      <c r="G64" s="1380">
        <f>SUM(G36:G63)</f>
        <v>0</v>
      </c>
      <c r="H64" s="1380">
        <f>SUM(H36:H63)</f>
        <v>38923967.088375457</v>
      </c>
      <c r="I64" s="1380">
        <f>SUM(I36:I63)</f>
        <v>11307982.972851001</v>
      </c>
      <c r="J64" s="1695"/>
    </row>
    <row r="65" spans="2:10" ht="13">
      <c r="B65" s="1381"/>
      <c r="C65" s="1379"/>
      <c r="D65" s="1379"/>
      <c r="E65" s="1380"/>
      <c r="F65" s="1380"/>
      <c r="G65" s="1380"/>
      <c r="H65" s="1380"/>
      <c r="I65" s="1380"/>
      <c r="J65" s="1695"/>
    </row>
    <row r="66" spans="2:10">
      <c r="B66" s="1382" t="s">
        <v>1335</v>
      </c>
      <c r="C66" s="1383"/>
      <c r="D66" s="1383"/>
      <c r="E66" s="1384">
        <f>SUM(F66:I66)</f>
        <v>0</v>
      </c>
      <c r="F66" s="1384"/>
      <c r="G66" s="1384"/>
      <c r="H66" s="1384"/>
      <c r="I66" s="1384"/>
      <c r="J66" s="1385"/>
    </row>
    <row r="67" spans="2:10">
      <c r="B67" s="1382" t="s">
        <v>1336</v>
      </c>
      <c r="C67" s="1383"/>
      <c r="D67" s="1383"/>
      <c r="E67" s="1384">
        <f>SUM(F67:I67)</f>
        <v>-761275.86330000008</v>
      </c>
      <c r="F67" s="1384">
        <v>0</v>
      </c>
      <c r="G67" s="1384">
        <v>0</v>
      </c>
      <c r="H67" s="1384">
        <v>-761275.86330000008</v>
      </c>
      <c r="I67" s="1384">
        <v>0</v>
      </c>
      <c r="J67" s="1385"/>
    </row>
    <row r="68" spans="2:10">
      <c r="B68" s="1382" t="s">
        <v>1337</v>
      </c>
      <c r="C68" s="1383"/>
      <c r="D68" s="1383"/>
      <c r="E68" s="1384">
        <f>SUM(F68:I68)</f>
        <v>-76260427.779447049</v>
      </c>
      <c r="F68" s="1384">
        <v>-76260427.779447049</v>
      </c>
      <c r="G68" s="1384">
        <v>0</v>
      </c>
      <c r="H68" s="1384">
        <v>0</v>
      </c>
      <c r="I68" s="1384">
        <v>0</v>
      </c>
      <c r="J68" s="1385"/>
    </row>
    <row r="69" spans="2:10">
      <c r="B69" s="1382" t="s">
        <v>1007</v>
      </c>
      <c r="C69" s="1383"/>
      <c r="D69" s="1383"/>
      <c r="E69" s="1384">
        <f>SUM(F69:I69)</f>
        <v>-4854641.1074010003</v>
      </c>
      <c r="F69" s="1384">
        <v>0</v>
      </c>
      <c r="G69" s="1384">
        <v>0</v>
      </c>
      <c r="H69" s="1384">
        <v>0</v>
      </c>
      <c r="I69" s="1384">
        <v>-4854641.1074010003</v>
      </c>
      <c r="J69" s="1385"/>
    </row>
    <row r="70" spans="2:10" ht="5.15" customHeight="1">
      <c r="B70" s="1377"/>
      <c r="C70" s="1378"/>
      <c r="D70" s="1379"/>
      <c r="E70" s="1380"/>
      <c r="F70" s="1380"/>
      <c r="G70" s="1380"/>
      <c r="H70" s="1380"/>
      <c r="I70" s="1380"/>
      <c r="J70" s="1695"/>
    </row>
    <row r="71" spans="2:10" ht="13">
      <c r="B71" s="1381" t="s">
        <v>932</v>
      </c>
      <c r="C71" s="1379"/>
      <c r="D71" s="1379"/>
      <c r="E71" s="1380">
        <f>SUM(E66:E70)+E64</f>
        <v>73593160.534736469</v>
      </c>
      <c r="F71" s="1380">
        <f>SUM(F66:F70)+F64</f>
        <v>28977127.444211006</v>
      </c>
      <c r="G71" s="1380">
        <f>SUM(G66:G70)+G64</f>
        <v>0</v>
      </c>
      <c r="H71" s="1380">
        <f>SUM(H66:H70)+H64</f>
        <v>38162691.225075454</v>
      </c>
      <c r="I71" s="1380">
        <f>SUM(I66:I70)+I64</f>
        <v>6453341.8654500004</v>
      </c>
      <c r="J71" s="1695"/>
    </row>
    <row r="72" spans="2:10" ht="13">
      <c r="B72" s="1381"/>
      <c r="C72" s="1379"/>
      <c r="D72" s="1379"/>
      <c r="E72" s="1380"/>
      <c r="F72" s="1380"/>
      <c r="G72" s="1380"/>
      <c r="H72" s="1380"/>
      <c r="I72" s="1380"/>
      <c r="J72" s="1695"/>
    </row>
    <row r="73" spans="2:10" ht="13">
      <c r="B73" s="1386" t="s">
        <v>264</v>
      </c>
      <c r="C73" s="1387"/>
      <c r="D73" s="1388"/>
      <c r="E73" s="1389"/>
      <c r="F73" s="1389"/>
      <c r="G73" s="1389"/>
      <c r="H73" s="1389"/>
      <c r="I73" s="1390">
        <f>'ATT H-1A'!$H$16</f>
        <v>0.13888944064369446</v>
      </c>
      <c r="J73" s="1391"/>
    </row>
    <row r="74" spans="2:10" ht="13">
      <c r="B74" s="1386" t="s">
        <v>237</v>
      </c>
      <c r="C74" s="1387"/>
      <c r="D74" s="1388"/>
      <c r="E74" s="1389"/>
      <c r="F74" s="1389"/>
      <c r="G74" s="1389"/>
      <c r="H74" s="1390">
        <f>'ATT H-1A'!$H$37</f>
        <v>0.37285862840743444</v>
      </c>
      <c r="I74" s="1389"/>
      <c r="J74" s="1391"/>
    </row>
    <row r="75" spans="2:10" ht="13">
      <c r="B75" s="1386" t="s">
        <v>933</v>
      </c>
      <c r="C75" s="1387"/>
      <c r="D75" s="1388"/>
      <c r="E75" s="1389"/>
      <c r="F75" s="1389"/>
      <c r="G75" s="1390">
        <v>1</v>
      </c>
      <c r="H75" s="1389"/>
      <c r="I75" s="1389"/>
      <c r="J75" s="1391"/>
    </row>
    <row r="76" spans="2:10" ht="13">
      <c r="B76" s="1386" t="s">
        <v>934</v>
      </c>
      <c r="C76" s="1387"/>
      <c r="D76" s="1388"/>
      <c r="E76" s="1389"/>
      <c r="F76" s="1390">
        <v>0</v>
      </c>
      <c r="G76" s="1389"/>
      <c r="H76" s="1389"/>
      <c r="I76" s="1389"/>
      <c r="J76" s="1391"/>
    </row>
    <row r="77" spans="2:10" ht="13">
      <c r="B77" s="1392" t="s">
        <v>935</v>
      </c>
      <c r="C77" s="1387"/>
      <c r="D77" s="1388"/>
      <c r="E77" s="1389">
        <f>F77+G77+H77+I77</f>
        <v>15125589.748492952</v>
      </c>
      <c r="F77" s="1389">
        <f>F76*F71</f>
        <v>0</v>
      </c>
      <c r="G77" s="1389">
        <f>G71*G75</f>
        <v>0</v>
      </c>
      <c r="H77" s="1389">
        <f>H71*H74</f>
        <v>14229288.706518067</v>
      </c>
      <c r="I77" s="1389">
        <f>I73*I71</f>
        <v>896301.04197488632</v>
      </c>
      <c r="J77" s="1391"/>
    </row>
    <row r="78" spans="2:10" ht="13">
      <c r="B78" s="1393"/>
      <c r="E78" s="1363"/>
      <c r="F78" s="1363"/>
      <c r="G78" s="1363"/>
      <c r="H78" s="1363"/>
      <c r="I78" s="1363"/>
      <c r="J78" s="1394"/>
    </row>
    <row r="79" spans="2:10" ht="13">
      <c r="B79" s="1365"/>
      <c r="E79" s="1363"/>
      <c r="F79" s="1363"/>
      <c r="G79" s="1363"/>
      <c r="H79" s="1363"/>
      <c r="I79" s="1363"/>
      <c r="J79" s="1394"/>
    </row>
    <row r="80" spans="2:10" ht="13">
      <c r="B80" s="1356" t="s">
        <v>174</v>
      </c>
      <c r="C80" s="1356"/>
      <c r="D80" s="1356"/>
      <c r="E80" s="1356" t="s">
        <v>175</v>
      </c>
      <c r="F80" s="1356" t="s">
        <v>1142</v>
      </c>
      <c r="G80" s="1356" t="s">
        <v>1295</v>
      </c>
      <c r="H80" s="1356" t="s">
        <v>1296</v>
      </c>
      <c r="I80" s="1356" t="s">
        <v>1297</v>
      </c>
      <c r="J80" s="1356" t="s">
        <v>1298</v>
      </c>
    </row>
    <row r="81" spans="2:10" ht="13">
      <c r="B81" s="1365"/>
      <c r="C81" s="367"/>
      <c r="D81" s="367"/>
      <c r="E81" s="1356"/>
      <c r="F81" s="1356" t="s">
        <v>1329</v>
      </c>
      <c r="G81" s="1356" t="s">
        <v>258</v>
      </c>
      <c r="H81" s="1356"/>
      <c r="I81" s="1356"/>
      <c r="J81" s="1692"/>
    </row>
    <row r="82" spans="2:10" ht="13">
      <c r="B82" s="1373"/>
      <c r="C82" s="367"/>
      <c r="D82" s="367"/>
      <c r="E82" s="1356"/>
      <c r="F82" s="1356" t="s">
        <v>1330</v>
      </c>
      <c r="G82" s="1356" t="s">
        <v>228</v>
      </c>
      <c r="H82" s="1356" t="s">
        <v>259</v>
      </c>
      <c r="I82" s="1356" t="s">
        <v>260</v>
      </c>
      <c r="J82" s="1692"/>
    </row>
    <row r="83" spans="2:10" ht="13">
      <c r="B83" s="1365" t="s">
        <v>936</v>
      </c>
      <c r="C83" s="367"/>
      <c r="D83" s="367"/>
      <c r="E83" s="1356" t="s">
        <v>44</v>
      </c>
      <c r="F83" s="1359" t="s">
        <v>1331</v>
      </c>
      <c r="G83" s="1356" t="s">
        <v>261</v>
      </c>
      <c r="H83" s="1356" t="s">
        <v>261</v>
      </c>
      <c r="I83" s="1356" t="s">
        <v>261</v>
      </c>
      <c r="J83" s="1356" t="s">
        <v>265</v>
      </c>
    </row>
    <row r="84" spans="2:10">
      <c r="B84" s="1374"/>
      <c r="C84" s="1395"/>
      <c r="D84" s="1396"/>
      <c r="E84" s="1375"/>
      <c r="F84" s="1375"/>
      <c r="G84" s="1375"/>
      <c r="H84" s="1375"/>
      <c r="I84" s="1375"/>
      <c r="J84" s="1376"/>
    </row>
    <row r="85" spans="2:10">
      <c r="B85" s="1374"/>
      <c r="C85" s="1395"/>
      <c r="D85" s="1397"/>
      <c r="E85" s="1375"/>
      <c r="F85" s="1375"/>
      <c r="G85" s="1375"/>
      <c r="H85" s="1375"/>
      <c r="I85" s="1375"/>
      <c r="J85" s="1376"/>
    </row>
    <row r="86" spans="2:10">
      <c r="B86" s="1374"/>
      <c r="C86" s="1395"/>
      <c r="D86" s="1397"/>
      <c r="E86" s="1375"/>
      <c r="F86" s="1375"/>
      <c r="G86" s="1375"/>
      <c r="H86" s="1375"/>
      <c r="I86" s="1375"/>
      <c r="J86" s="1376"/>
    </row>
    <row r="87" spans="2:10">
      <c r="B87" s="1374"/>
      <c r="C87" s="1395"/>
      <c r="D87" s="1397"/>
      <c r="E87" s="1375"/>
      <c r="F87" s="1375"/>
      <c r="G87" s="1375"/>
      <c r="H87" s="1375"/>
      <c r="I87" s="1375"/>
      <c r="J87" s="1376"/>
    </row>
    <row r="88" spans="2:10">
      <c r="B88" s="1374"/>
      <c r="C88" s="1395"/>
      <c r="D88" s="1397"/>
      <c r="E88" s="1375"/>
      <c r="F88" s="1375"/>
      <c r="G88" s="1375"/>
      <c r="H88" s="1375"/>
      <c r="I88" s="1375"/>
      <c r="J88" s="1376"/>
    </row>
    <row r="89" spans="2:10">
      <c r="B89" s="1374"/>
      <c r="C89" s="1395"/>
      <c r="D89" s="1397"/>
      <c r="E89" s="1375"/>
      <c r="F89" s="1375"/>
      <c r="G89" s="1375"/>
      <c r="H89" s="1375"/>
      <c r="I89" s="1375"/>
      <c r="J89" s="1376"/>
    </row>
    <row r="90" spans="2:10">
      <c r="B90" s="1374"/>
      <c r="C90" s="1395"/>
      <c r="D90" s="1396"/>
      <c r="E90" s="1398"/>
      <c r="F90" s="1398"/>
      <c r="G90" s="1398"/>
      <c r="H90" s="1398"/>
      <c r="I90" s="1398"/>
      <c r="J90" s="1696"/>
    </row>
    <row r="91" spans="2:10" ht="13">
      <c r="B91" s="1381" t="s">
        <v>937</v>
      </c>
      <c r="C91" s="1379"/>
      <c r="D91" s="1379"/>
      <c r="E91" s="1380">
        <f>SUM(E84:E90)</f>
        <v>0</v>
      </c>
      <c r="F91" s="1380">
        <f>SUM(F84:F90)</f>
        <v>0</v>
      </c>
      <c r="G91" s="1380">
        <f>SUM(G84:G90)</f>
        <v>0</v>
      </c>
      <c r="H91" s="1380">
        <f>SUM(H84:H90)</f>
        <v>0</v>
      </c>
      <c r="I91" s="1380">
        <f>SUM(I84:I90)</f>
        <v>0</v>
      </c>
      <c r="J91" s="1695"/>
    </row>
    <row r="92" spans="2:10" ht="13">
      <c r="B92" s="1381"/>
      <c r="C92" s="1379"/>
      <c r="D92" s="1379"/>
      <c r="E92" s="1380"/>
      <c r="F92" s="1380"/>
      <c r="G92" s="1380"/>
      <c r="H92" s="1380"/>
      <c r="I92" s="1380"/>
      <c r="J92" s="1695"/>
    </row>
    <row r="93" spans="2:10">
      <c r="B93" s="1399" t="s">
        <v>1335</v>
      </c>
      <c r="C93" s="1400"/>
      <c r="D93" s="1401"/>
      <c r="E93" s="1384">
        <f>SUM(F93:I93)</f>
        <v>0</v>
      </c>
      <c r="F93" s="1375"/>
      <c r="G93" s="1375"/>
      <c r="H93" s="1375"/>
      <c r="I93" s="1375"/>
      <c r="J93" s="1385"/>
    </row>
    <row r="94" spans="2:10">
      <c r="B94" s="1382" t="s">
        <v>1336</v>
      </c>
      <c r="C94" s="1383"/>
      <c r="D94" s="1401"/>
      <c r="E94" s="1384">
        <f>SUM(F94:I94)</f>
        <v>0</v>
      </c>
      <c r="F94" s="1375"/>
      <c r="G94" s="1375"/>
      <c r="H94" s="1375"/>
      <c r="I94" s="1375"/>
      <c r="J94" s="1385"/>
    </row>
    <row r="95" spans="2:10">
      <c r="B95" s="1382" t="s">
        <v>1337</v>
      </c>
      <c r="C95" s="1383"/>
      <c r="D95" s="1401"/>
      <c r="E95" s="1384">
        <f>SUM(F95:I95)</f>
        <v>0</v>
      </c>
      <c r="F95" s="1375"/>
      <c r="G95" s="1375"/>
      <c r="H95" s="1375"/>
      <c r="I95" s="1375"/>
      <c r="J95" s="1385"/>
    </row>
    <row r="96" spans="2:10">
      <c r="B96" s="1382" t="s">
        <v>1007</v>
      </c>
      <c r="C96" s="1383"/>
      <c r="D96" s="1401"/>
      <c r="E96" s="1384">
        <f>SUM(F96:I96)</f>
        <v>0</v>
      </c>
      <c r="F96" s="1375"/>
      <c r="G96" s="1375"/>
      <c r="H96" s="1375"/>
      <c r="I96" s="1375"/>
      <c r="J96" s="1385"/>
    </row>
    <row r="97" spans="2:10" ht="5.15" customHeight="1">
      <c r="B97" s="1377"/>
      <c r="C97" s="1378"/>
      <c r="D97" s="1379"/>
      <c r="E97" s="1380"/>
      <c r="F97" s="1380"/>
      <c r="G97" s="1380"/>
      <c r="H97" s="1380"/>
      <c r="I97" s="1380"/>
      <c r="J97" s="1695"/>
    </row>
    <row r="98" spans="2:10" ht="13">
      <c r="B98" s="1402" t="s">
        <v>938</v>
      </c>
      <c r="C98" s="1403"/>
      <c r="D98" s="1379"/>
      <c r="E98" s="1380">
        <f>SUM(E93:E97)+E91</f>
        <v>0</v>
      </c>
      <c r="F98" s="1380">
        <f>SUM(F93:F97)+F91</f>
        <v>0</v>
      </c>
      <c r="G98" s="1380">
        <f>SUM(G93:G97)+G91</f>
        <v>0</v>
      </c>
      <c r="H98" s="1380">
        <f>SUM(H93:H97)+H91</f>
        <v>0</v>
      </c>
      <c r="I98" s="1380">
        <f>SUM(I93:I97)+I91</f>
        <v>0</v>
      </c>
      <c r="J98" s="1695"/>
    </row>
    <row r="99" spans="2:10" ht="13">
      <c r="B99" s="1404"/>
      <c r="C99" s="1405"/>
      <c r="D99" s="1405"/>
      <c r="E99" s="1389"/>
      <c r="F99" s="1380"/>
      <c r="G99" s="1380"/>
      <c r="H99" s="1380"/>
      <c r="I99" s="1380"/>
      <c r="J99" s="1391"/>
    </row>
    <row r="100" spans="2:10" ht="13">
      <c r="B100" s="1406" t="s">
        <v>264</v>
      </c>
      <c r="C100" s="1407"/>
      <c r="D100" s="1388"/>
      <c r="E100" s="1389"/>
      <c r="F100" s="1389"/>
      <c r="G100" s="1389"/>
      <c r="H100" s="1389"/>
      <c r="I100" s="1390">
        <f>'ATT H-1A'!$H$16</f>
        <v>0.13888944064369446</v>
      </c>
      <c r="J100" s="1391"/>
    </row>
    <row r="101" spans="2:10" ht="13">
      <c r="B101" s="1386" t="s">
        <v>237</v>
      </c>
      <c r="C101" s="1387"/>
      <c r="D101" s="1388"/>
      <c r="E101" s="1389"/>
      <c r="F101" s="1389"/>
      <c r="G101" s="1389"/>
      <c r="H101" s="1390">
        <f>'ATT H-1A'!$H$37</f>
        <v>0.37285862840743444</v>
      </c>
      <c r="I101" s="1389"/>
      <c r="J101" s="1391"/>
    </row>
    <row r="102" spans="2:10" ht="13">
      <c r="B102" s="1386" t="s">
        <v>933</v>
      </c>
      <c r="C102" s="1387"/>
      <c r="D102" s="1388"/>
      <c r="E102" s="1389"/>
      <c r="F102" s="1389"/>
      <c r="G102" s="1390">
        <v>1</v>
      </c>
      <c r="H102" s="1389"/>
      <c r="I102" s="1389"/>
      <c r="J102" s="1391"/>
    </row>
    <row r="103" spans="2:10" ht="13">
      <c r="B103" s="1386" t="s">
        <v>934</v>
      </c>
      <c r="C103" s="1387"/>
      <c r="D103" s="1388"/>
      <c r="E103" s="1389"/>
      <c r="F103" s="1390">
        <v>0</v>
      </c>
      <c r="G103" s="1389"/>
      <c r="H103" s="1389"/>
      <c r="I103" s="1389"/>
      <c r="J103" s="1391"/>
    </row>
    <row r="104" spans="2:10" ht="13">
      <c r="B104" s="1392" t="s">
        <v>935</v>
      </c>
      <c r="C104" s="1387"/>
      <c r="D104" s="1388"/>
      <c r="E104" s="1389">
        <f>F104+G104+H104+I104</f>
        <v>0</v>
      </c>
      <c r="F104" s="1389">
        <f>F103*F98</f>
        <v>0</v>
      </c>
      <c r="G104" s="1389">
        <f>G98*G102</f>
        <v>0</v>
      </c>
      <c r="H104" s="1389">
        <f>H98*H101</f>
        <v>0</v>
      </c>
      <c r="I104" s="1389">
        <f>I100*I98</f>
        <v>0</v>
      </c>
      <c r="J104" s="1391"/>
    </row>
    <row r="105" spans="2:10" ht="13">
      <c r="B105" s="1393"/>
      <c r="E105" s="1363"/>
      <c r="F105" s="1363"/>
      <c r="G105" s="1363"/>
      <c r="H105" s="1363"/>
      <c r="I105" s="1363"/>
      <c r="J105" s="1394"/>
    </row>
    <row r="106" spans="2:10" ht="13">
      <c r="B106" s="1393"/>
      <c r="E106" s="1363"/>
      <c r="F106" s="1363"/>
      <c r="G106" s="1363"/>
      <c r="H106" s="1363"/>
      <c r="I106" s="1363"/>
      <c r="J106" s="1394"/>
    </row>
    <row r="107" spans="2:10" ht="13">
      <c r="B107" s="1356" t="s">
        <v>174</v>
      </c>
      <c r="C107" s="1356"/>
      <c r="D107" s="1356"/>
      <c r="E107" s="1356" t="s">
        <v>175</v>
      </c>
      <c r="F107" s="1356" t="s">
        <v>1142</v>
      </c>
      <c r="G107" s="1356" t="s">
        <v>1295</v>
      </c>
      <c r="H107" s="1356" t="s">
        <v>1296</v>
      </c>
      <c r="I107" s="1356" t="s">
        <v>1297</v>
      </c>
      <c r="J107" s="1356" t="s">
        <v>1298</v>
      </c>
    </row>
    <row r="108" spans="2:10" ht="13">
      <c r="B108" s="1365"/>
      <c r="C108" s="367"/>
      <c r="D108" s="367"/>
      <c r="E108" s="1356"/>
      <c r="F108" s="1356" t="s">
        <v>1329</v>
      </c>
      <c r="G108" s="1356" t="s">
        <v>258</v>
      </c>
      <c r="H108" s="1356"/>
      <c r="I108" s="1356"/>
      <c r="J108" s="1692"/>
    </row>
    <row r="109" spans="2:10" ht="13">
      <c r="B109" s="1408"/>
      <c r="C109" s="367"/>
      <c r="D109" s="367"/>
      <c r="E109" s="1356"/>
      <c r="F109" s="1356" t="s">
        <v>1330</v>
      </c>
      <c r="G109" s="1356" t="s">
        <v>228</v>
      </c>
      <c r="H109" s="1356" t="s">
        <v>259</v>
      </c>
      <c r="I109" s="1356" t="s">
        <v>260</v>
      </c>
      <c r="J109" s="1692"/>
    </row>
    <row r="110" spans="2:10" ht="13">
      <c r="B110" s="1365" t="s">
        <v>1338</v>
      </c>
      <c r="E110" s="1356" t="s">
        <v>44</v>
      </c>
      <c r="F110" s="1359" t="s">
        <v>1331</v>
      </c>
      <c r="G110" s="1356" t="s">
        <v>261</v>
      </c>
      <c r="H110" s="1356" t="s">
        <v>261</v>
      </c>
      <c r="I110" s="1356" t="s">
        <v>261</v>
      </c>
      <c r="J110" s="1356" t="s">
        <v>265</v>
      </c>
    </row>
    <row r="111" spans="2:10">
      <c r="B111" s="1388" t="s">
        <v>930</v>
      </c>
      <c r="C111" s="1388"/>
      <c r="D111" s="1388"/>
      <c r="E111" s="1380">
        <f>SUM(F111:I111)</f>
        <v>155469505.28488451</v>
      </c>
      <c r="F111" s="1389">
        <f>F64</f>
        <v>105237555.22365806</v>
      </c>
      <c r="G111" s="1389">
        <f>G64</f>
        <v>0</v>
      </c>
      <c r="H111" s="1389">
        <f>H64</f>
        <v>38923967.088375457</v>
      </c>
      <c r="I111" s="1389">
        <f>I64</f>
        <v>11307982.972851001</v>
      </c>
      <c r="J111" s="1391"/>
    </row>
    <row r="112" spans="2:10">
      <c r="B112" s="1388" t="s">
        <v>936</v>
      </c>
      <c r="C112" s="1388"/>
      <c r="D112" s="1388"/>
      <c r="E112" s="1380">
        <f>SUM(F112:I112)</f>
        <v>0</v>
      </c>
      <c r="F112" s="1389">
        <f>F91</f>
        <v>0</v>
      </c>
      <c r="G112" s="1389">
        <f>G91</f>
        <v>0</v>
      </c>
      <c r="H112" s="1389">
        <f>H91</f>
        <v>0</v>
      </c>
      <c r="I112" s="1389">
        <f>I91</f>
        <v>0</v>
      </c>
      <c r="J112" s="1391"/>
    </row>
    <row r="113" spans="2:11" ht="13">
      <c r="B113" s="1409" t="s">
        <v>939</v>
      </c>
      <c r="C113" s="1388"/>
      <c r="D113" s="1388"/>
      <c r="E113" s="1389">
        <f>E111+E112</f>
        <v>155469505.28488451</v>
      </c>
      <c r="F113" s="1389">
        <f>F111+F112</f>
        <v>105237555.22365806</v>
      </c>
      <c r="G113" s="1389">
        <f>G111+G112</f>
        <v>0</v>
      </c>
      <c r="H113" s="1389">
        <f>H111+H112</f>
        <v>38923967.088375457</v>
      </c>
      <c r="I113" s="1389">
        <f>I111+I112</f>
        <v>11307982.972851001</v>
      </c>
      <c r="J113" s="1391"/>
    </row>
    <row r="114" spans="2:11" ht="13">
      <c r="B114" s="1393"/>
      <c r="E114" s="1363"/>
      <c r="F114" s="1363"/>
      <c r="G114" s="1363"/>
      <c r="H114" s="1363"/>
      <c r="I114" s="1363"/>
      <c r="J114" s="1394"/>
    </row>
    <row r="115" spans="2:11" ht="13">
      <c r="B115" s="1393"/>
      <c r="E115" s="1363"/>
      <c r="F115" s="1363"/>
      <c r="G115" s="1363"/>
      <c r="H115" s="1363"/>
      <c r="I115" s="1363"/>
      <c r="J115" s="1394"/>
    </row>
    <row r="116" spans="2:11" s="367" customFormat="1" ht="12.75" customHeight="1">
      <c r="B116" s="1410" t="s">
        <v>269</v>
      </c>
      <c r="C116" s="1410"/>
      <c r="E116" s="1411"/>
      <c r="G116" s="1411"/>
      <c r="H116" s="1412"/>
      <c r="I116" s="1413"/>
      <c r="J116" s="1697"/>
    </row>
    <row r="117" spans="2:11" s="367" customFormat="1" ht="15.75" customHeight="1">
      <c r="B117" s="1749" t="s">
        <v>1339</v>
      </c>
      <c r="C117" s="1749"/>
      <c r="D117" s="1749"/>
      <c r="E117" s="1749"/>
      <c r="F117" s="1749"/>
      <c r="G117" s="1749"/>
      <c r="H117" s="1749"/>
      <c r="I117" s="1749"/>
      <c r="J117" s="1698"/>
    </row>
    <row r="118" spans="2:11" s="367" customFormat="1" ht="13">
      <c r="B118" s="1414" t="s">
        <v>270</v>
      </c>
      <c r="C118" s="1414"/>
      <c r="H118" s="1413"/>
      <c r="I118" s="1413"/>
      <c r="J118" s="1697"/>
    </row>
    <row r="119" spans="2:11" s="367" customFormat="1" ht="13">
      <c r="B119" s="1414" t="s">
        <v>271</v>
      </c>
      <c r="C119" s="1414"/>
      <c r="H119" s="1413"/>
      <c r="I119" s="1413"/>
      <c r="J119" s="1698"/>
    </row>
    <row r="120" spans="2:11" s="367" customFormat="1" ht="13">
      <c r="B120" s="1414" t="s">
        <v>272</v>
      </c>
      <c r="C120" s="1414"/>
      <c r="H120" s="1413"/>
      <c r="I120" s="1413"/>
      <c r="J120" s="1697"/>
    </row>
    <row r="121" spans="2:11" s="367" customFormat="1" ht="15.75" customHeight="1">
      <c r="B121" s="1749" t="s">
        <v>940</v>
      </c>
      <c r="C121" s="1749"/>
      <c r="D121" s="1749"/>
      <c r="E121" s="1749"/>
      <c r="F121" s="1749"/>
      <c r="G121" s="1749"/>
      <c r="H121" s="1749"/>
      <c r="I121" s="1749"/>
      <c r="J121" s="1692"/>
      <c r="K121" s="1415"/>
    </row>
    <row r="122" spans="2:11" s="367" customFormat="1" ht="15.75" customHeight="1">
      <c r="B122" s="1749"/>
      <c r="C122" s="1749"/>
      <c r="D122" s="1749"/>
      <c r="E122" s="1749"/>
      <c r="F122" s="1749"/>
      <c r="G122" s="1749"/>
      <c r="H122" s="1749"/>
      <c r="I122" s="1749"/>
      <c r="J122" s="1692"/>
      <c r="K122" s="1415"/>
    </row>
    <row r="123" spans="2:11" s="367" customFormat="1" ht="13">
      <c r="B123" s="1414" t="s">
        <v>941</v>
      </c>
      <c r="C123" s="1414"/>
      <c r="H123" s="1413"/>
      <c r="I123" s="1413"/>
      <c r="J123" s="1697"/>
    </row>
    <row r="124" spans="2:11" ht="13">
      <c r="C124" s="1393"/>
      <c r="E124" s="1366"/>
      <c r="F124" s="1366"/>
      <c r="H124" s="1416"/>
      <c r="I124" s="1417"/>
      <c r="J124" s="1394"/>
    </row>
    <row r="125" spans="2:11" ht="13">
      <c r="B125" s="1393"/>
      <c r="C125" s="1418"/>
      <c r="E125" s="1372"/>
    </row>
    <row r="126" spans="2:11" ht="13">
      <c r="B126" s="1356" t="s">
        <v>174</v>
      </c>
      <c r="C126" s="1356"/>
      <c r="D126" s="1356"/>
      <c r="E126" s="1356" t="s">
        <v>175</v>
      </c>
      <c r="F126" s="1356" t="s">
        <v>1142</v>
      </c>
      <c r="G126" s="1356" t="s">
        <v>1295</v>
      </c>
      <c r="H126" s="1356" t="s">
        <v>1296</v>
      </c>
      <c r="I126" s="1356" t="s">
        <v>1297</v>
      </c>
      <c r="J126" s="1356" t="s">
        <v>1298</v>
      </c>
    </row>
    <row r="127" spans="2:11" ht="13">
      <c r="B127" s="1365"/>
      <c r="C127" s="367"/>
      <c r="D127" s="367"/>
      <c r="E127" s="1356"/>
      <c r="F127" s="1356" t="s">
        <v>1329</v>
      </c>
      <c r="G127" s="1356" t="s">
        <v>258</v>
      </c>
      <c r="H127" s="1356"/>
      <c r="I127" s="1356"/>
      <c r="J127" s="1692"/>
    </row>
    <row r="128" spans="2:11" ht="13">
      <c r="B128" s="1365"/>
      <c r="C128" s="1373"/>
      <c r="D128" s="367"/>
      <c r="E128" s="1356"/>
      <c r="F128" s="1356" t="s">
        <v>1330</v>
      </c>
      <c r="G128" s="1356" t="s">
        <v>228</v>
      </c>
      <c r="H128" s="1356" t="s">
        <v>259</v>
      </c>
      <c r="I128" s="1356" t="s">
        <v>260</v>
      </c>
      <c r="J128" s="1692"/>
    </row>
    <row r="129" spans="2:10" ht="13">
      <c r="B129" s="1365" t="s">
        <v>942</v>
      </c>
      <c r="C129" s="367"/>
      <c r="D129" s="367"/>
      <c r="E129" s="1356" t="s">
        <v>44</v>
      </c>
      <c r="F129" s="1359" t="s">
        <v>1331</v>
      </c>
      <c r="G129" s="1356" t="s">
        <v>261</v>
      </c>
      <c r="H129" s="1356" t="s">
        <v>261</v>
      </c>
      <c r="I129" s="1356" t="s">
        <v>261</v>
      </c>
      <c r="J129" s="1356" t="s">
        <v>265</v>
      </c>
    </row>
    <row r="130" spans="2:10">
      <c r="B130" s="1643" t="s">
        <v>1526</v>
      </c>
      <c r="C130" s="1644"/>
      <c r="D130" s="1647"/>
      <c r="E130" s="1645">
        <f>SUM(F130:I130)</f>
        <v>-479224919.37964177</v>
      </c>
      <c r="F130" s="1645">
        <v>2889069.1833839994</v>
      </c>
      <c r="G130" s="1645">
        <v>0</v>
      </c>
      <c r="H130" s="1645">
        <v>-482113988.56302577</v>
      </c>
      <c r="I130" s="1645">
        <v>0</v>
      </c>
      <c r="J130" s="1693" t="s">
        <v>1540</v>
      </c>
    </row>
    <row r="131" spans="2:10">
      <c r="B131" s="1643" t="s">
        <v>27</v>
      </c>
      <c r="C131" s="1644"/>
      <c r="D131" s="1647"/>
      <c r="E131" s="1645">
        <f>SUM(F131:I131)</f>
        <v>19662643.035110999</v>
      </c>
      <c r="F131" s="1645">
        <v>19662643.035110999</v>
      </c>
      <c r="G131" s="1645">
        <v>0</v>
      </c>
      <c r="H131" s="1645">
        <v>0</v>
      </c>
      <c r="I131" s="1645">
        <v>0</v>
      </c>
      <c r="J131" s="1693" t="s">
        <v>1541</v>
      </c>
    </row>
    <row r="132" spans="2:10" ht="37.5">
      <c r="B132" s="1643" t="s">
        <v>1527</v>
      </c>
      <c r="C132" s="1644"/>
      <c r="D132" s="1647"/>
      <c r="E132" s="1645">
        <f>SUM(F132:I132)</f>
        <v>-10079579.185823999</v>
      </c>
      <c r="F132" s="1645">
        <v>-7546253.5337747447</v>
      </c>
      <c r="G132" s="1645">
        <v>-2533325.6520492542</v>
      </c>
      <c r="H132" s="1645">
        <v>0</v>
      </c>
      <c r="I132" s="1645">
        <v>0</v>
      </c>
      <c r="J132" s="1693" t="s">
        <v>1542</v>
      </c>
    </row>
    <row r="133" spans="2:10" ht="25">
      <c r="B133" s="1643" t="s">
        <v>1528</v>
      </c>
      <c r="C133" s="1644"/>
      <c r="D133" s="1647"/>
      <c r="E133" s="1645">
        <f>SUM(F133:I133)</f>
        <v>-15583707.169182003</v>
      </c>
      <c r="F133" s="1645">
        <v>0</v>
      </c>
      <c r="G133" s="1645">
        <v>0</v>
      </c>
      <c r="H133" s="1645">
        <v>-15583707.169182003</v>
      </c>
      <c r="I133" s="1645">
        <v>0</v>
      </c>
      <c r="J133" s="1648" t="s">
        <v>1543</v>
      </c>
    </row>
    <row r="134" spans="2:10" ht="13">
      <c r="B134" s="1381" t="s">
        <v>943</v>
      </c>
      <c r="C134" s="1379"/>
      <c r="D134" s="1379"/>
      <c r="E134" s="1380">
        <f>SUM(E130:E133)</f>
        <v>-485225562.69953674</v>
      </c>
      <c r="F134" s="1380">
        <f>SUM(F130:F133)</f>
        <v>15005458.684720252</v>
      </c>
      <c r="G134" s="1380">
        <f>SUM(G130:G133)</f>
        <v>-2533325.6520492542</v>
      </c>
      <c r="H134" s="1380">
        <f>SUM(H130:H133)</f>
        <v>-497697695.73220778</v>
      </c>
      <c r="I134" s="1380">
        <f>SUM(I130:I133)</f>
        <v>0</v>
      </c>
      <c r="J134" s="1695"/>
    </row>
    <row r="135" spans="2:10" ht="13">
      <c r="B135" s="1381"/>
      <c r="C135" s="1379"/>
      <c r="D135" s="1379"/>
      <c r="E135" s="1380"/>
      <c r="F135" s="1380"/>
      <c r="G135" s="1380"/>
      <c r="H135" s="1380"/>
      <c r="I135" s="1380"/>
      <c r="J135" s="1695"/>
    </row>
    <row r="136" spans="2:10">
      <c r="B136" s="1399" t="s">
        <v>1335</v>
      </c>
      <c r="C136" s="1400"/>
      <c r="D136" s="1401"/>
      <c r="E136" s="1384">
        <f>SUM(F136:I136)</f>
        <v>0</v>
      </c>
      <c r="F136" s="1375">
        <f>-F133</f>
        <v>0</v>
      </c>
      <c r="G136" s="1375">
        <f>-G133</f>
        <v>0</v>
      </c>
      <c r="H136" s="1375"/>
      <c r="I136" s="1375">
        <f>-I133</f>
        <v>0</v>
      </c>
      <c r="J136" s="1385"/>
    </row>
    <row r="137" spans="2:10">
      <c r="B137" s="1382" t="s">
        <v>1544</v>
      </c>
      <c r="C137" s="1383"/>
      <c r="D137" s="1401"/>
      <c r="E137" s="1384">
        <f t="shared" ref="E137:E139" si="1">SUM(F137:I137)</f>
        <v>10079579.185823999</v>
      </c>
      <c r="F137" s="1375">
        <f>-F132</f>
        <v>7546253.5337747447</v>
      </c>
      <c r="G137" s="1375">
        <f>-G132</f>
        <v>2533325.6520492542</v>
      </c>
      <c r="H137" s="1375">
        <f>-H132</f>
        <v>0</v>
      </c>
      <c r="I137" s="1375">
        <f>-I132</f>
        <v>0</v>
      </c>
      <c r="J137" s="1385"/>
    </row>
    <row r="138" spans="2:10">
      <c r="B138" s="1382" t="s">
        <v>1337</v>
      </c>
      <c r="C138" s="1383"/>
      <c r="D138" s="1401"/>
      <c r="E138" s="1384">
        <f t="shared" si="1"/>
        <v>15583707.169182003</v>
      </c>
      <c r="F138" s="1375"/>
      <c r="G138" s="1375"/>
      <c r="H138" s="1375">
        <f>-H133</f>
        <v>15583707.169182003</v>
      </c>
      <c r="I138" s="1375"/>
      <c r="J138" s="1385"/>
    </row>
    <row r="139" spans="2:10">
      <c r="B139" s="1382" t="s">
        <v>1007</v>
      </c>
      <c r="C139" s="1383"/>
      <c r="D139" s="1401"/>
      <c r="E139" s="1384">
        <f t="shared" si="1"/>
        <v>0</v>
      </c>
      <c r="F139" s="1375"/>
      <c r="G139" s="1375"/>
      <c r="H139" s="1375"/>
      <c r="I139" s="1375"/>
      <c r="J139" s="1385"/>
    </row>
    <row r="140" spans="2:10" ht="5.15" customHeight="1">
      <c r="B140" s="1377"/>
      <c r="C140" s="1378"/>
      <c r="D140" s="1379"/>
      <c r="E140" s="1380"/>
      <c r="F140" s="1380"/>
      <c r="G140" s="1380"/>
      <c r="H140" s="1380"/>
      <c r="I140" s="1380"/>
      <c r="J140" s="1695"/>
    </row>
    <row r="141" spans="2:10" ht="13">
      <c r="B141" s="1402" t="s">
        <v>944</v>
      </c>
      <c r="C141" s="1403"/>
      <c r="D141" s="1379"/>
      <c r="E141" s="1380">
        <f>SUM(E136:E139)+E134</f>
        <v>-459562276.34453076</v>
      </c>
      <c r="F141" s="1380">
        <f>SUM(F136:F139)+F134</f>
        <v>22551712.218494996</v>
      </c>
      <c r="G141" s="1380">
        <f>SUM(G136:G139)+G134</f>
        <v>0</v>
      </c>
      <c r="H141" s="1380">
        <f>SUM(H136:H139)+H134</f>
        <v>-482113988.56302577</v>
      </c>
      <c r="I141" s="1380">
        <f>SUM(I136:I139)+I134</f>
        <v>0</v>
      </c>
      <c r="J141" s="1695"/>
    </row>
    <row r="142" spans="2:10" ht="13">
      <c r="B142" s="1404"/>
      <c r="C142" s="1405"/>
      <c r="D142" s="1405"/>
      <c r="E142" s="1389"/>
      <c r="F142" s="1380"/>
      <c r="G142" s="1380"/>
      <c r="H142" s="1380"/>
      <c r="I142" s="1380"/>
      <c r="J142" s="1391"/>
    </row>
    <row r="143" spans="2:10" ht="13">
      <c r="B143" s="1406" t="s">
        <v>264</v>
      </c>
      <c r="C143" s="1407"/>
      <c r="D143" s="1388"/>
      <c r="E143" s="1389"/>
      <c r="F143" s="1389"/>
      <c r="G143" s="1389"/>
      <c r="H143" s="1389"/>
      <c r="I143" s="1390">
        <f>'ATT H-1A'!$H$16</f>
        <v>0.13888944064369446</v>
      </c>
      <c r="J143" s="1391"/>
    </row>
    <row r="144" spans="2:10" ht="13">
      <c r="B144" s="1386" t="s">
        <v>237</v>
      </c>
      <c r="C144" s="1387"/>
      <c r="D144" s="1388"/>
      <c r="E144" s="1389"/>
      <c r="F144" s="1389"/>
      <c r="G144" s="1389"/>
      <c r="H144" s="1390">
        <f>'ATT H-1A'!$H$37</f>
        <v>0.37285862840743444</v>
      </c>
      <c r="I144" s="1389"/>
      <c r="J144" s="1391"/>
    </row>
    <row r="145" spans="2:10" ht="13">
      <c r="B145" s="1386" t="s">
        <v>933</v>
      </c>
      <c r="C145" s="1387"/>
      <c r="D145" s="1388"/>
      <c r="E145" s="1389"/>
      <c r="F145" s="1389"/>
      <c r="G145" s="1390">
        <v>1</v>
      </c>
      <c r="H145" s="1389"/>
      <c r="I145" s="1389"/>
      <c r="J145" s="1391"/>
    </row>
    <row r="146" spans="2:10" ht="13">
      <c r="B146" s="1386" t="s">
        <v>934</v>
      </c>
      <c r="C146" s="1387"/>
      <c r="D146" s="1388"/>
      <c r="E146" s="1389"/>
      <c r="F146" s="1390">
        <v>0</v>
      </c>
      <c r="G146" s="1389"/>
      <c r="H146" s="1389"/>
      <c r="I146" s="1389"/>
      <c r="J146" s="1391"/>
    </row>
    <row r="147" spans="2:10" ht="13">
      <c r="B147" s="1392" t="s">
        <v>935</v>
      </c>
      <c r="C147" s="1387"/>
      <c r="D147" s="1388"/>
      <c r="E147" s="1389">
        <f>F147+G147+H147+I147</f>
        <v>-179760360.51164731</v>
      </c>
      <c r="F147" s="1389">
        <f>F146*F141</f>
        <v>0</v>
      </c>
      <c r="G147" s="1389">
        <f>G141*G145</f>
        <v>0</v>
      </c>
      <c r="H147" s="1389">
        <f>H141*H144</f>
        <v>-179760360.51164731</v>
      </c>
      <c r="I147" s="1389">
        <f>I143*I141</f>
        <v>0</v>
      </c>
      <c r="J147" s="1391"/>
    </row>
    <row r="148" spans="2:10" ht="17.25" customHeight="1">
      <c r="B148" s="1373"/>
      <c r="C148" s="1373"/>
      <c r="E148" s="1363"/>
      <c r="F148" s="1363"/>
      <c r="G148" s="1363"/>
      <c r="H148" s="1363"/>
      <c r="I148" s="1363"/>
      <c r="J148" s="1394"/>
    </row>
    <row r="149" spans="2:10" ht="13">
      <c r="B149" s="1393"/>
      <c r="E149" s="1363"/>
      <c r="F149" s="1363"/>
      <c r="G149" s="1363"/>
      <c r="H149" s="1363"/>
      <c r="I149" s="1363"/>
      <c r="J149" s="1394"/>
    </row>
    <row r="150" spans="2:10" ht="13">
      <c r="B150" s="1356" t="s">
        <v>174</v>
      </c>
      <c r="C150" s="1356"/>
      <c r="D150" s="1356"/>
      <c r="E150" s="1356" t="s">
        <v>175</v>
      </c>
      <c r="F150" s="1356" t="s">
        <v>1142</v>
      </c>
      <c r="G150" s="1356" t="s">
        <v>1295</v>
      </c>
      <c r="H150" s="1356" t="s">
        <v>1296</v>
      </c>
      <c r="I150" s="1356" t="s">
        <v>1297</v>
      </c>
      <c r="J150" s="1356" t="s">
        <v>1298</v>
      </c>
    </row>
    <row r="151" spans="2:10" ht="13">
      <c r="B151" s="1365"/>
      <c r="C151" s="367"/>
      <c r="D151" s="367"/>
      <c r="E151" s="1356"/>
      <c r="F151" s="1356" t="s">
        <v>1329</v>
      </c>
      <c r="G151" s="1356" t="s">
        <v>258</v>
      </c>
      <c r="H151" s="1356"/>
      <c r="I151" s="1356"/>
      <c r="J151" s="1692"/>
    </row>
    <row r="152" spans="2:10" ht="13">
      <c r="B152" s="1365"/>
      <c r="C152" s="367"/>
      <c r="D152" s="367"/>
      <c r="E152" s="1356"/>
      <c r="F152" s="1356" t="s">
        <v>1330</v>
      </c>
      <c r="G152" s="1356" t="s">
        <v>228</v>
      </c>
      <c r="H152" s="1356" t="s">
        <v>259</v>
      </c>
      <c r="I152" s="1356" t="s">
        <v>260</v>
      </c>
      <c r="J152" s="1692"/>
    </row>
    <row r="153" spans="2:10" ht="13">
      <c r="B153" s="1365" t="s">
        <v>945</v>
      </c>
      <c r="C153" s="367"/>
      <c r="D153" s="367"/>
      <c r="E153" s="1356" t="s">
        <v>44</v>
      </c>
      <c r="F153" s="1359" t="s">
        <v>1331</v>
      </c>
      <c r="G153" s="1356" t="s">
        <v>261</v>
      </c>
      <c r="H153" s="1356" t="s">
        <v>261</v>
      </c>
      <c r="I153" s="1356" t="s">
        <v>261</v>
      </c>
      <c r="J153" s="1356" t="s">
        <v>265</v>
      </c>
    </row>
    <row r="154" spans="2:10">
      <c r="B154" s="1419" t="s">
        <v>1526</v>
      </c>
      <c r="C154" s="1644"/>
      <c r="D154" s="1647"/>
      <c r="E154" s="1645">
        <f>F154+G154+H154+I154</f>
        <v>-240566345.49359995</v>
      </c>
      <c r="F154" s="1645"/>
      <c r="G154" s="1645"/>
      <c r="H154" s="1645">
        <v>-240566345.49359995</v>
      </c>
      <c r="I154" s="1645"/>
      <c r="J154" s="1699" t="s">
        <v>1540</v>
      </c>
    </row>
    <row r="155" spans="2:10">
      <c r="B155" s="1643"/>
      <c r="C155" s="1644"/>
      <c r="D155" s="1647"/>
      <c r="E155" s="1645"/>
      <c r="F155" s="1645"/>
      <c r="G155" s="1645"/>
      <c r="H155" s="1645"/>
      <c r="I155" s="1645"/>
      <c r="J155" s="1693"/>
    </row>
    <row r="156" spans="2:10">
      <c r="B156" s="1643"/>
      <c r="C156" s="1644"/>
      <c r="D156" s="1647"/>
      <c r="E156" s="1645"/>
      <c r="F156" s="1645"/>
      <c r="G156" s="1645"/>
      <c r="H156" s="1645"/>
      <c r="I156" s="1645"/>
      <c r="J156" s="1693"/>
    </row>
    <row r="157" spans="2:10">
      <c r="B157" s="1643"/>
      <c r="C157" s="1644"/>
      <c r="D157" s="1647"/>
      <c r="E157" s="1645"/>
      <c r="F157" s="1645"/>
      <c r="G157" s="1645"/>
      <c r="H157" s="1645"/>
      <c r="I157" s="1645"/>
      <c r="J157" s="1648"/>
    </row>
    <row r="158" spans="2:10" ht="13">
      <c r="B158" s="1381" t="s">
        <v>946</v>
      </c>
      <c r="C158" s="1379"/>
      <c r="D158" s="1379"/>
      <c r="E158" s="1380">
        <f>SUM(E154:E157)</f>
        <v>-240566345.49359995</v>
      </c>
      <c r="F158" s="1380">
        <f>SUM(F154:F157)</f>
        <v>0</v>
      </c>
      <c r="G158" s="1380">
        <f>SUM(G154:G157)</f>
        <v>0</v>
      </c>
      <c r="H158" s="1380">
        <f>SUM(H154:H157)</f>
        <v>-240566345.49359995</v>
      </c>
      <c r="I158" s="1380">
        <f>SUM(I154:I157)</f>
        <v>0</v>
      </c>
      <c r="J158" s="1695"/>
    </row>
    <row r="159" spans="2:10" ht="13">
      <c r="B159" s="1381"/>
      <c r="C159" s="1379"/>
      <c r="D159" s="1379"/>
      <c r="E159" s="1380"/>
      <c r="F159" s="1380"/>
      <c r="G159" s="1380"/>
      <c r="H159" s="1380"/>
      <c r="I159" s="1380"/>
      <c r="J159" s="1695"/>
    </row>
    <row r="160" spans="2:10">
      <c r="B160" s="1399" t="s">
        <v>1335</v>
      </c>
      <c r="C160" s="1400"/>
      <c r="D160" s="1401"/>
      <c r="E160" s="1384">
        <f>SUM(F160:I160)</f>
        <v>0</v>
      </c>
      <c r="F160" s="1375"/>
      <c r="G160" s="1375"/>
      <c r="H160" s="1375"/>
      <c r="I160" s="1375"/>
      <c r="J160" s="1385"/>
    </row>
    <row r="161" spans="2:10">
      <c r="B161" s="1382" t="s">
        <v>1336</v>
      </c>
      <c r="C161" s="1383"/>
      <c r="D161" s="1401"/>
      <c r="E161" s="1384">
        <f>SUM(F161:I161)</f>
        <v>0</v>
      </c>
      <c r="F161" s="1375"/>
      <c r="G161" s="1375"/>
      <c r="H161" s="1375"/>
      <c r="I161" s="1375"/>
      <c r="J161" s="1385"/>
    </row>
    <row r="162" spans="2:10">
      <c r="B162" s="1382" t="s">
        <v>1337</v>
      </c>
      <c r="C162" s="1383"/>
      <c r="D162" s="1401"/>
      <c r="E162" s="1384">
        <f>SUM(F162:I162)</f>
        <v>0</v>
      </c>
      <c r="F162" s="1375"/>
      <c r="G162" s="1375"/>
      <c r="H162" s="1375"/>
      <c r="I162" s="1375"/>
      <c r="J162" s="1385"/>
    </row>
    <row r="163" spans="2:10">
      <c r="B163" s="1382" t="s">
        <v>1007</v>
      </c>
      <c r="C163" s="1383"/>
      <c r="D163" s="1401"/>
      <c r="E163" s="1384">
        <f>SUM(F163:I163)</f>
        <v>0</v>
      </c>
      <c r="F163" s="1375"/>
      <c r="G163" s="1375"/>
      <c r="H163" s="1375"/>
      <c r="I163" s="1375"/>
      <c r="J163" s="1385"/>
    </row>
    <row r="164" spans="2:10" ht="5.15" customHeight="1">
      <c r="B164" s="1377"/>
      <c r="C164" s="1378"/>
      <c r="D164" s="1379"/>
      <c r="E164" s="1380"/>
      <c r="F164" s="1380"/>
      <c r="G164" s="1380"/>
      <c r="H164" s="1380"/>
      <c r="I164" s="1380"/>
      <c r="J164" s="1695"/>
    </row>
    <row r="165" spans="2:10" ht="13">
      <c r="B165" s="1402" t="s">
        <v>944</v>
      </c>
      <c r="C165" s="1403"/>
      <c r="D165" s="1379"/>
      <c r="E165" s="1380">
        <f>SUM(E160:E163)+E158</f>
        <v>-240566345.49359995</v>
      </c>
      <c r="F165" s="1380">
        <f>SUM(F160:F163)+F158</f>
        <v>0</v>
      </c>
      <c r="G165" s="1380">
        <f>SUM(G160:G163)+G158</f>
        <v>0</v>
      </c>
      <c r="H165" s="1380">
        <f>SUM(H160:H163)+H158</f>
        <v>-240566345.49359995</v>
      </c>
      <c r="I165" s="1380">
        <f>SUM(I160:I163)+I158</f>
        <v>0</v>
      </c>
      <c r="J165" s="1695"/>
    </row>
    <row r="166" spans="2:10" ht="13">
      <c r="B166" s="1404"/>
      <c r="C166" s="1405"/>
      <c r="D166" s="1405"/>
      <c r="E166" s="1389"/>
      <c r="F166" s="1380"/>
      <c r="G166" s="1380"/>
      <c r="H166" s="1380"/>
      <c r="I166" s="1380"/>
      <c r="J166" s="1391"/>
    </row>
    <row r="167" spans="2:10" ht="13">
      <c r="B167" s="1406" t="s">
        <v>264</v>
      </c>
      <c r="C167" s="1407"/>
      <c r="D167" s="1388"/>
      <c r="E167" s="1389"/>
      <c r="F167" s="1389"/>
      <c r="G167" s="1389"/>
      <c r="H167" s="1389"/>
      <c r="I167" s="1390">
        <f>'ATT H-1A'!$H$16</f>
        <v>0.13888944064369446</v>
      </c>
      <c r="J167" s="1391"/>
    </row>
    <row r="168" spans="2:10" ht="13">
      <c r="B168" s="1386" t="s">
        <v>237</v>
      </c>
      <c r="C168" s="1387"/>
      <c r="D168" s="1388"/>
      <c r="E168" s="1389"/>
      <c r="F168" s="1389"/>
      <c r="G168" s="1389"/>
      <c r="H168" s="1390">
        <f>'ATT H-1A'!$H$37</f>
        <v>0.37285862840743444</v>
      </c>
      <c r="I168" s="1389"/>
      <c r="J168" s="1391"/>
    </row>
    <row r="169" spans="2:10" ht="13">
      <c r="B169" s="1386" t="s">
        <v>933</v>
      </c>
      <c r="C169" s="1387"/>
      <c r="D169" s="1388"/>
      <c r="E169" s="1389"/>
      <c r="F169" s="1389"/>
      <c r="G169" s="1390">
        <v>1</v>
      </c>
      <c r="H169" s="1389"/>
      <c r="I169" s="1389"/>
      <c r="J169" s="1391"/>
    </row>
    <row r="170" spans="2:10" ht="13">
      <c r="B170" s="1386" t="s">
        <v>934</v>
      </c>
      <c r="C170" s="1387"/>
      <c r="D170" s="1388"/>
      <c r="E170" s="1389"/>
      <c r="F170" s="1390">
        <v>0</v>
      </c>
      <c r="G170" s="1389"/>
      <c r="H170" s="1389"/>
      <c r="I170" s="1389"/>
      <c r="J170" s="1391"/>
    </row>
    <row r="171" spans="2:10" ht="13">
      <c r="B171" s="1392" t="s">
        <v>935</v>
      </c>
      <c r="C171" s="1387"/>
      <c r="D171" s="1388"/>
      <c r="E171" s="1389">
        <f>F171+G171+H171+I171</f>
        <v>-89697237.621732682</v>
      </c>
      <c r="F171" s="1389">
        <f>F170*F165</f>
        <v>0</v>
      </c>
      <c r="G171" s="1389">
        <f>G165*G169</f>
        <v>0</v>
      </c>
      <c r="H171" s="1389">
        <f>H165*H168</f>
        <v>-89697237.621732682</v>
      </c>
      <c r="I171" s="1389">
        <f>I167*I165</f>
        <v>0</v>
      </c>
      <c r="J171" s="1391"/>
    </row>
    <row r="172" spans="2:10" ht="13">
      <c r="B172" s="1393"/>
      <c r="E172" s="1363"/>
      <c r="F172" s="1363"/>
      <c r="G172" s="1363"/>
      <c r="H172" s="1363"/>
      <c r="I172" s="1363">
        <f>H172/H168</f>
        <v>0</v>
      </c>
      <c r="J172" s="1394"/>
    </row>
    <row r="173" spans="2:10" ht="13">
      <c r="B173" s="1393"/>
      <c r="E173" s="1363"/>
      <c r="F173" s="1363"/>
      <c r="G173" s="1363"/>
      <c r="H173" s="1363"/>
      <c r="I173" s="1363"/>
      <c r="J173" s="1394"/>
    </row>
    <row r="174" spans="2:10" ht="13">
      <c r="B174" s="1356" t="s">
        <v>174</v>
      </c>
      <c r="C174" s="1356"/>
      <c r="D174" s="1356"/>
      <c r="E174" s="1356" t="s">
        <v>175</v>
      </c>
      <c r="F174" s="1356" t="s">
        <v>1142</v>
      </c>
      <c r="G174" s="1356" t="s">
        <v>1295</v>
      </c>
      <c r="H174" s="1356" t="s">
        <v>1296</v>
      </c>
      <c r="I174" s="1356" t="s">
        <v>1297</v>
      </c>
      <c r="J174" s="1356" t="s">
        <v>1298</v>
      </c>
    </row>
    <row r="175" spans="2:10" ht="13">
      <c r="B175" s="1365"/>
      <c r="C175" s="367"/>
      <c r="D175" s="367"/>
      <c r="E175" s="1356"/>
      <c r="F175" s="1356" t="s">
        <v>1329</v>
      </c>
      <c r="G175" s="1356" t="s">
        <v>258</v>
      </c>
      <c r="H175" s="1356"/>
      <c r="I175" s="1356"/>
      <c r="J175" s="1692"/>
    </row>
    <row r="176" spans="2:10" ht="13">
      <c r="B176" s="1365"/>
      <c r="C176" s="367"/>
      <c r="D176" s="367"/>
      <c r="E176" s="1356"/>
      <c r="F176" s="1356" t="s">
        <v>1330</v>
      </c>
      <c r="G176" s="1356" t="s">
        <v>228</v>
      </c>
      <c r="H176" s="1356" t="s">
        <v>259</v>
      </c>
      <c r="I176" s="1356" t="s">
        <v>260</v>
      </c>
      <c r="J176" s="1692"/>
    </row>
    <row r="177" spans="2:11" ht="13">
      <c r="B177" s="1365" t="s">
        <v>947</v>
      </c>
      <c r="C177" s="367"/>
      <c r="D177" s="367"/>
      <c r="E177" s="1356" t="s">
        <v>44</v>
      </c>
      <c r="F177" s="1359" t="s">
        <v>1331</v>
      </c>
      <c r="G177" s="1356" t="s">
        <v>261</v>
      </c>
      <c r="H177" s="1356" t="s">
        <v>261</v>
      </c>
      <c r="I177" s="1356" t="s">
        <v>261</v>
      </c>
      <c r="J177" s="1356" t="s">
        <v>265</v>
      </c>
    </row>
    <row r="178" spans="2:11">
      <c r="B178" s="1388" t="s">
        <v>948</v>
      </c>
      <c r="C178" s="1388"/>
      <c r="D178" s="1388"/>
      <c r="E178" s="1380">
        <f>SUM(F178:I178)</f>
        <v>-485225562.6995368</v>
      </c>
      <c r="F178" s="1389">
        <f>F134</f>
        <v>15005458.684720252</v>
      </c>
      <c r="G178" s="1389">
        <f>G134</f>
        <v>-2533325.6520492542</v>
      </c>
      <c r="H178" s="1389">
        <f>H134</f>
        <v>-497697695.73220778</v>
      </c>
      <c r="I178" s="1389">
        <f>I134</f>
        <v>0</v>
      </c>
      <c r="J178" s="1391"/>
    </row>
    <row r="179" spans="2:11">
      <c r="B179" s="1388" t="s">
        <v>945</v>
      </c>
      <c r="C179" s="1388"/>
      <c r="D179" s="1388"/>
      <c r="E179" s="1380">
        <f>SUM(F179:I179)</f>
        <v>-240566345.49359995</v>
      </c>
      <c r="F179" s="1389">
        <f>F158</f>
        <v>0</v>
      </c>
      <c r="G179" s="1389">
        <f>G158</f>
        <v>0</v>
      </c>
      <c r="H179" s="1389">
        <f>H158</f>
        <v>-240566345.49359995</v>
      </c>
      <c r="I179" s="1389">
        <f>I158</f>
        <v>0</v>
      </c>
      <c r="J179" s="1391"/>
    </row>
    <row r="180" spans="2:11" ht="13">
      <c r="B180" s="1381" t="s">
        <v>1807</v>
      </c>
      <c r="C180" s="1388"/>
      <c r="D180" s="1388"/>
      <c r="E180" s="1389">
        <f>E178+E179</f>
        <v>-725791908.19313669</v>
      </c>
      <c r="F180" s="1389">
        <f>F178+F179</f>
        <v>15005458.684720252</v>
      </c>
      <c r="G180" s="1389">
        <f>G178+G179</f>
        <v>-2533325.6520492542</v>
      </c>
      <c r="H180" s="1389">
        <f>H178+H179</f>
        <v>-738264041.22580767</v>
      </c>
      <c r="I180" s="1389">
        <f>I178+I179</f>
        <v>0</v>
      </c>
      <c r="J180" s="1391"/>
    </row>
    <row r="181" spans="2:11" ht="13">
      <c r="B181" s="1393"/>
      <c r="E181" s="1363"/>
      <c r="F181" s="1363"/>
      <c r="G181" s="1363"/>
      <c r="H181" s="1363"/>
      <c r="I181" s="1363"/>
      <c r="J181" s="1394"/>
    </row>
    <row r="182" spans="2:11" s="367" customFormat="1" ht="13">
      <c r="B182" s="1365" t="s">
        <v>274</v>
      </c>
      <c r="G182" s="1413"/>
      <c r="H182" s="1413"/>
      <c r="I182" s="1413"/>
      <c r="J182" s="1697"/>
    </row>
    <row r="183" spans="2:11" s="367" customFormat="1" ht="12.75" customHeight="1">
      <c r="B183" s="1749" t="s">
        <v>1339</v>
      </c>
      <c r="C183" s="1749"/>
      <c r="D183" s="1749"/>
      <c r="E183" s="1749"/>
      <c r="F183" s="1749"/>
      <c r="G183" s="1749"/>
      <c r="H183" s="1749"/>
      <c r="I183" s="1749"/>
      <c r="J183" s="1697"/>
    </row>
    <row r="184" spans="2:11" s="367" customFormat="1" ht="13">
      <c r="B184" s="1414" t="s">
        <v>270</v>
      </c>
      <c r="C184" s="1414"/>
      <c r="H184" s="1413"/>
      <c r="I184" s="1413"/>
      <c r="J184" s="1697"/>
    </row>
    <row r="185" spans="2:11" s="367" customFormat="1" ht="13">
      <c r="B185" s="1414" t="s">
        <v>271</v>
      </c>
      <c r="C185" s="1414"/>
      <c r="H185" s="1413"/>
      <c r="I185" s="1413"/>
      <c r="J185" s="1697"/>
    </row>
    <row r="186" spans="2:11" s="367" customFormat="1" ht="13">
      <c r="B186" s="1414" t="s">
        <v>272</v>
      </c>
      <c r="C186" s="1414"/>
      <c r="H186" s="1413"/>
      <c r="I186" s="1413"/>
      <c r="J186" s="1697"/>
    </row>
    <row r="187" spans="2:11" s="367" customFormat="1" ht="15.75" customHeight="1">
      <c r="B187" s="1749" t="s">
        <v>940</v>
      </c>
      <c r="C187" s="1749"/>
      <c r="D187" s="1749"/>
      <c r="E187" s="1749"/>
      <c r="F187" s="1749"/>
      <c r="G187" s="1749"/>
      <c r="H187" s="1749"/>
      <c r="I187" s="1749"/>
      <c r="J187" s="1692"/>
      <c r="K187" s="1415"/>
    </row>
    <row r="188" spans="2:11" s="367" customFormat="1" ht="15.75" customHeight="1">
      <c r="B188" s="1749"/>
      <c r="C188" s="1749"/>
      <c r="D188" s="1749"/>
      <c r="E188" s="1749"/>
      <c r="F188" s="1749"/>
      <c r="G188" s="1749"/>
      <c r="H188" s="1749"/>
      <c r="I188" s="1749"/>
      <c r="J188" s="1692"/>
      <c r="K188" s="1415"/>
    </row>
    <row r="189" spans="2:11" s="367" customFormat="1" ht="13">
      <c r="B189" s="1414" t="s">
        <v>950</v>
      </c>
      <c r="G189" s="1413"/>
      <c r="H189" s="1413"/>
      <c r="I189" s="1413"/>
      <c r="J189" s="1697"/>
    </row>
    <row r="190" spans="2:11" ht="13">
      <c r="B190" s="1420" t="s">
        <v>951</v>
      </c>
    </row>
    <row r="191" spans="2:11" ht="12" customHeight="1">
      <c r="B191" s="1421"/>
      <c r="C191" s="1422"/>
      <c r="D191" s="1423"/>
      <c r="E191" s="1423"/>
      <c r="F191" s="1423"/>
      <c r="G191" s="1423"/>
      <c r="H191" s="1423"/>
      <c r="I191" s="1423"/>
      <c r="J191" s="1423"/>
    </row>
    <row r="192" spans="2:11" ht="13">
      <c r="B192" s="1353"/>
    </row>
    <row r="193" spans="2:12" ht="13">
      <c r="B193" s="1356" t="s">
        <v>174</v>
      </c>
      <c r="C193" s="1356"/>
      <c r="D193" s="1356"/>
      <c r="E193" s="1356" t="s">
        <v>175</v>
      </c>
      <c r="F193" s="1356" t="s">
        <v>1142</v>
      </c>
      <c r="G193" s="1356" t="s">
        <v>1295</v>
      </c>
      <c r="H193" s="1356" t="s">
        <v>1296</v>
      </c>
      <c r="I193" s="1356" t="s">
        <v>1297</v>
      </c>
      <c r="J193" s="1356" t="s">
        <v>1298</v>
      </c>
    </row>
    <row r="194" spans="2:12" ht="13">
      <c r="B194" s="1365"/>
      <c r="C194" s="367"/>
      <c r="D194" s="367"/>
      <c r="E194" s="1356"/>
      <c r="F194" s="1356" t="s">
        <v>1329</v>
      </c>
      <c r="G194" s="1356" t="s">
        <v>258</v>
      </c>
      <c r="H194" s="1356"/>
      <c r="I194" s="1356"/>
      <c r="J194" s="1692"/>
    </row>
    <row r="195" spans="2:12" ht="13">
      <c r="B195" s="1365"/>
      <c r="C195" s="1373"/>
      <c r="D195" s="367"/>
      <c r="E195" s="1356"/>
      <c r="F195" s="1356" t="s">
        <v>1330</v>
      </c>
      <c r="G195" s="1356" t="s">
        <v>228</v>
      </c>
      <c r="H195" s="1356" t="s">
        <v>259</v>
      </c>
      <c r="I195" s="1356" t="s">
        <v>260</v>
      </c>
      <c r="J195" s="1692"/>
      <c r="L195" s="1352" t="s">
        <v>86</v>
      </c>
    </row>
    <row r="196" spans="2:12" ht="13">
      <c r="B196" s="1365" t="s">
        <v>952</v>
      </c>
      <c r="C196" s="367"/>
      <c r="D196" s="367"/>
      <c r="E196" s="1356" t="s">
        <v>44</v>
      </c>
      <c r="F196" s="1359" t="s">
        <v>1331</v>
      </c>
      <c r="G196" s="1356" t="s">
        <v>261</v>
      </c>
      <c r="H196" s="1356" t="s">
        <v>261</v>
      </c>
      <c r="I196" s="1356" t="s">
        <v>261</v>
      </c>
      <c r="J196" s="1356" t="s">
        <v>265</v>
      </c>
    </row>
    <row r="197" spans="2:12">
      <c r="B197" s="1643" t="s">
        <v>1806</v>
      </c>
      <c r="C197" s="1644"/>
      <c r="D197" s="1647"/>
      <c r="E197" s="1645">
        <f>SUM(F197:I197)</f>
        <v>-0.11244000000169763</v>
      </c>
      <c r="F197" s="1645">
        <v>0</v>
      </c>
      <c r="G197" s="1645">
        <v>0</v>
      </c>
      <c r="H197" s="1645">
        <v>-0.11244000000169763</v>
      </c>
      <c r="I197" s="1645">
        <v>0</v>
      </c>
      <c r="J197" s="1693"/>
    </row>
    <row r="198" spans="2:12">
      <c r="B198" s="1643" t="s">
        <v>1517</v>
      </c>
      <c r="C198" s="1644"/>
      <c r="D198" s="1647"/>
      <c r="E198" s="1645">
        <f t="shared" ref="E198:E206" si="2">SUM(F198:I198)</f>
        <v>-216514.79288700002</v>
      </c>
      <c r="F198" s="1645">
        <v>-216514.79288700002</v>
      </c>
      <c r="G198" s="1645">
        <v>0</v>
      </c>
      <c r="H198" s="1645">
        <v>0</v>
      </c>
      <c r="I198" s="1645">
        <v>0</v>
      </c>
      <c r="J198" s="1693" t="s">
        <v>1535</v>
      </c>
    </row>
    <row r="199" spans="2:12">
      <c r="B199" s="1643" t="s">
        <v>1633</v>
      </c>
      <c r="C199" s="1644"/>
      <c r="D199" s="1647"/>
      <c r="E199" s="1645">
        <f t="shared" si="2"/>
        <v>138505.093074</v>
      </c>
      <c r="F199" s="1645">
        <v>0</v>
      </c>
      <c r="G199" s="1645">
        <v>0</v>
      </c>
      <c r="H199" s="1645">
        <v>138505.093074</v>
      </c>
      <c r="I199" s="1645">
        <v>0</v>
      </c>
      <c r="J199" s="1693" t="s">
        <v>1634</v>
      </c>
    </row>
    <row r="200" spans="2:12">
      <c r="B200" s="1643" t="s">
        <v>1529</v>
      </c>
      <c r="C200" s="1644"/>
      <c r="D200" s="1647"/>
      <c r="E200" s="1645">
        <f t="shared" si="2"/>
        <v>-532484.52264899993</v>
      </c>
      <c r="F200" s="1645">
        <v>-532484.52264899993</v>
      </c>
      <c r="G200" s="1645">
        <v>0</v>
      </c>
      <c r="H200" s="1645">
        <v>0</v>
      </c>
      <c r="I200" s="1645">
        <v>0</v>
      </c>
      <c r="J200" s="1649" t="s">
        <v>1535</v>
      </c>
    </row>
    <row r="201" spans="2:12" ht="25">
      <c r="B201" s="1643" t="s">
        <v>1530</v>
      </c>
      <c r="C201" s="1644"/>
      <c r="D201" s="1647"/>
      <c r="E201" s="1645">
        <f t="shared" si="2"/>
        <v>-12117913.313562002</v>
      </c>
      <c r="F201" s="1645">
        <v>0</v>
      </c>
      <c r="G201" s="1645">
        <v>0</v>
      </c>
      <c r="H201" s="1645">
        <v>0</v>
      </c>
      <c r="I201" s="1645">
        <v>-12117913.313562002</v>
      </c>
      <c r="J201" s="1693" t="s">
        <v>1635</v>
      </c>
    </row>
    <row r="202" spans="2:12">
      <c r="B202" s="1643" t="s">
        <v>1531</v>
      </c>
      <c r="C202" s="1644"/>
      <c r="D202" s="1647"/>
      <c r="E202" s="1645">
        <f t="shared" si="2"/>
        <v>-36650799.533736005</v>
      </c>
      <c r="F202" s="1645">
        <v>-36650799.533736005</v>
      </c>
      <c r="G202" s="1645">
        <v>0</v>
      </c>
      <c r="H202" s="1645">
        <v>0</v>
      </c>
      <c r="I202" s="1645">
        <v>0</v>
      </c>
      <c r="J202" s="1693" t="s">
        <v>1535</v>
      </c>
    </row>
    <row r="203" spans="2:12">
      <c r="B203" s="1643" t="s">
        <v>1636</v>
      </c>
      <c r="C203" s="1644"/>
      <c r="D203" s="1647"/>
      <c r="E203" s="1645">
        <f t="shared" si="2"/>
        <v>-1416613.2716340001</v>
      </c>
      <c r="F203" s="1645">
        <v>-1416613.2716340001</v>
      </c>
      <c r="G203" s="1645">
        <v>0</v>
      </c>
      <c r="H203" s="1645">
        <v>0</v>
      </c>
      <c r="I203" s="1645">
        <v>0</v>
      </c>
      <c r="J203" s="1693" t="s">
        <v>1535</v>
      </c>
    </row>
    <row r="204" spans="2:12" ht="25">
      <c r="B204" s="1643" t="s">
        <v>1532</v>
      </c>
      <c r="C204" s="1644"/>
      <c r="D204" s="1647"/>
      <c r="E204" s="1645">
        <f t="shared" si="2"/>
        <v>-378604.44019500003</v>
      </c>
      <c r="F204" s="1645">
        <v>0</v>
      </c>
      <c r="G204" s="1645">
        <v>-378604.44019500003</v>
      </c>
      <c r="H204" s="1645">
        <v>0</v>
      </c>
      <c r="I204" s="1645">
        <v>0</v>
      </c>
      <c r="J204" s="1693" t="s">
        <v>1545</v>
      </c>
    </row>
    <row r="205" spans="2:12">
      <c r="B205" s="1643" t="s">
        <v>1637</v>
      </c>
      <c r="C205" s="1644"/>
      <c r="D205" s="1647"/>
      <c r="E205" s="1645">
        <f t="shared" si="2"/>
        <v>-107221.235139</v>
      </c>
      <c r="F205" s="1645">
        <v>-107221.235139</v>
      </c>
      <c r="G205" s="1645">
        <v>0</v>
      </c>
      <c r="H205" s="1645">
        <v>0</v>
      </c>
      <c r="I205" s="1645">
        <v>0</v>
      </c>
      <c r="J205" s="1693" t="s">
        <v>1535</v>
      </c>
    </row>
    <row r="206" spans="2:12" ht="25">
      <c r="B206" s="1643" t="s">
        <v>1533</v>
      </c>
      <c r="C206" s="1644"/>
      <c r="D206" s="1647"/>
      <c r="E206" s="1645">
        <f t="shared" si="2"/>
        <v>-983311.25217300013</v>
      </c>
      <c r="F206" s="1645">
        <v>-983311.25217300013</v>
      </c>
      <c r="G206" s="1645">
        <v>0</v>
      </c>
      <c r="H206" s="1645">
        <v>0</v>
      </c>
      <c r="I206" s="1645">
        <v>0</v>
      </c>
      <c r="J206" s="1694" t="s">
        <v>1546</v>
      </c>
    </row>
    <row r="207" spans="2:12" ht="13">
      <c r="B207" s="1381" t="s">
        <v>953</v>
      </c>
      <c r="C207" s="1379"/>
      <c r="D207" s="1379"/>
      <c r="E207" s="1380">
        <f>SUM(E197:E206)</f>
        <v>-52264957.381341003</v>
      </c>
      <c r="F207" s="1380">
        <f>SUM(F197:F206)</f>
        <v>-39906944.608217999</v>
      </c>
      <c r="G207" s="1380">
        <f>SUM(G197:G206)</f>
        <v>-378604.44019500003</v>
      </c>
      <c r="H207" s="1380">
        <f>SUM(H197:H206)</f>
        <v>138504.98063400001</v>
      </c>
      <c r="I207" s="1380">
        <f>SUM(I197:I206)</f>
        <v>-12117913.313562002</v>
      </c>
      <c r="J207" s="1695"/>
    </row>
    <row r="208" spans="2:12" ht="13">
      <c r="B208" s="1381"/>
      <c r="C208" s="1379"/>
      <c r="D208" s="1379"/>
      <c r="E208" s="1380"/>
      <c r="F208" s="1380"/>
      <c r="G208" s="1380"/>
      <c r="H208" s="1380"/>
      <c r="I208" s="1380"/>
      <c r="J208" s="1695"/>
    </row>
    <row r="209" spans="2:10">
      <c r="B209" s="1399" t="s">
        <v>1335</v>
      </c>
      <c r="C209" s="1400"/>
      <c r="D209" s="1401"/>
      <c r="E209" s="1384">
        <f>SUM(F209:I209)</f>
        <v>0</v>
      </c>
      <c r="F209" s="1375"/>
      <c r="G209" s="1375"/>
      <c r="H209" s="1375"/>
      <c r="I209" s="1375"/>
      <c r="J209" s="1385"/>
    </row>
    <row r="210" spans="2:10">
      <c r="B210" s="1382" t="s">
        <v>1336</v>
      </c>
      <c r="C210" s="1383"/>
      <c r="D210" s="1401"/>
      <c r="E210" s="1384">
        <f>SUM(F210:I210)</f>
        <v>0</v>
      </c>
      <c r="F210" s="1375"/>
      <c r="G210" s="1375"/>
      <c r="H210" s="1375"/>
      <c r="I210" s="1375"/>
      <c r="J210" s="1385"/>
    </row>
    <row r="211" spans="2:10">
      <c r="B211" s="1382" t="s">
        <v>1337</v>
      </c>
      <c r="C211" s="1383"/>
      <c r="D211" s="1401"/>
      <c r="E211" s="1384">
        <f>SUM(F211:I211)</f>
        <v>0</v>
      </c>
      <c r="F211" s="1375"/>
      <c r="G211" s="1375"/>
      <c r="H211" s="1375"/>
      <c r="I211" s="1375"/>
      <c r="J211" s="1385"/>
    </row>
    <row r="212" spans="2:10">
      <c r="B212" s="1382" t="s">
        <v>1007</v>
      </c>
      <c r="C212" s="1383"/>
      <c r="D212" s="1401"/>
      <c r="E212" s="1384">
        <f>SUM(F212:I212)</f>
        <v>0</v>
      </c>
      <c r="F212" s="1375"/>
      <c r="G212" s="1375"/>
      <c r="H212" s="1375"/>
      <c r="I212" s="1375"/>
      <c r="J212" s="1385"/>
    </row>
    <row r="213" spans="2:10" ht="5.15" customHeight="1">
      <c r="B213" s="1377"/>
      <c r="C213" s="1378"/>
      <c r="D213" s="1379"/>
      <c r="E213" s="1380"/>
      <c r="F213" s="1380"/>
      <c r="G213" s="1380"/>
      <c r="H213" s="1380"/>
      <c r="I213" s="1380"/>
      <c r="J213" s="1695"/>
    </row>
    <row r="214" spans="2:10" ht="13">
      <c r="B214" s="1402" t="s">
        <v>954</v>
      </c>
      <c r="C214" s="1403"/>
      <c r="D214" s="1379"/>
      <c r="E214" s="1380">
        <f>SUM(E209:E212)+E207</f>
        <v>-52264957.381341003</v>
      </c>
      <c r="F214" s="1380">
        <f>SUM(F209:F212)+F207</f>
        <v>-39906944.608217999</v>
      </c>
      <c r="G214" s="1380">
        <f>SUM(G209:G212)+G207</f>
        <v>-378604.44019500003</v>
      </c>
      <c r="H214" s="1380">
        <f>SUM(H209:H212)+H207</f>
        <v>138504.98063400001</v>
      </c>
      <c r="I214" s="1380">
        <f>SUM(I209:I212)+I207</f>
        <v>-12117913.313562002</v>
      </c>
      <c r="J214" s="1695"/>
    </row>
    <row r="215" spans="2:10" ht="13">
      <c r="B215" s="1404"/>
      <c r="C215" s="1405"/>
      <c r="D215" s="1405"/>
      <c r="E215" s="1389"/>
      <c r="F215" s="1380"/>
      <c r="G215" s="1380"/>
      <c r="H215" s="1380"/>
      <c r="I215" s="1380"/>
      <c r="J215" s="1391"/>
    </row>
    <row r="216" spans="2:10" ht="13">
      <c r="B216" s="1406" t="s">
        <v>264</v>
      </c>
      <c r="C216" s="1407"/>
      <c r="D216" s="1388"/>
      <c r="E216" s="1389"/>
      <c r="F216" s="1389"/>
      <c r="G216" s="1389"/>
      <c r="H216" s="1389"/>
      <c r="I216" s="1390">
        <f>'ATT H-1A'!$H$16</f>
        <v>0.13888944064369446</v>
      </c>
      <c r="J216" s="1391"/>
    </row>
    <row r="217" spans="2:10" ht="13">
      <c r="B217" s="1386" t="s">
        <v>237</v>
      </c>
      <c r="C217" s="1387"/>
      <c r="D217" s="1388"/>
      <c r="E217" s="1389"/>
      <c r="F217" s="1389"/>
      <c r="G217" s="1389"/>
      <c r="H217" s="1390">
        <f>'ATT H-1A'!$H$37</f>
        <v>0.37285862840743444</v>
      </c>
      <c r="I217" s="1389"/>
      <c r="J217" s="1391"/>
    </row>
    <row r="218" spans="2:10" ht="13">
      <c r="B218" s="1386" t="s">
        <v>933</v>
      </c>
      <c r="C218" s="1387"/>
      <c r="D218" s="1388"/>
      <c r="E218" s="1389"/>
      <c r="F218" s="1389"/>
      <c r="G218" s="1390">
        <v>1</v>
      </c>
      <c r="H218" s="1389"/>
      <c r="I218" s="1389"/>
      <c r="J218" s="1391"/>
    </row>
    <row r="219" spans="2:10" ht="13">
      <c r="B219" s="1386" t="s">
        <v>934</v>
      </c>
      <c r="C219" s="1387"/>
      <c r="D219" s="1388"/>
      <c r="E219" s="1389"/>
      <c r="F219" s="1390">
        <v>0</v>
      </c>
      <c r="G219" s="1389"/>
      <c r="H219" s="1389"/>
      <c r="I219" s="1389"/>
      <c r="J219" s="1391"/>
    </row>
    <row r="220" spans="2:10" ht="17.25" customHeight="1">
      <c r="B220" s="1392" t="s">
        <v>935</v>
      </c>
      <c r="C220" s="1387"/>
      <c r="D220" s="1388"/>
      <c r="E220" s="1389">
        <f>F220+G220+H220+I220</f>
        <v>-2010011.8649776131</v>
      </c>
      <c r="F220" s="1389">
        <f>F219*F214</f>
        <v>0</v>
      </c>
      <c r="G220" s="1389">
        <f>G214*G218</f>
        <v>-378604.44019500003</v>
      </c>
      <c r="H220" s="1389">
        <f>H214*H217</f>
        <v>51642.777106791509</v>
      </c>
      <c r="I220" s="1389">
        <f>I216*I214</f>
        <v>-1683050.2018894046</v>
      </c>
      <c r="J220" s="1391"/>
    </row>
    <row r="221" spans="2:10" ht="12.75" customHeight="1">
      <c r="B221" s="1421"/>
      <c r="C221" s="1423"/>
      <c r="D221" s="1423"/>
      <c r="E221" s="1423"/>
      <c r="F221" s="1423"/>
      <c r="G221" s="1423"/>
      <c r="H221" s="1423"/>
      <c r="I221" s="1423"/>
      <c r="J221" s="1423"/>
    </row>
    <row r="222" spans="2:10" ht="13">
      <c r="B222" s="1356"/>
      <c r="C222" s="1356"/>
      <c r="D222" s="1356"/>
      <c r="E222" s="1356"/>
      <c r="F222" s="1356"/>
      <c r="G222" s="1356"/>
      <c r="H222" s="1356"/>
      <c r="I222" s="1356"/>
      <c r="J222" s="1356"/>
    </row>
    <row r="223" spans="2:10" ht="13">
      <c r="B223" s="1356" t="s">
        <v>174</v>
      </c>
      <c r="C223" s="367"/>
      <c r="D223" s="367"/>
      <c r="E223" s="1356" t="s">
        <v>175</v>
      </c>
      <c r="F223" s="1356" t="s">
        <v>1142</v>
      </c>
      <c r="G223" s="1356" t="s">
        <v>1295</v>
      </c>
      <c r="H223" s="1356" t="s">
        <v>1296</v>
      </c>
      <c r="I223" s="1356" t="s">
        <v>1297</v>
      </c>
      <c r="J223" s="1356" t="s">
        <v>1298</v>
      </c>
    </row>
    <row r="224" spans="2:10" ht="13">
      <c r="B224" s="1365"/>
      <c r="C224" s="367"/>
      <c r="D224" s="367"/>
      <c r="E224" s="1356"/>
      <c r="F224" s="1356" t="s">
        <v>1329</v>
      </c>
      <c r="G224" s="1356" t="s">
        <v>258</v>
      </c>
      <c r="H224" s="1356"/>
      <c r="I224" s="1356"/>
      <c r="J224" s="1692"/>
    </row>
    <row r="225" spans="2:10" ht="13">
      <c r="B225" s="1408"/>
      <c r="C225" s="367"/>
      <c r="D225" s="367"/>
      <c r="E225" s="1356"/>
      <c r="F225" s="1356" t="s">
        <v>1330</v>
      </c>
      <c r="G225" s="1356" t="s">
        <v>228</v>
      </c>
      <c r="H225" s="1356" t="s">
        <v>259</v>
      </c>
      <c r="I225" s="1356" t="s">
        <v>260</v>
      </c>
      <c r="J225" s="1692"/>
    </row>
    <row r="226" spans="2:10" ht="13">
      <c r="B226" s="1365" t="s">
        <v>1340</v>
      </c>
      <c r="E226" s="1356" t="s">
        <v>44</v>
      </c>
      <c r="F226" s="1359" t="s">
        <v>1331</v>
      </c>
      <c r="G226" s="1356" t="s">
        <v>261</v>
      </c>
      <c r="H226" s="1356" t="s">
        <v>261</v>
      </c>
      <c r="I226" s="1356" t="s">
        <v>261</v>
      </c>
      <c r="J226" s="1356" t="s">
        <v>265</v>
      </c>
    </row>
    <row r="227" spans="2:10">
      <c r="B227" s="1643"/>
      <c r="C227" s="1644"/>
      <c r="D227" s="1647"/>
      <c r="E227" s="1645"/>
      <c r="F227" s="1645"/>
      <c r="G227" s="1645"/>
      <c r="H227" s="1645"/>
      <c r="I227" s="1645"/>
      <c r="J227" s="1693"/>
    </row>
    <row r="228" spans="2:10">
      <c r="B228" s="1643"/>
      <c r="C228" s="1644"/>
      <c r="D228" s="1647"/>
      <c r="E228" s="1645"/>
      <c r="F228" s="1645"/>
      <c r="G228" s="1645"/>
      <c r="H228" s="1645"/>
      <c r="I228" s="1645"/>
      <c r="J228" s="1693"/>
    </row>
    <row r="229" spans="2:10">
      <c r="B229" s="1643"/>
      <c r="C229" s="1644"/>
      <c r="D229" s="1647"/>
      <c r="E229" s="1645"/>
      <c r="F229" s="1645"/>
      <c r="G229" s="1645"/>
      <c r="H229" s="1645"/>
      <c r="I229" s="1645"/>
      <c r="J229" s="1693"/>
    </row>
    <row r="230" spans="2:10">
      <c r="B230" s="1643"/>
      <c r="C230" s="1644"/>
      <c r="D230" s="1647"/>
      <c r="E230" s="1645"/>
      <c r="F230" s="1645"/>
      <c r="G230" s="1645"/>
      <c r="H230" s="1645"/>
      <c r="I230" s="1645"/>
      <c r="J230" s="1649"/>
    </row>
    <row r="231" spans="2:10">
      <c r="B231" s="1643"/>
      <c r="C231" s="1644"/>
      <c r="D231" s="1647"/>
      <c r="E231" s="1645"/>
      <c r="F231" s="1645"/>
      <c r="G231" s="1645"/>
      <c r="H231" s="1645"/>
      <c r="I231" s="1645"/>
      <c r="J231" s="1693"/>
    </row>
    <row r="232" spans="2:10">
      <c r="B232" s="1643"/>
      <c r="C232" s="1644"/>
      <c r="D232" s="1647"/>
      <c r="E232" s="1645"/>
      <c r="F232" s="1645"/>
      <c r="G232" s="1645"/>
      <c r="H232" s="1645"/>
      <c r="I232" s="1645"/>
      <c r="J232" s="1693"/>
    </row>
    <row r="233" spans="2:10">
      <c r="B233" s="1643"/>
      <c r="C233" s="1644"/>
      <c r="D233" s="1647"/>
      <c r="E233" s="1645"/>
      <c r="F233" s="1645"/>
      <c r="G233" s="1645"/>
      <c r="H233" s="1645"/>
      <c r="I233" s="1645"/>
      <c r="J233" s="1693"/>
    </row>
    <row r="234" spans="2:10">
      <c r="B234" s="1643"/>
      <c r="C234" s="1644"/>
      <c r="D234" s="1647"/>
      <c r="E234" s="1645"/>
      <c r="F234" s="1645"/>
      <c r="G234" s="1645"/>
      <c r="H234" s="1645"/>
      <c r="I234" s="1645"/>
      <c r="J234" s="1693"/>
    </row>
    <row r="235" spans="2:10">
      <c r="B235" s="1643"/>
      <c r="C235" s="1644"/>
      <c r="D235" s="1647"/>
      <c r="E235" s="1645"/>
      <c r="F235" s="1645"/>
      <c r="G235" s="1645"/>
      <c r="H235" s="1645"/>
      <c r="I235" s="1645"/>
      <c r="J235" s="1694"/>
    </row>
    <row r="236" spans="2:10" ht="13">
      <c r="B236" s="1381" t="s">
        <v>1008</v>
      </c>
      <c r="C236" s="1379"/>
      <c r="D236" s="1380"/>
      <c r="E236" s="1380">
        <f>SUM(E227:E235)</f>
        <v>0</v>
      </c>
      <c r="F236" s="1380">
        <f>SUM(F227:F235)</f>
        <v>0</v>
      </c>
      <c r="G236" s="1380">
        <f>SUM(G227:G235)</f>
        <v>0</v>
      </c>
      <c r="H236" s="1380">
        <f>SUM(H227:H235)</f>
        <v>0</v>
      </c>
      <c r="I236" s="1380">
        <f>SUM(I227:I235)</f>
        <v>0</v>
      </c>
      <c r="J236" s="1695"/>
    </row>
    <row r="237" spans="2:10" ht="13">
      <c r="B237" s="1381"/>
      <c r="C237" s="1379"/>
      <c r="D237" s="1379"/>
      <c r="E237" s="1380"/>
      <c r="F237" s="1380"/>
      <c r="G237" s="1380"/>
      <c r="H237" s="1380"/>
      <c r="I237" s="1380"/>
      <c r="J237" s="1695"/>
    </row>
    <row r="238" spans="2:10">
      <c r="B238" s="1399" t="s">
        <v>1335</v>
      </c>
      <c r="C238" s="1400"/>
      <c r="D238" s="1401"/>
      <c r="E238" s="1384">
        <f>SUM(F238:I238)</f>
        <v>0</v>
      </c>
      <c r="F238" s="1375"/>
      <c r="G238" s="1375"/>
      <c r="H238" s="1375"/>
      <c r="I238" s="1375"/>
      <c r="J238" s="1385"/>
    </row>
    <row r="239" spans="2:10">
      <c r="B239" s="1382" t="s">
        <v>1336</v>
      </c>
      <c r="C239" s="1383"/>
      <c r="D239" s="1401"/>
      <c r="E239" s="1384">
        <f>SUM(F239:I239)</f>
        <v>0</v>
      </c>
      <c r="F239" s="1375"/>
      <c r="G239" s="1375"/>
      <c r="H239" s="1375"/>
      <c r="I239" s="1375"/>
      <c r="J239" s="1385"/>
    </row>
    <row r="240" spans="2:10">
      <c r="B240" s="1382" t="s">
        <v>1337</v>
      </c>
      <c r="C240" s="1383"/>
      <c r="D240" s="1401"/>
      <c r="E240" s="1384">
        <f>SUM(F240:I240)</f>
        <v>0</v>
      </c>
      <c r="F240" s="1375"/>
      <c r="G240" s="1375"/>
      <c r="H240" s="1375"/>
      <c r="I240" s="1375"/>
      <c r="J240" s="1385"/>
    </row>
    <row r="241" spans="2:10">
      <c r="B241" s="1382" t="s">
        <v>1007</v>
      </c>
      <c r="C241" s="1383"/>
      <c r="D241" s="1401"/>
      <c r="E241" s="1384">
        <f>SUM(F241:I241)</f>
        <v>0</v>
      </c>
      <c r="F241" s="1375"/>
      <c r="G241" s="1375"/>
      <c r="H241" s="1375"/>
      <c r="I241" s="1375"/>
      <c r="J241" s="1385"/>
    </row>
    <row r="242" spans="2:10" ht="5.15" customHeight="1">
      <c r="B242" s="1377"/>
      <c r="C242" s="1378"/>
      <c r="D242" s="1379"/>
      <c r="E242" s="1380"/>
      <c r="F242" s="1380"/>
      <c r="G242" s="1380"/>
      <c r="H242" s="1380"/>
      <c r="I242" s="1380"/>
      <c r="J242" s="1695"/>
    </row>
    <row r="243" spans="2:10" ht="13">
      <c r="B243" s="1402" t="s">
        <v>956</v>
      </c>
      <c r="C243" s="1403"/>
      <c r="D243" s="1379"/>
      <c r="E243" s="1380">
        <f>SUM(E238:E241)+E236</f>
        <v>0</v>
      </c>
      <c r="F243" s="1380">
        <f>SUM(F238:F241)+F236</f>
        <v>0</v>
      </c>
      <c r="G243" s="1380">
        <f>SUM(G238:G241)+G236</f>
        <v>0</v>
      </c>
      <c r="H243" s="1380">
        <f>SUM(H238:H241)+H236</f>
        <v>0</v>
      </c>
      <c r="I243" s="1380">
        <f>SUM(I238:I241)+I236</f>
        <v>0</v>
      </c>
      <c r="J243" s="1695"/>
    </row>
    <row r="244" spans="2:10" ht="13">
      <c r="B244" s="1404"/>
      <c r="C244" s="1405"/>
      <c r="D244" s="1405"/>
      <c r="E244" s="1389"/>
      <c r="F244" s="1380"/>
      <c r="G244" s="1380"/>
      <c r="H244" s="1380"/>
      <c r="I244" s="1380"/>
      <c r="J244" s="1391"/>
    </row>
    <row r="245" spans="2:10" ht="13">
      <c r="B245" s="1406" t="s">
        <v>264</v>
      </c>
      <c r="C245" s="1407"/>
      <c r="D245" s="1388"/>
      <c r="E245" s="1389"/>
      <c r="F245" s="1389"/>
      <c r="G245" s="1389"/>
      <c r="H245" s="1389"/>
      <c r="I245" s="1390">
        <f>'ATT H-1A'!$H$16</f>
        <v>0.13888944064369446</v>
      </c>
      <c r="J245" s="1391"/>
    </row>
    <row r="246" spans="2:10" ht="13">
      <c r="B246" s="1386" t="s">
        <v>237</v>
      </c>
      <c r="C246" s="1387"/>
      <c r="D246" s="1388"/>
      <c r="E246" s="1389"/>
      <c r="F246" s="1389"/>
      <c r="G246" s="1389"/>
      <c r="H246" s="1390">
        <f>'ATT H-1A'!$H$37</f>
        <v>0.37285862840743444</v>
      </c>
      <c r="I246" s="1389"/>
      <c r="J246" s="1391"/>
    </row>
    <row r="247" spans="2:10" ht="13">
      <c r="B247" s="1386" t="s">
        <v>933</v>
      </c>
      <c r="C247" s="1387"/>
      <c r="D247" s="1388"/>
      <c r="E247" s="1389"/>
      <c r="F247" s="1389"/>
      <c r="G247" s="1390">
        <v>1</v>
      </c>
      <c r="H247" s="1389"/>
      <c r="I247" s="1389"/>
      <c r="J247" s="1391"/>
    </row>
    <row r="248" spans="2:10" ht="13">
      <c r="B248" s="1386" t="s">
        <v>934</v>
      </c>
      <c r="C248" s="1387"/>
      <c r="D248" s="1388"/>
      <c r="E248" s="1389"/>
      <c r="F248" s="1390">
        <v>0</v>
      </c>
      <c r="G248" s="1389"/>
      <c r="H248" s="1389"/>
      <c r="I248" s="1389"/>
      <c r="J248" s="1391"/>
    </row>
    <row r="249" spans="2:10" ht="13">
      <c r="B249" s="1392" t="s">
        <v>935</v>
      </c>
      <c r="C249" s="1387"/>
      <c r="D249" s="1388"/>
      <c r="E249" s="1389">
        <f>F249+G249+H249+I249</f>
        <v>0</v>
      </c>
      <c r="F249" s="1389">
        <f>F248*F243</f>
        <v>0</v>
      </c>
      <c r="G249" s="1389">
        <f>G243*G247</f>
        <v>0</v>
      </c>
      <c r="H249" s="1389">
        <f>H243*H246</f>
        <v>0</v>
      </c>
      <c r="I249" s="1389">
        <f>I245*I243</f>
        <v>0</v>
      </c>
      <c r="J249" s="1391"/>
    </row>
    <row r="250" spans="2:10" ht="13">
      <c r="B250" s="1393"/>
      <c r="E250" s="1363"/>
      <c r="F250" s="1363"/>
      <c r="G250" s="1363"/>
      <c r="H250" s="1363"/>
      <c r="I250" s="1363"/>
      <c r="J250" s="1394"/>
    </row>
    <row r="251" spans="2:10" ht="13">
      <c r="B251" s="1393"/>
      <c r="E251" s="1363"/>
      <c r="F251" s="1363"/>
      <c r="G251" s="1363"/>
      <c r="H251" s="1363"/>
      <c r="I251" s="1363"/>
      <c r="J251" s="1394"/>
    </row>
    <row r="252" spans="2:10" ht="13">
      <c r="B252" s="1356"/>
      <c r="C252" s="1356"/>
      <c r="D252" s="1356"/>
      <c r="E252" s="1356"/>
      <c r="F252" s="1356"/>
      <c r="G252" s="1356"/>
      <c r="H252" s="1356"/>
      <c r="I252" s="1356"/>
      <c r="J252" s="1356"/>
    </row>
    <row r="253" spans="2:10" ht="13">
      <c r="B253" s="1356" t="s">
        <v>174</v>
      </c>
      <c r="C253" s="367"/>
      <c r="D253" s="367"/>
      <c r="E253" s="1356" t="s">
        <v>175</v>
      </c>
      <c r="F253" s="1356" t="s">
        <v>1142</v>
      </c>
      <c r="G253" s="1356" t="s">
        <v>1295</v>
      </c>
      <c r="H253" s="1356" t="s">
        <v>1296</v>
      </c>
      <c r="I253" s="1356" t="s">
        <v>1297</v>
      </c>
      <c r="J253" s="1356" t="s">
        <v>1298</v>
      </c>
    </row>
    <row r="254" spans="2:10" ht="13">
      <c r="B254" s="1365"/>
      <c r="C254" s="367"/>
      <c r="D254" s="367"/>
      <c r="E254" s="1356"/>
      <c r="F254" s="1356" t="s">
        <v>1329</v>
      </c>
      <c r="G254" s="1356" t="s">
        <v>258</v>
      </c>
      <c r="H254" s="1356"/>
      <c r="I254" s="1356"/>
      <c r="J254" s="1692"/>
    </row>
    <row r="255" spans="2:10" ht="13">
      <c r="B255" s="1408"/>
      <c r="C255" s="367"/>
      <c r="D255" s="367"/>
      <c r="E255" s="1356"/>
      <c r="F255" s="1356" t="s">
        <v>1330</v>
      </c>
      <c r="G255" s="1356" t="s">
        <v>228</v>
      </c>
      <c r="H255" s="1356" t="s">
        <v>259</v>
      </c>
      <c r="I255" s="1356" t="s">
        <v>260</v>
      </c>
      <c r="J255" s="1692"/>
    </row>
    <row r="256" spans="2:10" ht="16.5" customHeight="1">
      <c r="B256" s="1365" t="s">
        <v>955</v>
      </c>
      <c r="E256" s="1356" t="s">
        <v>44</v>
      </c>
      <c r="F256" s="1359" t="s">
        <v>1331</v>
      </c>
      <c r="G256" s="1356" t="s">
        <v>261</v>
      </c>
      <c r="H256" s="1356" t="s">
        <v>261</v>
      </c>
      <c r="I256" s="1356" t="s">
        <v>261</v>
      </c>
      <c r="J256" s="1356" t="s">
        <v>265</v>
      </c>
    </row>
    <row r="257" spans="2:11">
      <c r="B257" s="1388" t="s">
        <v>1006</v>
      </c>
      <c r="C257" s="1388"/>
      <c r="D257" s="1388"/>
      <c r="E257" s="1380">
        <f>SUM(F257:I257)</f>
        <v>-52264957.38134101</v>
      </c>
      <c r="F257" s="1389">
        <f>F207</f>
        <v>-39906944.608217999</v>
      </c>
      <c r="G257" s="1389">
        <f>G207</f>
        <v>-378604.44019500003</v>
      </c>
      <c r="H257" s="1389">
        <f>H207</f>
        <v>138504.98063400001</v>
      </c>
      <c r="I257" s="1389">
        <f>I207</f>
        <v>-12117913.313562002</v>
      </c>
      <c r="J257" s="1391"/>
    </row>
    <row r="258" spans="2:11">
      <c r="B258" s="1388" t="s">
        <v>955</v>
      </c>
      <c r="C258" s="1388"/>
      <c r="D258" s="1388"/>
      <c r="E258" s="1380">
        <f>SUM(F258:I258)</f>
        <v>0</v>
      </c>
      <c r="F258" s="1389">
        <f>F236</f>
        <v>0</v>
      </c>
      <c r="G258" s="1389">
        <f>G236</f>
        <v>0</v>
      </c>
      <c r="H258" s="1389">
        <f>H236</f>
        <v>0</v>
      </c>
      <c r="I258" s="1389">
        <f>I236</f>
        <v>0</v>
      </c>
      <c r="J258" s="1391"/>
    </row>
    <row r="259" spans="2:11" ht="13">
      <c r="B259" s="1381" t="s">
        <v>949</v>
      </c>
      <c r="C259" s="1388"/>
      <c r="D259" s="1388"/>
      <c r="E259" s="1389">
        <f>E257+E258</f>
        <v>-52264957.38134101</v>
      </c>
      <c r="F259" s="1389">
        <f>F257+F258</f>
        <v>-39906944.608217999</v>
      </c>
      <c r="G259" s="1389">
        <f>G257+G258</f>
        <v>-378604.44019500003</v>
      </c>
      <c r="H259" s="1389">
        <f>H257+H258</f>
        <v>138504.98063400001</v>
      </c>
      <c r="I259" s="1389">
        <f>I257+I258</f>
        <v>-12117913.313562002</v>
      </c>
      <c r="J259" s="1391"/>
    </row>
    <row r="260" spans="2:11" ht="13">
      <c r="B260" s="1393"/>
      <c r="E260" s="1363"/>
      <c r="F260" s="1363"/>
      <c r="G260" s="1363"/>
      <c r="H260" s="1363"/>
      <c r="I260" s="1363"/>
      <c r="J260" s="1394"/>
    </row>
    <row r="261" spans="2:11" s="367" customFormat="1" ht="13">
      <c r="B261" s="1365" t="s">
        <v>275</v>
      </c>
      <c r="G261" s="1413"/>
      <c r="H261" s="1413"/>
      <c r="I261" s="1413"/>
      <c r="J261" s="1697"/>
    </row>
    <row r="262" spans="2:11" s="367" customFormat="1" ht="13">
      <c r="B262" s="1749" t="s">
        <v>1339</v>
      </c>
      <c r="C262" s="1749"/>
      <c r="D262" s="1749"/>
      <c r="E262" s="1749"/>
      <c r="F262" s="1749"/>
      <c r="G262" s="1749"/>
      <c r="H262" s="1749"/>
      <c r="I262" s="1749"/>
      <c r="J262" s="1697"/>
    </row>
    <row r="263" spans="2:11" s="367" customFormat="1" ht="13">
      <c r="B263" s="1420" t="s">
        <v>270</v>
      </c>
      <c r="G263" s="1413"/>
      <c r="H263" s="1413"/>
      <c r="I263" s="1413"/>
      <c r="J263" s="1697"/>
    </row>
    <row r="264" spans="2:11" s="367" customFormat="1" ht="13">
      <c r="B264" s="1420" t="s">
        <v>271</v>
      </c>
      <c r="G264" s="1413"/>
      <c r="H264" s="1413"/>
      <c r="I264" s="1413"/>
      <c r="J264" s="1697"/>
    </row>
    <row r="265" spans="2:11" s="367" customFormat="1" ht="13">
      <c r="B265" s="1420" t="s">
        <v>272</v>
      </c>
      <c r="G265" s="1413"/>
      <c r="H265" s="1413"/>
      <c r="I265" s="1413"/>
      <c r="J265" s="1697"/>
    </row>
    <row r="266" spans="2:11" s="367" customFormat="1" ht="15.75" customHeight="1">
      <c r="B266" s="1744" t="s">
        <v>273</v>
      </c>
      <c r="C266" s="1744"/>
      <c r="D266" s="1744"/>
      <c r="E266" s="1744"/>
      <c r="F266" s="1744"/>
      <c r="G266" s="1744"/>
      <c r="H266" s="1744"/>
      <c r="I266" s="1744"/>
      <c r="J266" s="1692"/>
      <c r="K266" s="1415"/>
    </row>
    <row r="267" spans="2:11" s="367" customFormat="1" ht="15.75" customHeight="1">
      <c r="B267" s="1744"/>
      <c r="C267" s="1744"/>
      <c r="D267" s="1744"/>
      <c r="E267" s="1744"/>
      <c r="F267" s="1744"/>
      <c r="G267" s="1744"/>
      <c r="H267" s="1744"/>
      <c r="I267" s="1744"/>
      <c r="J267" s="1692"/>
      <c r="K267" s="1415"/>
    </row>
    <row r="268" spans="2:11" s="367" customFormat="1" ht="13">
      <c r="B268" s="1414" t="s">
        <v>957</v>
      </c>
      <c r="G268" s="1413"/>
      <c r="H268" s="1413"/>
      <c r="I268" s="1413"/>
      <c r="J268" s="1697"/>
    </row>
    <row r="269" spans="2:11" ht="13">
      <c r="B269" s="1420" t="s">
        <v>951</v>
      </c>
    </row>
    <row r="270" spans="2:11" ht="12" customHeight="1">
      <c r="B270" s="1421"/>
      <c r="C270" s="1422"/>
      <c r="D270" s="1423"/>
      <c r="E270" s="1423"/>
      <c r="F270" s="1423"/>
      <c r="G270" s="1423"/>
      <c r="H270" s="1423"/>
      <c r="I270" s="1423"/>
      <c r="J270" s="1423"/>
    </row>
    <row r="271" spans="2:11" ht="12.75" customHeight="1">
      <c r="B271" s="1421"/>
      <c r="C271" s="1423"/>
      <c r="D271" s="1423"/>
      <c r="E271" s="1423"/>
      <c r="F271" s="1423"/>
      <c r="G271" s="1423"/>
      <c r="H271" s="1423"/>
      <c r="I271" s="1423"/>
      <c r="J271" s="1423"/>
    </row>
    <row r="272" spans="2:11" ht="13">
      <c r="B272" s="1356" t="s">
        <v>174</v>
      </c>
      <c r="C272" s="367"/>
      <c r="D272" s="367"/>
      <c r="E272" s="1356" t="s">
        <v>175</v>
      </c>
      <c r="F272" s="1356" t="s">
        <v>1142</v>
      </c>
      <c r="G272" s="1356" t="s">
        <v>1295</v>
      </c>
      <c r="H272" s="1356" t="s">
        <v>1296</v>
      </c>
      <c r="I272" s="1356" t="s">
        <v>1297</v>
      </c>
      <c r="J272" s="1356" t="s">
        <v>1298</v>
      </c>
    </row>
    <row r="273" spans="2:10" ht="13">
      <c r="B273" s="1365"/>
      <c r="C273" s="367"/>
      <c r="D273" s="367"/>
      <c r="E273" s="1356"/>
      <c r="F273" s="1356" t="s">
        <v>1329</v>
      </c>
      <c r="G273" s="1356" t="s">
        <v>258</v>
      </c>
      <c r="H273" s="1356"/>
      <c r="I273" s="1356"/>
      <c r="J273" s="1692"/>
    </row>
    <row r="274" spans="2:10" ht="13">
      <c r="B274" s="1408"/>
      <c r="C274" s="367"/>
      <c r="D274" s="367"/>
      <c r="E274" s="1356"/>
      <c r="F274" s="1356" t="s">
        <v>1330</v>
      </c>
      <c r="G274" s="1356" t="s">
        <v>228</v>
      </c>
      <c r="H274" s="1356" t="s">
        <v>259</v>
      </c>
      <c r="I274" s="1356" t="s">
        <v>260</v>
      </c>
      <c r="J274" s="1692"/>
    </row>
    <row r="275" spans="2:10" ht="13">
      <c r="B275" s="1365" t="s">
        <v>1341</v>
      </c>
      <c r="E275" s="1356" t="s">
        <v>44</v>
      </c>
      <c r="F275" s="1359" t="s">
        <v>1331</v>
      </c>
      <c r="G275" s="1356" t="s">
        <v>261</v>
      </c>
      <c r="H275" s="1356" t="s">
        <v>261</v>
      </c>
      <c r="I275" s="1356" t="s">
        <v>261</v>
      </c>
      <c r="J275" s="1356" t="s">
        <v>265</v>
      </c>
    </row>
    <row r="276" spans="2:10">
      <c r="B276" s="1374"/>
      <c r="C276" s="1395"/>
      <c r="D276" s="1397"/>
      <c r="E276" s="1375"/>
      <c r="F276" s="1375"/>
      <c r="G276" s="1375"/>
      <c r="H276" s="1375"/>
      <c r="I276" s="1375"/>
      <c r="J276" s="1424"/>
    </row>
    <row r="277" spans="2:10" ht="25">
      <c r="B277" s="1501" t="s">
        <v>1342</v>
      </c>
      <c r="C277" s="1503"/>
      <c r="D277" s="1504"/>
      <c r="E277" s="1502">
        <f>F277+G277+H277+I277</f>
        <v>-2708204</v>
      </c>
      <c r="F277" s="1502"/>
      <c r="G277" s="1502"/>
      <c r="H277" s="1502">
        <v>-2708204</v>
      </c>
      <c r="I277" s="1375"/>
      <c r="J277" s="1424" t="s">
        <v>1779</v>
      </c>
    </row>
    <row r="278" spans="2:10">
      <c r="B278" s="1374"/>
      <c r="C278" s="1395"/>
      <c r="D278" s="1397"/>
      <c r="E278" s="1375"/>
      <c r="F278" s="1375"/>
      <c r="G278" s="1375"/>
      <c r="H278" s="1375"/>
      <c r="I278" s="1375"/>
      <c r="J278" s="1424"/>
    </row>
    <row r="279" spans="2:10">
      <c r="B279" s="1374"/>
      <c r="C279" s="1395"/>
      <c r="D279" s="1397"/>
      <c r="E279" s="1375"/>
      <c r="F279" s="1375"/>
      <c r="G279" s="1375"/>
      <c r="H279" s="1375"/>
      <c r="I279" s="1375"/>
      <c r="J279" s="1424"/>
    </row>
    <row r="280" spans="2:10">
      <c r="B280" s="1374"/>
      <c r="C280" s="1395"/>
      <c r="D280" s="1397"/>
      <c r="E280" s="1375"/>
      <c r="F280" s="1375"/>
      <c r="G280" s="1375"/>
      <c r="H280" s="1375"/>
      <c r="I280" s="1375"/>
      <c r="J280" s="1424"/>
    </row>
    <row r="281" spans="2:10">
      <c r="B281" s="1374"/>
      <c r="C281" s="1395"/>
      <c r="D281" s="1397"/>
      <c r="E281" s="1375"/>
      <c r="F281" s="1375"/>
      <c r="G281" s="1375"/>
      <c r="H281" s="1375"/>
      <c r="I281" s="1375"/>
      <c r="J281" s="1424"/>
    </row>
    <row r="282" spans="2:10">
      <c r="B282" s="1374"/>
      <c r="C282" s="1395"/>
      <c r="D282" s="1397"/>
      <c r="E282" s="1375"/>
      <c r="F282" s="1375"/>
      <c r="G282" s="1375"/>
      <c r="H282" s="1375"/>
      <c r="I282" s="1375"/>
      <c r="J282" s="1424"/>
    </row>
    <row r="283" spans="2:10" ht="13">
      <c r="B283" s="1381" t="s">
        <v>1343</v>
      </c>
      <c r="C283" s="1403"/>
      <c r="D283" s="1379"/>
      <c r="E283" s="1380">
        <f>SUM(E276:E282)</f>
        <v>-2708204</v>
      </c>
      <c r="F283" s="1380">
        <f>SUM(F276:F282)</f>
        <v>0</v>
      </c>
      <c r="G283" s="1380">
        <f>SUM(G276:G282)</f>
        <v>0</v>
      </c>
      <c r="H283" s="1380">
        <f>SUM(H276:H282)</f>
        <v>-2708204</v>
      </c>
      <c r="I283" s="1380">
        <f>SUM(I276:I282)</f>
        <v>0</v>
      </c>
      <c r="J283" s="1695"/>
    </row>
    <row r="284" spans="2:10" ht="13">
      <c r="B284" s="1381"/>
      <c r="C284" s="1379"/>
      <c r="D284" s="1379"/>
      <c r="E284" s="1380"/>
      <c r="F284" s="1380"/>
      <c r="G284" s="1380"/>
      <c r="H284" s="1380"/>
      <c r="I284" s="1380"/>
      <c r="J284" s="1695"/>
    </row>
    <row r="285" spans="2:10">
      <c r="B285" s="1382" t="s">
        <v>1344</v>
      </c>
      <c r="C285" s="1383"/>
      <c r="D285" s="1401"/>
      <c r="E285" s="1384">
        <f>SUM(F285:I285)</f>
        <v>2708204</v>
      </c>
      <c r="F285" s="1375"/>
      <c r="G285" s="1375"/>
      <c r="H285" s="1375">
        <f>-H277</f>
        <v>2708204</v>
      </c>
      <c r="I285" s="1375"/>
      <c r="J285" s="1385"/>
    </row>
    <row r="286" spans="2:10" ht="5.15" customHeight="1">
      <c r="B286" s="1377"/>
      <c r="C286" s="1378"/>
      <c r="D286" s="1379"/>
      <c r="E286" s="1380"/>
      <c r="F286" s="1380"/>
      <c r="G286" s="1380"/>
      <c r="H286" s="1380"/>
      <c r="I286" s="1380"/>
      <c r="J286" s="1695"/>
    </row>
    <row r="287" spans="2:10" ht="13">
      <c r="B287" s="1381" t="s">
        <v>1345</v>
      </c>
      <c r="C287" s="1379"/>
      <c r="D287" s="1379"/>
      <c r="E287" s="1380">
        <f>SUM(E285:E285)+E283</f>
        <v>0</v>
      </c>
      <c r="F287" s="1380">
        <f>SUM(F285:F285)+F283</f>
        <v>0</v>
      </c>
      <c r="G287" s="1380">
        <f>SUM(G285:G285)+G283</f>
        <v>0</v>
      </c>
      <c r="H287" s="1380">
        <f>SUM(H285:H285)+H283</f>
        <v>0</v>
      </c>
      <c r="I287" s="1380">
        <f>SUM(I285:I285)+I283</f>
        <v>0</v>
      </c>
      <c r="J287" s="1695"/>
    </row>
    <row r="288" spans="2:10" ht="13">
      <c r="B288" s="1426"/>
      <c r="C288" s="1388"/>
      <c r="D288" s="1388"/>
      <c r="E288" s="1389"/>
      <c r="F288" s="1380"/>
      <c r="G288" s="1380"/>
      <c r="H288" s="1380"/>
      <c r="I288" s="1380"/>
      <c r="J288" s="1391"/>
    </row>
    <row r="289" spans="2:10" ht="13">
      <c r="B289" s="1386" t="s">
        <v>264</v>
      </c>
      <c r="C289" s="1387"/>
      <c r="D289" s="1388"/>
      <c r="E289" s="1389"/>
      <c r="F289" s="1389"/>
      <c r="G289" s="1389"/>
      <c r="H289" s="1389"/>
      <c r="I289" s="1390">
        <f>'ATT H-1A'!$H$16</f>
        <v>0.13888944064369446</v>
      </c>
      <c r="J289" s="1391"/>
    </row>
    <row r="290" spans="2:10" ht="13">
      <c r="B290" s="1386" t="s">
        <v>237</v>
      </c>
      <c r="C290" s="1387"/>
      <c r="D290" s="1388"/>
      <c r="E290" s="1389"/>
      <c r="F290" s="1389"/>
      <c r="G290" s="1389"/>
      <c r="H290" s="1390">
        <f>+H246</f>
        <v>0.37285862840743444</v>
      </c>
      <c r="I290" s="1389"/>
      <c r="J290" s="1391"/>
    </row>
    <row r="291" spans="2:10" ht="13">
      <c r="B291" s="1386" t="s">
        <v>933</v>
      </c>
      <c r="C291" s="1387"/>
      <c r="D291" s="1388"/>
      <c r="E291" s="1389"/>
      <c r="F291" s="1389"/>
      <c r="G291" s="1390">
        <v>1</v>
      </c>
      <c r="H291" s="1389"/>
      <c r="I291" s="1389"/>
      <c r="J291" s="1391"/>
    </row>
    <row r="292" spans="2:10" ht="13">
      <c r="B292" s="1386" t="s">
        <v>934</v>
      </c>
      <c r="C292" s="1387"/>
      <c r="D292" s="1388"/>
      <c r="E292" s="1389"/>
      <c r="F292" s="1390">
        <v>0</v>
      </c>
      <c r="G292" s="1389"/>
      <c r="H292" s="1389"/>
      <c r="I292" s="1389"/>
      <c r="J292" s="1391"/>
    </row>
    <row r="293" spans="2:10" ht="13">
      <c r="B293" s="1387" t="s">
        <v>1346</v>
      </c>
      <c r="C293" s="1387"/>
      <c r="D293" s="1388"/>
      <c r="E293" s="1389">
        <f>F293+G293+H293+I293</f>
        <v>0</v>
      </c>
      <c r="F293" s="1389">
        <f>F292*F287</f>
        <v>0</v>
      </c>
      <c r="G293" s="1389">
        <f>G287*G291</f>
        <v>0</v>
      </c>
      <c r="H293" s="1389">
        <f>H287*H290</f>
        <v>0</v>
      </c>
      <c r="I293" s="1389">
        <f>I289*I287</f>
        <v>0</v>
      </c>
      <c r="J293" s="1391"/>
    </row>
    <row r="294" spans="2:10" ht="12.75" customHeight="1">
      <c r="B294" s="1421"/>
      <c r="C294" s="1423"/>
      <c r="D294" s="1423"/>
      <c r="E294" s="1423"/>
      <c r="F294" s="1423"/>
      <c r="G294" s="1423"/>
      <c r="H294" s="1423"/>
      <c r="I294" s="1423"/>
      <c r="J294" s="1423"/>
    </row>
    <row r="295" spans="2:10" ht="12.75" customHeight="1">
      <c r="B295" s="1421"/>
      <c r="C295" s="1423"/>
      <c r="D295" s="1423"/>
      <c r="E295" s="1423"/>
      <c r="F295" s="1423"/>
      <c r="G295" s="1423"/>
      <c r="H295" s="1423"/>
      <c r="I295" s="1423"/>
      <c r="J295" s="1423"/>
    </row>
    <row r="296" spans="2:10" ht="13">
      <c r="B296" s="1356" t="s">
        <v>174</v>
      </c>
      <c r="C296" s="367"/>
      <c r="D296" s="367"/>
      <c r="E296" s="1356" t="s">
        <v>175</v>
      </c>
      <c r="F296" s="1356" t="s">
        <v>1142</v>
      </c>
      <c r="G296" s="1356" t="s">
        <v>1295</v>
      </c>
      <c r="H296" s="1356" t="s">
        <v>1296</v>
      </c>
      <c r="I296" s="1356" t="s">
        <v>1297</v>
      </c>
      <c r="J296" s="1356" t="s">
        <v>1298</v>
      </c>
    </row>
    <row r="297" spans="2:10" ht="13">
      <c r="B297" s="1365"/>
      <c r="C297" s="367"/>
      <c r="D297" s="367"/>
      <c r="E297" s="1356"/>
      <c r="F297" s="1356" t="s">
        <v>1329</v>
      </c>
      <c r="G297" s="1356" t="s">
        <v>258</v>
      </c>
      <c r="H297" s="1356"/>
      <c r="I297" s="1356"/>
      <c r="J297" s="1692"/>
    </row>
    <row r="298" spans="2:10" ht="13">
      <c r="B298" s="1408"/>
      <c r="C298" s="367"/>
      <c r="D298" s="367"/>
      <c r="E298" s="1356"/>
      <c r="F298" s="1356" t="s">
        <v>1330</v>
      </c>
      <c r="G298" s="1356" t="s">
        <v>228</v>
      </c>
      <c r="H298" s="1356" t="s">
        <v>259</v>
      </c>
      <c r="I298" s="1356" t="s">
        <v>260</v>
      </c>
      <c r="J298" s="1692"/>
    </row>
    <row r="299" spans="2:10" ht="13">
      <c r="B299" s="1365" t="s">
        <v>1224</v>
      </c>
      <c r="E299" s="1356" t="s">
        <v>44</v>
      </c>
      <c r="F299" s="1359" t="s">
        <v>1331</v>
      </c>
      <c r="G299" s="1356" t="s">
        <v>261</v>
      </c>
      <c r="H299" s="1356" t="s">
        <v>261</v>
      </c>
      <c r="I299" s="1356" t="s">
        <v>261</v>
      </c>
      <c r="J299" s="1356" t="s">
        <v>265</v>
      </c>
    </row>
    <row r="300" spans="2:10">
      <c r="B300" s="1374"/>
      <c r="C300" s="1395"/>
      <c r="D300" s="1397"/>
      <c r="E300" s="1375"/>
      <c r="F300" s="1375"/>
      <c r="G300" s="1375"/>
      <c r="H300" s="1375"/>
      <c r="I300" s="1375"/>
      <c r="J300" s="1424"/>
    </row>
    <row r="301" spans="2:10" ht="50">
      <c r="B301" s="1501" t="s">
        <v>1224</v>
      </c>
      <c r="C301" s="1503"/>
      <c r="D301" s="1504"/>
      <c r="E301" s="1502">
        <f>F301+G301+H301+I301</f>
        <v>325763</v>
      </c>
      <c r="F301" s="1502"/>
      <c r="G301" s="1502"/>
      <c r="H301" s="1502">
        <v>325763</v>
      </c>
      <c r="I301" s="1502"/>
      <c r="J301" s="1424" t="s">
        <v>1780</v>
      </c>
    </row>
    <row r="302" spans="2:10">
      <c r="B302" s="1374"/>
      <c r="C302" s="1395"/>
      <c r="D302" s="1397"/>
      <c r="E302" s="1375"/>
      <c r="F302" s="1375"/>
      <c r="G302" s="1375"/>
      <c r="H302" s="1375"/>
      <c r="I302" s="1375"/>
      <c r="J302" s="1424"/>
    </row>
    <row r="303" spans="2:10">
      <c r="B303" s="1374"/>
      <c r="C303" s="1395"/>
      <c r="D303" s="1397"/>
      <c r="E303" s="1375"/>
      <c r="F303" s="1375"/>
      <c r="G303" s="1375"/>
      <c r="H303" s="1375"/>
      <c r="I303" s="1375"/>
      <c r="J303" s="1424"/>
    </row>
    <row r="304" spans="2:10">
      <c r="B304" s="1374"/>
      <c r="C304" s="1395"/>
      <c r="D304" s="1397"/>
      <c r="E304" s="1375"/>
      <c r="F304" s="1375"/>
      <c r="G304" s="1375"/>
      <c r="H304" s="1375"/>
      <c r="I304" s="1375"/>
      <c r="J304" s="1424"/>
    </row>
    <row r="305" spans="1:10">
      <c r="B305" s="1374"/>
      <c r="C305" s="1395"/>
      <c r="D305" s="1397"/>
      <c r="E305" s="1375"/>
      <c r="F305" s="1375"/>
      <c r="G305" s="1375"/>
      <c r="H305" s="1375"/>
      <c r="I305" s="1375"/>
      <c r="J305" s="1424"/>
    </row>
    <row r="306" spans="1:10">
      <c r="B306" s="1374"/>
      <c r="C306" s="1395"/>
      <c r="D306" s="1397"/>
      <c r="E306" s="1375"/>
      <c r="F306" s="1375"/>
      <c r="G306" s="1375"/>
      <c r="H306" s="1375"/>
      <c r="I306" s="1375"/>
      <c r="J306" s="1424"/>
    </row>
    <row r="307" spans="1:10" ht="13">
      <c r="B307" s="1381" t="s">
        <v>1347</v>
      </c>
      <c r="C307" s="1427"/>
      <c r="D307" s="1379"/>
      <c r="E307" s="1380">
        <f>SUM(E300:E306)</f>
        <v>325763</v>
      </c>
      <c r="F307" s="1380">
        <f>SUM(F300:F306)</f>
        <v>0</v>
      </c>
      <c r="G307" s="1380">
        <f>SUM(G300:G306)</f>
        <v>0</v>
      </c>
      <c r="H307" s="1380">
        <f>SUM(H300:H306)</f>
        <v>325763</v>
      </c>
      <c r="I307" s="1380">
        <f>SUM(I300:I306)</f>
        <v>0</v>
      </c>
      <c r="J307" s="1695"/>
    </row>
    <row r="308" spans="1:10" ht="13">
      <c r="B308" s="1404"/>
      <c r="C308" s="1405"/>
      <c r="D308" s="1405"/>
      <c r="E308" s="1389"/>
      <c r="F308" s="1380"/>
      <c r="G308" s="1380"/>
      <c r="H308" s="1380"/>
      <c r="I308" s="1380"/>
      <c r="J308" s="1391"/>
    </row>
    <row r="309" spans="1:10" ht="13">
      <c r="B309" s="1406" t="s">
        <v>264</v>
      </c>
      <c r="C309" s="1407"/>
      <c r="D309" s="1388"/>
      <c r="E309" s="1389"/>
      <c r="F309" s="1389"/>
      <c r="G309" s="1389"/>
      <c r="H309" s="1389"/>
      <c r="I309" s="1390">
        <f>'ATT H-1A'!$H$16</f>
        <v>0.13888944064369446</v>
      </c>
      <c r="J309" s="1391"/>
    </row>
    <row r="310" spans="1:10" ht="13">
      <c r="B310" s="1386" t="s">
        <v>237</v>
      </c>
      <c r="C310" s="1387"/>
      <c r="D310" s="1388"/>
      <c r="E310" s="1389"/>
      <c r="F310" s="1389"/>
      <c r="G310" s="1389"/>
      <c r="H310" s="1390">
        <f>+H290</f>
        <v>0.37285862840743444</v>
      </c>
      <c r="I310" s="1389"/>
      <c r="J310" s="1391"/>
    </row>
    <row r="311" spans="1:10" ht="13">
      <c r="B311" s="1386" t="s">
        <v>933</v>
      </c>
      <c r="C311" s="1387"/>
      <c r="D311" s="1388"/>
      <c r="E311" s="1389"/>
      <c r="F311" s="1389"/>
      <c r="G311" s="1390">
        <v>1</v>
      </c>
      <c r="H311" s="1389"/>
      <c r="I311" s="1389"/>
      <c r="J311" s="1391"/>
    </row>
    <row r="312" spans="1:10" ht="13">
      <c r="B312" s="1386" t="s">
        <v>934</v>
      </c>
      <c r="C312" s="1387"/>
      <c r="D312" s="1388"/>
      <c r="E312" s="1389"/>
      <c r="F312" s="1390">
        <v>0</v>
      </c>
      <c r="G312" s="1389"/>
      <c r="H312" s="1389"/>
      <c r="I312" s="1389"/>
      <c r="J312" s="1391"/>
    </row>
    <row r="313" spans="1:10" ht="13">
      <c r="B313" s="1392" t="s">
        <v>1348</v>
      </c>
      <c r="C313" s="1387"/>
      <c r="D313" s="1388"/>
      <c r="E313" s="1389">
        <f>F313+G313+H313+I313</f>
        <v>121463.54536589107</v>
      </c>
      <c r="F313" s="1389">
        <f>F312*F307</f>
        <v>0</v>
      </c>
      <c r="G313" s="1389">
        <f>G307*G311</f>
        <v>0</v>
      </c>
      <c r="H313" s="1389">
        <f>H307*H310</f>
        <v>121463.54536589107</v>
      </c>
      <c r="I313" s="1389">
        <f>I309*I307</f>
        <v>0</v>
      </c>
      <c r="J313" s="1391"/>
    </row>
    <row r="314" spans="1:10">
      <c r="G314" s="1367"/>
    </row>
    <row r="316" spans="1:10" s="1248" customFormat="1" ht="15.5">
      <c r="A316" s="1428" t="s">
        <v>489</v>
      </c>
      <c r="B316" s="1429"/>
      <c r="C316" s="1429"/>
      <c r="D316" s="225"/>
      <c r="E316" s="225"/>
      <c r="F316" s="578"/>
      <c r="G316" s="225"/>
      <c r="H316" s="225"/>
      <c r="I316" s="225"/>
      <c r="J316" s="225"/>
    </row>
  </sheetData>
  <mergeCells count="12">
    <mergeCell ref="B266:I267"/>
    <mergeCell ref="A1:K1"/>
    <mergeCell ref="A2:K2"/>
    <mergeCell ref="A3:K3"/>
    <mergeCell ref="B6:J6"/>
    <mergeCell ref="B24:I26"/>
    <mergeCell ref="B29:I30"/>
    <mergeCell ref="B117:I117"/>
    <mergeCell ref="B121:I122"/>
    <mergeCell ref="B183:I183"/>
    <mergeCell ref="B187:I188"/>
    <mergeCell ref="B262:I262"/>
  </mergeCells>
  <pageMargins left="0.25" right="0.25" top="0.75" bottom="0.75" header="0.3" footer="0.3"/>
  <pageSetup scale="41" fitToHeight="0" orientation="landscape" r:id="rId1"/>
  <rowBreaks count="5" manualBreakCount="5">
    <brk id="31" max="16383" man="1"/>
    <brk id="79" max="16383" man="1"/>
    <brk id="125" max="16383" man="1"/>
    <brk id="192"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332A-7222-46D9-A6C2-0BBC8F58C4A0}">
  <dimension ref="A1:R311"/>
  <sheetViews>
    <sheetView topLeftCell="D28" zoomScale="80" zoomScaleNormal="80" workbookViewId="0">
      <selection activeCell="J29" sqref="J28:J29"/>
    </sheetView>
  </sheetViews>
  <sheetFormatPr defaultColWidth="9.1796875" defaultRowHeight="12.5"/>
  <cols>
    <col min="1" max="1" width="5.7265625" style="1352" customWidth="1"/>
    <col min="2" max="2" width="11.453125" style="1354" customWidth="1"/>
    <col min="3" max="3" width="75.1796875" style="1352" customWidth="1"/>
    <col min="4" max="4" width="0.54296875" style="1352" customWidth="1"/>
    <col min="5" max="5" width="29.1796875" style="1352" customWidth="1"/>
    <col min="6" max="6" width="26.453125" style="1352" customWidth="1"/>
    <col min="7" max="7" width="18.81640625" style="1352" customWidth="1"/>
    <col min="8" max="8" width="27.81640625" style="1352" customWidth="1"/>
    <col min="9" max="9" width="28.81640625" style="1352" customWidth="1"/>
    <col min="10" max="10" width="85.7265625" style="1352" customWidth="1"/>
    <col min="11" max="11" width="5.7265625" style="1352" customWidth="1"/>
    <col min="12" max="16384" width="9.1796875" style="1352"/>
  </cols>
  <sheetData>
    <row r="1" spans="1:18" ht="15.5">
      <c r="A1" s="1745" t="s">
        <v>1551</v>
      </c>
      <c r="B1" s="1745"/>
      <c r="C1" s="1745"/>
      <c r="D1" s="1745"/>
      <c r="E1" s="1745"/>
      <c r="F1" s="1745"/>
      <c r="G1" s="1745"/>
      <c r="H1" s="1745"/>
      <c r="I1" s="1745"/>
      <c r="J1" s="1745"/>
      <c r="K1" s="1745"/>
    </row>
    <row r="2" spans="1:18" ht="15.5">
      <c r="A2" s="1746" t="s">
        <v>896</v>
      </c>
      <c r="B2" s="1746"/>
      <c r="C2" s="1746"/>
      <c r="D2" s="1746"/>
      <c r="E2" s="1746"/>
      <c r="F2" s="1746"/>
      <c r="G2" s="1746"/>
      <c r="H2" s="1746"/>
      <c r="I2" s="1746"/>
      <c r="J2" s="1746"/>
      <c r="K2" s="1746"/>
    </row>
    <row r="3" spans="1:18" ht="15.5">
      <c r="A3" s="1745" t="s">
        <v>1349</v>
      </c>
      <c r="B3" s="1745"/>
      <c r="C3" s="1745"/>
      <c r="D3" s="1745"/>
      <c r="E3" s="1745"/>
      <c r="F3" s="1745"/>
      <c r="G3" s="1745"/>
      <c r="H3" s="1745"/>
      <c r="I3" s="1745"/>
      <c r="J3" s="1745"/>
      <c r="K3" s="1745"/>
    </row>
    <row r="4" spans="1:18" ht="13">
      <c r="B4" s="1353"/>
    </row>
    <row r="5" spans="1:18" ht="13">
      <c r="I5" s="1355"/>
    </row>
    <row r="6" spans="1:18" ht="13">
      <c r="B6" s="1747" t="s">
        <v>1800</v>
      </c>
      <c r="C6" s="1747"/>
      <c r="D6" s="1747"/>
      <c r="E6" s="1747"/>
      <c r="F6" s="1747"/>
      <c r="G6" s="1747"/>
      <c r="H6" s="1747"/>
      <c r="I6" s="1747"/>
      <c r="J6" s="1747"/>
    </row>
    <row r="7" spans="1:18" ht="13">
      <c r="F7" s="1356" t="s">
        <v>1329</v>
      </c>
      <c r="G7" s="1357" t="s">
        <v>258</v>
      </c>
      <c r="H7" s="1357"/>
    </row>
    <row r="8" spans="1:18" ht="13">
      <c r="F8" s="1356" t="s">
        <v>1330</v>
      </c>
      <c r="G8" s="1357" t="s">
        <v>228</v>
      </c>
      <c r="H8" s="1357" t="s">
        <v>259</v>
      </c>
      <c r="I8" s="1357" t="s">
        <v>260</v>
      </c>
    </row>
    <row r="9" spans="1:18" ht="13">
      <c r="B9" s="1358" t="s">
        <v>573</v>
      </c>
      <c r="C9" s="1358" t="s">
        <v>926</v>
      </c>
      <c r="E9" s="1359" t="s">
        <v>44</v>
      </c>
      <c r="F9" s="1359" t="s">
        <v>1331</v>
      </c>
      <c r="G9" s="1360" t="s">
        <v>261</v>
      </c>
      <c r="H9" s="1360" t="s">
        <v>261</v>
      </c>
      <c r="I9" s="1360" t="s">
        <v>261</v>
      </c>
    </row>
    <row r="10" spans="1:18" ht="5.15" customHeight="1"/>
    <row r="11" spans="1:18">
      <c r="B11" s="1354">
        <v>1</v>
      </c>
      <c r="C11" s="1361" t="s">
        <v>263</v>
      </c>
      <c r="E11" s="1362">
        <f>F11+G11+H11+I11</f>
        <v>9378605.7947436087</v>
      </c>
      <c r="F11" s="1362">
        <f>F72</f>
        <v>0</v>
      </c>
      <c r="G11" s="1362">
        <f>G72</f>
        <v>0</v>
      </c>
      <c r="H11" s="1362">
        <f>H72</f>
        <v>8740681.3373282067</v>
      </c>
      <c r="I11" s="1362">
        <f>I72</f>
        <v>637924.45741540124</v>
      </c>
    </row>
    <row r="12" spans="1:18">
      <c r="B12" s="1354">
        <f>B11+1</f>
        <v>2</v>
      </c>
      <c r="C12" s="1361" t="s">
        <v>927</v>
      </c>
      <c r="E12" s="1362">
        <f>F12+G12+H12+I12</f>
        <v>0</v>
      </c>
      <c r="F12" s="1362">
        <v>0</v>
      </c>
      <c r="G12" s="1362">
        <v>0</v>
      </c>
      <c r="H12" s="1362">
        <v>0</v>
      </c>
      <c r="I12" s="1362">
        <v>0</v>
      </c>
      <c r="O12" s="1363"/>
      <c r="P12" s="1363"/>
      <c r="Q12" s="1363"/>
      <c r="R12" s="1363"/>
    </row>
    <row r="13" spans="1:18">
      <c r="B13" s="1354">
        <f>B12+1</f>
        <v>3</v>
      </c>
      <c r="C13" s="1361" t="s">
        <v>928</v>
      </c>
      <c r="E13" s="1362">
        <f>F13+G13+H13+I13</f>
        <v>-175369269.81972218</v>
      </c>
      <c r="F13" s="1362">
        <f>F142</f>
        <v>0</v>
      </c>
      <c r="G13" s="1362">
        <f>G142</f>
        <v>0</v>
      </c>
      <c r="H13" s="1362">
        <f>H142</f>
        <v>-175369269.81972218</v>
      </c>
      <c r="I13" s="1362">
        <f>I142</f>
        <v>0</v>
      </c>
      <c r="O13" s="1363"/>
      <c r="P13" s="1363"/>
      <c r="Q13" s="1363"/>
      <c r="R13" s="1363"/>
    </row>
    <row r="14" spans="1:18">
      <c r="B14" s="1354">
        <f>B13+1</f>
        <v>4</v>
      </c>
      <c r="C14" s="1361" t="s">
        <v>262</v>
      </c>
      <c r="E14" s="1362">
        <f>F14+G14+H14+I14</f>
        <v>-3545388.2838099319</v>
      </c>
      <c r="F14" s="1362">
        <f>F217</f>
        <v>0</v>
      </c>
      <c r="G14" s="1362">
        <f>G217</f>
        <v>-1973303.1663000002</v>
      </c>
      <c r="H14" s="1362">
        <f>H217</f>
        <v>78512.981722171651</v>
      </c>
      <c r="I14" s="1362">
        <f>I217</f>
        <v>-1650598.0992321032</v>
      </c>
      <c r="O14" s="1363"/>
      <c r="P14" s="1363"/>
      <c r="Q14" s="1363"/>
      <c r="R14" s="1363"/>
    </row>
    <row r="15" spans="1:18">
      <c r="B15" s="1354">
        <f>B14+1</f>
        <v>5</v>
      </c>
      <c r="C15" s="1361" t="s">
        <v>276</v>
      </c>
      <c r="E15" s="1362">
        <f>F15+G15+H15+I15</f>
        <v>0</v>
      </c>
      <c r="F15" s="1362">
        <f>F288</f>
        <v>0</v>
      </c>
      <c r="G15" s="1362">
        <f>G288</f>
        <v>0</v>
      </c>
      <c r="H15" s="1362">
        <f>H288</f>
        <v>0</v>
      </c>
      <c r="I15" s="1362">
        <f>I288</f>
        <v>0</v>
      </c>
      <c r="O15" s="1363"/>
      <c r="P15" s="1363"/>
      <c r="Q15" s="1363"/>
      <c r="R15" s="1363"/>
    </row>
    <row r="16" spans="1:18" ht="5.15" customHeight="1">
      <c r="E16" s="1364"/>
      <c r="F16" s="1364"/>
      <c r="G16" s="1364"/>
      <c r="H16" s="1364"/>
      <c r="I16" s="1364"/>
    </row>
    <row r="17" spans="2:10" ht="13">
      <c r="B17" s="1354">
        <f>B16+6</f>
        <v>6</v>
      </c>
      <c r="C17" s="1365" t="s">
        <v>929</v>
      </c>
      <c r="E17" s="1362">
        <f>E11+E12+E13+E14+E15</f>
        <v>-169536052.30878851</v>
      </c>
      <c r="F17" s="1362">
        <f>F11+F12+F13+F14+F15</f>
        <v>0</v>
      </c>
      <c r="G17" s="1362">
        <f>G11+G12+G13+G14+G15</f>
        <v>-1973303.1663000002</v>
      </c>
      <c r="H17" s="1362">
        <f>H11+H12+H13+H14+H15</f>
        <v>-166550075.5006718</v>
      </c>
      <c r="I17" s="1362">
        <f>I11+I12+I13+I14+I15</f>
        <v>-1012673.641816702</v>
      </c>
      <c r="J17" s="1366"/>
    </row>
    <row r="18" spans="2:10">
      <c r="C18" s="1354"/>
      <c r="F18" s="1363"/>
      <c r="G18" s="1363"/>
      <c r="H18" s="1363"/>
      <c r="I18" s="1367"/>
    </row>
    <row r="19" spans="2:10">
      <c r="C19" s="1354"/>
      <c r="F19" s="1363"/>
      <c r="G19" s="1363"/>
      <c r="H19" s="1363"/>
      <c r="I19" s="1367"/>
    </row>
    <row r="20" spans="2:10" ht="13">
      <c r="B20" s="1368" t="s">
        <v>573</v>
      </c>
      <c r="C20" s="1368" t="s">
        <v>1332</v>
      </c>
      <c r="D20" s="367"/>
      <c r="E20" s="1359" t="s">
        <v>44</v>
      </c>
      <c r="F20" s="367"/>
      <c r="G20" s="367"/>
      <c r="H20" s="367"/>
      <c r="I20" s="1369"/>
    </row>
    <row r="21" spans="2:10">
      <c r="B21" s="367"/>
      <c r="C21" s="367"/>
      <c r="D21" s="367"/>
      <c r="E21" s="367"/>
      <c r="F21" s="367"/>
      <c r="G21" s="367"/>
      <c r="H21" s="367"/>
      <c r="I21" s="1369"/>
    </row>
    <row r="22" spans="2:10">
      <c r="B22" s="1370">
        <f>B17+1</f>
        <v>7</v>
      </c>
      <c r="C22" s="1352" t="s">
        <v>1333</v>
      </c>
      <c r="E22" s="1371">
        <f>+E203</f>
        <v>-1083738.5364359999</v>
      </c>
      <c r="I22" s="1372"/>
    </row>
    <row r="23" spans="2:10">
      <c r="B23" s="1352"/>
    </row>
    <row r="24" spans="2:10" ht="12.75" customHeight="1">
      <c r="B24" s="1748" t="s">
        <v>1761</v>
      </c>
      <c r="C24" s="1748"/>
      <c r="D24" s="1748"/>
      <c r="E24" s="1748"/>
      <c r="F24" s="1748"/>
      <c r="G24" s="1748"/>
      <c r="H24" s="1748"/>
      <c r="I24" s="1748"/>
    </row>
    <row r="25" spans="2:10">
      <c r="B25" s="1748"/>
      <c r="C25" s="1748"/>
      <c r="D25" s="1748"/>
      <c r="E25" s="1748"/>
      <c r="F25" s="1748"/>
      <c r="G25" s="1748"/>
      <c r="H25" s="1748"/>
      <c r="I25" s="1748"/>
    </row>
    <row r="26" spans="2:10">
      <c r="B26" s="1748"/>
      <c r="C26" s="1748"/>
      <c r="D26" s="1748"/>
      <c r="E26" s="1748"/>
      <c r="F26" s="1748"/>
      <c r="G26" s="1748"/>
      <c r="H26" s="1748"/>
      <c r="I26" s="1748"/>
    </row>
    <row r="29" spans="2:10" ht="15" customHeight="1">
      <c r="B29" s="1748" t="s">
        <v>1334</v>
      </c>
      <c r="C29" s="1748"/>
      <c r="D29" s="1748"/>
      <c r="E29" s="1748"/>
      <c r="F29" s="1748"/>
      <c r="G29" s="1748"/>
      <c r="H29" s="1748"/>
      <c r="I29" s="1748"/>
      <c r="J29" s="1691"/>
    </row>
    <row r="30" spans="2:10">
      <c r="B30" s="1748"/>
      <c r="C30" s="1748"/>
      <c r="D30" s="1748"/>
      <c r="E30" s="1748"/>
      <c r="F30" s="1748"/>
      <c r="G30" s="1748"/>
      <c r="H30" s="1748"/>
      <c r="I30" s="1748"/>
      <c r="J30" s="1691"/>
    </row>
    <row r="31" spans="2:10" ht="13">
      <c r="I31" s="1355"/>
    </row>
    <row r="32" spans="2:10" ht="13">
      <c r="B32" s="1356" t="s">
        <v>174</v>
      </c>
      <c r="C32" s="1356"/>
      <c r="D32" s="1356"/>
      <c r="E32" s="1356" t="s">
        <v>175</v>
      </c>
      <c r="F32" s="1356" t="s">
        <v>1142</v>
      </c>
      <c r="G32" s="1356" t="s">
        <v>1295</v>
      </c>
      <c r="H32" s="1356" t="s">
        <v>1296</v>
      </c>
      <c r="I32" s="1356" t="s">
        <v>1297</v>
      </c>
      <c r="J32" s="1356" t="s">
        <v>1298</v>
      </c>
    </row>
    <row r="33" spans="2:10" ht="13">
      <c r="B33" s="1365"/>
      <c r="C33" s="367"/>
      <c r="D33" s="367"/>
      <c r="E33" s="1356"/>
      <c r="F33" s="1356" t="s">
        <v>1329</v>
      </c>
      <c r="G33" s="1356" t="s">
        <v>258</v>
      </c>
      <c r="H33" s="1356"/>
      <c r="I33" s="1356"/>
      <c r="J33" s="1692"/>
    </row>
    <row r="34" spans="2:10" ht="13">
      <c r="B34" s="1373"/>
      <c r="C34" s="367"/>
      <c r="D34" s="367"/>
      <c r="E34" s="1356"/>
      <c r="F34" s="1356" t="s">
        <v>1330</v>
      </c>
      <c r="G34" s="1356" t="s">
        <v>228</v>
      </c>
      <c r="H34" s="1356" t="s">
        <v>259</v>
      </c>
      <c r="I34" s="1356" t="s">
        <v>260</v>
      </c>
      <c r="J34" s="1692"/>
    </row>
    <row r="35" spans="2:10" ht="13">
      <c r="B35" s="1365" t="s">
        <v>930</v>
      </c>
      <c r="C35" s="367"/>
      <c r="D35" s="367"/>
      <c r="E35" s="1356" t="s">
        <v>44</v>
      </c>
      <c r="F35" s="1359" t="s">
        <v>1331</v>
      </c>
      <c r="G35" s="1356" t="s">
        <v>261</v>
      </c>
      <c r="H35" s="1356" t="s">
        <v>261</v>
      </c>
      <c r="I35" s="1356" t="s">
        <v>261</v>
      </c>
      <c r="J35" s="1356" t="s">
        <v>265</v>
      </c>
    </row>
    <row r="36" spans="2:10" ht="25">
      <c r="B36" s="1643" t="s">
        <v>1511</v>
      </c>
      <c r="C36" s="1644"/>
      <c r="D36" s="1644"/>
      <c r="E36" s="1645">
        <f>SUM(F36:I36)</f>
        <v>683891.27366700012</v>
      </c>
      <c r="F36" s="1645">
        <v>0</v>
      </c>
      <c r="G36" s="1645">
        <v>0</v>
      </c>
      <c r="H36" s="1645">
        <v>0</v>
      </c>
      <c r="I36" s="1645">
        <v>683891.27366700012</v>
      </c>
      <c r="J36" s="1726" t="s">
        <v>1534</v>
      </c>
    </row>
    <row r="37" spans="2:10" ht="25">
      <c r="B37" s="1643" t="s">
        <v>1085</v>
      </c>
      <c r="C37" s="1644"/>
      <c r="D37" s="1646"/>
      <c r="E37" s="1645">
        <f t="shared" ref="E37:E58" si="0">SUM(F37:I37)</f>
        <v>1996214.3061300002</v>
      </c>
      <c r="F37" s="1645">
        <v>0</v>
      </c>
      <c r="G37" s="1645">
        <v>0</v>
      </c>
      <c r="H37" s="1645">
        <v>0</v>
      </c>
      <c r="I37" s="1645">
        <v>1996214.3061300002</v>
      </c>
      <c r="J37" s="1726" t="s">
        <v>1534</v>
      </c>
    </row>
    <row r="38" spans="2:10">
      <c r="B38" s="1643" t="s">
        <v>1512</v>
      </c>
      <c r="C38" s="1644"/>
      <c r="D38" s="1646"/>
      <c r="E38" s="1645">
        <f t="shared" si="0"/>
        <v>385895.16504599998</v>
      </c>
      <c r="F38" s="1645">
        <v>385895.16504599998</v>
      </c>
      <c r="G38" s="1645">
        <v>0</v>
      </c>
      <c r="H38" s="1645">
        <v>0</v>
      </c>
      <c r="I38" s="1645">
        <v>0</v>
      </c>
      <c r="J38" s="1726" t="s">
        <v>1535</v>
      </c>
    </row>
    <row r="39" spans="2:10" ht="37.5">
      <c r="B39" s="1643" t="s">
        <v>1513</v>
      </c>
      <c r="C39" s="1644"/>
      <c r="D39" s="1646"/>
      <c r="E39" s="1645">
        <f t="shared" si="0"/>
        <v>4937139.3417390008</v>
      </c>
      <c r="F39" s="1645">
        <v>0</v>
      </c>
      <c r="G39" s="1645">
        <v>0</v>
      </c>
      <c r="H39" s="1645">
        <v>0</v>
      </c>
      <c r="I39" s="1645">
        <v>4937139.3417390008</v>
      </c>
      <c r="J39" s="1726" t="s">
        <v>1536</v>
      </c>
    </row>
    <row r="40" spans="2:10">
      <c r="B40" s="1643" t="s">
        <v>1514</v>
      </c>
      <c r="C40" s="1644"/>
      <c r="D40" s="1646"/>
      <c r="E40" s="1645">
        <f t="shared" si="0"/>
        <v>2059852.1106689996</v>
      </c>
      <c r="F40" s="1645">
        <v>2059852.1106689996</v>
      </c>
      <c r="G40" s="1645">
        <v>0</v>
      </c>
      <c r="H40" s="1645">
        <v>0</v>
      </c>
      <c r="I40" s="1645">
        <v>0</v>
      </c>
      <c r="J40" s="1726" t="s">
        <v>1535</v>
      </c>
    </row>
    <row r="41" spans="2:10" ht="25">
      <c r="B41" s="1643" t="s">
        <v>1515</v>
      </c>
      <c r="C41" s="1644"/>
      <c r="D41" s="1646"/>
      <c r="E41" s="1645">
        <f t="shared" si="0"/>
        <v>124711.572294</v>
      </c>
      <c r="F41" s="1645">
        <v>0</v>
      </c>
      <c r="G41" s="1645">
        <v>0</v>
      </c>
      <c r="H41" s="1645">
        <v>0</v>
      </c>
      <c r="I41" s="1645">
        <v>124711.572294</v>
      </c>
      <c r="J41" s="1726" t="s">
        <v>1534</v>
      </c>
    </row>
    <row r="42" spans="2:10" ht="25">
      <c r="B42" s="1643" t="s">
        <v>1259</v>
      </c>
      <c r="C42" s="1644"/>
      <c r="D42" s="1646"/>
      <c r="E42" s="1645">
        <f t="shared" si="0"/>
        <v>23018.981034</v>
      </c>
      <c r="F42" s="1645">
        <v>0</v>
      </c>
      <c r="G42" s="1645">
        <v>0</v>
      </c>
      <c r="H42" s="1645">
        <v>0</v>
      </c>
      <c r="I42" s="1645">
        <v>23018.981034</v>
      </c>
      <c r="J42" s="1726" t="s">
        <v>1534</v>
      </c>
    </row>
    <row r="43" spans="2:10" ht="25">
      <c r="B43" s="1643" t="s">
        <v>1469</v>
      </c>
      <c r="C43" s="1644"/>
      <c r="D43" s="1646"/>
      <c r="E43" s="1645">
        <f t="shared" si="0"/>
        <v>133244.64108299999</v>
      </c>
      <c r="F43" s="1645">
        <v>0</v>
      </c>
      <c r="G43" s="1645">
        <v>0</v>
      </c>
      <c r="H43" s="1645">
        <v>0</v>
      </c>
      <c r="I43" s="1645">
        <v>133244.64108299999</v>
      </c>
      <c r="J43" s="1726" t="s">
        <v>1534</v>
      </c>
    </row>
    <row r="44" spans="2:10">
      <c r="B44" s="1643" t="s">
        <v>1087</v>
      </c>
      <c r="C44" s="1644"/>
      <c r="D44" s="1646"/>
      <c r="E44" s="1645">
        <f t="shared" si="0"/>
        <v>711216.54928500007</v>
      </c>
      <c r="F44" s="1645">
        <v>711216.54928500007</v>
      </c>
      <c r="G44" s="1645">
        <v>0</v>
      </c>
      <c r="H44" s="1645">
        <v>0</v>
      </c>
      <c r="I44" s="1645">
        <v>0</v>
      </c>
      <c r="J44" s="1726" t="s">
        <v>1535</v>
      </c>
    </row>
    <row r="45" spans="2:10" ht="25">
      <c r="B45" s="1643" t="s">
        <v>1516</v>
      </c>
      <c r="C45" s="1644"/>
      <c r="D45" s="1646"/>
      <c r="E45" s="1645">
        <f t="shared" si="0"/>
        <v>2983637.6577630006</v>
      </c>
      <c r="F45" s="1645">
        <v>0</v>
      </c>
      <c r="G45" s="1645">
        <v>0</v>
      </c>
      <c r="H45" s="1645">
        <v>0</v>
      </c>
      <c r="I45" s="1645">
        <v>2983637.6577630006</v>
      </c>
      <c r="J45" s="1726" t="s">
        <v>1534</v>
      </c>
    </row>
    <row r="46" spans="2:10">
      <c r="B46" s="1643" t="s">
        <v>267</v>
      </c>
      <c r="C46" s="1644"/>
      <c r="D46" s="1646"/>
      <c r="E46" s="1645">
        <f t="shared" si="0"/>
        <v>5077467.331770001</v>
      </c>
      <c r="F46" s="1645">
        <v>5077467.331770001</v>
      </c>
      <c r="G46" s="1645">
        <v>0</v>
      </c>
      <c r="H46" s="1645">
        <v>0</v>
      </c>
      <c r="I46" s="1645">
        <v>0</v>
      </c>
      <c r="J46" s="1726" t="s">
        <v>1535</v>
      </c>
    </row>
    <row r="47" spans="2:10">
      <c r="B47" s="1643" t="s">
        <v>1517</v>
      </c>
      <c r="C47" s="1644"/>
      <c r="D47" s="1646"/>
      <c r="E47" s="1645">
        <f t="shared" si="0"/>
        <v>1153381.2638280001</v>
      </c>
      <c r="F47" s="1645">
        <v>1153381.2638280001</v>
      </c>
      <c r="G47" s="1645">
        <v>0</v>
      </c>
      <c r="H47" s="1645">
        <v>0</v>
      </c>
      <c r="I47" s="1645">
        <v>0</v>
      </c>
      <c r="J47" s="1726" t="s">
        <v>1535</v>
      </c>
    </row>
    <row r="48" spans="2:10">
      <c r="B48" s="1643" t="s">
        <v>266</v>
      </c>
      <c r="C48" s="1644"/>
      <c r="D48" s="1646"/>
      <c r="E48" s="1645">
        <f t="shared" si="0"/>
        <v>10872.011936999999</v>
      </c>
      <c r="F48" s="1645">
        <v>10872.011936999999</v>
      </c>
      <c r="G48" s="1645">
        <v>0</v>
      </c>
      <c r="H48" s="1645">
        <v>0</v>
      </c>
      <c r="I48" s="1645">
        <v>0</v>
      </c>
      <c r="J48" s="1726" t="s">
        <v>1535</v>
      </c>
    </row>
    <row r="49" spans="2:10" ht="25">
      <c r="B49" s="1643" t="s">
        <v>1518</v>
      </c>
      <c r="C49" s="1644"/>
      <c r="D49" s="1646"/>
      <c r="E49" s="1645">
        <f t="shared" si="0"/>
        <v>5954.656551</v>
      </c>
      <c r="F49" s="1645">
        <v>0</v>
      </c>
      <c r="G49" s="1645">
        <v>0</v>
      </c>
      <c r="H49" s="1645">
        <v>0</v>
      </c>
      <c r="I49" s="1645">
        <v>5954.656551</v>
      </c>
      <c r="J49" s="1726" t="s">
        <v>1534</v>
      </c>
    </row>
    <row r="50" spans="2:10">
      <c r="B50" s="1643" t="s">
        <v>1477</v>
      </c>
      <c r="C50" s="1644"/>
      <c r="D50" s="1646"/>
      <c r="E50" s="1645">
        <f t="shared" si="0"/>
        <v>48959.158889999977</v>
      </c>
      <c r="F50" s="1645">
        <v>48959.158889999977</v>
      </c>
      <c r="G50" s="1645">
        <v>0</v>
      </c>
      <c r="H50" s="1645">
        <v>0</v>
      </c>
      <c r="I50" s="1645">
        <v>0</v>
      </c>
      <c r="J50" s="1726" t="s">
        <v>1535</v>
      </c>
    </row>
    <row r="51" spans="2:10">
      <c r="B51" s="1643" t="s">
        <v>1631</v>
      </c>
      <c r="C51" s="1644"/>
      <c r="D51" s="1646"/>
      <c r="E51" s="1645">
        <f t="shared" si="0"/>
        <v>443467.26999999996</v>
      </c>
      <c r="F51" s="1645">
        <v>0</v>
      </c>
      <c r="G51" s="1645">
        <v>0</v>
      </c>
      <c r="H51" s="1645">
        <v>443467.26999999996</v>
      </c>
      <c r="I51" s="1645">
        <v>0</v>
      </c>
      <c r="J51" s="1726" t="s">
        <v>1632</v>
      </c>
    </row>
    <row r="52" spans="2:10">
      <c r="B52" s="1643" t="s">
        <v>1520</v>
      </c>
      <c r="C52" s="1644"/>
      <c r="D52" s="1646"/>
      <c r="E52" s="1645">
        <f t="shared" si="0"/>
        <v>1536311.80999301</v>
      </c>
      <c r="F52" s="1645">
        <v>1536311.80999301</v>
      </c>
      <c r="G52" s="1645">
        <v>0</v>
      </c>
      <c r="H52" s="1645">
        <v>0</v>
      </c>
      <c r="I52" s="1645">
        <v>0</v>
      </c>
      <c r="J52" s="1726" t="s">
        <v>1535</v>
      </c>
    </row>
    <row r="53" spans="2:10">
      <c r="B53" s="1643" t="s">
        <v>1521</v>
      </c>
      <c r="C53" s="1644"/>
      <c r="D53" s="1646"/>
      <c r="E53" s="1645">
        <f t="shared" si="0"/>
        <v>534556.54724443052</v>
      </c>
      <c r="F53" s="1645">
        <v>534556.54724443052</v>
      </c>
      <c r="G53" s="1645">
        <v>0</v>
      </c>
      <c r="H53" s="1645">
        <v>0</v>
      </c>
      <c r="I53" s="1645">
        <v>0</v>
      </c>
      <c r="J53" s="1726" t="s">
        <v>1535</v>
      </c>
    </row>
    <row r="54" spans="2:10">
      <c r="B54" s="1643" t="s">
        <v>1474</v>
      </c>
      <c r="C54" s="1644"/>
      <c r="D54" s="1646"/>
      <c r="E54" s="1645">
        <f t="shared" si="0"/>
        <v>173731.57</v>
      </c>
      <c r="F54" s="1645">
        <v>173731.57</v>
      </c>
      <c r="G54" s="1645">
        <v>0</v>
      </c>
      <c r="H54" s="1645">
        <v>0</v>
      </c>
      <c r="I54" s="1645">
        <v>0</v>
      </c>
      <c r="J54" s="1726" t="s">
        <v>1535</v>
      </c>
    </row>
    <row r="55" spans="2:10" ht="25">
      <c r="B55" s="1643" t="s">
        <v>1522</v>
      </c>
      <c r="C55" s="1644"/>
      <c r="D55" s="1646"/>
      <c r="E55" s="1645">
        <f t="shared" si="0"/>
        <v>31107204.379999999</v>
      </c>
      <c r="F55" s="1645">
        <v>7839060.7000347907</v>
      </c>
      <c r="G55" s="1645">
        <v>0</v>
      </c>
      <c r="H55" s="1645">
        <v>23268143.679965209</v>
      </c>
      <c r="I55" s="1645">
        <v>0</v>
      </c>
      <c r="J55" s="1726" t="s">
        <v>1537</v>
      </c>
    </row>
    <row r="56" spans="2:10" ht="50">
      <c r="B56" s="1643" t="s">
        <v>1523</v>
      </c>
      <c r="C56" s="1644"/>
      <c r="D56" s="1646"/>
      <c r="E56" s="1645">
        <f t="shared" si="0"/>
        <v>852848.10862468462</v>
      </c>
      <c r="F56" s="1645">
        <v>0</v>
      </c>
      <c r="G56" s="1645">
        <v>0</v>
      </c>
      <c r="H56" s="1645">
        <v>852848.10862468462</v>
      </c>
      <c r="I56" s="1645">
        <v>0</v>
      </c>
      <c r="J56" s="1726" t="s">
        <v>1538</v>
      </c>
    </row>
    <row r="57" spans="2:10">
      <c r="B57" s="1643" t="s">
        <v>1524</v>
      </c>
      <c r="C57" s="1644"/>
      <c r="D57" s="1646"/>
      <c r="E57" s="1645">
        <f t="shared" si="0"/>
        <v>-8364.6926999999996</v>
      </c>
      <c r="F57" s="1645">
        <v>-8364.6926999999996</v>
      </c>
      <c r="G57" s="1645">
        <v>0</v>
      </c>
      <c r="H57" s="1645">
        <v>0</v>
      </c>
      <c r="I57" s="1645">
        <v>0</v>
      </c>
      <c r="J57" s="1727" t="s">
        <v>1535</v>
      </c>
    </row>
    <row r="58" spans="2:10" ht="37.5">
      <c r="B58" s="1643" t="s">
        <v>1525</v>
      </c>
      <c r="C58" s="1644"/>
      <c r="D58" s="1646"/>
      <c r="E58" s="1645">
        <f t="shared" si="0"/>
        <v>99972543.985151887</v>
      </c>
      <c r="F58" s="1645">
        <v>0</v>
      </c>
      <c r="G58" s="1645">
        <v>0</v>
      </c>
      <c r="H58" s="1645">
        <v>99972543.985151887</v>
      </c>
      <c r="I58" s="1645">
        <v>0</v>
      </c>
      <c r="J58" s="1726" t="s">
        <v>1539</v>
      </c>
    </row>
    <row r="59" spans="2:10" ht="13">
      <c r="B59" s="1377" t="s">
        <v>931</v>
      </c>
      <c r="C59" s="1378"/>
      <c r="D59" s="1379"/>
      <c r="E59" s="1380">
        <f>SUM(E36:E58)</f>
        <v>154947755</v>
      </c>
      <c r="F59" s="1380">
        <f>SUM(F36:F58)</f>
        <v>19522939.525997233</v>
      </c>
      <c r="G59" s="1380">
        <f>SUM(G36:G58)</f>
        <v>0</v>
      </c>
      <c r="H59" s="1380">
        <f>SUM(H36:H58)</f>
        <v>124537003.04374178</v>
      </c>
      <c r="I59" s="1380">
        <f>SUM(I36:I58)</f>
        <v>10887812.430261001</v>
      </c>
      <c r="J59" s="1695"/>
    </row>
    <row r="60" spans="2:10" ht="13">
      <c r="B60" s="1381"/>
      <c r="C60" s="1379"/>
      <c r="D60" s="1379"/>
      <c r="E60" s="1380"/>
      <c r="F60" s="1380"/>
      <c r="G60" s="1380"/>
      <c r="H60" s="1380"/>
      <c r="I60" s="1380"/>
      <c r="J60" s="1695"/>
    </row>
    <row r="61" spans="2:10">
      <c r="B61" s="1382" t="s">
        <v>1335</v>
      </c>
      <c r="C61" s="1383"/>
      <c r="D61" s="1383"/>
      <c r="E61" s="1384">
        <f>SUM(F61:I61)</f>
        <v>0</v>
      </c>
      <c r="F61" s="1384">
        <v>0</v>
      </c>
      <c r="G61" s="1384">
        <v>0</v>
      </c>
      <c r="H61" s="1384">
        <v>0</v>
      </c>
      <c r="I61" s="1384">
        <v>0</v>
      </c>
      <c r="J61" s="1385"/>
    </row>
    <row r="62" spans="2:10">
      <c r="B62" s="1382" t="s">
        <v>1336</v>
      </c>
      <c r="C62" s="1383"/>
      <c r="D62" s="1383"/>
      <c r="E62" s="1384">
        <f>SUM(F62:I62)</f>
        <v>-852848.10862468462</v>
      </c>
      <c r="F62" s="1384">
        <v>0</v>
      </c>
      <c r="G62" s="1384">
        <v>0</v>
      </c>
      <c r="H62" s="1384">
        <v>-852848.10862468462</v>
      </c>
      <c r="I62" s="1384">
        <v>0</v>
      </c>
      <c r="J62" s="1385"/>
    </row>
    <row r="63" spans="2:10">
      <c r="B63" s="1382" t="s">
        <v>1337</v>
      </c>
      <c r="C63" s="1383"/>
      <c r="D63" s="1383"/>
      <c r="E63" s="1384">
        <f>SUM(F63:I63)</f>
        <v>-99972543.985151887</v>
      </c>
      <c r="F63" s="1384">
        <v>0</v>
      </c>
      <c r="G63" s="1384">
        <v>0</v>
      </c>
      <c r="H63" s="1384">
        <v>-99972543.985151887</v>
      </c>
      <c r="I63" s="1384">
        <v>0</v>
      </c>
      <c r="J63" s="1385"/>
    </row>
    <row r="64" spans="2:10">
      <c r="B64" s="1382" t="s">
        <v>1007</v>
      </c>
      <c r="C64" s="1383"/>
      <c r="D64" s="1383"/>
      <c r="E64" s="1384">
        <f>SUM(F64:I64)</f>
        <v>-4937139.3417390008</v>
      </c>
      <c r="F64" s="1384">
        <v>0</v>
      </c>
      <c r="G64" s="1384">
        <v>0</v>
      </c>
      <c r="H64" s="1384">
        <v>0</v>
      </c>
      <c r="I64" s="1384">
        <v>-4937139.3417390008</v>
      </c>
      <c r="J64" s="1385"/>
    </row>
    <row r="65" spans="2:10" ht="5.15" customHeight="1">
      <c r="B65" s="1377"/>
      <c r="C65" s="1378"/>
      <c r="D65" s="1379"/>
      <c r="E65" s="1380"/>
      <c r="F65" s="1380"/>
      <c r="G65" s="1380"/>
      <c r="H65" s="1380"/>
      <c r="I65" s="1380"/>
      <c r="J65" s="1695"/>
    </row>
    <row r="66" spans="2:10" ht="13">
      <c r="B66" s="1381" t="s">
        <v>932</v>
      </c>
      <c r="C66" s="1379"/>
      <c r="D66" s="1379"/>
      <c r="E66" s="1380">
        <f>SUM(E61:E65)+E59</f>
        <v>49185223.564484432</v>
      </c>
      <c r="F66" s="1380">
        <f>SUM(F61:F65)+F59</f>
        <v>19522939.525997233</v>
      </c>
      <c r="G66" s="1380">
        <f>SUM(G61:G65)+G59</f>
        <v>0</v>
      </c>
      <c r="H66" s="1380">
        <f>SUM(H61:H65)+H59</f>
        <v>23711610.949965209</v>
      </c>
      <c r="I66" s="1380">
        <f>SUM(I61:I65)+I59</f>
        <v>5950673.0885220002</v>
      </c>
      <c r="J66" s="1695"/>
    </row>
    <row r="67" spans="2:10" ht="13">
      <c r="B67" s="1381"/>
      <c r="C67" s="1379"/>
      <c r="D67" s="1379"/>
      <c r="E67" s="1380"/>
      <c r="F67" s="1380"/>
      <c r="G67" s="1380"/>
      <c r="H67" s="1380"/>
      <c r="I67" s="1380"/>
      <c r="J67" s="1695"/>
    </row>
    <row r="68" spans="2:10" ht="13">
      <c r="B68" s="1386" t="s">
        <v>264</v>
      </c>
      <c r="C68" s="1387"/>
      <c r="D68" s="1388"/>
      <c r="E68" s="1389"/>
      <c r="F68" s="1389"/>
      <c r="G68" s="1389"/>
      <c r="H68" s="1389"/>
      <c r="I68" s="1390">
        <v>0.10720206738391772</v>
      </c>
      <c r="J68" s="1391"/>
    </row>
    <row r="69" spans="2:10" ht="13">
      <c r="B69" s="1386" t="s">
        <v>237</v>
      </c>
      <c r="C69" s="1387"/>
      <c r="D69" s="1388"/>
      <c r="E69" s="1389"/>
      <c r="F69" s="1389"/>
      <c r="G69" s="1389"/>
      <c r="H69" s="1390">
        <v>0.36862452558673714</v>
      </c>
      <c r="I69" s="1389"/>
      <c r="J69" s="1391"/>
    </row>
    <row r="70" spans="2:10" ht="13">
      <c r="B70" s="1386" t="s">
        <v>933</v>
      </c>
      <c r="C70" s="1387"/>
      <c r="D70" s="1388"/>
      <c r="E70" s="1389"/>
      <c r="F70" s="1389"/>
      <c r="G70" s="1390">
        <v>1</v>
      </c>
      <c r="H70" s="1389"/>
      <c r="I70" s="1389"/>
      <c r="J70" s="1391"/>
    </row>
    <row r="71" spans="2:10" ht="13">
      <c r="B71" s="1386" t="s">
        <v>934</v>
      </c>
      <c r="C71" s="1387"/>
      <c r="D71" s="1388"/>
      <c r="E71" s="1389"/>
      <c r="F71" s="1390">
        <v>0</v>
      </c>
      <c r="G71" s="1389"/>
      <c r="H71" s="1389"/>
      <c r="I71" s="1389"/>
      <c r="J71" s="1391"/>
    </row>
    <row r="72" spans="2:10" ht="13">
      <c r="B72" s="1392" t="s">
        <v>935</v>
      </c>
      <c r="C72" s="1387"/>
      <c r="D72" s="1388"/>
      <c r="E72" s="1389">
        <f>F72+G72+H72+I72</f>
        <v>9378605.7947436087</v>
      </c>
      <c r="F72" s="1389">
        <f>F71*F66</f>
        <v>0</v>
      </c>
      <c r="G72" s="1389">
        <f>G66*G70</f>
        <v>0</v>
      </c>
      <c r="H72" s="1389">
        <f>H66*H69</f>
        <v>8740681.3373282067</v>
      </c>
      <c r="I72" s="1389">
        <f>I68*I66</f>
        <v>637924.45741540124</v>
      </c>
      <c r="J72" s="1391"/>
    </row>
    <row r="73" spans="2:10" ht="13">
      <c r="B73" s="1393"/>
      <c r="E73" s="1363"/>
      <c r="F73" s="1363"/>
      <c r="G73" s="1363"/>
      <c r="H73" s="1363"/>
      <c r="I73" s="1363"/>
      <c r="J73" s="1394"/>
    </row>
    <row r="74" spans="2:10" ht="13">
      <c r="B74" s="1365"/>
      <c r="E74" s="1363"/>
      <c r="F74" s="1363"/>
      <c r="G74" s="1363"/>
      <c r="H74" s="1363"/>
      <c r="I74" s="1363"/>
      <c r="J74" s="1394"/>
    </row>
    <row r="75" spans="2:10" ht="13">
      <c r="B75" s="1356" t="s">
        <v>174</v>
      </c>
      <c r="C75" s="1356"/>
      <c r="D75" s="1356"/>
      <c r="E75" s="1356" t="s">
        <v>175</v>
      </c>
      <c r="F75" s="1356" t="s">
        <v>1142</v>
      </c>
      <c r="G75" s="1356" t="s">
        <v>1295</v>
      </c>
      <c r="H75" s="1356" t="s">
        <v>1296</v>
      </c>
      <c r="I75" s="1356" t="s">
        <v>1297</v>
      </c>
      <c r="J75" s="1356" t="s">
        <v>1298</v>
      </c>
    </row>
    <row r="76" spans="2:10" ht="13">
      <c r="B76" s="1365"/>
      <c r="C76" s="367"/>
      <c r="D76" s="367"/>
      <c r="E76" s="1356"/>
      <c r="F76" s="1356" t="s">
        <v>1329</v>
      </c>
      <c r="G76" s="1356" t="s">
        <v>258</v>
      </c>
      <c r="H76" s="1356"/>
      <c r="I76" s="1356"/>
      <c r="J76" s="1692"/>
    </row>
    <row r="77" spans="2:10" ht="13">
      <c r="B77" s="1373"/>
      <c r="C77" s="367"/>
      <c r="D77" s="367"/>
      <c r="E77" s="1356"/>
      <c r="F77" s="1356" t="s">
        <v>1330</v>
      </c>
      <c r="G77" s="1356" t="s">
        <v>228</v>
      </c>
      <c r="H77" s="1356" t="s">
        <v>259</v>
      </c>
      <c r="I77" s="1356" t="s">
        <v>260</v>
      </c>
      <c r="J77" s="1692"/>
    </row>
    <row r="78" spans="2:10" ht="13">
      <c r="B78" s="1365" t="s">
        <v>936</v>
      </c>
      <c r="C78" s="367"/>
      <c r="D78" s="367"/>
      <c r="E78" s="1356" t="s">
        <v>44</v>
      </c>
      <c r="F78" s="1359" t="s">
        <v>1331</v>
      </c>
      <c r="G78" s="1356" t="s">
        <v>261</v>
      </c>
      <c r="H78" s="1356" t="s">
        <v>261</v>
      </c>
      <c r="I78" s="1356" t="s">
        <v>261</v>
      </c>
      <c r="J78" s="1356" t="s">
        <v>265</v>
      </c>
    </row>
    <row r="79" spans="2:10">
      <c r="B79" s="1374"/>
      <c r="C79" s="1395"/>
      <c r="D79" s="1396"/>
      <c r="E79" s="1375"/>
      <c r="F79" s="1375"/>
      <c r="G79" s="1375"/>
      <c r="H79" s="1375"/>
      <c r="I79" s="1375"/>
      <c r="J79" s="1376"/>
    </row>
    <row r="80" spans="2:10">
      <c r="B80" s="1374"/>
      <c r="C80" s="1395"/>
      <c r="D80" s="1397"/>
      <c r="E80" s="1375"/>
      <c r="F80" s="1375"/>
      <c r="G80" s="1375"/>
      <c r="H80" s="1375"/>
      <c r="I80" s="1375"/>
      <c r="J80" s="1376"/>
    </row>
    <row r="81" spans="2:10">
      <c r="B81" s="1374"/>
      <c r="C81" s="1395"/>
      <c r="D81" s="1397"/>
      <c r="E81" s="1375"/>
      <c r="F81" s="1375"/>
      <c r="G81" s="1375"/>
      <c r="H81" s="1375"/>
      <c r="I81" s="1375"/>
      <c r="J81" s="1376"/>
    </row>
    <row r="82" spans="2:10">
      <c r="B82" s="1374"/>
      <c r="C82" s="1395"/>
      <c r="D82" s="1397"/>
      <c r="E82" s="1375"/>
      <c r="F82" s="1375"/>
      <c r="G82" s="1375"/>
      <c r="H82" s="1375"/>
      <c r="I82" s="1375"/>
      <c r="J82" s="1376"/>
    </row>
    <row r="83" spans="2:10">
      <c r="B83" s="1374"/>
      <c r="C83" s="1395"/>
      <c r="D83" s="1397"/>
      <c r="E83" s="1375"/>
      <c r="F83" s="1375"/>
      <c r="G83" s="1375"/>
      <c r="H83" s="1375"/>
      <c r="I83" s="1375"/>
      <c r="J83" s="1376"/>
    </row>
    <row r="84" spans="2:10">
      <c r="B84" s="1374"/>
      <c r="C84" s="1395"/>
      <c r="D84" s="1397"/>
      <c r="E84" s="1375"/>
      <c r="F84" s="1375"/>
      <c r="G84" s="1375"/>
      <c r="H84" s="1375"/>
      <c r="I84" s="1375"/>
      <c r="J84" s="1376"/>
    </row>
    <row r="85" spans="2:10">
      <c r="B85" s="1374"/>
      <c r="C85" s="1395"/>
      <c r="D85" s="1396"/>
      <c r="E85" s="1398"/>
      <c r="F85" s="1398"/>
      <c r="G85" s="1398"/>
      <c r="H85" s="1398"/>
      <c r="I85" s="1398"/>
      <c r="J85" s="1696"/>
    </row>
    <row r="86" spans="2:10" ht="13">
      <c r="B86" s="1381" t="s">
        <v>937</v>
      </c>
      <c r="C86" s="1379"/>
      <c r="D86" s="1379"/>
      <c r="E86" s="1380">
        <f>SUM(E79:E85)</f>
        <v>0</v>
      </c>
      <c r="F86" s="1380">
        <f>SUM(F79:F85)</f>
        <v>0</v>
      </c>
      <c r="G86" s="1380">
        <f>SUM(G79:G85)</f>
        <v>0</v>
      </c>
      <c r="H86" s="1380">
        <f>SUM(H79:H85)</f>
        <v>0</v>
      </c>
      <c r="I86" s="1380">
        <f>SUM(I79:I85)</f>
        <v>0</v>
      </c>
      <c r="J86" s="1695"/>
    </row>
    <row r="87" spans="2:10" ht="13">
      <c r="B87" s="1381"/>
      <c r="C87" s="1379"/>
      <c r="D87" s="1379"/>
      <c r="E87" s="1380"/>
      <c r="F87" s="1380"/>
      <c r="G87" s="1380"/>
      <c r="H87" s="1380"/>
      <c r="I87" s="1380"/>
      <c r="J87" s="1695"/>
    </row>
    <row r="88" spans="2:10">
      <c r="B88" s="1399" t="s">
        <v>1335</v>
      </c>
      <c r="C88" s="1400"/>
      <c r="D88" s="1401"/>
      <c r="E88" s="1384"/>
      <c r="F88" s="1375"/>
      <c r="G88" s="1375"/>
      <c r="H88" s="1375"/>
      <c r="I88" s="1375"/>
      <c r="J88" s="1385"/>
    </row>
    <row r="89" spans="2:10">
      <c r="B89" s="1382" t="s">
        <v>1336</v>
      </c>
      <c r="C89" s="1383"/>
      <c r="D89" s="1401"/>
      <c r="E89" s="1384"/>
      <c r="F89" s="1375"/>
      <c r="G89" s="1375"/>
      <c r="H89" s="1375"/>
      <c r="I89" s="1375"/>
      <c r="J89" s="1385"/>
    </row>
    <row r="90" spans="2:10">
      <c r="B90" s="1382" t="s">
        <v>1337</v>
      </c>
      <c r="C90" s="1383"/>
      <c r="D90" s="1401"/>
      <c r="E90" s="1384"/>
      <c r="F90" s="1375"/>
      <c r="G90" s="1375"/>
      <c r="H90" s="1375"/>
      <c r="I90" s="1375"/>
      <c r="J90" s="1385"/>
    </row>
    <row r="91" spans="2:10">
      <c r="B91" s="1382" t="s">
        <v>1007</v>
      </c>
      <c r="C91" s="1383"/>
      <c r="D91" s="1401"/>
      <c r="E91" s="1384"/>
      <c r="F91" s="1375"/>
      <c r="G91" s="1375"/>
      <c r="H91" s="1375"/>
      <c r="I91" s="1375"/>
      <c r="J91" s="1385"/>
    </row>
    <row r="92" spans="2:10" ht="5.15" customHeight="1">
      <c r="B92" s="1377"/>
      <c r="C92" s="1378"/>
      <c r="D92" s="1379"/>
      <c r="E92" s="1380"/>
      <c r="F92" s="1380"/>
      <c r="G92" s="1380"/>
      <c r="H92" s="1380"/>
      <c r="I92" s="1380"/>
      <c r="J92" s="1695"/>
    </row>
    <row r="93" spans="2:10" ht="13">
      <c r="B93" s="1402" t="s">
        <v>938</v>
      </c>
      <c r="C93" s="1403"/>
      <c r="D93" s="1379"/>
      <c r="E93" s="1380">
        <f>SUM(E88:E92)+E86</f>
        <v>0</v>
      </c>
      <c r="F93" s="1380">
        <f>SUM(F88:F92)+F86</f>
        <v>0</v>
      </c>
      <c r="G93" s="1380">
        <f>SUM(G88:G92)+G86</f>
        <v>0</v>
      </c>
      <c r="H93" s="1380">
        <f>SUM(H88:H92)+H86</f>
        <v>0</v>
      </c>
      <c r="I93" s="1380">
        <f>SUM(I88:I92)+I86</f>
        <v>0</v>
      </c>
      <c r="J93" s="1695"/>
    </row>
    <row r="94" spans="2:10" ht="13">
      <c r="B94" s="1404"/>
      <c r="C94" s="1405"/>
      <c r="D94" s="1405"/>
      <c r="E94" s="1389"/>
      <c r="F94" s="1380"/>
      <c r="G94" s="1380"/>
      <c r="H94" s="1380"/>
      <c r="I94" s="1380"/>
      <c r="J94" s="1391"/>
    </row>
    <row r="95" spans="2:10" ht="13">
      <c r="B95" s="1406" t="s">
        <v>264</v>
      </c>
      <c r="C95" s="1407"/>
      <c r="D95" s="1388"/>
      <c r="E95" s="1389"/>
      <c r="F95" s="1389"/>
      <c r="G95" s="1389"/>
      <c r="H95" s="1389"/>
      <c r="I95" s="1390">
        <v>0.10720206738391772</v>
      </c>
      <c r="J95" s="1391"/>
    </row>
    <row r="96" spans="2:10" ht="13">
      <c r="B96" s="1386" t="s">
        <v>237</v>
      </c>
      <c r="C96" s="1387"/>
      <c r="D96" s="1388"/>
      <c r="E96" s="1389"/>
      <c r="F96" s="1389"/>
      <c r="G96" s="1389"/>
      <c r="H96" s="1390">
        <v>0.36862452558673714</v>
      </c>
      <c r="I96" s="1389"/>
      <c r="J96" s="1391"/>
    </row>
    <row r="97" spans="2:10" ht="13">
      <c r="B97" s="1386" t="s">
        <v>933</v>
      </c>
      <c r="C97" s="1387"/>
      <c r="D97" s="1388"/>
      <c r="E97" s="1389"/>
      <c r="F97" s="1389"/>
      <c r="G97" s="1390">
        <v>1</v>
      </c>
      <c r="H97" s="1389"/>
      <c r="I97" s="1389"/>
      <c r="J97" s="1391"/>
    </row>
    <row r="98" spans="2:10" ht="13">
      <c r="B98" s="1386" t="s">
        <v>934</v>
      </c>
      <c r="C98" s="1387"/>
      <c r="D98" s="1388"/>
      <c r="E98" s="1389"/>
      <c r="F98" s="1390">
        <v>0</v>
      </c>
      <c r="G98" s="1389"/>
      <c r="H98" s="1389"/>
      <c r="I98" s="1389"/>
      <c r="J98" s="1391"/>
    </row>
    <row r="99" spans="2:10" ht="13">
      <c r="B99" s="1392" t="s">
        <v>935</v>
      </c>
      <c r="C99" s="1387"/>
      <c r="D99" s="1388"/>
      <c r="E99" s="1389">
        <f>F99+G99+H99+I99</f>
        <v>0</v>
      </c>
      <c r="F99" s="1389">
        <f>F98*F93</f>
        <v>0</v>
      </c>
      <c r="G99" s="1389">
        <f>G93*G97</f>
        <v>0</v>
      </c>
      <c r="H99" s="1389">
        <f>H93*H96</f>
        <v>0</v>
      </c>
      <c r="I99" s="1389">
        <f>I95*I93</f>
        <v>0</v>
      </c>
      <c r="J99" s="1391"/>
    </row>
    <row r="100" spans="2:10" ht="13">
      <c r="B100" s="1393"/>
      <c r="E100" s="1363"/>
      <c r="F100" s="1363"/>
      <c r="G100" s="1363"/>
      <c r="H100" s="1363"/>
      <c r="I100" s="1363"/>
      <c r="J100" s="1394"/>
    </row>
    <row r="101" spans="2:10" ht="13">
      <c r="B101" s="1393"/>
      <c r="E101" s="1363"/>
      <c r="F101" s="1363"/>
      <c r="G101" s="1363"/>
      <c r="H101" s="1363"/>
      <c r="I101" s="1363"/>
      <c r="J101" s="1394"/>
    </row>
    <row r="102" spans="2:10" ht="13">
      <c r="B102" s="1356" t="s">
        <v>174</v>
      </c>
      <c r="C102" s="1356"/>
      <c r="D102" s="1356"/>
      <c r="E102" s="1356" t="s">
        <v>175</v>
      </c>
      <c r="F102" s="1356" t="s">
        <v>1142</v>
      </c>
      <c r="G102" s="1356" t="s">
        <v>1295</v>
      </c>
      <c r="H102" s="1356" t="s">
        <v>1296</v>
      </c>
      <c r="I102" s="1356" t="s">
        <v>1297</v>
      </c>
      <c r="J102" s="1356" t="s">
        <v>1298</v>
      </c>
    </row>
    <row r="103" spans="2:10" ht="13">
      <c r="B103" s="1365"/>
      <c r="C103" s="367"/>
      <c r="D103" s="367"/>
      <c r="E103" s="1356"/>
      <c r="F103" s="1356" t="s">
        <v>1329</v>
      </c>
      <c r="G103" s="1356" t="s">
        <v>258</v>
      </c>
      <c r="H103" s="1356"/>
      <c r="I103" s="1356"/>
      <c r="J103" s="1692"/>
    </row>
    <row r="104" spans="2:10" ht="13">
      <c r="B104" s="1408"/>
      <c r="C104" s="367"/>
      <c r="D104" s="367"/>
      <c r="E104" s="1356"/>
      <c r="F104" s="1356" t="s">
        <v>1330</v>
      </c>
      <c r="G104" s="1356" t="s">
        <v>228</v>
      </c>
      <c r="H104" s="1356" t="s">
        <v>259</v>
      </c>
      <c r="I104" s="1356" t="s">
        <v>260</v>
      </c>
      <c r="J104" s="1692"/>
    </row>
    <row r="105" spans="2:10" ht="13">
      <c r="B105" s="1365" t="s">
        <v>1338</v>
      </c>
      <c r="E105" s="1356" t="s">
        <v>44</v>
      </c>
      <c r="F105" s="1359" t="s">
        <v>1331</v>
      </c>
      <c r="G105" s="1356" t="s">
        <v>261</v>
      </c>
      <c r="H105" s="1356" t="s">
        <v>261</v>
      </c>
      <c r="I105" s="1356" t="s">
        <v>261</v>
      </c>
      <c r="J105" s="1356" t="s">
        <v>265</v>
      </c>
    </row>
    <row r="106" spans="2:10">
      <c r="B106" s="1388" t="s">
        <v>930</v>
      </c>
      <c r="C106" s="1388"/>
      <c r="D106" s="1388"/>
      <c r="E106" s="1380">
        <f>SUM(F106:I106)</f>
        <v>154947755</v>
      </c>
      <c r="F106" s="1389">
        <f>F59</f>
        <v>19522939.525997233</v>
      </c>
      <c r="G106" s="1389">
        <f>G59</f>
        <v>0</v>
      </c>
      <c r="H106" s="1389">
        <f>H59</f>
        <v>124537003.04374178</v>
      </c>
      <c r="I106" s="1389">
        <f>I59</f>
        <v>10887812.430261001</v>
      </c>
      <c r="J106" s="1391"/>
    </row>
    <row r="107" spans="2:10">
      <c r="B107" s="1388" t="s">
        <v>936</v>
      </c>
      <c r="C107" s="1388"/>
      <c r="D107" s="1388"/>
      <c r="E107" s="1380">
        <f>SUM(F107:I107)</f>
        <v>0</v>
      </c>
      <c r="F107" s="1389">
        <f>F86</f>
        <v>0</v>
      </c>
      <c r="G107" s="1389">
        <f>G86</f>
        <v>0</v>
      </c>
      <c r="H107" s="1389">
        <f>H86</f>
        <v>0</v>
      </c>
      <c r="I107" s="1389">
        <f>I86</f>
        <v>0</v>
      </c>
      <c r="J107" s="1391"/>
    </row>
    <row r="108" spans="2:10" ht="13">
      <c r="B108" s="1409" t="s">
        <v>939</v>
      </c>
      <c r="C108" s="1388"/>
      <c r="D108" s="1388"/>
      <c r="E108" s="1389">
        <f>E106+E107</f>
        <v>154947755</v>
      </c>
      <c r="F108" s="1389">
        <f>F106+F107</f>
        <v>19522939.525997233</v>
      </c>
      <c r="G108" s="1389">
        <f>G106+G107</f>
        <v>0</v>
      </c>
      <c r="H108" s="1389">
        <f>H106+H107</f>
        <v>124537003.04374178</v>
      </c>
      <c r="I108" s="1389">
        <f>I106+I107</f>
        <v>10887812.430261001</v>
      </c>
      <c r="J108" s="1391"/>
    </row>
    <row r="109" spans="2:10" ht="13">
      <c r="B109" s="1393"/>
      <c r="E109" s="1363"/>
      <c r="F109" s="1363"/>
      <c r="G109" s="1363"/>
      <c r="H109" s="1363"/>
      <c r="I109" s="1363"/>
      <c r="J109" s="1394"/>
    </row>
    <row r="110" spans="2:10" ht="13">
      <c r="B110" s="1393"/>
      <c r="E110" s="1363"/>
      <c r="F110" s="1363"/>
      <c r="G110" s="1363"/>
      <c r="H110" s="1363"/>
      <c r="I110" s="1363"/>
      <c r="J110" s="1394"/>
    </row>
    <row r="111" spans="2:10" s="367" customFormat="1" ht="12.75" customHeight="1">
      <c r="B111" s="1410" t="s">
        <v>269</v>
      </c>
      <c r="C111" s="1410"/>
      <c r="E111" s="1411"/>
      <c r="G111" s="1411"/>
      <c r="H111" s="1412"/>
      <c r="I111" s="1413"/>
      <c r="J111" s="1697"/>
    </row>
    <row r="112" spans="2:10" s="367" customFormat="1" ht="15.75" customHeight="1">
      <c r="B112" s="1749" t="s">
        <v>1339</v>
      </c>
      <c r="C112" s="1749"/>
      <c r="D112" s="1749"/>
      <c r="E112" s="1749"/>
      <c r="F112" s="1749"/>
      <c r="G112" s="1749"/>
      <c r="H112" s="1749"/>
      <c r="I112" s="1749"/>
      <c r="J112" s="1698"/>
    </row>
    <row r="113" spans="2:11" s="367" customFormat="1" ht="13">
      <c r="B113" s="1414" t="s">
        <v>270</v>
      </c>
      <c r="C113" s="1414"/>
      <c r="H113" s="1413"/>
      <c r="I113" s="1413"/>
      <c r="J113" s="1697"/>
    </row>
    <row r="114" spans="2:11" s="367" customFormat="1" ht="13">
      <c r="B114" s="1414" t="s">
        <v>271</v>
      </c>
      <c r="C114" s="1414"/>
      <c r="H114" s="1413"/>
      <c r="I114" s="1413"/>
      <c r="J114" s="1698"/>
    </row>
    <row r="115" spans="2:11" s="367" customFormat="1" ht="13">
      <c r="B115" s="1414" t="s">
        <v>272</v>
      </c>
      <c r="C115" s="1414"/>
      <c r="H115" s="1413"/>
      <c r="I115" s="1413"/>
      <c r="J115" s="1697"/>
    </row>
    <row r="116" spans="2:11" s="367" customFormat="1" ht="15.75" customHeight="1">
      <c r="B116" s="1749" t="s">
        <v>940</v>
      </c>
      <c r="C116" s="1749"/>
      <c r="D116" s="1749"/>
      <c r="E116" s="1749"/>
      <c r="F116" s="1749"/>
      <c r="G116" s="1749"/>
      <c r="H116" s="1749"/>
      <c r="I116" s="1749"/>
      <c r="J116" s="1692"/>
      <c r="K116" s="1415"/>
    </row>
    <row r="117" spans="2:11" s="367" customFormat="1" ht="15.75" customHeight="1">
      <c r="B117" s="1749"/>
      <c r="C117" s="1749"/>
      <c r="D117" s="1749"/>
      <c r="E117" s="1749"/>
      <c r="F117" s="1749"/>
      <c r="G117" s="1749"/>
      <c r="H117" s="1749"/>
      <c r="I117" s="1749"/>
      <c r="J117" s="1692"/>
      <c r="K117" s="1415"/>
    </row>
    <row r="118" spans="2:11" s="367" customFormat="1" ht="13">
      <c r="B118" s="1414" t="s">
        <v>941</v>
      </c>
      <c r="C118" s="1414"/>
      <c r="H118" s="1413"/>
      <c r="I118" s="1413"/>
      <c r="J118" s="1697"/>
    </row>
    <row r="119" spans="2:11" ht="13">
      <c r="C119" s="1393"/>
      <c r="E119" s="1366"/>
      <c r="F119" s="1366"/>
      <c r="H119" s="1416"/>
      <c r="I119" s="1417"/>
      <c r="J119" s="1394"/>
    </row>
    <row r="120" spans="2:11" ht="13">
      <c r="B120" s="1393"/>
      <c r="C120" s="1418"/>
    </row>
    <row r="121" spans="2:11" ht="13">
      <c r="B121" s="1356" t="s">
        <v>174</v>
      </c>
      <c r="C121" s="1356"/>
      <c r="D121" s="1356"/>
      <c r="E121" s="1356" t="s">
        <v>175</v>
      </c>
      <c r="F121" s="1356" t="s">
        <v>1142</v>
      </c>
      <c r="G121" s="1356" t="s">
        <v>1295</v>
      </c>
      <c r="H121" s="1356" t="s">
        <v>1296</v>
      </c>
      <c r="I121" s="1356" t="s">
        <v>1297</v>
      </c>
      <c r="J121" s="1356" t="s">
        <v>1298</v>
      </c>
    </row>
    <row r="122" spans="2:11" ht="13">
      <c r="B122" s="1365"/>
      <c r="C122" s="367"/>
      <c r="D122" s="367"/>
      <c r="E122" s="1356"/>
      <c r="F122" s="1356" t="s">
        <v>1329</v>
      </c>
      <c r="G122" s="1356" t="s">
        <v>258</v>
      </c>
      <c r="H122" s="1356"/>
      <c r="I122" s="1356"/>
      <c r="J122" s="1692"/>
    </row>
    <row r="123" spans="2:11" ht="13">
      <c r="B123" s="1365"/>
      <c r="C123" s="1373"/>
      <c r="D123" s="367"/>
      <c r="E123" s="1356"/>
      <c r="F123" s="1356" t="s">
        <v>1330</v>
      </c>
      <c r="G123" s="1356" t="s">
        <v>228</v>
      </c>
      <c r="H123" s="1356" t="s">
        <v>259</v>
      </c>
      <c r="I123" s="1356" t="s">
        <v>260</v>
      </c>
      <c r="J123" s="1692"/>
    </row>
    <row r="124" spans="2:11" ht="13">
      <c r="B124" s="1365" t="s">
        <v>942</v>
      </c>
      <c r="C124" s="367"/>
      <c r="D124" s="367"/>
      <c r="E124" s="1356" t="s">
        <v>44</v>
      </c>
      <c r="F124" s="1359" t="s">
        <v>1331</v>
      </c>
      <c r="G124" s="1356" t="s">
        <v>261</v>
      </c>
      <c r="H124" s="1356" t="s">
        <v>261</v>
      </c>
      <c r="I124" s="1356" t="s">
        <v>261</v>
      </c>
      <c r="J124" s="1356" t="s">
        <v>265</v>
      </c>
    </row>
    <row r="125" spans="2:11">
      <c r="B125" s="1643" t="s">
        <v>1526</v>
      </c>
      <c r="C125" s="1644"/>
      <c r="D125" s="1647"/>
      <c r="E125" s="1645">
        <f>SUM(F125:I125)</f>
        <v>-473323797.01328301</v>
      </c>
      <c r="F125" s="1645">
        <v>2415763.5614999998</v>
      </c>
      <c r="G125" s="1645">
        <v>0</v>
      </c>
      <c r="H125" s="1645">
        <v>-475739560.57478303</v>
      </c>
      <c r="I125" s="1645">
        <v>0</v>
      </c>
      <c r="J125" s="1693" t="s">
        <v>1540</v>
      </c>
    </row>
    <row r="126" spans="2:11">
      <c r="B126" s="1643" t="s">
        <v>27</v>
      </c>
      <c r="C126" s="1644"/>
      <c r="D126" s="1647"/>
      <c r="E126" s="1645">
        <f>SUM(F126:I126)</f>
        <v>37411528.382769004</v>
      </c>
      <c r="F126" s="1645">
        <v>37411528.382769004</v>
      </c>
      <c r="G126" s="1645">
        <v>0</v>
      </c>
      <c r="H126" s="1645">
        <v>0</v>
      </c>
      <c r="I126" s="1645">
        <v>0</v>
      </c>
      <c r="J126" s="1693" t="s">
        <v>1541</v>
      </c>
    </row>
    <row r="127" spans="2:11" ht="37.5">
      <c r="B127" s="1643" t="s">
        <v>1527</v>
      </c>
      <c r="C127" s="1644"/>
      <c r="D127" s="1647"/>
      <c r="E127" s="1645">
        <f>SUM(F127:I127)</f>
        <v>-7227919</v>
      </c>
      <c r="F127" s="1645">
        <v>-5077168</v>
      </c>
      <c r="G127" s="1645">
        <v>-2150751</v>
      </c>
      <c r="H127" s="1645">
        <v>0</v>
      </c>
      <c r="I127" s="1645">
        <v>0</v>
      </c>
      <c r="J127" s="1693" t="s">
        <v>1542</v>
      </c>
    </row>
    <row r="128" spans="2:11" ht="25">
      <c r="B128" s="1643" t="s">
        <v>1528</v>
      </c>
      <c r="C128" s="1644"/>
      <c r="D128" s="1647"/>
      <c r="E128" s="1645">
        <f>SUM(F128:I128)</f>
        <v>-12877804</v>
      </c>
      <c r="F128" s="1645">
        <v>-12743533</v>
      </c>
      <c r="G128" s="1645">
        <v>-134271</v>
      </c>
      <c r="H128" s="1645">
        <v>0</v>
      </c>
      <c r="I128" s="1645">
        <v>0</v>
      </c>
      <c r="J128" s="1648" t="s">
        <v>1543</v>
      </c>
    </row>
    <row r="129" spans="2:10" ht="13">
      <c r="B129" s="1381" t="s">
        <v>943</v>
      </c>
      <c r="C129" s="1379"/>
      <c r="D129" s="1379"/>
      <c r="E129" s="1380">
        <f>SUM(E125:E128)</f>
        <v>-456017991.63051403</v>
      </c>
      <c r="F129" s="1380">
        <f>SUM(F125:F128)</f>
        <v>22006590.944269001</v>
      </c>
      <c r="G129" s="1380">
        <f>SUM(G125:G128)</f>
        <v>-2285022</v>
      </c>
      <c r="H129" s="1380">
        <f>SUM(H125:H128)</f>
        <v>-475739560.57478303</v>
      </c>
      <c r="I129" s="1380">
        <f>SUM(I125:I128)</f>
        <v>0</v>
      </c>
      <c r="J129" s="1695"/>
    </row>
    <row r="130" spans="2:10" ht="13">
      <c r="B130" s="1381"/>
      <c r="C130" s="1379"/>
      <c r="D130" s="1379"/>
      <c r="E130" s="1380"/>
      <c r="F130" s="1380"/>
      <c r="G130" s="1380"/>
      <c r="H130" s="1380"/>
      <c r="I130" s="1380"/>
      <c r="J130" s="1695"/>
    </row>
    <row r="131" spans="2:10">
      <c r="B131" s="1399" t="s">
        <v>1335</v>
      </c>
      <c r="C131" s="1400"/>
      <c r="D131" s="1401"/>
      <c r="E131" s="1384">
        <f>SUM(F131:I131)</f>
        <v>12877804</v>
      </c>
      <c r="F131" s="1375">
        <f>-F128</f>
        <v>12743533</v>
      </c>
      <c r="G131" s="1375">
        <f>-G128</f>
        <v>134271</v>
      </c>
      <c r="H131" s="1375">
        <f>-H128</f>
        <v>0</v>
      </c>
      <c r="I131" s="1375">
        <f>-I128</f>
        <v>0</v>
      </c>
      <c r="J131" s="1385"/>
    </row>
    <row r="132" spans="2:10">
      <c r="B132" s="1382" t="s">
        <v>1544</v>
      </c>
      <c r="C132" s="1383"/>
      <c r="D132" s="1401"/>
      <c r="E132" s="1384">
        <f>SUM(F132:I132)</f>
        <v>7227919</v>
      </c>
      <c r="F132" s="1375">
        <f>-F127</f>
        <v>5077168</v>
      </c>
      <c r="G132" s="1375">
        <f>-G127</f>
        <v>2150751</v>
      </c>
      <c r="H132" s="1375">
        <f>-H127</f>
        <v>0</v>
      </c>
      <c r="I132" s="1375">
        <f>-I127</f>
        <v>0</v>
      </c>
      <c r="J132" s="1385"/>
    </row>
    <row r="133" spans="2:10">
      <c r="B133" s="1382" t="s">
        <v>1337</v>
      </c>
      <c r="C133" s="1383"/>
      <c r="D133" s="1401"/>
      <c r="E133" s="1384">
        <f>SUM(F133:I133)</f>
        <v>0</v>
      </c>
      <c r="F133" s="1375">
        <v>0</v>
      </c>
      <c r="G133" s="1375">
        <v>0</v>
      </c>
      <c r="H133" s="1375">
        <v>0</v>
      </c>
      <c r="I133" s="1375">
        <f t="shared" ref="I133" si="1">-I128</f>
        <v>0</v>
      </c>
      <c r="J133" s="1385"/>
    </row>
    <row r="134" spans="2:10">
      <c r="B134" s="1382" t="s">
        <v>1007</v>
      </c>
      <c r="C134" s="1383"/>
      <c r="D134" s="1401"/>
      <c r="E134" s="1384">
        <f>SUM(F134:I134)</f>
        <v>0</v>
      </c>
      <c r="F134" s="1375">
        <v>0</v>
      </c>
      <c r="G134" s="1375">
        <v>0</v>
      </c>
      <c r="H134" s="1375">
        <v>0</v>
      </c>
      <c r="I134" s="1375">
        <v>0</v>
      </c>
      <c r="J134" s="1385"/>
    </row>
    <row r="135" spans="2:10" ht="5.15" customHeight="1">
      <c r="B135" s="1377"/>
      <c r="C135" s="1378"/>
      <c r="D135" s="1379"/>
      <c r="E135" s="1380"/>
      <c r="F135" s="1380"/>
      <c r="G135" s="1380"/>
      <c r="H135" s="1380"/>
      <c r="I135" s="1380"/>
      <c r="J135" s="1695"/>
    </row>
    <row r="136" spans="2:10" ht="13">
      <c r="B136" s="1402" t="s">
        <v>944</v>
      </c>
      <c r="C136" s="1403"/>
      <c r="D136" s="1379"/>
      <c r="E136" s="1380">
        <f>SUM(E131:E134)+E129</f>
        <v>-435912268.63051403</v>
      </c>
      <c r="F136" s="1380">
        <f>SUM(F131:F134)+F129</f>
        <v>39827291.944269001</v>
      </c>
      <c r="G136" s="1380">
        <f>SUM(G131:G134)+G129</f>
        <v>0</v>
      </c>
      <c r="H136" s="1380">
        <f>SUM(H131:H134)+H129</f>
        <v>-475739560.57478303</v>
      </c>
      <c r="I136" s="1380">
        <f>SUM(I131:I134)+I129</f>
        <v>0</v>
      </c>
      <c r="J136" s="1695"/>
    </row>
    <row r="137" spans="2:10" ht="13">
      <c r="B137" s="1404"/>
      <c r="C137" s="1405"/>
      <c r="D137" s="1405"/>
      <c r="E137" s="1389"/>
      <c r="F137" s="1380"/>
      <c r="G137" s="1380"/>
      <c r="H137" s="1380"/>
      <c r="I137" s="1380"/>
      <c r="J137" s="1391"/>
    </row>
    <row r="138" spans="2:10" ht="13">
      <c r="B138" s="1406" t="s">
        <v>264</v>
      </c>
      <c r="C138" s="1407"/>
      <c r="D138" s="1388"/>
      <c r="E138" s="1389"/>
      <c r="F138" s="1389"/>
      <c r="G138" s="1389"/>
      <c r="H138" s="1389"/>
      <c r="I138" s="1390">
        <v>0.10720206738391772</v>
      </c>
      <c r="J138" s="1391"/>
    </row>
    <row r="139" spans="2:10" ht="13">
      <c r="B139" s="1386" t="s">
        <v>237</v>
      </c>
      <c r="C139" s="1387"/>
      <c r="D139" s="1388"/>
      <c r="E139" s="1389"/>
      <c r="F139" s="1389"/>
      <c r="G139" s="1389"/>
      <c r="H139" s="1390">
        <v>0.36862452558673714</v>
      </c>
      <c r="I139" s="1389"/>
      <c r="J139" s="1391"/>
    </row>
    <row r="140" spans="2:10" ht="13">
      <c r="B140" s="1386" t="s">
        <v>933</v>
      </c>
      <c r="C140" s="1387"/>
      <c r="D140" s="1388"/>
      <c r="E140" s="1389"/>
      <c r="F140" s="1389"/>
      <c r="G140" s="1390">
        <v>1</v>
      </c>
      <c r="H140" s="1389"/>
      <c r="I140" s="1389"/>
      <c r="J140" s="1391"/>
    </row>
    <row r="141" spans="2:10" ht="13">
      <c r="B141" s="1386" t="s">
        <v>934</v>
      </c>
      <c r="C141" s="1387"/>
      <c r="D141" s="1388"/>
      <c r="E141" s="1389"/>
      <c r="F141" s="1390">
        <v>0</v>
      </c>
      <c r="G141" s="1389"/>
      <c r="H141" s="1389"/>
      <c r="I141" s="1389"/>
      <c r="J141" s="1391"/>
    </row>
    <row r="142" spans="2:10" ht="13">
      <c r="B142" s="1392" t="s">
        <v>935</v>
      </c>
      <c r="C142" s="1387"/>
      <c r="D142" s="1388"/>
      <c r="E142" s="1389">
        <f>F142+G142+H142+I142</f>
        <v>-175369269.81972218</v>
      </c>
      <c r="F142" s="1389">
        <f>F141*F136</f>
        <v>0</v>
      </c>
      <c r="G142" s="1389">
        <f>G136*G140</f>
        <v>0</v>
      </c>
      <c r="H142" s="1389">
        <f>H136*H139</f>
        <v>-175369269.81972218</v>
      </c>
      <c r="I142" s="1389">
        <f>I138*I136</f>
        <v>0</v>
      </c>
      <c r="J142" s="1391"/>
    </row>
    <row r="143" spans="2:10" ht="17.25" customHeight="1">
      <c r="B143" s="1373"/>
      <c r="C143" s="1373"/>
      <c r="E143" s="1363"/>
      <c r="F143" s="1363"/>
      <c r="G143" s="1363"/>
      <c r="H143" s="1363"/>
      <c r="I143" s="1363"/>
      <c r="J143" s="1394"/>
    </row>
    <row r="144" spans="2:10" ht="13">
      <c r="B144" s="1393"/>
      <c r="E144" s="1363"/>
      <c r="F144" s="1363"/>
      <c r="G144" s="1363"/>
      <c r="H144" s="1363"/>
      <c r="I144" s="1363"/>
      <c r="J144" s="1394"/>
    </row>
    <row r="145" spans="2:10" ht="13">
      <c r="B145" s="1356" t="s">
        <v>174</v>
      </c>
      <c r="C145" s="1356"/>
      <c r="D145" s="1356"/>
      <c r="E145" s="1356" t="s">
        <v>175</v>
      </c>
      <c r="F145" s="1356" t="s">
        <v>1142</v>
      </c>
      <c r="G145" s="1356" t="s">
        <v>1295</v>
      </c>
      <c r="H145" s="1356" t="s">
        <v>1296</v>
      </c>
      <c r="I145" s="1356" t="s">
        <v>1297</v>
      </c>
      <c r="J145" s="1356" t="s">
        <v>1298</v>
      </c>
    </row>
    <row r="146" spans="2:10" ht="13">
      <c r="B146" s="1365"/>
      <c r="C146" s="367"/>
      <c r="D146" s="367"/>
      <c r="E146" s="1356"/>
      <c r="F146" s="1356" t="s">
        <v>1329</v>
      </c>
      <c r="G146" s="1356" t="s">
        <v>258</v>
      </c>
      <c r="H146" s="1356"/>
      <c r="I146" s="1356"/>
      <c r="J146" s="1692"/>
    </row>
    <row r="147" spans="2:10" ht="13">
      <c r="B147" s="1365"/>
      <c r="C147" s="367"/>
      <c r="D147" s="367"/>
      <c r="E147" s="1356"/>
      <c r="F147" s="1356" t="s">
        <v>1330</v>
      </c>
      <c r="G147" s="1356" t="s">
        <v>228</v>
      </c>
      <c r="H147" s="1356" t="s">
        <v>259</v>
      </c>
      <c r="I147" s="1356" t="s">
        <v>260</v>
      </c>
      <c r="J147" s="1692"/>
    </row>
    <row r="148" spans="2:10" ht="13">
      <c r="B148" s="1365" t="s">
        <v>945</v>
      </c>
      <c r="C148" s="367"/>
      <c r="D148" s="367"/>
      <c r="E148" s="1356" t="s">
        <v>44</v>
      </c>
      <c r="F148" s="1359" t="s">
        <v>1331</v>
      </c>
      <c r="G148" s="1356" t="s">
        <v>261</v>
      </c>
      <c r="H148" s="1356" t="s">
        <v>261</v>
      </c>
      <c r="I148" s="1356" t="s">
        <v>261</v>
      </c>
      <c r="J148" s="1356" t="s">
        <v>265</v>
      </c>
    </row>
    <row r="149" spans="2:10">
      <c r="B149" s="1419" t="s">
        <v>1526</v>
      </c>
      <c r="C149" s="1395"/>
      <c r="D149" s="1397"/>
      <c r="E149" s="1645">
        <f>SUM(F149:I149)</f>
        <v>-231798415</v>
      </c>
      <c r="F149" s="1375"/>
      <c r="G149" s="1375"/>
      <c r="H149" s="1375">
        <v>-231798415</v>
      </c>
      <c r="I149" s="1375"/>
      <c r="J149" s="1699" t="s">
        <v>1540</v>
      </c>
    </row>
    <row r="150" spans="2:10">
      <c r="B150" s="1419"/>
      <c r="C150" s="1395"/>
      <c r="D150" s="1397"/>
      <c r="E150" s="1375"/>
      <c r="F150" s="1375"/>
      <c r="G150" s="1375"/>
      <c r="H150" s="1375"/>
      <c r="I150" s="1375"/>
      <c r="J150" s="1376"/>
    </row>
    <row r="151" spans="2:10">
      <c r="B151" s="1419"/>
      <c r="C151" s="1395"/>
      <c r="D151" s="1397"/>
      <c r="E151" s="1375"/>
      <c r="F151" s="1375"/>
      <c r="G151" s="1375"/>
      <c r="H151" s="1375"/>
      <c r="I151" s="1375"/>
      <c r="J151" s="1376"/>
    </row>
    <row r="152" spans="2:10">
      <c r="B152" s="1419"/>
      <c r="C152" s="1395"/>
      <c r="D152" s="1397"/>
      <c r="E152" s="1375"/>
      <c r="F152" s="1375"/>
      <c r="G152" s="1375"/>
      <c r="H152" s="1375"/>
      <c r="I152" s="1375"/>
      <c r="J152" s="1376"/>
    </row>
    <row r="153" spans="2:10">
      <c r="B153" s="1419"/>
      <c r="C153" s="1395"/>
      <c r="D153" s="1397"/>
      <c r="E153" s="1375"/>
      <c r="F153" s="1375"/>
      <c r="G153" s="1375"/>
      <c r="H153" s="1375"/>
      <c r="I153" s="1375"/>
      <c r="J153" s="1376"/>
    </row>
    <row r="154" spans="2:10">
      <c r="B154" s="1419"/>
      <c r="C154" s="1395"/>
      <c r="D154" s="1397"/>
      <c r="E154" s="1375"/>
      <c r="F154" s="1375"/>
      <c r="G154" s="1375"/>
      <c r="H154" s="1375"/>
      <c r="I154" s="1375"/>
      <c r="J154" s="1376"/>
    </row>
    <row r="155" spans="2:10">
      <c r="B155" s="1419"/>
      <c r="C155" s="1395"/>
      <c r="D155" s="1396"/>
      <c r="E155" s="1398"/>
      <c r="F155" s="1398"/>
      <c r="G155" s="1398"/>
      <c r="H155" s="1398"/>
      <c r="I155" s="1398"/>
      <c r="J155" s="1696"/>
    </row>
    <row r="156" spans="2:10" ht="13">
      <c r="B156" s="1381" t="s">
        <v>946</v>
      </c>
      <c r="C156" s="1379"/>
      <c r="D156" s="1379"/>
      <c r="E156" s="1380">
        <f>SUM(E149:E155)</f>
        <v>-231798415</v>
      </c>
      <c r="F156" s="1380">
        <f>SUM(F149:F155)</f>
        <v>0</v>
      </c>
      <c r="G156" s="1380">
        <f>SUM(G149:G155)</f>
        <v>0</v>
      </c>
      <c r="H156" s="1380">
        <f>SUM(H149:H155)</f>
        <v>-231798415</v>
      </c>
      <c r="I156" s="1380">
        <f>SUM(I149:I155)</f>
        <v>0</v>
      </c>
      <c r="J156" s="1695"/>
    </row>
    <row r="157" spans="2:10" ht="13">
      <c r="B157" s="1381"/>
      <c r="C157" s="1379"/>
      <c r="D157" s="1379"/>
      <c r="E157" s="1380"/>
      <c r="F157" s="1380"/>
      <c r="G157" s="1380"/>
      <c r="H157" s="1380"/>
      <c r="I157" s="1380"/>
      <c r="J157" s="1695"/>
    </row>
    <row r="158" spans="2:10">
      <c r="B158" s="1399" t="s">
        <v>1335</v>
      </c>
      <c r="C158" s="1400"/>
      <c r="D158" s="1401"/>
      <c r="E158" s="1384"/>
      <c r="F158" s="1375"/>
      <c r="G158" s="1375"/>
      <c r="H158" s="1375"/>
      <c r="I158" s="1375"/>
      <c r="J158" s="1385"/>
    </row>
    <row r="159" spans="2:10">
      <c r="B159" s="1382" t="s">
        <v>1336</v>
      </c>
      <c r="C159" s="1383"/>
      <c r="D159" s="1401"/>
      <c r="E159" s="1384"/>
      <c r="F159" s="1375"/>
      <c r="G159" s="1375"/>
      <c r="H159" s="1375"/>
      <c r="I159" s="1375"/>
      <c r="J159" s="1385"/>
    </row>
    <row r="160" spans="2:10">
      <c r="B160" s="1382" t="s">
        <v>1337</v>
      </c>
      <c r="C160" s="1383"/>
      <c r="D160" s="1401"/>
      <c r="E160" s="1384"/>
      <c r="F160" s="1375"/>
      <c r="G160" s="1375"/>
      <c r="H160" s="1375"/>
      <c r="I160" s="1375"/>
      <c r="J160" s="1385"/>
    </row>
    <row r="161" spans="2:10">
      <c r="B161" s="1382" t="s">
        <v>1007</v>
      </c>
      <c r="C161" s="1383"/>
      <c r="D161" s="1401"/>
      <c r="E161" s="1384"/>
      <c r="F161" s="1375"/>
      <c r="G161" s="1375"/>
      <c r="H161" s="1375"/>
      <c r="I161" s="1375"/>
      <c r="J161" s="1385"/>
    </row>
    <row r="162" spans="2:10" ht="5.15" customHeight="1">
      <c r="B162" s="1377"/>
      <c r="C162" s="1378"/>
      <c r="D162" s="1379"/>
      <c r="E162" s="1380"/>
      <c r="F162" s="1380"/>
      <c r="G162" s="1380"/>
      <c r="H162" s="1380"/>
      <c r="I162" s="1380"/>
      <c r="J162" s="1695"/>
    </row>
    <row r="163" spans="2:10" ht="13">
      <c r="B163" s="1402" t="s">
        <v>944</v>
      </c>
      <c r="C163" s="1403"/>
      <c r="D163" s="1379"/>
      <c r="E163" s="1380">
        <f>SUM(E158:E161)+E156</f>
        <v>-231798415</v>
      </c>
      <c r="F163" s="1380">
        <f>SUM(F158:F161)+F156</f>
        <v>0</v>
      </c>
      <c r="G163" s="1380">
        <f>SUM(G158:G161)+G156</f>
        <v>0</v>
      </c>
      <c r="H163" s="1380">
        <f>SUM(H158:H161)+H156</f>
        <v>-231798415</v>
      </c>
      <c r="I163" s="1380">
        <f>SUM(I158:I161)+I156</f>
        <v>0</v>
      </c>
      <c r="J163" s="1695"/>
    </row>
    <row r="164" spans="2:10" ht="13">
      <c r="B164" s="1404"/>
      <c r="C164" s="1405"/>
      <c r="D164" s="1405"/>
      <c r="E164" s="1389"/>
      <c r="F164" s="1380"/>
      <c r="G164" s="1380"/>
      <c r="H164" s="1380"/>
      <c r="I164" s="1380"/>
      <c r="J164" s="1391"/>
    </row>
    <row r="165" spans="2:10" ht="13">
      <c r="B165" s="1406" t="s">
        <v>264</v>
      </c>
      <c r="C165" s="1407"/>
      <c r="D165" s="1388"/>
      <c r="E165" s="1389"/>
      <c r="F165" s="1389"/>
      <c r="G165" s="1389"/>
      <c r="H165" s="1389"/>
      <c r="I165" s="1390">
        <v>0.10720206738391772</v>
      </c>
      <c r="J165" s="1391"/>
    </row>
    <row r="166" spans="2:10" ht="13">
      <c r="B166" s="1386" t="s">
        <v>237</v>
      </c>
      <c r="C166" s="1387"/>
      <c r="D166" s="1388"/>
      <c r="E166" s="1389"/>
      <c r="F166" s="1389"/>
      <c r="G166" s="1389"/>
      <c r="H166" s="1390">
        <v>0.36862452558673714</v>
      </c>
      <c r="I166" s="1389"/>
      <c r="J166" s="1391"/>
    </row>
    <row r="167" spans="2:10" ht="13">
      <c r="B167" s="1386" t="s">
        <v>933</v>
      </c>
      <c r="C167" s="1387"/>
      <c r="D167" s="1388"/>
      <c r="E167" s="1389"/>
      <c r="F167" s="1389"/>
      <c r="G167" s="1390">
        <v>1</v>
      </c>
      <c r="H167" s="1389"/>
      <c r="I167" s="1389"/>
      <c r="J167" s="1391"/>
    </row>
    <row r="168" spans="2:10" ht="13">
      <c r="B168" s="1386" t="s">
        <v>934</v>
      </c>
      <c r="C168" s="1387"/>
      <c r="D168" s="1388"/>
      <c r="E168" s="1389"/>
      <c r="F168" s="1390">
        <v>0</v>
      </c>
      <c r="G168" s="1389"/>
      <c r="H168" s="1389"/>
      <c r="I168" s="1389"/>
      <c r="J168" s="1391"/>
    </row>
    <row r="169" spans="2:10" ht="13">
      <c r="B169" s="1392" t="s">
        <v>935</v>
      </c>
      <c r="C169" s="1387"/>
      <c r="D169" s="1388"/>
      <c r="E169" s="1389">
        <f>F169+G169+H169+I169</f>
        <v>-85446580.761132613</v>
      </c>
      <c r="F169" s="1389">
        <f>F168*F163</f>
        <v>0</v>
      </c>
      <c r="G169" s="1389">
        <f>G163*G167</f>
        <v>0</v>
      </c>
      <c r="H169" s="1389">
        <f>H163*H166</f>
        <v>-85446580.761132613</v>
      </c>
      <c r="I169" s="1389">
        <f>I165*I163</f>
        <v>0</v>
      </c>
      <c r="J169" s="1391"/>
    </row>
    <row r="170" spans="2:10" ht="13">
      <c r="B170" s="1393"/>
      <c r="E170" s="1363"/>
      <c r="F170" s="1363"/>
      <c r="G170" s="1363"/>
      <c r="H170" s="1363"/>
      <c r="I170" s="1363">
        <f>H170/H166</f>
        <v>0</v>
      </c>
      <c r="J170" s="1394"/>
    </row>
    <row r="171" spans="2:10" ht="13">
      <c r="B171" s="1393"/>
      <c r="E171" s="1363"/>
      <c r="F171" s="1363"/>
      <c r="G171" s="1363"/>
      <c r="H171" s="1363"/>
      <c r="I171" s="1363"/>
      <c r="J171" s="1394"/>
    </row>
    <row r="172" spans="2:10" ht="13">
      <c r="B172" s="1356" t="s">
        <v>174</v>
      </c>
      <c r="C172" s="1356"/>
      <c r="D172" s="1356"/>
      <c r="E172" s="1356" t="s">
        <v>175</v>
      </c>
      <c r="F172" s="1356" t="s">
        <v>1142</v>
      </c>
      <c r="G172" s="1356" t="s">
        <v>1295</v>
      </c>
      <c r="H172" s="1356" t="s">
        <v>1296</v>
      </c>
      <c r="I172" s="1356" t="s">
        <v>1297</v>
      </c>
      <c r="J172" s="1356" t="s">
        <v>1298</v>
      </c>
    </row>
    <row r="173" spans="2:10" ht="13">
      <c r="B173" s="1365"/>
      <c r="C173" s="367"/>
      <c r="D173" s="367"/>
      <c r="E173" s="1356"/>
      <c r="F173" s="1356" t="s">
        <v>1329</v>
      </c>
      <c r="G173" s="1356" t="s">
        <v>258</v>
      </c>
      <c r="H173" s="1356"/>
      <c r="I173" s="1356"/>
      <c r="J173" s="1692"/>
    </row>
    <row r="174" spans="2:10" ht="13">
      <c r="B174" s="1365"/>
      <c r="C174" s="367"/>
      <c r="D174" s="367"/>
      <c r="E174" s="1356"/>
      <c r="F174" s="1356" t="s">
        <v>1330</v>
      </c>
      <c r="G174" s="1356" t="s">
        <v>228</v>
      </c>
      <c r="H174" s="1356" t="s">
        <v>259</v>
      </c>
      <c r="I174" s="1356" t="s">
        <v>260</v>
      </c>
      <c r="J174" s="1692"/>
    </row>
    <row r="175" spans="2:10" ht="13">
      <c r="B175" s="1365" t="s">
        <v>947</v>
      </c>
      <c r="C175" s="367"/>
      <c r="D175" s="367"/>
      <c r="E175" s="1356" t="s">
        <v>44</v>
      </c>
      <c r="F175" s="1359" t="s">
        <v>1331</v>
      </c>
      <c r="G175" s="1356" t="s">
        <v>261</v>
      </c>
      <c r="H175" s="1356" t="s">
        <v>261</v>
      </c>
      <c r="I175" s="1356" t="s">
        <v>261</v>
      </c>
      <c r="J175" s="1356" t="s">
        <v>265</v>
      </c>
    </row>
    <row r="176" spans="2:10">
      <c r="B176" s="1388" t="s">
        <v>948</v>
      </c>
      <c r="C176" s="1388"/>
      <c r="D176" s="1388"/>
      <c r="E176" s="1380">
        <f>SUM(F176:I176)</f>
        <v>-456017991.63051403</v>
      </c>
      <c r="F176" s="1389">
        <f>F129</f>
        <v>22006590.944269001</v>
      </c>
      <c r="G176" s="1389">
        <f>G129</f>
        <v>-2285022</v>
      </c>
      <c r="H176" s="1389">
        <f>H129</f>
        <v>-475739560.57478303</v>
      </c>
      <c r="I176" s="1389">
        <f>I129</f>
        <v>0</v>
      </c>
      <c r="J176" s="1391"/>
    </row>
    <row r="177" spans="2:11">
      <c r="B177" s="1388" t="s">
        <v>945</v>
      </c>
      <c r="C177" s="1388"/>
      <c r="D177" s="1388"/>
      <c r="E177" s="1380">
        <f>SUM(F177:I177)</f>
        <v>-231798415</v>
      </c>
      <c r="F177" s="1389">
        <f>F156</f>
        <v>0</v>
      </c>
      <c r="G177" s="1389">
        <f>G156</f>
        <v>0</v>
      </c>
      <c r="H177" s="1389">
        <f>H156</f>
        <v>-231798415</v>
      </c>
      <c r="I177" s="1389">
        <f>I156</f>
        <v>0</v>
      </c>
      <c r="J177" s="1391"/>
    </row>
    <row r="178" spans="2:11" ht="13">
      <c r="B178" s="1381" t="s">
        <v>949</v>
      </c>
      <c r="C178" s="1388"/>
      <c r="D178" s="1388"/>
      <c r="E178" s="1389">
        <f>E176+E177</f>
        <v>-687816406.63051403</v>
      </c>
      <c r="F178" s="1389">
        <f>F176+F177</f>
        <v>22006590.944269001</v>
      </c>
      <c r="G178" s="1389">
        <f>G176+G177</f>
        <v>-2285022</v>
      </c>
      <c r="H178" s="1389">
        <f>H176+H177</f>
        <v>-707537975.57478309</v>
      </c>
      <c r="I178" s="1389">
        <f>I176+I177</f>
        <v>0</v>
      </c>
      <c r="J178" s="1391"/>
    </row>
    <row r="179" spans="2:11" ht="13">
      <c r="B179" s="1393"/>
      <c r="E179" s="1363"/>
      <c r="F179" s="1363"/>
      <c r="G179" s="1363"/>
      <c r="H179" s="1363"/>
      <c r="I179" s="1363"/>
      <c r="J179" s="1394"/>
    </row>
    <row r="180" spans="2:11" s="367" customFormat="1" ht="13">
      <c r="B180" s="1365" t="s">
        <v>274</v>
      </c>
      <c r="G180" s="1413"/>
      <c r="H180" s="1413"/>
      <c r="I180" s="1413"/>
      <c r="J180" s="1697"/>
    </row>
    <row r="181" spans="2:11" s="367" customFormat="1" ht="12.75" customHeight="1">
      <c r="B181" s="1749" t="s">
        <v>1339</v>
      </c>
      <c r="C181" s="1749"/>
      <c r="D181" s="1749"/>
      <c r="E181" s="1749"/>
      <c r="F181" s="1749"/>
      <c r="G181" s="1749"/>
      <c r="H181" s="1749"/>
      <c r="I181" s="1749"/>
      <c r="J181" s="1697"/>
    </row>
    <row r="182" spans="2:11" s="367" customFormat="1" ht="13">
      <c r="B182" s="1414" t="s">
        <v>270</v>
      </c>
      <c r="C182" s="1414"/>
      <c r="H182" s="1413"/>
      <c r="I182" s="1413"/>
      <c r="J182" s="1697"/>
    </row>
    <row r="183" spans="2:11" s="367" customFormat="1" ht="13">
      <c r="B183" s="1414" t="s">
        <v>271</v>
      </c>
      <c r="C183" s="1414"/>
      <c r="H183" s="1413"/>
      <c r="I183" s="1413"/>
      <c r="J183" s="1697"/>
    </row>
    <row r="184" spans="2:11" s="367" customFormat="1" ht="13">
      <c r="B184" s="1414" t="s">
        <v>272</v>
      </c>
      <c r="C184" s="1414"/>
      <c r="H184" s="1413"/>
      <c r="I184" s="1413"/>
      <c r="J184" s="1697"/>
    </row>
    <row r="185" spans="2:11" s="367" customFormat="1" ht="15.75" customHeight="1">
      <c r="B185" s="1749" t="s">
        <v>940</v>
      </c>
      <c r="C185" s="1749"/>
      <c r="D185" s="1749"/>
      <c r="E185" s="1749"/>
      <c r="F185" s="1749"/>
      <c r="G185" s="1749"/>
      <c r="H185" s="1749"/>
      <c r="I185" s="1749"/>
      <c r="J185" s="1692"/>
      <c r="K185" s="1415"/>
    </row>
    <row r="186" spans="2:11" s="367" customFormat="1" ht="15.75" customHeight="1">
      <c r="B186" s="1749"/>
      <c r="C186" s="1749"/>
      <c r="D186" s="1749"/>
      <c r="E186" s="1749"/>
      <c r="F186" s="1749"/>
      <c r="G186" s="1749"/>
      <c r="H186" s="1749"/>
      <c r="I186" s="1749"/>
      <c r="J186" s="1692"/>
      <c r="K186" s="1415"/>
    </row>
    <row r="187" spans="2:11" s="367" customFormat="1" ht="13">
      <c r="B187" s="1414" t="s">
        <v>950</v>
      </c>
      <c r="G187" s="1413"/>
      <c r="H187" s="1413"/>
      <c r="I187" s="1413"/>
      <c r="J187" s="1697"/>
    </row>
    <row r="188" spans="2:11" ht="13">
      <c r="B188" s="1420" t="s">
        <v>951</v>
      </c>
    </row>
    <row r="189" spans="2:11" ht="12" customHeight="1">
      <c r="B189" s="1421"/>
      <c r="C189" s="1422"/>
      <c r="D189" s="1423"/>
      <c r="E189" s="1423"/>
      <c r="F189" s="1423"/>
      <c r="G189" s="1423"/>
      <c r="H189" s="1423"/>
      <c r="I189" s="1423"/>
      <c r="J189" s="1423"/>
    </row>
    <row r="190" spans="2:11" ht="13">
      <c r="B190" s="1353"/>
    </row>
    <row r="191" spans="2:11" ht="13">
      <c r="B191" s="1356" t="s">
        <v>174</v>
      </c>
      <c r="C191" s="1356"/>
      <c r="D191" s="1356"/>
      <c r="E191" s="1356" t="s">
        <v>175</v>
      </c>
      <c r="F191" s="1356" t="s">
        <v>1142</v>
      </c>
      <c r="G191" s="1356" t="s">
        <v>1295</v>
      </c>
      <c r="H191" s="1356" t="s">
        <v>1296</v>
      </c>
      <c r="I191" s="1356" t="s">
        <v>1297</v>
      </c>
      <c r="J191" s="1356" t="s">
        <v>1298</v>
      </c>
    </row>
    <row r="192" spans="2:11" ht="13">
      <c r="B192" s="1365"/>
      <c r="C192" s="367"/>
      <c r="D192" s="367"/>
      <c r="E192" s="1356"/>
      <c r="F192" s="1356" t="s">
        <v>1329</v>
      </c>
      <c r="G192" s="1356" t="s">
        <v>258</v>
      </c>
      <c r="H192" s="1356"/>
      <c r="I192" s="1356"/>
      <c r="J192" s="1692"/>
    </row>
    <row r="193" spans="2:12" ht="13">
      <c r="B193" s="1365"/>
      <c r="C193" s="1373"/>
      <c r="D193" s="367"/>
      <c r="E193" s="1356"/>
      <c r="F193" s="1356" t="s">
        <v>1330</v>
      </c>
      <c r="G193" s="1356" t="s">
        <v>228</v>
      </c>
      <c r="H193" s="1356" t="s">
        <v>259</v>
      </c>
      <c r="I193" s="1356" t="s">
        <v>260</v>
      </c>
      <c r="J193" s="1692"/>
      <c r="L193" s="1352" t="s">
        <v>86</v>
      </c>
    </row>
    <row r="194" spans="2:12" ht="13">
      <c r="B194" s="1365" t="s">
        <v>952</v>
      </c>
      <c r="C194" s="367"/>
      <c r="D194" s="367"/>
      <c r="E194" s="1356" t="s">
        <v>44</v>
      </c>
      <c r="F194" s="1359" t="s">
        <v>1331</v>
      </c>
      <c r="G194" s="1356" t="s">
        <v>261</v>
      </c>
      <c r="H194" s="1356" t="s">
        <v>261</v>
      </c>
      <c r="I194" s="1356" t="s">
        <v>261</v>
      </c>
      <c r="J194" s="1356" t="s">
        <v>265</v>
      </c>
    </row>
    <row r="195" spans="2:12">
      <c r="B195" s="1501" t="s">
        <v>1517</v>
      </c>
      <c r="C195" s="1503"/>
      <c r="D195" s="1504"/>
      <c r="E195" s="1502">
        <f t="shared" ref="E195:E203" si="2">SUM(F195:I195)</f>
        <v>-162571.98398700001</v>
      </c>
      <c r="F195" s="1502">
        <v>-162571.98398700001</v>
      </c>
      <c r="G195" s="1502">
        <v>0</v>
      </c>
      <c r="H195" s="1502">
        <v>0</v>
      </c>
      <c r="I195" s="1502">
        <v>0</v>
      </c>
      <c r="J195" s="1693" t="s">
        <v>1535</v>
      </c>
    </row>
    <row r="196" spans="2:12">
      <c r="B196" s="1501" t="s">
        <v>1633</v>
      </c>
      <c r="C196" s="1503"/>
      <c r="D196" s="1504"/>
      <c r="E196" s="1502">
        <f t="shared" si="2"/>
        <v>212989.03429499999</v>
      </c>
      <c r="F196" s="1502">
        <v>0</v>
      </c>
      <c r="G196" s="1502">
        <v>0</v>
      </c>
      <c r="H196" s="1502">
        <v>212989.03429499999</v>
      </c>
      <c r="I196" s="1502">
        <v>0</v>
      </c>
      <c r="J196" s="1693" t="s">
        <v>1634</v>
      </c>
    </row>
    <row r="197" spans="2:12">
      <c r="B197" s="1501" t="s">
        <v>1529</v>
      </c>
      <c r="C197" s="1503"/>
      <c r="D197" s="1504"/>
      <c r="E197" s="1502"/>
      <c r="F197" s="1502">
        <v>-219485.48298600002</v>
      </c>
      <c r="G197" s="1502">
        <v>0</v>
      </c>
      <c r="H197" s="1502">
        <v>0</v>
      </c>
      <c r="I197" s="1502">
        <v>0</v>
      </c>
      <c r="J197" s="1693" t="s">
        <v>1535</v>
      </c>
    </row>
    <row r="198" spans="2:12" ht="25">
      <c r="B198" s="1501" t="s">
        <v>1530</v>
      </c>
      <c r="C198" s="1503"/>
      <c r="D198" s="1504"/>
      <c r="E198" s="1502">
        <f t="shared" si="2"/>
        <v>-15397073.391513001</v>
      </c>
      <c r="F198" s="1502">
        <v>0</v>
      </c>
      <c r="G198" s="1502">
        <v>0</v>
      </c>
      <c r="H198" s="1502">
        <v>0</v>
      </c>
      <c r="I198" s="1502">
        <v>-15397073.391513001</v>
      </c>
      <c r="J198" s="1649" t="s">
        <v>1635</v>
      </c>
    </row>
    <row r="199" spans="2:12">
      <c r="B199" s="1501" t="s">
        <v>1531</v>
      </c>
      <c r="C199" s="1503"/>
      <c r="D199" s="1504"/>
      <c r="E199" s="1502">
        <f t="shared" si="2"/>
        <v>-21662412.51805301</v>
      </c>
      <c r="F199" s="1502">
        <v>-21662412.51805301</v>
      </c>
      <c r="G199" s="1502">
        <v>0</v>
      </c>
      <c r="H199" s="1502">
        <v>0</v>
      </c>
      <c r="I199" s="1502">
        <v>0</v>
      </c>
      <c r="J199" s="1693" t="s">
        <v>1535</v>
      </c>
    </row>
    <row r="200" spans="2:12">
      <c r="B200" s="1501" t="s">
        <v>1636</v>
      </c>
      <c r="C200" s="1503"/>
      <c r="D200" s="1504"/>
      <c r="E200" s="1502">
        <f t="shared" si="2"/>
        <v>-1193867.599281</v>
      </c>
      <c r="F200" s="1502">
        <v>-1193867.599281</v>
      </c>
      <c r="G200" s="1502">
        <v>0</v>
      </c>
      <c r="H200" s="1502">
        <v>0</v>
      </c>
      <c r="I200" s="1502">
        <v>0</v>
      </c>
      <c r="J200" s="1693" t="s">
        <v>1535</v>
      </c>
    </row>
    <row r="201" spans="2:12" ht="25">
      <c r="B201" s="1501" t="s">
        <v>1532</v>
      </c>
      <c r="C201" s="1503"/>
      <c r="D201" s="1504"/>
      <c r="E201" s="1502">
        <f t="shared" si="2"/>
        <v>-1973303.1663000002</v>
      </c>
      <c r="F201" s="1502">
        <v>0</v>
      </c>
      <c r="G201" s="1502">
        <v>-1973303.1663000002</v>
      </c>
      <c r="H201" s="1502">
        <v>0</v>
      </c>
      <c r="I201" s="1502">
        <v>0</v>
      </c>
      <c r="J201" s="1693" t="s">
        <v>1545</v>
      </c>
    </row>
    <row r="202" spans="2:12">
      <c r="B202" s="1501" t="s">
        <v>1637</v>
      </c>
      <c r="C202" s="1503"/>
      <c r="D202" s="1504"/>
      <c r="E202" s="1502">
        <f t="shared" si="2"/>
        <v>-127726.35573900001</v>
      </c>
      <c r="F202" s="1502">
        <v>-127726.35573900001</v>
      </c>
      <c r="G202" s="1502">
        <v>0</v>
      </c>
      <c r="H202" s="1502">
        <v>0</v>
      </c>
      <c r="I202" s="1502">
        <v>0</v>
      </c>
      <c r="J202" s="1693" t="s">
        <v>1535</v>
      </c>
    </row>
    <row r="203" spans="2:12" ht="25">
      <c r="B203" s="1501" t="s">
        <v>1533</v>
      </c>
      <c r="C203" s="1503"/>
      <c r="D203" s="1504"/>
      <c r="E203" s="1502">
        <f t="shared" si="2"/>
        <v>-1083738.5364359999</v>
      </c>
      <c r="F203" s="1502">
        <v>-1083738.5364359999</v>
      </c>
      <c r="G203" s="1502">
        <v>0</v>
      </c>
      <c r="H203" s="1502">
        <v>0</v>
      </c>
      <c r="I203" s="1502">
        <v>0</v>
      </c>
      <c r="J203" s="1693" t="s">
        <v>1546</v>
      </c>
    </row>
    <row r="204" spans="2:12" ht="13">
      <c r="B204" s="1381" t="s">
        <v>953</v>
      </c>
      <c r="C204" s="1379"/>
      <c r="D204" s="1379"/>
      <c r="E204" s="1380">
        <f>SUM(E195:E203)</f>
        <v>-41387704.517014004</v>
      </c>
      <c r="F204" s="1380">
        <f>SUM(F195:F203)</f>
        <v>-24449802.476482008</v>
      </c>
      <c r="G204" s="1380">
        <f>SUM(G195:G203)</f>
        <v>-1973303.1663000002</v>
      </c>
      <c r="H204" s="1380">
        <f>SUM(H195:H203)</f>
        <v>212989.03429499999</v>
      </c>
      <c r="I204" s="1380">
        <f>SUM(I195:I203)</f>
        <v>-15397073.391513001</v>
      </c>
      <c r="J204" s="1695"/>
    </row>
    <row r="205" spans="2:12" ht="13">
      <c r="B205" s="1381"/>
      <c r="C205" s="1379"/>
      <c r="D205" s="1379"/>
      <c r="E205" s="1380"/>
      <c r="F205" s="1380"/>
      <c r="G205" s="1380"/>
      <c r="H205" s="1380"/>
      <c r="I205" s="1380"/>
      <c r="J205" s="1695"/>
    </row>
    <row r="206" spans="2:12">
      <c r="B206" s="1399" t="s">
        <v>1335</v>
      </c>
      <c r="C206" s="1400"/>
      <c r="D206" s="1401"/>
      <c r="E206" s="1384">
        <f>SUM(F206:I206)</f>
        <v>0</v>
      </c>
      <c r="F206" s="1375"/>
      <c r="G206" s="1375"/>
      <c r="H206" s="1375"/>
      <c r="I206" s="1375"/>
      <c r="J206" s="1385"/>
    </row>
    <row r="207" spans="2:12">
      <c r="B207" s="1382" t="s">
        <v>1336</v>
      </c>
      <c r="C207" s="1383"/>
      <c r="D207" s="1401"/>
      <c r="E207" s="1384">
        <f t="shared" ref="E207:E209" si="3">SUM(F207:I207)</f>
        <v>0</v>
      </c>
      <c r="F207" s="1375"/>
      <c r="G207" s="1375"/>
      <c r="H207" s="1375"/>
      <c r="I207" s="1375"/>
      <c r="J207" s="1385"/>
    </row>
    <row r="208" spans="2:12">
      <c r="B208" s="1382" t="s">
        <v>1337</v>
      </c>
      <c r="C208" s="1383"/>
      <c r="D208" s="1401"/>
      <c r="E208" s="1384">
        <f t="shared" si="3"/>
        <v>0</v>
      </c>
      <c r="F208" s="1375"/>
      <c r="G208" s="1375"/>
      <c r="H208" s="1375"/>
      <c r="I208" s="1375"/>
      <c r="J208" s="1385"/>
    </row>
    <row r="209" spans="2:10">
      <c r="B209" s="1382" t="s">
        <v>1007</v>
      </c>
      <c r="C209" s="1383"/>
      <c r="D209" s="1401"/>
      <c r="E209" s="1384">
        <f t="shared" si="3"/>
        <v>0</v>
      </c>
      <c r="F209" s="1375"/>
      <c r="G209" s="1375"/>
      <c r="H209" s="1375"/>
      <c r="I209" s="1375"/>
      <c r="J209" s="1385"/>
    </row>
    <row r="210" spans="2:10" ht="5.15" customHeight="1">
      <c r="B210" s="1377"/>
      <c r="C210" s="1378"/>
      <c r="D210" s="1379"/>
      <c r="E210" s="1380"/>
      <c r="F210" s="1380"/>
      <c r="G210" s="1380"/>
      <c r="H210" s="1380"/>
      <c r="I210" s="1380"/>
      <c r="J210" s="1695"/>
    </row>
    <row r="211" spans="2:10" ht="13">
      <c r="B211" s="1402" t="s">
        <v>954</v>
      </c>
      <c r="C211" s="1403"/>
      <c r="D211" s="1379"/>
      <c r="E211" s="1380">
        <f>SUM(E206:E209)+E204</f>
        <v>-41387704.517014004</v>
      </c>
      <c r="F211" s="1380">
        <f>SUM(F206:F209)+F204</f>
        <v>-24449802.476482008</v>
      </c>
      <c r="G211" s="1380">
        <f>SUM(G206:G209)+G204</f>
        <v>-1973303.1663000002</v>
      </c>
      <c r="H211" s="1380">
        <f>SUM(H206:H209)+H204</f>
        <v>212989.03429499999</v>
      </c>
      <c r="I211" s="1380">
        <f>SUM(I206:I209)+I204</f>
        <v>-15397073.391513001</v>
      </c>
      <c r="J211" s="1695"/>
    </row>
    <row r="212" spans="2:10" ht="13">
      <c r="B212" s="1404"/>
      <c r="C212" s="1405"/>
      <c r="D212" s="1405"/>
      <c r="E212" s="1389"/>
      <c r="F212" s="1380"/>
      <c r="G212" s="1380"/>
      <c r="H212" s="1380"/>
      <c r="I212" s="1380"/>
      <c r="J212" s="1391"/>
    </row>
    <row r="213" spans="2:10" ht="13">
      <c r="B213" s="1406" t="s">
        <v>264</v>
      </c>
      <c r="C213" s="1407"/>
      <c r="D213" s="1388"/>
      <c r="E213" s="1389"/>
      <c r="F213" s="1389"/>
      <c r="G213" s="1389"/>
      <c r="H213" s="1389"/>
      <c r="I213" s="1390">
        <v>0.10720206738391772</v>
      </c>
      <c r="J213" s="1391"/>
    </row>
    <row r="214" spans="2:10" ht="13">
      <c r="B214" s="1386" t="s">
        <v>237</v>
      </c>
      <c r="C214" s="1387"/>
      <c r="D214" s="1388"/>
      <c r="E214" s="1389"/>
      <c r="F214" s="1389"/>
      <c r="G214" s="1389"/>
      <c r="H214" s="1390">
        <v>0.36862452558673714</v>
      </c>
      <c r="I214" s="1389"/>
      <c r="J214" s="1391"/>
    </row>
    <row r="215" spans="2:10" ht="13">
      <c r="B215" s="1386" t="s">
        <v>933</v>
      </c>
      <c r="C215" s="1387"/>
      <c r="D215" s="1388"/>
      <c r="E215" s="1389"/>
      <c r="F215" s="1389"/>
      <c r="G215" s="1390">
        <v>1</v>
      </c>
      <c r="H215" s="1389"/>
      <c r="I215" s="1389"/>
      <c r="J215" s="1391"/>
    </row>
    <row r="216" spans="2:10" ht="13">
      <c r="B216" s="1386" t="s">
        <v>934</v>
      </c>
      <c r="C216" s="1387"/>
      <c r="D216" s="1388"/>
      <c r="E216" s="1389"/>
      <c r="F216" s="1390">
        <v>0</v>
      </c>
      <c r="G216" s="1389"/>
      <c r="H216" s="1389"/>
      <c r="I216" s="1389"/>
      <c r="J216" s="1391"/>
    </row>
    <row r="217" spans="2:10" ht="17.25" customHeight="1">
      <c r="B217" s="1392" t="s">
        <v>935</v>
      </c>
      <c r="C217" s="1387"/>
      <c r="D217" s="1388"/>
      <c r="E217" s="1389">
        <f>F217+G217+H217+I217</f>
        <v>-3545388.2838099319</v>
      </c>
      <c r="F217" s="1389">
        <f>F216*F211</f>
        <v>0</v>
      </c>
      <c r="G217" s="1389">
        <f>G211*G215</f>
        <v>-1973303.1663000002</v>
      </c>
      <c r="H217" s="1389">
        <f>H211*H214</f>
        <v>78512.981722171651</v>
      </c>
      <c r="I217" s="1389">
        <f>I213*I211</f>
        <v>-1650598.0992321032</v>
      </c>
      <c r="J217" s="1391"/>
    </row>
    <row r="218" spans="2:10" ht="12.75" customHeight="1">
      <c r="B218" s="1421"/>
      <c r="C218" s="1423"/>
      <c r="D218" s="1423"/>
      <c r="E218" s="1423"/>
      <c r="F218" s="1423"/>
      <c r="G218" s="1423"/>
      <c r="H218" s="1423"/>
      <c r="I218" s="1423"/>
      <c r="J218" s="1423"/>
    </row>
    <row r="219" spans="2:10" ht="13">
      <c r="B219" s="1356"/>
      <c r="C219" s="1356"/>
      <c r="D219" s="1356"/>
      <c r="E219" s="1356"/>
      <c r="F219" s="1356"/>
      <c r="G219" s="1356"/>
      <c r="H219" s="1356"/>
      <c r="I219" s="1356"/>
      <c r="J219" s="1356"/>
    </row>
    <row r="220" spans="2:10" ht="13">
      <c r="B220" s="1356" t="s">
        <v>174</v>
      </c>
      <c r="C220" s="367"/>
      <c r="D220" s="367"/>
      <c r="E220" s="1356" t="s">
        <v>175</v>
      </c>
      <c r="F220" s="1356" t="s">
        <v>1142</v>
      </c>
      <c r="G220" s="1356" t="s">
        <v>1295</v>
      </c>
      <c r="H220" s="1356" t="s">
        <v>1296</v>
      </c>
      <c r="I220" s="1356" t="s">
        <v>1297</v>
      </c>
      <c r="J220" s="1356" t="s">
        <v>1298</v>
      </c>
    </row>
    <row r="221" spans="2:10" ht="13">
      <c r="B221" s="1365"/>
      <c r="C221" s="367"/>
      <c r="D221" s="367"/>
      <c r="E221" s="1356"/>
      <c r="F221" s="1356" t="s">
        <v>1329</v>
      </c>
      <c r="G221" s="1356" t="s">
        <v>258</v>
      </c>
      <c r="H221" s="1356"/>
      <c r="I221" s="1356"/>
      <c r="J221" s="1692"/>
    </row>
    <row r="222" spans="2:10" ht="13">
      <c r="B222" s="1408"/>
      <c r="C222" s="367"/>
      <c r="D222" s="367"/>
      <c r="E222" s="1356"/>
      <c r="F222" s="1356" t="s">
        <v>1330</v>
      </c>
      <c r="G222" s="1356" t="s">
        <v>228</v>
      </c>
      <c r="H222" s="1356" t="s">
        <v>259</v>
      </c>
      <c r="I222" s="1356" t="s">
        <v>260</v>
      </c>
      <c r="J222" s="1692"/>
    </row>
    <row r="223" spans="2:10" ht="13">
      <c r="B223" s="1365" t="s">
        <v>955</v>
      </c>
      <c r="E223" s="1356" t="s">
        <v>44</v>
      </c>
      <c r="F223" s="1359" t="s">
        <v>1331</v>
      </c>
      <c r="G223" s="1356" t="s">
        <v>261</v>
      </c>
      <c r="H223" s="1356" t="s">
        <v>261</v>
      </c>
      <c r="I223" s="1356" t="s">
        <v>261</v>
      </c>
      <c r="J223" s="1356" t="s">
        <v>265</v>
      </c>
    </row>
    <row r="224" spans="2:10">
      <c r="B224" s="1374"/>
      <c r="C224" s="1425"/>
      <c r="D224" s="1397"/>
      <c r="E224" s="1375"/>
      <c r="F224" s="1375"/>
      <c r="G224" s="1375"/>
      <c r="H224" s="1375"/>
      <c r="I224" s="1375"/>
      <c r="J224" s="1376"/>
    </row>
    <row r="225" spans="2:10">
      <c r="B225" s="1374"/>
      <c r="C225" s="1425"/>
      <c r="D225" s="1397"/>
      <c r="E225" s="1375"/>
      <c r="F225" s="1375"/>
      <c r="G225" s="1375"/>
      <c r="H225" s="1375"/>
      <c r="I225" s="1375"/>
      <c r="J225" s="1376"/>
    </row>
    <row r="226" spans="2:10">
      <c r="B226" s="1374"/>
      <c r="C226" s="1425"/>
      <c r="D226" s="1397"/>
      <c r="E226" s="1375"/>
      <c r="F226" s="1375"/>
      <c r="G226" s="1375"/>
      <c r="H226" s="1375"/>
      <c r="I226" s="1375"/>
      <c r="J226" s="1376"/>
    </row>
    <row r="227" spans="2:10">
      <c r="B227" s="1374"/>
      <c r="C227" s="1425"/>
      <c r="D227" s="1397"/>
      <c r="E227" s="1375"/>
      <c r="F227" s="1375"/>
      <c r="G227" s="1375"/>
      <c r="H227" s="1375"/>
      <c r="I227" s="1375"/>
      <c r="J227" s="1376"/>
    </row>
    <row r="228" spans="2:10">
      <c r="B228" s="1374"/>
      <c r="C228" s="1425"/>
      <c r="D228" s="1397"/>
      <c r="E228" s="1375"/>
      <c r="F228" s="1375"/>
      <c r="G228" s="1375"/>
      <c r="H228" s="1375"/>
      <c r="I228" s="1375"/>
      <c r="J228" s="1376"/>
    </row>
    <row r="229" spans="2:10">
      <c r="B229" s="1374"/>
      <c r="C229" s="1425"/>
      <c r="D229" s="1397"/>
      <c r="E229" s="1375"/>
      <c r="F229" s="1375"/>
      <c r="G229" s="1375"/>
      <c r="H229" s="1375"/>
      <c r="I229" s="1375"/>
      <c r="J229" s="1376"/>
    </row>
    <row r="230" spans="2:10">
      <c r="B230" s="1374"/>
      <c r="C230" s="1425"/>
      <c r="D230" s="1396"/>
      <c r="E230" s="1398"/>
      <c r="F230" s="1398"/>
      <c r="G230" s="1398"/>
      <c r="H230" s="1398"/>
      <c r="I230" s="1398"/>
      <c r="J230" s="1696"/>
    </row>
    <row r="231" spans="2:10" ht="13">
      <c r="B231" s="1381" t="s">
        <v>1008</v>
      </c>
      <c r="C231" s="1379"/>
      <c r="D231" s="1380"/>
      <c r="E231" s="1380">
        <f>SUM(E224:E230)</f>
        <v>0</v>
      </c>
      <c r="F231" s="1380">
        <f>SUM(F224:F230)</f>
        <v>0</v>
      </c>
      <c r="G231" s="1380">
        <f>SUM(G224:G230)</f>
        <v>0</v>
      </c>
      <c r="H231" s="1380">
        <f>SUM(H224:H230)</f>
        <v>0</v>
      </c>
      <c r="I231" s="1380">
        <f>SUM(I224:I230)</f>
        <v>0</v>
      </c>
      <c r="J231" s="1695"/>
    </row>
    <row r="232" spans="2:10" ht="13">
      <c r="B232" s="1381"/>
      <c r="C232" s="1379"/>
      <c r="D232" s="1379"/>
      <c r="E232" s="1380"/>
      <c r="F232" s="1380"/>
      <c r="G232" s="1380"/>
      <c r="H232" s="1380"/>
      <c r="I232" s="1380"/>
      <c r="J232" s="1695"/>
    </row>
    <row r="233" spans="2:10">
      <c r="B233" s="1399" t="s">
        <v>1335</v>
      </c>
      <c r="C233" s="1400"/>
      <c r="D233" s="1401"/>
      <c r="E233" s="1384"/>
      <c r="F233" s="1375"/>
      <c r="G233" s="1375"/>
      <c r="H233" s="1375"/>
      <c r="I233" s="1375"/>
      <c r="J233" s="1385"/>
    </row>
    <row r="234" spans="2:10">
      <c r="B234" s="1382" t="s">
        <v>1336</v>
      </c>
      <c r="C234" s="1383"/>
      <c r="D234" s="1401"/>
      <c r="E234" s="1384"/>
      <c r="F234" s="1375"/>
      <c r="G234" s="1375"/>
      <c r="H234" s="1375"/>
      <c r="I234" s="1375"/>
      <c r="J234" s="1385"/>
    </row>
    <row r="235" spans="2:10">
      <c r="B235" s="1382" t="s">
        <v>1337</v>
      </c>
      <c r="C235" s="1383"/>
      <c r="D235" s="1401"/>
      <c r="E235" s="1384"/>
      <c r="F235" s="1375"/>
      <c r="G235" s="1375"/>
      <c r="H235" s="1375"/>
      <c r="I235" s="1375"/>
      <c r="J235" s="1385"/>
    </row>
    <row r="236" spans="2:10">
      <c r="B236" s="1382" t="s">
        <v>1007</v>
      </c>
      <c r="C236" s="1383"/>
      <c r="D236" s="1401"/>
      <c r="E236" s="1384"/>
      <c r="F236" s="1375"/>
      <c r="G236" s="1375"/>
      <c r="H236" s="1375"/>
      <c r="I236" s="1375"/>
      <c r="J236" s="1385"/>
    </row>
    <row r="237" spans="2:10" ht="5.15" customHeight="1">
      <c r="B237" s="1377"/>
      <c r="C237" s="1378"/>
      <c r="D237" s="1379"/>
      <c r="E237" s="1380"/>
      <c r="F237" s="1380"/>
      <c r="G237" s="1380"/>
      <c r="H237" s="1380"/>
      <c r="I237" s="1380"/>
      <c r="J237" s="1695"/>
    </row>
    <row r="238" spans="2:10" ht="13">
      <c r="B238" s="1402" t="s">
        <v>956</v>
      </c>
      <c r="C238" s="1403"/>
      <c r="D238" s="1379"/>
      <c r="E238" s="1380">
        <f>SUM(E233:E236)+E231</f>
        <v>0</v>
      </c>
      <c r="F238" s="1380">
        <f>SUM(F233:F236)+F231</f>
        <v>0</v>
      </c>
      <c r="G238" s="1380">
        <f>SUM(G233:G236)+G231</f>
        <v>0</v>
      </c>
      <c r="H238" s="1380">
        <f>SUM(H233:H236)+H231</f>
        <v>0</v>
      </c>
      <c r="I238" s="1380">
        <f>SUM(I233:I236)+I231</f>
        <v>0</v>
      </c>
      <c r="J238" s="1695"/>
    </row>
    <row r="239" spans="2:10" ht="13">
      <c r="B239" s="1404"/>
      <c r="C239" s="1405"/>
      <c r="D239" s="1405"/>
      <c r="E239" s="1389"/>
      <c r="F239" s="1380"/>
      <c r="G239" s="1380"/>
      <c r="H239" s="1380"/>
      <c r="I239" s="1380"/>
      <c r="J239" s="1391"/>
    </row>
    <row r="240" spans="2:10" ht="13">
      <c r="B240" s="1406" t="s">
        <v>264</v>
      </c>
      <c r="C240" s="1407"/>
      <c r="D240" s="1388"/>
      <c r="E240" s="1389"/>
      <c r="F240" s="1389"/>
      <c r="G240" s="1389"/>
      <c r="H240" s="1389"/>
      <c r="I240" s="1390">
        <v>0.10720206738391772</v>
      </c>
      <c r="J240" s="1391"/>
    </row>
    <row r="241" spans="2:10" ht="13">
      <c r="B241" s="1386" t="s">
        <v>237</v>
      </c>
      <c r="C241" s="1387"/>
      <c r="D241" s="1388"/>
      <c r="E241" s="1389"/>
      <c r="F241" s="1389"/>
      <c r="G241" s="1389"/>
      <c r="H241" s="1390">
        <v>0.36862452558673714</v>
      </c>
      <c r="I241" s="1389"/>
      <c r="J241" s="1391"/>
    </row>
    <row r="242" spans="2:10" ht="13">
      <c r="B242" s="1386" t="s">
        <v>933</v>
      </c>
      <c r="C242" s="1387"/>
      <c r="D242" s="1388"/>
      <c r="E242" s="1389"/>
      <c r="F242" s="1389"/>
      <c r="G242" s="1390">
        <v>1</v>
      </c>
      <c r="H242" s="1389"/>
      <c r="I242" s="1389"/>
      <c r="J242" s="1391"/>
    </row>
    <row r="243" spans="2:10" ht="13">
      <c r="B243" s="1386" t="s">
        <v>934</v>
      </c>
      <c r="C243" s="1387"/>
      <c r="D243" s="1388"/>
      <c r="E243" s="1389"/>
      <c r="F243" s="1390">
        <v>0</v>
      </c>
      <c r="G243" s="1389"/>
      <c r="H243" s="1389"/>
      <c r="I243" s="1389"/>
      <c r="J243" s="1391"/>
    </row>
    <row r="244" spans="2:10" ht="13">
      <c r="B244" s="1392" t="s">
        <v>935</v>
      </c>
      <c r="C244" s="1387"/>
      <c r="D244" s="1388"/>
      <c r="E244" s="1389">
        <f>F244+G244+H244+I244</f>
        <v>0</v>
      </c>
      <c r="F244" s="1389">
        <f>F243*F238</f>
        <v>0</v>
      </c>
      <c r="G244" s="1389">
        <f>G238*G242</f>
        <v>0</v>
      </c>
      <c r="H244" s="1389">
        <f>H238*H241</f>
        <v>0</v>
      </c>
      <c r="I244" s="1389">
        <f>I240*I238</f>
        <v>0</v>
      </c>
      <c r="J244" s="1391"/>
    </row>
    <row r="245" spans="2:10" ht="13">
      <c r="B245" s="1393"/>
      <c r="E245" s="1363"/>
      <c r="F245" s="1363"/>
      <c r="G245" s="1363"/>
      <c r="H245" s="1363"/>
      <c r="I245" s="1363"/>
      <c r="J245" s="1394"/>
    </row>
    <row r="246" spans="2:10" ht="13">
      <c r="B246" s="1393"/>
      <c r="E246" s="1363"/>
      <c r="F246" s="1363"/>
      <c r="G246" s="1363"/>
      <c r="H246" s="1363"/>
      <c r="I246" s="1363"/>
      <c r="J246" s="1394"/>
    </row>
    <row r="247" spans="2:10" ht="13">
      <c r="B247" s="1356"/>
      <c r="C247" s="1356"/>
      <c r="D247" s="1356"/>
      <c r="E247" s="1356"/>
      <c r="F247" s="1356"/>
      <c r="G247" s="1356"/>
      <c r="H247" s="1356"/>
      <c r="I247" s="1356"/>
      <c r="J247" s="1356"/>
    </row>
    <row r="248" spans="2:10" ht="13">
      <c r="B248" s="1356" t="s">
        <v>174</v>
      </c>
      <c r="C248" s="367"/>
      <c r="D248" s="367"/>
      <c r="E248" s="1356" t="s">
        <v>175</v>
      </c>
      <c r="F248" s="1356" t="s">
        <v>1142</v>
      </c>
      <c r="G248" s="1356" t="s">
        <v>1295</v>
      </c>
      <c r="H248" s="1356" t="s">
        <v>1296</v>
      </c>
      <c r="I248" s="1356" t="s">
        <v>1297</v>
      </c>
      <c r="J248" s="1356" t="s">
        <v>1298</v>
      </c>
    </row>
    <row r="249" spans="2:10" ht="13">
      <c r="B249" s="1365"/>
      <c r="C249" s="367"/>
      <c r="D249" s="367"/>
      <c r="E249" s="1356"/>
      <c r="F249" s="1356" t="s">
        <v>1329</v>
      </c>
      <c r="G249" s="1356" t="s">
        <v>258</v>
      </c>
      <c r="H249" s="1356"/>
      <c r="I249" s="1356"/>
      <c r="J249" s="1692"/>
    </row>
    <row r="250" spans="2:10" ht="13">
      <c r="B250" s="1408"/>
      <c r="C250" s="367"/>
      <c r="D250" s="367"/>
      <c r="E250" s="1356"/>
      <c r="F250" s="1356" t="s">
        <v>1330</v>
      </c>
      <c r="G250" s="1356" t="s">
        <v>228</v>
      </c>
      <c r="H250" s="1356" t="s">
        <v>259</v>
      </c>
      <c r="I250" s="1356" t="s">
        <v>260</v>
      </c>
      <c r="J250" s="1692"/>
    </row>
    <row r="251" spans="2:10" ht="13">
      <c r="B251" s="1365" t="s">
        <v>955</v>
      </c>
      <c r="E251" s="1356" t="s">
        <v>44</v>
      </c>
      <c r="F251" s="1359" t="s">
        <v>1331</v>
      </c>
      <c r="G251" s="1356" t="s">
        <v>261</v>
      </c>
      <c r="H251" s="1356" t="s">
        <v>261</v>
      </c>
      <c r="I251" s="1356" t="s">
        <v>261</v>
      </c>
      <c r="J251" s="1356" t="s">
        <v>265</v>
      </c>
    </row>
    <row r="252" spans="2:10">
      <c r="B252" s="1388" t="s">
        <v>1006</v>
      </c>
      <c r="C252" s="1388"/>
      <c r="D252" s="1388"/>
      <c r="E252" s="1380">
        <f>SUM(F252:I252)</f>
        <v>-41607190.000000007</v>
      </c>
      <c r="F252" s="1389">
        <f>F204</f>
        <v>-24449802.476482008</v>
      </c>
      <c r="G252" s="1389">
        <f>G204</f>
        <v>-1973303.1663000002</v>
      </c>
      <c r="H252" s="1389">
        <f>H204</f>
        <v>212989.03429499999</v>
      </c>
      <c r="I252" s="1389">
        <f>I204</f>
        <v>-15397073.391513001</v>
      </c>
      <c r="J252" s="1391"/>
    </row>
    <row r="253" spans="2:10">
      <c r="B253" s="1388" t="s">
        <v>955</v>
      </c>
      <c r="C253" s="1388"/>
      <c r="D253" s="1388"/>
      <c r="E253" s="1380">
        <f>SUM(F253:I253)</f>
        <v>0</v>
      </c>
      <c r="F253" s="1389">
        <f>F231</f>
        <v>0</v>
      </c>
      <c r="G253" s="1389">
        <f>G231</f>
        <v>0</v>
      </c>
      <c r="H253" s="1389">
        <f>H231</f>
        <v>0</v>
      </c>
      <c r="I253" s="1389">
        <f>I231</f>
        <v>0</v>
      </c>
      <c r="J253" s="1391"/>
    </row>
    <row r="254" spans="2:10" ht="13">
      <c r="B254" s="1381" t="s">
        <v>949</v>
      </c>
      <c r="C254" s="1388"/>
      <c r="D254" s="1388"/>
      <c r="E254" s="1389">
        <f>E252+E253</f>
        <v>-41607190.000000007</v>
      </c>
      <c r="F254" s="1389">
        <f>F252+F253</f>
        <v>-24449802.476482008</v>
      </c>
      <c r="G254" s="1389">
        <f>G252+G253</f>
        <v>-1973303.1663000002</v>
      </c>
      <c r="H254" s="1389">
        <f>H252+H253</f>
        <v>212989.03429499999</v>
      </c>
      <c r="I254" s="1389">
        <f>I252+I253</f>
        <v>-15397073.391513001</v>
      </c>
      <c r="J254" s="1391"/>
    </row>
    <row r="255" spans="2:10" ht="13">
      <c r="B255" s="1393"/>
      <c r="E255" s="1363"/>
      <c r="F255" s="1363"/>
      <c r="G255" s="1363"/>
      <c r="H255" s="1363"/>
      <c r="I255" s="1363"/>
      <c r="J255" s="1394"/>
    </row>
    <row r="256" spans="2:10" s="367" customFormat="1" ht="13">
      <c r="B256" s="1365" t="s">
        <v>275</v>
      </c>
      <c r="G256" s="1413"/>
      <c r="H256" s="1413"/>
      <c r="I256" s="1413"/>
      <c r="J256" s="1697"/>
    </row>
    <row r="257" spans="2:11" s="367" customFormat="1" ht="13">
      <c r="B257" s="1749" t="s">
        <v>1339</v>
      </c>
      <c r="C257" s="1749"/>
      <c r="D257" s="1749"/>
      <c r="E257" s="1749"/>
      <c r="F257" s="1749"/>
      <c r="G257" s="1749"/>
      <c r="H257" s="1749"/>
      <c r="I257" s="1749"/>
      <c r="J257" s="1697"/>
    </row>
    <row r="258" spans="2:11" s="367" customFormat="1" ht="13">
      <c r="B258" s="1420" t="s">
        <v>270</v>
      </c>
      <c r="G258" s="1413"/>
      <c r="H258" s="1413"/>
      <c r="I258" s="1413"/>
      <c r="J258" s="1697"/>
    </row>
    <row r="259" spans="2:11" s="367" customFormat="1" ht="13">
      <c r="B259" s="1420" t="s">
        <v>271</v>
      </c>
      <c r="G259" s="1413"/>
      <c r="H259" s="1413"/>
      <c r="I259" s="1413"/>
      <c r="J259" s="1697"/>
    </row>
    <row r="260" spans="2:11" s="367" customFormat="1" ht="13">
      <c r="B260" s="1420" t="s">
        <v>272</v>
      </c>
      <c r="G260" s="1413"/>
      <c r="H260" s="1413"/>
      <c r="I260" s="1413"/>
      <c r="J260" s="1697"/>
    </row>
    <row r="261" spans="2:11" s="367" customFormat="1" ht="15.75" customHeight="1">
      <c r="B261" s="1744" t="s">
        <v>273</v>
      </c>
      <c r="C261" s="1744"/>
      <c r="D261" s="1744"/>
      <c r="E261" s="1744"/>
      <c r="F261" s="1744"/>
      <c r="G261" s="1744"/>
      <c r="H261" s="1744"/>
      <c r="I261" s="1744"/>
      <c r="J261" s="1692"/>
      <c r="K261" s="1415"/>
    </row>
    <row r="262" spans="2:11" s="367" customFormat="1" ht="15.75" customHeight="1">
      <c r="B262" s="1744"/>
      <c r="C262" s="1744"/>
      <c r="D262" s="1744"/>
      <c r="E262" s="1744"/>
      <c r="F262" s="1744"/>
      <c r="G262" s="1744"/>
      <c r="H262" s="1744"/>
      <c r="I262" s="1744"/>
      <c r="J262" s="1692"/>
      <c r="K262" s="1415"/>
    </row>
    <row r="263" spans="2:11" s="367" customFormat="1" ht="13">
      <c r="B263" s="1414" t="s">
        <v>957</v>
      </c>
      <c r="G263" s="1413"/>
      <c r="H263" s="1413"/>
      <c r="I263" s="1413"/>
      <c r="J263" s="1697"/>
    </row>
    <row r="264" spans="2:11" ht="13">
      <c r="B264" s="1420" t="s">
        <v>951</v>
      </c>
    </row>
    <row r="265" spans="2:11" ht="12" customHeight="1">
      <c r="B265" s="1421"/>
      <c r="C265" s="1422"/>
      <c r="D265" s="1423"/>
      <c r="E265" s="1423"/>
      <c r="F265" s="1423"/>
      <c r="G265" s="1423"/>
      <c r="H265" s="1423"/>
      <c r="I265" s="1423"/>
      <c r="J265" s="1423"/>
    </row>
    <row r="266" spans="2:11" ht="12.75" customHeight="1">
      <c r="B266" s="1421"/>
      <c r="C266" s="1423"/>
      <c r="D266" s="1423"/>
      <c r="E266" s="1423"/>
      <c r="F266" s="1423"/>
      <c r="G266" s="1423"/>
      <c r="H266" s="1423"/>
      <c r="I266" s="1423"/>
      <c r="J266" s="1423"/>
    </row>
    <row r="267" spans="2:11" ht="13">
      <c r="B267" s="1356" t="s">
        <v>174</v>
      </c>
      <c r="C267" s="367"/>
      <c r="D267" s="367"/>
      <c r="E267" s="1356" t="s">
        <v>175</v>
      </c>
      <c r="F267" s="1356" t="s">
        <v>1142</v>
      </c>
      <c r="G267" s="1356" t="s">
        <v>1295</v>
      </c>
      <c r="H267" s="1356" t="s">
        <v>1296</v>
      </c>
      <c r="I267" s="1356" t="s">
        <v>1297</v>
      </c>
      <c r="J267" s="1356" t="s">
        <v>1298</v>
      </c>
    </row>
    <row r="268" spans="2:11" ht="13">
      <c r="B268" s="1365"/>
      <c r="C268" s="367"/>
      <c r="D268" s="367"/>
      <c r="E268" s="1356"/>
      <c r="F268" s="1356" t="s">
        <v>1329</v>
      </c>
      <c r="G268" s="1356" t="s">
        <v>258</v>
      </c>
      <c r="H268" s="1356"/>
      <c r="I268" s="1356"/>
      <c r="J268" s="1692"/>
    </row>
    <row r="269" spans="2:11" ht="13">
      <c r="B269" s="1408"/>
      <c r="C269" s="367"/>
      <c r="D269" s="367"/>
      <c r="E269" s="1356"/>
      <c r="F269" s="1356" t="s">
        <v>1330</v>
      </c>
      <c r="G269" s="1356" t="s">
        <v>228</v>
      </c>
      <c r="H269" s="1356" t="s">
        <v>259</v>
      </c>
      <c r="I269" s="1356" t="s">
        <v>260</v>
      </c>
      <c r="J269" s="1692"/>
    </row>
    <row r="270" spans="2:11" ht="13">
      <c r="B270" s="1365" t="s">
        <v>1350</v>
      </c>
      <c r="E270" s="1356" t="s">
        <v>44</v>
      </c>
      <c r="F270" s="1359" t="s">
        <v>1331</v>
      </c>
      <c r="G270" s="1356" t="s">
        <v>261</v>
      </c>
      <c r="H270" s="1356" t="s">
        <v>261</v>
      </c>
      <c r="I270" s="1356" t="s">
        <v>261</v>
      </c>
      <c r="J270" s="1356" t="s">
        <v>265</v>
      </c>
    </row>
    <row r="271" spans="2:11">
      <c r="B271" s="1374"/>
      <c r="C271" s="1395"/>
      <c r="D271" s="1397"/>
      <c r="E271" s="1375"/>
      <c r="F271" s="1375"/>
      <c r="G271" s="1375"/>
      <c r="H271" s="1375"/>
      <c r="I271" s="1375"/>
      <c r="J271" s="1424"/>
    </row>
    <row r="272" spans="2:11" ht="25">
      <c r="B272" s="1501" t="s">
        <v>1342</v>
      </c>
      <c r="C272" s="1503"/>
      <c r="D272" s="1504"/>
      <c r="E272" s="1502">
        <f>F272+G272+H272</f>
        <v>-3033967</v>
      </c>
      <c r="F272" s="1502"/>
      <c r="G272" s="1502"/>
      <c r="H272" s="1502">
        <v>-3033967</v>
      </c>
      <c r="I272" s="1502"/>
      <c r="J272" s="1424" t="s">
        <v>1779</v>
      </c>
    </row>
    <row r="273" spans="2:10">
      <c r="B273" s="1374"/>
      <c r="C273" s="1395"/>
      <c r="D273" s="1397"/>
      <c r="E273" s="1375"/>
      <c r="F273" s="1375"/>
      <c r="G273" s="1375"/>
      <c r="H273" s="1375"/>
      <c r="I273" s="1375"/>
      <c r="J273" s="1424"/>
    </row>
    <row r="274" spans="2:10">
      <c r="B274" s="1374"/>
      <c r="C274" s="1395"/>
      <c r="D274" s="1397"/>
      <c r="E274" s="1375"/>
      <c r="F274" s="1375"/>
      <c r="G274" s="1375"/>
      <c r="H274" s="1375"/>
      <c r="I274" s="1375"/>
      <c r="J274" s="1424"/>
    </row>
    <row r="275" spans="2:10">
      <c r="B275" s="1374"/>
      <c r="C275" s="1395"/>
      <c r="D275" s="1397"/>
      <c r="E275" s="1375"/>
      <c r="F275" s="1375"/>
      <c r="G275" s="1375"/>
      <c r="H275" s="1375"/>
      <c r="I275" s="1375"/>
      <c r="J275" s="1424"/>
    </row>
    <row r="276" spans="2:10">
      <c r="B276" s="1374"/>
      <c r="C276" s="1395"/>
      <c r="D276" s="1397"/>
      <c r="E276" s="1375"/>
      <c r="F276" s="1375"/>
      <c r="G276" s="1375"/>
      <c r="H276" s="1375"/>
      <c r="I276" s="1375"/>
      <c r="J276" s="1424"/>
    </row>
    <row r="277" spans="2:10">
      <c r="B277" s="1374"/>
      <c r="C277" s="1395"/>
      <c r="D277" s="1397"/>
      <c r="E277" s="1375"/>
      <c r="F277" s="1375"/>
      <c r="G277" s="1375"/>
      <c r="H277" s="1375"/>
      <c r="I277" s="1375"/>
      <c r="J277" s="1424"/>
    </row>
    <row r="278" spans="2:10" ht="13">
      <c r="B278" s="1381" t="s">
        <v>1343</v>
      </c>
      <c r="C278" s="1403"/>
      <c r="D278" s="1379"/>
      <c r="E278" s="1380">
        <f>SUM(E271:E277)</f>
        <v>-3033967</v>
      </c>
      <c r="F278" s="1380">
        <f>SUM(F271:F277)</f>
        <v>0</v>
      </c>
      <c r="G278" s="1380">
        <f>SUM(G271:G277)</f>
        <v>0</v>
      </c>
      <c r="H278" s="1380">
        <f>SUM(H271:H277)</f>
        <v>-3033967</v>
      </c>
      <c r="I278" s="1380">
        <f>SUM(I271:I277)</f>
        <v>0</v>
      </c>
      <c r="J278" s="1695"/>
    </row>
    <row r="279" spans="2:10" ht="13">
      <c r="B279" s="1381"/>
      <c r="C279" s="1379"/>
      <c r="D279" s="1379"/>
      <c r="E279" s="1380"/>
      <c r="F279" s="1380"/>
      <c r="G279" s="1380"/>
      <c r="H279" s="1380"/>
      <c r="I279" s="1380"/>
      <c r="J279" s="1695"/>
    </row>
    <row r="280" spans="2:10">
      <c r="B280" s="1382" t="s">
        <v>1344</v>
      </c>
      <c r="C280" s="1383"/>
      <c r="D280" s="1401"/>
      <c r="E280" s="1384"/>
      <c r="F280" s="1375"/>
      <c r="G280" s="1375"/>
      <c r="H280" s="1375">
        <f>-H272</f>
        <v>3033967</v>
      </c>
      <c r="I280" s="1375"/>
      <c r="J280" s="1385"/>
    </row>
    <row r="281" spans="2:10" ht="5.15" customHeight="1">
      <c r="B281" s="1377"/>
      <c r="C281" s="1378"/>
      <c r="D281" s="1379"/>
      <c r="E281" s="1380"/>
      <c r="F281" s="1380"/>
      <c r="G281" s="1380"/>
      <c r="H281" s="1380"/>
      <c r="I281" s="1380"/>
      <c r="J281" s="1695"/>
    </row>
    <row r="282" spans="2:10" ht="13">
      <c r="B282" s="1381" t="s">
        <v>1345</v>
      </c>
      <c r="C282" s="1379"/>
      <c r="D282" s="1379"/>
      <c r="E282" s="1380">
        <f>SUM(E280:E280)+E278</f>
        <v>-3033967</v>
      </c>
      <c r="F282" s="1380">
        <f>SUM(F280:F280)+F278</f>
        <v>0</v>
      </c>
      <c r="G282" s="1380">
        <f>SUM(G280:G280)+G278</f>
        <v>0</v>
      </c>
      <c r="H282" s="1380">
        <f>SUM(H280:H280)+H278</f>
        <v>0</v>
      </c>
      <c r="I282" s="1380">
        <f>SUM(I280:I280)+I278</f>
        <v>0</v>
      </c>
      <c r="J282" s="1695"/>
    </row>
    <row r="283" spans="2:10" ht="13">
      <c r="B283" s="1426"/>
      <c r="C283" s="1388"/>
      <c r="D283" s="1388"/>
      <c r="E283" s="1389"/>
      <c r="F283" s="1380"/>
      <c r="G283" s="1380"/>
      <c r="H283" s="1380"/>
      <c r="I283" s="1380"/>
      <c r="J283" s="1391"/>
    </row>
    <row r="284" spans="2:10" ht="13">
      <c r="B284" s="1386" t="s">
        <v>264</v>
      </c>
      <c r="C284" s="1387"/>
      <c r="D284" s="1388"/>
      <c r="E284" s="1389"/>
      <c r="F284" s="1389"/>
      <c r="G284" s="1389"/>
      <c r="H284" s="1389"/>
      <c r="I284" s="1390">
        <v>0.10720206738391772</v>
      </c>
      <c r="J284" s="1391"/>
    </row>
    <row r="285" spans="2:10" ht="13">
      <c r="B285" s="1386" t="s">
        <v>237</v>
      </c>
      <c r="C285" s="1387"/>
      <c r="D285" s="1388"/>
      <c r="E285" s="1389"/>
      <c r="F285" s="1389"/>
      <c r="G285" s="1389"/>
      <c r="H285" s="1390">
        <v>0.36862452558673714</v>
      </c>
      <c r="I285" s="1389"/>
      <c r="J285" s="1391"/>
    </row>
    <row r="286" spans="2:10" ht="13">
      <c r="B286" s="1386" t="s">
        <v>933</v>
      </c>
      <c r="C286" s="1387"/>
      <c r="D286" s="1388"/>
      <c r="E286" s="1389"/>
      <c r="F286" s="1389"/>
      <c r="G286" s="1390">
        <v>1</v>
      </c>
      <c r="H286" s="1389"/>
      <c r="I286" s="1389"/>
      <c r="J286" s="1391"/>
    </row>
    <row r="287" spans="2:10" ht="13">
      <c r="B287" s="1386" t="s">
        <v>934</v>
      </c>
      <c r="C287" s="1387"/>
      <c r="D287" s="1388"/>
      <c r="E287" s="1389"/>
      <c r="F287" s="1390">
        <v>0</v>
      </c>
      <c r="G287" s="1389"/>
      <c r="H287" s="1389"/>
      <c r="I287" s="1389"/>
      <c r="J287" s="1391"/>
    </row>
    <row r="288" spans="2:10" ht="13">
      <c r="B288" s="1387" t="s">
        <v>1346</v>
      </c>
      <c r="C288" s="1387"/>
      <c r="D288" s="1388"/>
      <c r="E288" s="1389">
        <f>F288+G288+H288+I288</f>
        <v>0</v>
      </c>
      <c r="F288" s="1389">
        <f>F287*F282</f>
        <v>0</v>
      </c>
      <c r="G288" s="1389">
        <f>G282*G286</f>
        <v>0</v>
      </c>
      <c r="H288" s="1389">
        <f>H282*H285</f>
        <v>0</v>
      </c>
      <c r="I288" s="1389">
        <f>I284*I282</f>
        <v>0</v>
      </c>
      <c r="J288" s="1391"/>
    </row>
    <row r="289" spans="2:10" ht="12.75" customHeight="1">
      <c r="B289" s="1421"/>
      <c r="C289" s="1423"/>
      <c r="D289" s="1423"/>
      <c r="E289" s="1423"/>
      <c r="F289" s="1423"/>
      <c r="G289" s="1423"/>
      <c r="H289" s="1423"/>
      <c r="I289" s="1423"/>
      <c r="J289" s="1423"/>
    </row>
    <row r="290" spans="2:10" ht="12.75" customHeight="1">
      <c r="B290" s="1421"/>
      <c r="C290" s="1423"/>
      <c r="D290" s="1423"/>
      <c r="E290" s="1423"/>
      <c r="F290" s="1423"/>
      <c r="G290" s="1423"/>
      <c r="H290" s="1423"/>
      <c r="I290" s="1423"/>
      <c r="J290" s="1423"/>
    </row>
    <row r="291" spans="2:10" ht="13">
      <c r="B291" s="1356" t="s">
        <v>174</v>
      </c>
      <c r="C291" s="367"/>
      <c r="D291" s="367"/>
      <c r="E291" s="1356" t="s">
        <v>175</v>
      </c>
      <c r="F291" s="1356" t="s">
        <v>1142</v>
      </c>
      <c r="G291" s="1356" t="s">
        <v>1295</v>
      </c>
      <c r="H291" s="1356" t="s">
        <v>1296</v>
      </c>
      <c r="I291" s="1356" t="s">
        <v>1297</v>
      </c>
      <c r="J291" s="1356" t="s">
        <v>1298</v>
      </c>
    </row>
    <row r="292" spans="2:10" ht="13">
      <c r="B292" s="1365"/>
      <c r="C292" s="367"/>
      <c r="D292" s="367"/>
      <c r="E292" s="1356"/>
      <c r="F292" s="1356" t="s">
        <v>1329</v>
      </c>
      <c r="G292" s="1356" t="s">
        <v>258</v>
      </c>
      <c r="H292" s="1356"/>
      <c r="I292" s="1356"/>
      <c r="J292" s="1692"/>
    </row>
    <row r="293" spans="2:10" ht="13">
      <c r="B293" s="1408"/>
      <c r="C293" s="367"/>
      <c r="D293" s="367"/>
      <c r="E293" s="1356"/>
      <c r="F293" s="1356" t="s">
        <v>1330</v>
      </c>
      <c r="G293" s="1356" t="s">
        <v>228</v>
      </c>
      <c r="H293" s="1356" t="s">
        <v>259</v>
      </c>
      <c r="I293" s="1356" t="s">
        <v>260</v>
      </c>
      <c r="J293" s="1692"/>
    </row>
    <row r="294" spans="2:10" ht="13">
      <c r="B294" s="1365" t="s">
        <v>1351</v>
      </c>
      <c r="E294" s="1356" t="s">
        <v>44</v>
      </c>
      <c r="F294" s="1359" t="s">
        <v>1331</v>
      </c>
      <c r="G294" s="1356" t="s">
        <v>261</v>
      </c>
      <c r="H294" s="1356" t="s">
        <v>261</v>
      </c>
      <c r="I294" s="1356" t="s">
        <v>261</v>
      </c>
      <c r="J294" s="1356" t="s">
        <v>265</v>
      </c>
    </row>
    <row r="295" spans="2:10">
      <c r="B295" s="1374"/>
      <c r="C295" s="1395"/>
      <c r="D295" s="1397"/>
      <c r="E295" s="1375"/>
      <c r="F295" s="1375"/>
      <c r="G295" s="1375"/>
      <c r="H295" s="1375"/>
      <c r="I295" s="1375"/>
      <c r="J295" s="1424"/>
    </row>
    <row r="296" spans="2:10" ht="50">
      <c r="B296" s="1501" t="s">
        <v>1224</v>
      </c>
      <c r="C296" s="1503"/>
      <c r="D296" s="1504"/>
      <c r="E296" s="1502">
        <f>F296+G296+H296</f>
        <v>337483</v>
      </c>
      <c r="F296" s="1502"/>
      <c r="G296" s="1502"/>
      <c r="H296" s="1502">
        <v>337483</v>
      </c>
      <c r="I296" s="1502"/>
      <c r="J296" s="1424" t="s">
        <v>1780</v>
      </c>
    </row>
    <row r="297" spans="2:10">
      <c r="B297" s="1374"/>
      <c r="C297" s="1395"/>
      <c r="D297" s="1397"/>
      <c r="E297" s="1375"/>
      <c r="F297" s="1375"/>
      <c r="G297" s="1375"/>
      <c r="H297" s="1375"/>
      <c r="I297" s="1375"/>
      <c r="J297" s="1424"/>
    </row>
    <row r="298" spans="2:10">
      <c r="B298" s="1374"/>
      <c r="C298" s="1395"/>
      <c r="D298" s="1397"/>
      <c r="E298" s="1375"/>
      <c r="F298" s="1375"/>
      <c r="G298" s="1375"/>
      <c r="H298" s="1375"/>
      <c r="I298" s="1375"/>
      <c r="J298" s="1424"/>
    </row>
    <row r="299" spans="2:10">
      <c r="B299" s="1374"/>
      <c r="C299" s="1395"/>
      <c r="D299" s="1397"/>
      <c r="E299" s="1375"/>
      <c r="F299" s="1375"/>
      <c r="G299" s="1375"/>
      <c r="H299" s="1375"/>
      <c r="I299" s="1375"/>
      <c r="J299" s="1424"/>
    </row>
    <row r="300" spans="2:10">
      <c r="B300" s="1374"/>
      <c r="C300" s="1395"/>
      <c r="D300" s="1397"/>
      <c r="E300" s="1375"/>
      <c r="F300" s="1375"/>
      <c r="G300" s="1375"/>
      <c r="H300" s="1375"/>
      <c r="I300" s="1375"/>
      <c r="J300" s="1424"/>
    </row>
    <row r="301" spans="2:10">
      <c r="B301" s="1374"/>
      <c r="C301" s="1395"/>
      <c r="D301" s="1397"/>
      <c r="E301" s="1375"/>
      <c r="F301" s="1375"/>
      <c r="G301" s="1375"/>
      <c r="H301" s="1375"/>
      <c r="I301" s="1375"/>
      <c r="J301" s="1424"/>
    </row>
    <row r="302" spans="2:10" ht="13">
      <c r="B302" s="1381" t="s">
        <v>1343</v>
      </c>
      <c r="C302" s="1427"/>
      <c r="D302" s="1379"/>
      <c r="E302" s="1380">
        <f>SUM(E295:E301)</f>
        <v>337483</v>
      </c>
      <c r="F302" s="1380">
        <f>SUM(F295:F301)</f>
        <v>0</v>
      </c>
      <c r="G302" s="1380">
        <f>SUM(G295:G301)</f>
        <v>0</v>
      </c>
      <c r="H302" s="1380">
        <f>SUM(H295:H301)</f>
        <v>337483</v>
      </c>
      <c r="I302" s="1380">
        <f>SUM(I295:I301)</f>
        <v>0</v>
      </c>
      <c r="J302" s="1695"/>
    </row>
    <row r="303" spans="2:10" ht="13">
      <c r="B303" s="1404"/>
      <c r="C303" s="1405"/>
      <c r="D303" s="1405"/>
      <c r="E303" s="1389"/>
      <c r="F303" s="1380"/>
      <c r="G303" s="1380"/>
      <c r="H303" s="1380"/>
      <c r="I303" s="1380"/>
      <c r="J303" s="1391"/>
    </row>
    <row r="304" spans="2:10" ht="13">
      <c r="B304" s="1406" t="s">
        <v>264</v>
      </c>
      <c r="C304" s="1407"/>
      <c r="D304" s="1388"/>
      <c r="E304" s="1389"/>
      <c r="F304" s="1389"/>
      <c r="G304" s="1389"/>
      <c r="H304" s="1389"/>
      <c r="I304" s="1390">
        <v>0.10720206738391772</v>
      </c>
      <c r="J304" s="1391"/>
    </row>
    <row r="305" spans="1:10" ht="13">
      <c r="B305" s="1386" t="s">
        <v>237</v>
      </c>
      <c r="C305" s="1387"/>
      <c r="D305" s="1388"/>
      <c r="E305" s="1389"/>
      <c r="F305" s="1389"/>
      <c r="G305" s="1389"/>
      <c r="H305" s="1390">
        <v>0.36862452558673714</v>
      </c>
      <c r="I305" s="1389"/>
      <c r="J305" s="1391"/>
    </row>
    <row r="306" spans="1:10" ht="13">
      <c r="B306" s="1386" t="s">
        <v>933</v>
      </c>
      <c r="C306" s="1387"/>
      <c r="D306" s="1388"/>
      <c r="E306" s="1389"/>
      <c r="F306" s="1389"/>
      <c r="G306" s="1390">
        <v>1</v>
      </c>
      <c r="H306" s="1389"/>
      <c r="I306" s="1389"/>
      <c r="J306" s="1391"/>
    </row>
    <row r="307" spans="1:10" ht="13">
      <c r="B307" s="1386" t="s">
        <v>934</v>
      </c>
      <c r="C307" s="1387"/>
      <c r="D307" s="1388"/>
      <c r="E307" s="1389"/>
      <c r="F307" s="1390">
        <v>0</v>
      </c>
      <c r="G307" s="1389"/>
      <c r="H307" s="1389"/>
      <c r="I307" s="1389"/>
      <c r="J307" s="1391"/>
    </row>
    <row r="308" spans="1:10" ht="13">
      <c r="B308" s="1392" t="s">
        <v>1348</v>
      </c>
      <c r="C308" s="1387"/>
      <c r="D308" s="1388"/>
      <c r="E308" s="1389">
        <f>F308+G308+H308+I308</f>
        <v>124404.51076858881</v>
      </c>
      <c r="F308" s="1389">
        <f>F307*F302</f>
        <v>0</v>
      </c>
      <c r="G308" s="1389">
        <f>G302*G306</f>
        <v>0</v>
      </c>
      <c r="H308" s="1389">
        <f>H302*H305</f>
        <v>124404.51076858881</v>
      </c>
      <c r="I308" s="1389">
        <f>I304*I302</f>
        <v>0</v>
      </c>
      <c r="J308" s="1391"/>
    </row>
    <row r="309" spans="1:10">
      <c r="G309" s="1367"/>
    </row>
    <row r="311" spans="1:10" s="1248" customFormat="1" ht="15.5">
      <c r="A311" s="1428" t="s">
        <v>489</v>
      </c>
      <c r="B311" s="1429"/>
      <c r="C311" s="1429"/>
      <c r="D311" s="225"/>
      <c r="E311" s="225"/>
      <c r="F311" s="578"/>
      <c r="G311" s="225"/>
      <c r="H311" s="225"/>
      <c r="I311" s="225"/>
      <c r="J311" s="225"/>
    </row>
  </sheetData>
  <mergeCells count="12">
    <mergeCell ref="B261:I262"/>
    <mergeCell ref="A1:K1"/>
    <mergeCell ref="A2:K2"/>
    <mergeCell ref="A3:K3"/>
    <mergeCell ref="B6:J6"/>
    <mergeCell ref="B24:I26"/>
    <mergeCell ref="B29:I30"/>
    <mergeCell ref="B112:I112"/>
    <mergeCell ref="B116:I117"/>
    <mergeCell ref="B181:I181"/>
    <mergeCell ref="B185:I186"/>
    <mergeCell ref="B257:I257"/>
  </mergeCells>
  <pageMargins left="0.7" right="0.7" top="0.75" bottom="0.75" header="0.3" footer="0.3"/>
  <pageSetup scale="36" orientation="landscape" r:id="rId1"/>
  <rowBreaks count="3" manualBreakCount="3">
    <brk id="73" max="11" man="1"/>
    <brk id="179" max="11" man="1"/>
    <brk id="288"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67"/>
  <sheetViews>
    <sheetView topLeftCell="A213" zoomScale="80" zoomScaleNormal="80" workbookViewId="0">
      <selection activeCell="J213" sqref="J213"/>
    </sheetView>
  </sheetViews>
  <sheetFormatPr defaultColWidth="9.1796875" defaultRowHeight="12.5"/>
  <cols>
    <col min="1" max="1" width="5.7265625" style="1010" customWidth="1"/>
    <col min="2" max="2" width="11" style="1316" customWidth="1"/>
    <col min="3" max="3" width="5.7265625" style="1010" customWidth="1"/>
    <col min="4" max="4" width="32.1796875" style="1010" customWidth="1"/>
    <col min="5" max="5" width="14.453125" style="1010" customWidth="1"/>
    <col min="6" max="6" width="21.81640625" style="1010" customWidth="1"/>
    <col min="7" max="7" width="15.1796875" style="1010" customWidth="1"/>
    <col min="8" max="8" width="20.81640625" style="1010" bestFit="1" customWidth="1"/>
    <col min="9" max="9" width="3.81640625" style="1010" customWidth="1"/>
    <col min="10" max="10" width="27.453125" style="1010" customWidth="1"/>
    <col min="11" max="11" width="21.81640625" style="1010" customWidth="1"/>
    <col min="12" max="12" width="25.1796875" style="1010" customWidth="1"/>
    <col min="13" max="13" width="3.81640625" style="1010" customWidth="1"/>
    <col min="14" max="14" width="19.7265625" style="1010" customWidth="1"/>
    <col min="15" max="15" width="25.453125" style="1010" customWidth="1"/>
    <col min="16" max="16" width="24.7265625" style="1010" customWidth="1"/>
    <col min="17" max="17" width="25" style="1010" customWidth="1"/>
    <col min="18" max="18" width="26.54296875" style="1010" customWidth="1"/>
    <col min="19" max="19" width="3.81640625" style="1010" customWidth="1"/>
    <col min="20" max="16384" width="9.1796875" style="1010"/>
  </cols>
  <sheetData>
    <row r="1" spans="1:19" ht="15.5">
      <c r="A1" s="1739" t="s">
        <v>1551</v>
      </c>
      <c r="B1" s="1739"/>
      <c r="C1" s="1739"/>
      <c r="D1" s="1739"/>
      <c r="E1" s="1739"/>
      <c r="F1" s="1739"/>
      <c r="G1" s="1739"/>
      <c r="H1" s="1739"/>
      <c r="I1" s="1739"/>
      <c r="J1" s="1739"/>
      <c r="K1" s="1739"/>
      <c r="L1" s="1739"/>
      <c r="M1" s="1739"/>
      <c r="N1" s="1739"/>
      <c r="O1" s="1739"/>
      <c r="P1" s="1739"/>
      <c r="Q1" s="1739"/>
      <c r="R1" s="1739"/>
      <c r="S1" s="1313"/>
    </row>
    <row r="2" spans="1:19" ht="15.5">
      <c r="A2" s="1739" t="s">
        <v>1352</v>
      </c>
      <c r="B2" s="1739"/>
      <c r="C2" s="1739"/>
      <c r="D2" s="1739"/>
      <c r="E2" s="1739"/>
      <c r="F2" s="1739"/>
      <c r="G2" s="1739"/>
      <c r="H2" s="1739"/>
      <c r="I2" s="1739"/>
      <c r="J2" s="1739"/>
      <c r="K2" s="1739"/>
      <c r="L2" s="1739"/>
      <c r="M2" s="1739"/>
      <c r="N2" s="1739"/>
      <c r="O2" s="1739"/>
      <c r="P2" s="1739"/>
      <c r="Q2" s="1739"/>
      <c r="R2" s="1739"/>
      <c r="S2" s="1313"/>
    </row>
    <row r="3" spans="1:19" ht="15.5">
      <c r="A3" s="1739" t="s">
        <v>1353</v>
      </c>
      <c r="B3" s="1739"/>
      <c r="C3" s="1739"/>
      <c r="D3" s="1739"/>
      <c r="E3" s="1739"/>
      <c r="F3" s="1739"/>
      <c r="G3" s="1739"/>
      <c r="H3" s="1739"/>
      <c r="I3" s="1739"/>
      <c r="J3" s="1739"/>
      <c r="K3" s="1739"/>
      <c r="L3" s="1739"/>
      <c r="M3" s="1739"/>
      <c r="N3" s="1739"/>
      <c r="O3" s="1739"/>
      <c r="P3" s="1739"/>
      <c r="Q3" s="1739"/>
      <c r="R3" s="1739"/>
      <c r="S3" s="1313"/>
    </row>
    <row r="4" spans="1:19" ht="15.5">
      <c r="A4" s="914"/>
      <c r="B4" s="1637"/>
      <c r="C4" s="914"/>
      <c r="D4" s="913"/>
      <c r="E4" s="913"/>
      <c r="F4" s="913"/>
      <c r="G4" s="913"/>
      <c r="H4" s="913"/>
      <c r="I4" s="913"/>
      <c r="J4" s="913"/>
      <c r="K4" s="913"/>
      <c r="L4" s="913"/>
      <c r="M4" s="913"/>
      <c r="N4" s="913"/>
      <c r="O4" s="913"/>
      <c r="P4" s="913"/>
      <c r="Q4" s="913"/>
      <c r="R4" s="913"/>
    </row>
    <row r="5" spans="1:19" ht="15.5">
      <c r="A5" s="913"/>
      <c r="B5" s="1315"/>
      <c r="C5" s="913"/>
      <c r="D5" s="913" t="s">
        <v>910</v>
      </c>
      <c r="E5" s="915" t="s">
        <v>1799</v>
      </c>
      <c r="F5" s="916"/>
      <c r="G5" s="916"/>
      <c r="H5" s="916"/>
      <c r="I5" s="913"/>
      <c r="J5" s="913"/>
      <c r="K5" s="913"/>
      <c r="L5" s="913"/>
      <c r="M5" s="913"/>
      <c r="N5" s="913"/>
      <c r="O5" s="913"/>
      <c r="P5" s="913"/>
      <c r="Q5" s="913"/>
      <c r="R5" s="913"/>
    </row>
    <row r="6" spans="1:19" ht="13">
      <c r="D6" s="1313"/>
    </row>
    <row r="7" spans="1:19" ht="15.75" customHeight="1">
      <c r="B7" s="1750" t="s">
        <v>1354</v>
      </c>
      <c r="C7" s="1750"/>
      <c r="D7" s="1750"/>
      <c r="E7" s="1750"/>
      <c r="F7" s="1750"/>
      <c r="G7" s="1750"/>
      <c r="H7" s="1750"/>
      <c r="I7" s="1750"/>
      <c r="J7" s="1750"/>
      <c r="K7" s="1750"/>
      <c r="L7" s="1750"/>
      <c r="M7" s="1750"/>
      <c r="N7" s="1750"/>
      <c r="O7" s="1750"/>
      <c r="P7" s="1750"/>
      <c r="Q7" s="1750"/>
      <c r="R7" s="1750"/>
    </row>
    <row r="8" spans="1:19" ht="13">
      <c r="D8" s="1313"/>
    </row>
    <row r="9" spans="1:19" ht="13">
      <c r="D9" s="1313" t="s">
        <v>1355</v>
      </c>
      <c r="J9" s="1740"/>
      <c r="K9" s="1740"/>
      <c r="L9" s="1740"/>
      <c r="N9" s="1740"/>
      <c r="O9" s="1740"/>
      <c r="P9" s="1740"/>
      <c r="Q9" s="1740"/>
      <c r="R9" s="1740"/>
    </row>
    <row r="10" spans="1:19" ht="13">
      <c r="D10" s="1733" t="s">
        <v>912</v>
      </c>
      <c r="E10" s="1734"/>
      <c r="F10" s="1734"/>
      <c r="G10" s="1734"/>
      <c r="H10" s="1735"/>
      <c r="I10" s="1317"/>
      <c r="J10" s="1736" t="s">
        <v>1356</v>
      </c>
      <c r="K10" s="1737"/>
      <c r="L10" s="1738"/>
      <c r="M10" s="1317"/>
      <c r="N10" s="1736" t="s">
        <v>1357</v>
      </c>
      <c r="O10" s="1737"/>
      <c r="P10" s="1737"/>
      <c r="Q10" s="1737"/>
      <c r="R10" s="1738"/>
      <c r="S10" s="1317"/>
    </row>
    <row r="11" spans="1:19" ht="13">
      <c r="D11" s="1318" t="s">
        <v>174</v>
      </c>
      <c r="E11" s="1318" t="s">
        <v>175</v>
      </c>
      <c r="F11" s="1318" t="s">
        <v>1294</v>
      </c>
      <c r="G11" s="1318" t="s">
        <v>1295</v>
      </c>
      <c r="H11" s="1318" t="s">
        <v>1296</v>
      </c>
      <c r="I11" s="1317"/>
      <c r="J11" s="1318" t="s">
        <v>1297</v>
      </c>
      <c r="K11" s="1318" t="s">
        <v>1298</v>
      </c>
      <c r="L11" s="1318" t="s">
        <v>1299</v>
      </c>
      <c r="M11" s="1317"/>
      <c r="N11" s="1318" t="s">
        <v>1300</v>
      </c>
      <c r="O11" s="1318" t="s">
        <v>1301</v>
      </c>
      <c r="P11" s="1318" t="s">
        <v>1302</v>
      </c>
      <c r="Q11" s="1318" t="s">
        <v>1303</v>
      </c>
      <c r="R11" s="1318" t="s">
        <v>1304</v>
      </c>
      <c r="S11" s="1317"/>
    </row>
    <row r="12" spans="1:19" ht="63" customHeight="1">
      <c r="B12" s="1319" t="s">
        <v>1305</v>
      </c>
      <c r="D12" s="1320" t="s">
        <v>169</v>
      </c>
      <c r="E12" s="1320" t="s">
        <v>913</v>
      </c>
      <c r="F12" s="1320" t="s">
        <v>1005</v>
      </c>
      <c r="G12" s="1320" t="s">
        <v>1004</v>
      </c>
      <c r="H12" s="1320" t="s">
        <v>1306</v>
      </c>
      <c r="I12" s="1640"/>
      <c r="J12" s="1320" t="s">
        <v>916</v>
      </c>
      <c r="K12" s="1320" t="s">
        <v>1307</v>
      </c>
      <c r="L12" s="1320" t="s">
        <v>1308</v>
      </c>
      <c r="M12" s="1640"/>
      <c r="N12" s="1320" t="s">
        <v>1003</v>
      </c>
      <c r="O12" s="1320" t="s">
        <v>1309</v>
      </c>
      <c r="P12" s="1320" t="s">
        <v>1310</v>
      </c>
      <c r="Q12" s="1320" t="s">
        <v>1311</v>
      </c>
      <c r="R12" s="1320" t="s">
        <v>1312</v>
      </c>
      <c r="S12" s="1640"/>
    </row>
    <row r="13" spans="1:19">
      <c r="E13" s="1640"/>
      <c r="F13" s="1640"/>
      <c r="G13" s="1640"/>
      <c r="H13" s="1640"/>
      <c r="I13" s="1640"/>
      <c r="J13" s="1640"/>
      <c r="K13" s="1640"/>
      <c r="L13" s="1640"/>
      <c r="M13" s="1640"/>
      <c r="N13" s="1640"/>
      <c r="O13" s="1640"/>
      <c r="P13" s="1640"/>
      <c r="Q13" s="1640"/>
      <c r="R13" s="1640"/>
      <c r="S13" s="1640"/>
    </row>
    <row r="14" spans="1:19">
      <c r="B14" s="1316">
        <v>1</v>
      </c>
      <c r="D14" s="1010" t="s">
        <v>1358</v>
      </c>
      <c r="E14" s="1640"/>
      <c r="F14" s="1640"/>
      <c r="G14" s="1640"/>
      <c r="H14" s="1640"/>
      <c r="I14" s="1640"/>
      <c r="J14" s="1321" t="s">
        <v>1798</v>
      </c>
      <c r="K14" s="1640"/>
      <c r="L14" s="1321">
        <f>'1E - EDIT Amortization'!M88</f>
        <v>3570954</v>
      </c>
      <c r="M14" s="1640"/>
      <c r="N14" s="1321"/>
      <c r="O14" s="1640"/>
      <c r="P14" s="1640"/>
      <c r="Q14" s="1640"/>
      <c r="R14" s="1321">
        <v>0</v>
      </c>
      <c r="S14" s="1640"/>
    </row>
    <row r="15" spans="1:19">
      <c r="E15" s="1640"/>
      <c r="F15" s="1640"/>
      <c r="G15" s="1640"/>
      <c r="H15" s="1640"/>
      <c r="I15" s="1640"/>
      <c r="J15" s="1640"/>
      <c r="K15" s="1640"/>
      <c r="L15" s="1640"/>
      <c r="M15" s="1640"/>
      <c r="N15" s="1640"/>
      <c r="O15" s="1640"/>
      <c r="P15" s="1640"/>
      <c r="Q15" s="1640"/>
      <c r="R15" s="1640"/>
      <c r="S15" s="1640"/>
    </row>
    <row r="16" spans="1:19">
      <c r="B16" s="1316">
        <f>B14+1</f>
        <v>2</v>
      </c>
      <c r="D16" s="1322" t="s">
        <v>525</v>
      </c>
      <c r="E16" s="1321">
        <v>31</v>
      </c>
      <c r="F16" s="1323">
        <v>0</v>
      </c>
      <c r="G16" s="1323">
        <v>214</v>
      </c>
      <c r="H16" s="1324">
        <f t="shared" ref="H16:H27" si="0">IF(F16=0,0.5,F16/G16)</f>
        <v>0.5</v>
      </c>
      <c r="I16" s="1325"/>
      <c r="J16" s="1321">
        <f>'1E - EDIT Amortization'!$O$88/12</f>
        <v>0</v>
      </c>
      <c r="K16" s="1326">
        <f t="shared" ref="K16:K27" si="1">+J16*H16</f>
        <v>0</v>
      </c>
      <c r="L16" s="1326">
        <f>+K16+L14</f>
        <v>3570954</v>
      </c>
      <c r="M16" s="1325"/>
      <c r="N16" s="1321">
        <v>0</v>
      </c>
      <c r="O16" s="1326">
        <f>IF($D$237="True-Up Adjustment",N16-J16,0)</f>
        <v>0</v>
      </c>
      <c r="P16" s="1326">
        <f>IF($D$237="True-Up Adjustment",IF(AND(J16&gt;=0,N16&gt;=0),IF(O16&gt;=0,K16+O16,N16/J16*K16),IF(AND(J16&lt;0,N16&lt;0),IF(O16&lt;0,K16+O16,N16/J16*K16),0)),0)</f>
        <v>0</v>
      </c>
      <c r="Q16" s="1326">
        <f t="shared" ref="Q16:Q27" si="2">IF(AND(J16&gt;=0,N16&lt;0),N16,IF(AND(J16&lt;0,N16&gt;=0),N16,0))</f>
        <v>0</v>
      </c>
      <c r="R16" s="1326">
        <f>+Q16+R14</f>
        <v>0</v>
      </c>
      <c r="S16" s="1325"/>
    </row>
    <row r="17" spans="2:19">
      <c r="B17" s="1316">
        <f t="shared" ref="B17:B28" si="3">+B16+1</f>
        <v>3</v>
      </c>
      <c r="D17" s="1322" t="s">
        <v>526</v>
      </c>
      <c r="E17" s="1321">
        <v>28</v>
      </c>
      <c r="F17" s="1323">
        <v>0</v>
      </c>
      <c r="G17" s="1323">
        <f t="shared" ref="G17:G27" si="4">G16</f>
        <v>214</v>
      </c>
      <c r="H17" s="1324">
        <f t="shared" si="0"/>
        <v>0.5</v>
      </c>
      <c r="I17" s="1325"/>
      <c r="J17" s="1321">
        <f>'1E - EDIT Amortization'!$O$88/12</f>
        <v>0</v>
      </c>
      <c r="K17" s="1326">
        <f t="shared" si="1"/>
        <v>0</v>
      </c>
      <c r="L17" s="1326">
        <f t="shared" ref="L17:L27" si="5">+K17+L16</f>
        <v>3570954</v>
      </c>
      <c r="M17" s="1325"/>
      <c r="N17" s="1321">
        <v>0</v>
      </c>
      <c r="O17" s="1326">
        <f t="shared" ref="O17:O27" si="6">IF($D$237="True-Up Adjustment",N17-J17,0)</f>
        <v>0</v>
      </c>
      <c r="P17" s="1326">
        <f t="shared" ref="P17:P27" si="7">IF($D$237="True-Up Adjustment",IF(AND(J17&gt;=0,N17&gt;=0),IF(O17&gt;=0,K17+O17,N17/J17*K17),IF(AND(J17&lt;0,N17&lt;0),IF(O17&lt;0,K17+O17,N17/J17*K17),0)),0)</f>
        <v>0</v>
      </c>
      <c r="Q17" s="1326">
        <f t="shared" si="2"/>
        <v>0</v>
      </c>
      <c r="R17" s="1326">
        <f t="shared" ref="R17:R27" si="8">R16+P17+Q17</f>
        <v>0</v>
      </c>
      <c r="S17" s="1325"/>
    </row>
    <row r="18" spans="2:19">
      <c r="B18" s="1316">
        <f t="shared" si="3"/>
        <v>4</v>
      </c>
      <c r="D18" s="1322" t="s">
        <v>545</v>
      </c>
      <c r="E18" s="1321">
        <v>31</v>
      </c>
      <c r="F18" s="1323">
        <v>0</v>
      </c>
      <c r="G18" s="1323">
        <f t="shared" si="4"/>
        <v>214</v>
      </c>
      <c r="H18" s="1324">
        <f t="shared" si="0"/>
        <v>0.5</v>
      </c>
      <c r="I18" s="1325"/>
      <c r="J18" s="1321">
        <f>'1E - EDIT Amortization'!$O$88/12</f>
        <v>0</v>
      </c>
      <c r="K18" s="1326">
        <f t="shared" si="1"/>
        <v>0</v>
      </c>
      <c r="L18" s="1326">
        <f t="shared" si="5"/>
        <v>3570954</v>
      </c>
      <c r="M18" s="1325"/>
      <c r="N18" s="1321">
        <v>0</v>
      </c>
      <c r="O18" s="1326">
        <f t="shared" si="6"/>
        <v>0</v>
      </c>
      <c r="P18" s="1326">
        <f t="shared" si="7"/>
        <v>0</v>
      </c>
      <c r="Q18" s="1326">
        <f t="shared" si="2"/>
        <v>0</v>
      </c>
      <c r="R18" s="1326">
        <f t="shared" si="8"/>
        <v>0</v>
      </c>
      <c r="S18" s="1325"/>
    </row>
    <row r="19" spans="2:19">
      <c r="B19" s="1316">
        <f t="shared" si="3"/>
        <v>5</v>
      </c>
      <c r="D19" s="1322" t="s">
        <v>171</v>
      </c>
      <c r="E19" s="1321">
        <v>30</v>
      </c>
      <c r="F19" s="1323">
        <v>0</v>
      </c>
      <c r="G19" s="1323">
        <f t="shared" si="4"/>
        <v>214</v>
      </c>
      <c r="H19" s="1324">
        <f t="shared" si="0"/>
        <v>0.5</v>
      </c>
      <c r="I19" s="1325"/>
      <c r="J19" s="1321">
        <f>'1E - EDIT Amortization'!$O$88/12</f>
        <v>0</v>
      </c>
      <c r="K19" s="1326">
        <f t="shared" si="1"/>
        <v>0</v>
      </c>
      <c r="L19" s="1326">
        <f t="shared" si="5"/>
        <v>3570954</v>
      </c>
      <c r="M19" s="1325"/>
      <c r="N19" s="1321">
        <v>0</v>
      </c>
      <c r="O19" s="1326">
        <f t="shared" si="6"/>
        <v>0</v>
      </c>
      <c r="P19" s="1326">
        <f t="shared" si="7"/>
        <v>0</v>
      </c>
      <c r="Q19" s="1326">
        <f t="shared" si="2"/>
        <v>0</v>
      </c>
      <c r="R19" s="1326">
        <f t="shared" si="8"/>
        <v>0</v>
      </c>
      <c r="S19" s="1325"/>
    </row>
    <row r="20" spans="2:19">
      <c r="B20" s="1316">
        <f t="shared" si="3"/>
        <v>6</v>
      </c>
      <c r="D20" s="1322" t="s">
        <v>172</v>
      </c>
      <c r="E20" s="1321">
        <v>31</v>
      </c>
      <c r="F20" s="1323">
        <v>0</v>
      </c>
      <c r="G20" s="1323">
        <f t="shared" si="4"/>
        <v>214</v>
      </c>
      <c r="H20" s="1324">
        <f t="shared" si="0"/>
        <v>0.5</v>
      </c>
      <c r="I20" s="1325"/>
      <c r="J20" s="1321">
        <f>'1E - EDIT Amortization'!$O$88/12</f>
        <v>0</v>
      </c>
      <c r="K20" s="1326">
        <f t="shared" si="1"/>
        <v>0</v>
      </c>
      <c r="L20" s="1326">
        <f t="shared" si="5"/>
        <v>3570954</v>
      </c>
      <c r="M20" s="1325"/>
      <c r="N20" s="1321">
        <v>0</v>
      </c>
      <c r="O20" s="1326">
        <f t="shared" si="6"/>
        <v>0</v>
      </c>
      <c r="P20" s="1326">
        <f t="shared" si="7"/>
        <v>0</v>
      </c>
      <c r="Q20" s="1326">
        <f t="shared" si="2"/>
        <v>0</v>
      </c>
      <c r="R20" s="1326">
        <f t="shared" si="8"/>
        <v>0</v>
      </c>
      <c r="S20" s="1325"/>
    </row>
    <row r="21" spans="2:19">
      <c r="B21" s="1316">
        <f t="shared" si="3"/>
        <v>7</v>
      </c>
      <c r="D21" s="1322" t="s">
        <v>173</v>
      </c>
      <c r="E21" s="1321">
        <v>30</v>
      </c>
      <c r="F21" s="1323">
        <f t="shared" ref="F21:F26" si="9">E22+F22</f>
        <v>185</v>
      </c>
      <c r="G21" s="1323">
        <f t="shared" si="4"/>
        <v>214</v>
      </c>
      <c r="H21" s="1324">
        <f t="shared" si="0"/>
        <v>0.86448598130841126</v>
      </c>
      <c r="I21" s="1325"/>
      <c r="J21" s="1321">
        <f>'1E - EDIT Amortization'!$O$88/12</f>
        <v>0</v>
      </c>
      <c r="K21" s="1326">
        <f t="shared" si="1"/>
        <v>0</v>
      </c>
      <c r="L21" s="1326">
        <f t="shared" si="5"/>
        <v>3570954</v>
      </c>
      <c r="M21" s="1325"/>
      <c r="N21" s="1321">
        <v>0</v>
      </c>
      <c r="O21" s="1326">
        <f t="shared" si="6"/>
        <v>0</v>
      </c>
      <c r="P21" s="1326">
        <f t="shared" si="7"/>
        <v>0</v>
      </c>
      <c r="Q21" s="1326">
        <f t="shared" si="2"/>
        <v>0</v>
      </c>
      <c r="R21" s="1326">
        <f t="shared" si="8"/>
        <v>0</v>
      </c>
      <c r="S21" s="1325"/>
    </row>
    <row r="22" spans="2:19">
      <c r="B22" s="1316">
        <f t="shared" si="3"/>
        <v>8</v>
      </c>
      <c r="D22" s="1322" t="s">
        <v>528</v>
      </c>
      <c r="E22" s="1321">
        <v>31</v>
      </c>
      <c r="F22" s="1323">
        <f t="shared" si="9"/>
        <v>154</v>
      </c>
      <c r="G22" s="1323">
        <f t="shared" si="4"/>
        <v>214</v>
      </c>
      <c r="H22" s="1324">
        <f t="shared" si="0"/>
        <v>0.71962616822429903</v>
      </c>
      <c r="I22" s="1325"/>
      <c r="J22" s="1321">
        <f>'1E - EDIT Amortization'!$O$88/12</f>
        <v>0</v>
      </c>
      <c r="K22" s="1326">
        <f t="shared" si="1"/>
        <v>0</v>
      </c>
      <c r="L22" s="1326">
        <f t="shared" si="5"/>
        <v>3570954</v>
      </c>
      <c r="M22" s="1325"/>
      <c r="N22" s="1321">
        <v>0</v>
      </c>
      <c r="O22" s="1326">
        <f t="shared" si="6"/>
        <v>0</v>
      </c>
      <c r="P22" s="1326">
        <f t="shared" si="7"/>
        <v>0</v>
      </c>
      <c r="Q22" s="1326">
        <f t="shared" si="2"/>
        <v>0</v>
      </c>
      <c r="R22" s="1326">
        <f t="shared" si="8"/>
        <v>0</v>
      </c>
      <c r="S22" s="1325"/>
    </row>
    <row r="23" spans="2:19">
      <c r="B23" s="1316">
        <f t="shared" si="3"/>
        <v>9</v>
      </c>
      <c r="D23" s="1322" t="s">
        <v>546</v>
      </c>
      <c r="E23" s="1321">
        <v>31</v>
      </c>
      <c r="F23" s="1323">
        <f t="shared" si="9"/>
        <v>123</v>
      </c>
      <c r="G23" s="1323">
        <f t="shared" si="4"/>
        <v>214</v>
      </c>
      <c r="H23" s="1324">
        <f t="shared" si="0"/>
        <v>0.57476635514018692</v>
      </c>
      <c r="I23" s="1325"/>
      <c r="J23" s="1321">
        <f>'1E - EDIT Amortization'!$O$88/12</f>
        <v>0</v>
      </c>
      <c r="K23" s="1326">
        <f t="shared" si="1"/>
        <v>0</v>
      </c>
      <c r="L23" s="1326">
        <f t="shared" si="5"/>
        <v>3570954</v>
      </c>
      <c r="M23" s="1325"/>
      <c r="N23" s="1321">
        <v>0</v>
      </c>
      <c r="O23" s="1326">
        <f t="shared" si="6"/>
        <v>0</v>
      </c>
      <c r="P23" s="1326">
        <f t="shared" si="7"/>
        <v>0</v>
      </c>
      <c r="Q23" s="1326">
        <f t="shared" si="2"/>
        <v>0</v>
      </c>
      <c r="R23" s="1326">
        <f t="shared" si="8"/>
        <v>0</v>
      </c>
      <c r="S23" s="1325"/>
    </row>
    <row r="24" spans="2:19">
      <c r="B24" s="1316">
        <f t="shared" si="3"/>
        <v>10</v>
      </c>
      <c r="D24" s="1322" t="s">
        <v>530</v>
      </c>
      <c r="E24" s="1321">
        <v>30</v>
      </c>
      <c r="F24" s="1323">
        <f t="shared" si="9"/>
        <v>93</v>
      </c>
      <c r="G24" s="1323">
        <f t="shared" si="4"/>
        <v>214</v>
      </c>
      <c r="H24" s="1324">
        <f t="shared" si="0"/>
        <v>0.43457943925233644</v>
      </c>
      <c r="I24" s="1325"/>
      <c r="J24" s="1321">
        <f>'1E - EDIT Amortization'!$O$88/12</f>
        <v>0</v>
      </c>
      <c r="K24" s="1326">
        <f>+J24*H24</f>
        <v>0</v>
      </c>
      <c r="L24" s="1326">
        <f t="shared" si="5"/>
        <v>3570954</v>
      </c>
      <c r="M24" s="1325"/>
      <c r="N24" s="1321">
        <v>0</v>
      </c>
      <c r="O24" s="1326">
        <f t="shared" si="6"/>
        <v>0</v>
      </c>
      <c r="P24" s="1326">
        <f t="shared" si="7"/>
        <v>0</v>
      </c>
      <c r="Q24" s="1326">
        <f t="shared" si="2"/>
        <v>0</v>
      </c>
      <c r="R24" s="1326">
        <f t="shared" si="8"/>
        <v>0</v>
      </c>
      <c r="S24" s="1325"/>
    </row>
    <row r="25" spans="2:19">
      <c r="B25" s="1316">
        <f t="shared" si="3"/>
        <v>11</v>
      </c>
      <c r="D25" s="1322" t="s">
        <v>531</v>
      </c>
      <c r="E25" s="1321">
        <v>31</v>
      </c>
      <c r="F25" s="1323">
        <f t="shared" si="9"/>
        <v>62</v>
      </c>
      <c r="G25" s="1323">
        <f t="shared" si="4"/>
        <v>214</v>
      </c>
      <c r="H25" s="1324">
        <f t="shared" si="0"/>
        <v>0.28971962616822428</v>
      </c>
      <c r="I25" s="1325"/>
      <c r="J25" s="1321">
        <f>'1E - EDIT Amortization'!$O$88/12</f>
        <v>0</v>
      </c>
      <c r="K25" s="1326">
        <f t="shared" si="1"/>
        <v>0</v>
      </c>
      <c r="L25" s="1326">
        <f t="shared" si="5"/>
        <v>3570954</v>
      </c>
      <c r="M25" s="1325"/>
      <c r="N25" s="1321">
        <v>0</v>
      </c>
      <c r="O25" s="1326">
        <f t="shared" si="6"/>
        <v>0</v>
      </c>
      <c r="P25" s="1326">
        <f t="shared" si="7"/>
        <v>0</v>
      </c>
      <c r="Q25" s="1326">
        <f t="shared" si="2"/>
        <v>0</v>
      </c>
      <c r="R25" s="1326">
        <f t="shared" si="8"/>
        <v>0</v>
      </c>
      <c r="S25" s="1325"/>
    </row>
    <row r="26" spans="2:19">
      <c r="B26" s="1316">
        <f t="shared" si="3"/>
        <v>12</v>
      </c>
      <c r="D26" s="1322" t="s">
        <v>532</v>
      </c>
      <c r="E26" s="1321">
        <v>30</v>
      </c>
      <c r="F26" s="1323">
        <f t="shared" si="9"/>
        <v>32</v>
      </c>
      <c r="G26" s="1323">
        <f t="shared" si="4"/>
        <v>214</v>
      </c>
      <c r="H26" s="1324">
        <f t="shared" si="0"/>
        <v>0.14953271028037382</v>
      </c>
      <c r="I26" s="1325"/>
      <c r="J26" s="1321">
        <f>'1E - EDIT Amortization'!$O$88/12</f>
        <v>0</v>
      </c>
      <c r="K26" s="1326">
        <f t="shared" si="1"/>
        <v>0</v>
      </c>
      <c r="L26" s="1326">
        <f t="shared" si="5"/>
        <v>3570954</v>
      </c>
      <c r="M26" s="1325"/>
      <c r="N26" s="1321">
        <v>0</v>
      </c>
      <c r="O26" s="1326">
        <f t="shared" si="6"/>
        <v>0</v>
      </c>
      <c r="P26" s="1326">
        <f t="shared" si="7"/>
        <v>0</v>
      </c>
      <c r="Q26" s="1326">
        <f t="shared" si="2"/>
        <v>0</v>
      </c>
      <c r="R26" s="1326">
        <f t="shared" si="8"/>
        <v>0</v>
      </c>
      <c r="S26" s="1325"/>
    </row>
    <row r="27" spans="2:19">
      <c r="B27" s="1316">
        <f t="shared" si="3"/>
        <v>13</v>
      </c>
      <c r="D27" s="1327" t="s">
        <v>749</v>
      </c>
      <c r="E27" s="1321">
        <v>31</v>
      </c>
      <c r="F27" s="1328">
        <v>1</v>
      </c>
      <c r="G27" s="1323">
        <f t="shared" si="4"/>
        <v>214</v>
      </c>
      <c r="H27" s="1324">
        <f t="shared" si="0"/>
        <v>4.6728971962616819E-3</v>
      </c>
      <c r="I27" s="1325"/>
      <c r="J27" s="1321">
        <f>'1E - EDIT Amortization'!$O$88/12</f>
        <v>0</v>
      </c>
      <c r="K27" s="1326">
        <f t="shared" si="1"/>
        <v>0</v>
      </c>
      <c r="L27" s="1326">
        <f t="shared" si="5"/>
        <v>3570954</v>
      </c>
      <c r="M27" s="1325"/>
      <c r="N27" s="1321">
        <v>0</v>
      </c>
      <c r="O27" s="1326">
        <f t="shared" si="6"/>
        <v>0</v>
      </c>
      <c r="P27" s="1326">
        <f t="shared" si="7"/>
        <v>0</v>
      </c>
      <c r="Q27" s="1326">
        <f t="shared" si="2"/>
        <v>0</v>
      </c>
      <c r="R27" s="1326">
        <f t="shared" si="8"/>
        <v>0</v>
      </c>
      <c r="S27" s="1325"/>
    </row>
    <row r="28" spans="2:19">
      <c r="B28" s="1316">
        <f t="shared" si="3"/>
        <v>14</v>
      </c>
      <c r="D28" s="1329" t="str">
        <f>"Total (Sum of Lines "&amp;B16&amp;" - "&amp;B27&amp;")"</f>
        <v>Total (Sum of Lines 2 - 13)</v>
      </c>
      <c r="E28" s="1330">
        <f>SUM(E16:E27)</f>
        <v>365</v>
      </c>
      <c r="F28" s="1331"/>
      <c r="G28" s="1331"/>
      <c r="H28" s="1332"/>
      <c r="I28" s="1333"/>
      <c r="J28" s="1330">
        <f>SUM(J16:J27)</f>
        <v>0</v>
      </c>
      <c r="K28" s="1330">
        <f>SUM(K16:K27)</f>
        <v>0</v>
      </c>
      <c r="L28" s="1334"/>
      <c r="M28" s="1333"/>
      <c r="N28" s="1330">
        <f>SUM(N16:N27)</f>
        <v>0</v>
      </c>
      <c r="O28" s="1330">
        <f>SUM(O16:O27)</f>
        <v>0</v>
      </c>
      <c r="P28" s="1330">
        <f>SUM(P16:P27)</f>
        <v>0</v>
      </c>
      <c r="Q28" s="1330">
        <f>SUM(Q16:Q27)</f>
        <v>0</v>
      </c>
      <c r="R28" s="1334"/>
      <c r="S28" s="1333"/>
    </row>
    <row r="29" spans="2:19">
      <c r="D29" s="1335"/>
      <c r="E29" s="1335"/>
      <c r="F29" s="1335"/>
      <c r="G29" s="1335"/>
      <c r="H29" s="1336"/>
      <c r="I29" s="1336"/>
      <c r="K29" s="1337"/>
      <c r="L29" s="1336"/>
      <c r="M29" s="1336"/>
      <c r="O29" s="1337"/>
      <c r="P29" s="1337"/>
      <c r="Q29" s="1337"/>
      <c r="R29" s="1336"/>
      <c r="S29" s="1336"/>
    </row>
    <row r="30" spans="2:19">
      <c r="B30" s="1316">
        <f>B28+1</f>
        <v>15</v>
      </c>
      <c r="D30" s="1010" t="s">
        <v>1359</v>
      </c>
      <c r="I30" s="1336"/>
      <c r="J30" s="1321" t="s">
        <v>1798</v>
      </c>
      <c r="L30" s="1321">
        <f>'1E - EDIT Amortization'!M70+'1E - EDIT Amortization'!M79</f>
        <v>-415833.06548293639</v>
      </c>
      <c r="M30" s="1338"/>
      <c r="N30" s="1321"/>
      <c r="R30" s="1321">
        <v>0</v>
      </c>
    </row>
    <row r="31" spans="2:19">
      <c r="B31" s="1316">
        <f>B30+1</f>
        <v>16</v>
      </c>
      <c r="D31" s="1010" t="s">
        <v>1360</v>
      </c>
      <c r="I31" s="1336"/>
      <c r="J31" s="1339" t="s">
        <v>639</v>
      </c>
      <c r="L31" s="1340">
        <v>0</v>
      </c>
      <c r="M31" s="1341"/>
      <c r="N31" s="1339"/>
      <c r="R31" s="1340">
        <v>0</v>
      </c>
    </row>
    <row r="32" spans="2:19">
      <c r="B32" s="1316">
        <f>B31+1</f>
        <v>17</v>
      </c>
      <c r="D32" s="1010" t="s">
        <v>1361</v>
      </c>
      <c r="I32" s="1336"/>
      <c r="J32" s="1329" t="str">
        <f>"(Col. "&amp;L11&amp;", Line "&amp;B30&amp;" + Line "&amp;B31&amp;")"</f>
        <v>(Col. (H), Line 15 + Line 16)</v>
      </c>
      <c r="L32" s="1342">
        <f>L30+L31</f>
        <v>-415833.06548293639</v>
      </c>
      <c r="M32" s="1336"/>
      <c r="N32" s="1329" t="str">
        <f>"(Col. "&amp;R11&amp;", Line "&amp;B30&amp;" + Line "&amp;B31&amp;")"</f>
        <v>(Col. (M), Line 15 + Line 16)</v>
      </c>
      <c r="R32" s="1342">
        <f>R30+R31</f>
        <v>0</v>
      </c>
    </row>
    <row r="33" spans="2:19">
      <c r="I33" s="1336"/>
      <c r="L33" s="1342"/>
      <c r="M33" s="1336"/>
      <c r="R33" s="1342"/>
    </row>
    <row r="34" spans="2:19">
      <c r="B34" s="1316">
        <f>B32+1</f>
        <v>18</v>
      </c>
      <c r="D34" s="1010" t="s">
        <v>1362</v>
      </c>
      <c r="I34" s="1336"/>
      <c r="J34" s="1642" t="s">
        <v>1811</v>
      </c>
      <c r="L34" s="1321">
        <f>'1E - EDIT Amortization'!Q70+'1E - EDIT Amortization'!Q79</f>
        <v>-207916.59822440462</v>
      </c>
      <c r="M34" s="1338"/>
      <c r="N34" s="1321"/>
      <c r="R34" s="1321">
        <v>0</v>
      </c>
    </row>
    <row r="35" spans="2:19">
      <c r="B35" s="1316">
        <f>B34+1</f>
        <v>19</v>
      </c>
      <c r="D35" s="1010" t="s">
        <v>1363</v>
      </c>
      <c r="I35" s="1336"/>
      <c r="J35" s="1339" t="s">
        <v>639</v>
      </c>
      <c r="L35" s="1340">
        <v>0</v>
      </c>
      <c r="M35" s="1336"/>
      <c r="N35" s="1339"/>
      <c r="R35" s="1340">
        <v>0</v>
      </c>
    </row>
    <row r="36" spans="2:19">
      <c r="B36" s="1316">
        <f>B35+1</f>
        <v>20</v>
      </c>
      <c r="D36" s="1010" t="s">
        <v>1364</v>
      </c>
      <c r="G36" s="1329"/>
      <c r="I36" s="1336"/>
      <c r="J36" s="1329" t="str">
        <f>"(Col. "&amp;L11&amp;", Line "&amp;B34&amp;" + Line "&amp;B35&amp;")"</f>
        <v>(Col. (H), Line 18 + Line 19)</v>
      </c>
      <c r="L36" s="1342">
        <f>L34+L35</f>
        <v>-207916.59822440462</v>
      </c>
      <c r="M36" s="1336"/>
      <c r="N36" s="1329" t="str">
        <f>"(Col. "&amp;R11&amp;", Line "&amp;B34&amp;" + Line "&amp;B35&amp;")"</f>
        <v>(Col. (M), Line 18 + Line 19)</v>
      </c>
      <c r="R36" s="1342">
        <f>R34+R35</f>
        <v>0</v>
      </c>
    </row>
    <row r="37" spans="2:19">
      <c r="I37" s="1336"/>
      <c r="L37" s="1342"/>
      <c r="M37" s="1336"/>
      <c r="R37" s="1342"/>
    </row>
    <row r="38" spans="2:19">
      <c r="B38" s="1316">
        <f>B36+1</f>
        <v>21</v>
      </c>
      <c r="D38" s="1010" t="s">
        <v>1000</v>
      </c>
      <c r="I38" s="1336"/>
      <c r="J38" s="1329" t="str">
        <f>"([Col. "&amp;L11&amp;", Line "&amp;B32&amp;" + Line "&amp;B36&amp;"] /2)"</f>
        <v>([Col. (H), Line 17 + Line 20] /2)</v>
      </c>
      <c r="L38" s="1326">
        <f>(L32+L36)/2</f>
        <v>-311874.83185367053</v>
      </c>
      <c r="M38" s="1336"/>
      <c r="N38" s="1329" t="str">
        <f>"([Col. "&amp;R11&amp;", Line "&amp;B32&amp;" + Line "&amp;B36&amp;"] /2)"</f>
        <v>([Col. (M), Line 17 + Line 20] /2)</v>
      </c>
      <c r="R38" s="1326">
        <f>(R32+R36)/2</f>
        <v>0</v>
      </c>
    </row>
    <row r="39" spans="2:19">
      <c r="B39" s="1316">
        <f>B38+1</f>
        <v>22</v>
      </c>
      <c r="D39" s="1430" t="s">
        <v>1365</v>
      </c>
      <c r="E39" s="1335"/>
      <c r="F39" s="1335"/>
      <c r="G39" s="1335"/>
      <c r="H39" s="1336"/>
      <c r="I39" s="1336"/>
      <c r="J39" s="1329" t="str">
        <f>"(Col. "&amp;L11&amp;", Line "&amp;B27&amp;" )"</f>
        <v>(Col. (H), Line 13 )</v>
      </c>
      <c r="K39" s="1337"/>
      <c r="L39" s="1326">
        <f>L27</f>
        <v>3570954</v>
      </c>
      <c r="M39" s="1336"/>
      <c r="N39" s="1329" t="str">
        <f>"(Col. "&amp;R11&amp;", Line "&amp;B27&amp;" )"</f>
        <v>(Col. (M), Line 13 )</v>
      </c>
      <c r="R39" s="1326">
        <f>R27</f>
        <v>0</v>
      </c>
    </row>
    <row r="40" spans="2:19" ht="13.5" thickBot="1">
      <c r="B40" s="1316">
        <f>B39+1</f>
        <v>23</v>
      </c>
      <c r="D40" s="1343" t="s">
        <v>1366</v>
      </c>
      <c r="E40" s="1335"/>
      <c r="F40" s="1335"/>
      <c r="G40" s="1335"/>
      <c r="H40" s="1336"/>
      <c r="I40" s="1336"/>
      <c r="J40" s="1329" t="str">
        <f>"(Col. "&amp;L11&amp;", Line "&amp;B38&amp;" + Line "&amp;B39&amp;")"</f>
        <v>(Col. (H), Line 21 + Line 22)</v>
      </c>
      <c r="K40" s="1337"/>
      <c r="L40" s="1344">
        <f>L38+L39</f>
        <v>3259079.1681463295</v>
      </c>
      <c r="M40" s="1336"/>
      <c r="N40" s="1329" t="str">
        <f>"(Col. "&amp;R11&amp;", Line "&amp;B38&amp;" + Line "&amp;B39&amp;")"</f>
        <v>(Col. (M), Line 21 + Line 22)</v>
      </c>
      <c r="R40" s="1344">
        <f>R38+R39</f>
        <v>0</v>
      </c>
    </row>
    <row r="41" spans="2:19">
      <c r="I41" s="1336"/>
      <c r="L41" s="1326"/>
      <c r="M41" s="1336"/>
      <c r="R41" s="1326"/>
      <c r="S41" s="1336"/>
    </row>
    <row r="42" spans="2:19" ht="13">
      <c r="D42" s="1313" t="s">
        <v>1367</v>
      </c>
      <c r="J42" s="1345"/>
      <c r="K42" s="1346"/>
      <c r="L42" s="1346"/>
      <c r="N42" s="1346"/>
      <c r="O42" s="1346"/>
      <c r="P42" s="1346"/>
      <c r="Q42" s="1346"/>
      <c r="R42" s="1346"/>
    </row>
    <row r="43" spans="2:19" ht="13">
      <c r="D43" s="1733" t="s">
        <v>912</v>
      </c>
      <c r="E43" s="1734"/>
      <c r="F43" s="1734"/>
      <c r="G43" s="1734"/>
      <c r="H43" s="1735"/>
      <c r="I43" s="1317"/>
      <c r="J43" s="1736" t="s">
        <v>1356</v>
      </c>
      <c r="K43" s="1737"/>
      <c r="L43" s="1738"/>
      <c r="M43" s="1317"/>
      <c r="N43" s="1736" t="s">
        <v>1357</v>
      </c>
      <c r="O43" s="1737"/>
      <c r="P43" s="1737"/>
      <c r="Q43" s="1737"/>
      <c r="R43" s="1738"/>
      <c r="S43" s="1317"/>
    </row>
    <row r="44" spans="2:19" ht="13">
      <c r="D44" s="1318" t="s">
        <v>174</v>
      </c>
      <c r="E44" s="1318" t="s">
        <v>175</v>
      </c>
      <c r="F44" s="1318" t="s">
        <v>1294</v>
      </c>
      <c r="G44" s="1318" t="s">
        <v>1295</v>
      </c>
      <c r="H44" s="1318" t="s">
        <v>1296</v>
      </c>
      <c r="I44" s="1317"/>
      <c r="J44" s="1318" t="s">
        <v>1297</v>
      </c>
      <c r="K44" s="1318" t="s">
        <v>1298</v>
      </c>
      <c r="L44" s="1318" t="s">
        <v>1299</v>
      </c>
      <c r="M44" s="1317"/>
      <c r="N44" s="1318" t="s">
        <v>1300</v>
      </c>
      <c r="O44" s="1318" t="s">
        <v>1301</v>
      </c>
      <c r="P44" s="1318" t="s">
        <v>1302</v>
      </c>
      <c r="Q44" s="1318" t="s">
        <v>1303</v>
      </c>
      <c r="R44" s="1318" t="s">
        <v>1304</v>
      </c>
      <c r="S44" s="1317"/>
    </row>
    <row r="45" spans="2:19" ht="50">
      <c r="B45" s="1319" t="s">
        <v>1305</v>
      </c>
      <c r="D45" s="1320" t="s">
        <v>169</v>
      </c>
      <c r="E45" s="1320" t="s">
        <v>913</v>
      </c>
      <c r="F45" s="1320" t="s">
        <v>914</v>
      </c>
      <c r="G45" s="1320" t="s">
        <v>915</v>
      </c>
      <c r="H45" s="1320" t="s">
        <v>1306</v>
      </c>
      <c r="I45" s="1640"/>
      <c r="J45" s="1320" t="s">
        <v>916</v>
      </c>
      <c r="K45" s="1320" t="s">
        <v>1307</v>
      </c>
      <c r="L45" s="1320" t="s">
        <v>1308</v>
      </c>
      <c r="M45" s="1640"/>
      <c r="N45" s="1320" t="s">
        <v>1003</v>
      </c>
      <c r="O45" s="1320" t="s">
        <v>1309</v>
      </c>
      <c r="P45" s="1320" t="s">
        <v>1310</v>
      </c>
      <c r="Q45" s="1320" t="s">
        <v>1311</v>
      </c>
      <c r="R45" s="1320" t="s">
        <v>1312</v>
      </c>
      <c r="S45" s="1640"/>
    </row>
    <row r="46" spans="2:19">
      <c r="E46" s="1640"/>
      <c r="F46" s="1640"/>
      <c r="G46" s="1640"/>
      <c r="H46" s="1640"/>
      <c r="I46" s="1640"/>
      <c r="J46" s="1640"/>
      <c r="K46" s="1640"/>
      <c r="L46" s="1640"/>
      <c r="M46" s="1640"/>
      <c r="N46" s="1640"/>
      <c r="O46" s="1640"/>
      <c r="P46" s="1640"/>
      <c r="Q46" s="1640"/>
      <c r="R46" s="1640"/>
      <c r="S46" s="1640"/>
    </row>
    <row r="47" spans="2:19">
      <c r="B47" s="1316">
        <f>B40+1</f>
        <v>24</v>
      </c>
      <c r="D47" s="1010" t="s">
        <v>1358</v>
      </c>
      <c r="E47" s="1640"/>
      <c r="F47" s="1640"/>
      <c r="G47" s="1640"/>
      <c r="H47" s="1640"/>
      <c r="I47" s="1640"/>
      <c r="J47" s="1321" t="s">
        <v>1798</v>
      </c>
      <c r="K47" s="1640"/>
      <c r="L47" s="1321">
        <f>'1E - EDIT Amortization'!M90</f>
        <v>-50567855</v>
      </c>
      <c r="M47" s="1640"/>
      <c r="N47" s="1321"/>
      <c r="O47" s="1640"/>
      <c r="P47" s="1640"/>
      <c r="Q47" s="1640"/>
      <c r="R47" s="1321">
        <v>0</v>
      </c>
      <c r="S47" s="1640"/>
    </row>
    <row r="48" spans="2:19">
      <c r="E48" s="1640"/>
      <c r="F48" s="1640"/>
      <c r="G48" s="1640"/>
      <c r="H48" s="1640"/>
      <c r="I48" s="1640"/>
      <c r="J48" s="1640"/>
      <c r="K48" s="1640"/>
      <c r="L48" s="1640"/>
      <c r="M48" s="1640"/>
      <c r="N48" s="1640"/>
      <c r="O48" s="1640"/>
      <c r="P48" s="1640"/>
      <c r="Q48" s="1640"/>
      <c r="R48" s="1640"/>
      <c r="S48" s="1640"/>
    </row>
    <row r="49" spans="2:19">
      <c r="B49" s="1316">
        <f>B47+1</f>
        <v>25</v>
      </c>
      <c r="D49" s="1322" t="s">
        <v>525</v>
      </c>
      <c r="E49" s="1321">
        <v>31</v>
      </c>
      <c r="F49" s="1323">
        <v>0</v>
      </c>
      <c r="G49" s="1323">
        <v>214</v>
      </c>
      <c r="H49" s="1324">
        <f t="shared" ref="H49:H60" si="10">IF(F49=0,0.5,F49/G49)</f>
        <v>0.5</v>
      </c>
      <c r="I49" s="1325"/>
      <c r="J49" s="1321">
        <f>+'1E - EDIT Amortization'!$O$90/12</f>
        <v>76618.833333333328</v>
      </c>
      <c r="K49" s="1326">
        <f t="shared" ref="K49:K60" si="11">+J49*H49</f>
        <v>38309.416666666664</v>
      </c>
      <c r="L49" s="1326">
        <f>+K49+L47</f>
        <v>-50529545.583333336</v>
      </c>
      <c r="M49" s="1325"/>
      <c r="N49" s="1321">
        <v>0</v>
      </c>
      <c r="O49" s="1326">
        <f>IF($D$237="True-Up Adjustment",N49-J49,0)</f>
        <v>0</v>
      </c>
      <c r="P49" s="1326">
        <f>IF($D$237="True-Up Adjustment",IF(AND(J49&gt;=0,N49&gt;=0),IF(O49&gt;=0,K49+O49,N49/J49*K49),IF(AND(J49&lt;0,N49&lt;0),IF(O49&lt;0,K49+O49,N49/J49*K49),0)),0)</f>
        <v>0</v>
      </c>
      <c r="Q49" s="1326">
        <f t="shared" ref="Q49:Q60" si="12">IF(AND(J49&gt;=0,N49&lt;0),N49,IF(AND(J49&lt;0,N49&gt;=0),N49,0))</f>
        <v>0</v>
      </c>
      <c r="R49" s="1326">
        <f>R47+P49+Q49</f>
        <v>0</v>
      </c>
      <c r="S49" s="1325"/>
    </row>
    <row r="50" spans="2:19">
      <c r="B50" s="1316">
        <f t="shared" ref="B50:B61" si="13">+B49+1</f>
        <v>26</v>
      </c>
      <c r="D50" s="1322" t="s">
        <v>526</v>
      </c>
      <c r="E50" s="1321">
        <v>28</v>
      </c>
      <c r="F50" s="1323">
        <v>0</v>
      </c>
      <c r="G50" s="1323">
        <f t="shared" ref="G50:G60" si="14">G49</f>
        <v>214</v>
      </c>
      <c r="H50" s="1324">
        <f t="shared" si="10"/>
        <v>0.5</v>
      </c>
      <c r="I50" s="1325"/>
      <c r="J50" s="1321">
        <f>+'1E - EDIT Amortization'!$O$90/12</f>
        <v>76618.833333333328</v>
      </c>
      <c r="K50" s="1326">
        <f t="shared" si="11"/>
        <v>38309.416666666664</v>
      </c>
      <c r="L50" s="1326">
        <f t="shared" ref="L50:L60" si="15">+K50+L49</f>
        <v>-50491236.166666672</v>
      </c>
      <c r="M50" s="1325"/>
      <c r="N50" s="1321">
        <v>0</v>
      </c>
      <c r="O50" s="1326">
        <f t="shared" ref="O50:O60" si="16">IF($D$237="True-Up Adjustment",N50-J50,0)</f>
        <v>0</v>
      </c>
      <c r="P50" s="1326">
        <f t="shared" ref="P50:P60" si="17">IF($D$237="True-Up Adjustment",IF(AND(J50&gt;=0,N50&gt;=0),IF(O50&gt;=0,K50+O50,N50/J50*K50),IF(AND(J50&lt;0,N50&lt;0),IF(O50&lt;0,K50+O50,N50/J50*K50),0)),0)</f>
        <v>0</v>
      </c>
      <c r="Q50" s="1326">
        <f t="shared" si="12"/>
        <v>0</v>
      </c>
      <c r="R50" s="1326">
        <f t="shared" ref="R50:R60" si="18">R49+P50+Q50</f>
        <v>0</v>
      </c>
      <c r="S50" s="1325"/>
    </row>
    <row r="51" spans="2:19">
      <c r="B51" s="1316">
        <f t="shared" si="13"/>
        <v>27</v>
      </c>
      <c r="D51" s="1322" t="s">
        <v>545</v>
      </c>
      <c r="E51" s="1321">
        <v>31</v>
      </c>
      <c r="F51" s="1323">
        <v>0</v>
      </c>
      <c r="G51" s="1323">
        <f t="shared" si="14"/>
        <v>214</v>
      </c>
      <c r="H51" s="1324">
        <f t="shared" si="10"/>
        <v>0.5</v>
      </c>
      <c r="I51" s="1325"/>
      <c r="J51" s="1321">
        <f>+'1E - EDIT Amortization'!$O$90/12</f>
        <v>76618.833333333328</v>
      </c>
      <c r="K51" s="1326">
        <f t="shared" si="11"/>
        <v>38309.416666666664</v>
      </c>
      <c r="L51" s="1326">
        <f t="shared" si="15"/>
        <v>-50452926.750000007</v>
      </c>
      <c r="M51" s="1325"/>
      <c r="N51" s="1321">
        <v>0</v>
      </c>
      <c r="O51" s="1326">
        <f t="shared" si="16"/>
        <v>0</v>
      </c>
      <c r="P51" s="1326">
        <f t="shared" si="17"/>
        <v>0</v>
      </c>
      <c r="Q51" s="1326">
        <f t="shared" si="12"/>
        <v>0</v>
      </c>
      <c r="R51" s="1326">
        <f t="shared" si="18"/>
        <v>0</v>
      </c>
      <c r="S51" s="1325"/>
    </row>
    <row r="52" spans="2:19">
      <c r="B52" s="1316">
        <f t="shared" si="13"/>
        <v>28</v>
      </c>
      <c r="D52" s="1322" t="s">
        <v>171</v>
      </c>
      <c r="E52" s="1321">
        <v>30</v>
      </c>
      <c r="F52" s="1323">
        <v>0</v>
      </c>
      <c r="G52" s="1323">
        <f t="shared" si="14"/>
        <v>214</v>
      </c>
      <c r="H52" s="1324">
        <f t="shared" si="10"/>
        <v>0.5</v>
      </c>
      <c r="I52" s="1325"/>
      <c r="J52" s="1321">
        <f>+'1E - EDIT Amortization'!$O$90/12</f>
        <v>76618.833333333328</v>
      </c>
      <c r="K52" s="1326">
        <f t="shared" si="11"/>
        <v>38309.416666666664</v>
      </c>
      <c r="L52" s="1326">
        <f t="shared" si="15"/>
        <v>-50414617.333333343</v>
      </c>
      <c r="M52" s="1325"/>
      <c r="N52" s="1321">
        <v>0</v>
      </c>
      <c r="O52" s="1326">
        <f>IF($D$237="True-Up Adjustment",N52-J52,0)</f>
        <v>0</v>
      </c>
      <c r="P52" s="1326">
        <f t="shared" si="17"/>
        <v>0</v>
      </c>
      <c r="Q52" s="1326">
        <f t="shared" si="12"/>
        <v>0</v>
      </c>
      <c r="R52" s="1326">
        <f t="shared" si="18"/>
        <v>0</v>
      </c>
      <c r="S52" s="1325"/>
    </row>
    <row r="53" spans="2:19">
      <c r="B53" s="1316">
        <f t="shared" si="13"/>
        <v>29</v>
      </c>
      <c r="D53" s="1322" t="s">
        <v>172</v>
      </c>
      <c r="E53" s="1321">
        <v>31</v>
      </c>
      <c r="F53" s="1323">
        <v>0</v>
      </c>
      <c r="G53" s="1323">
        <f t="shared" si="14"/>
        <v>214</v>
      </c>
      <c r="H53" s="1324">
        <f t="shared" si="10"/>
        <v>0.5</v>
      </c>
      <c r="I53" s="1325"/>
      <c r="J53" s="1321">
        <f>+'1E - EDIT Amortization'!$O$90/12</f>
        <v>76618.833333333328</v>
      </c>
      <c r="K53" s="1326">
        <f t="shared" si="11"/>
        <v>38309.416666666664</v>
      </c>
      <c r="L53" s="1326">
        <f t="shared" si="15"/>
        <v>-50376307.916666679</v>
      </c>
      <c r="M53" s="1325"/>
      <c r="N53" s="1321">
        <v>0</v>
      </c>
      <c r="O53" s="1326">
        <f t="shared" si="16"/>
        <v>0</v>
      </c>
      <c r="P53" s="1326">
        <f t="shared" si="17"/>
        <v>0</v>
      </c>
      <c r="Q53" s="1326">
        <f t="shared" si="12"/>
        <v>0</v>
      </c>
      <c r="R53" s="1326">
        <f t="shared" si="18"/>
        <v>0</v>
      </c>
      <c r="S53" s="1325"/>
    </row>
    <row r="54" spans="2:19">
      <c r="B54" s="1316">
        <f t="shared" si="13"/>
        <v>30</v>
      </c>
      <c r="D54" s="1322" t="s">
        <v>173</v>
      </c>
      <c r="E54" s="1321">
        <v>30</v>
      </c>
      <c r="F54" s="1323">
        <f t="shared" ref="F54:F59" si="19">E55+F55</f>
        <v>185</v>
      </c>
      <c r="G54" s="1323">
        <f t="shared" si="14"/>
        <v>214</v>
      </c>
      <c r="H54" s="1324">
        <f t="shared" si="10"/>
        <v>0.86448598130841126</v>
      </c>
      <c r="I54" s="1325"/>
      <c r="J54" s="1321">
        <f>+'1E - EDIT Amortization'!$O$90/12</f>
        <v>76618.833333333328</v>
      </c>
      <c r="K54" s="1326">
        <f t="shared" si="11"/>
        <v>66235.907320872269</v>
      </c>
      <c r="L54" s="1326">
        <f t="shared" si="15"/>
        <v>-50310072.009345807</v>
      </c>
      <c r="M54" s="1325"/>
      <c r="N54" s="1321">
        <v>0</v>
      </c>
      <c r="O54" s="1326">
        <f t="shared" si="16"/>
        <v>0</v>
      </c>
      <c r="P54" s="1326">
        <f t="shared" si="17"/>
        <v>0</v>
      </c>
      <c r="Q54" s="1326">
        <f t="shared" si="12"/>
        <v>0</v>
      </c>
      <c r="R54" s="1326">
        <f t="shared" si="18"/>
        <v>0</v>
      </c>
      <c r="S54" s="1325"/>
    </row>
    <row r="55" spans="2:19">
      <c r="B55" s="1316">
        <f t="shared" si="13"/>
        <v>31</v>
      </c>
      <c r="D55" s="1322" t="s">
        <v>528</v>
      </c>
      <c r="E55" s="1321">
        <v>31</v>
      </c>
      <c r="F55" s="1323">
        <f t="shared" si="19"/>
        <v>154</v>
      </c>
      <c r="G55" s="1323">
        <f t="shared" si="14"/>
        <v>214</v>
      </c>
      <c r="H55" s="1324">
        <f t="shared" si="10"/>
        <v>0.71962616822429903</v>
      </c>
      <c r="I55" s="1325"/>
      <c r="J55" s="1321">
        <f>+'1E - EDIT Amortization'!$O$90/12</f>
        <v>76618.833333333328</v>
      </c>
      <c r="K55" s="1326">
        <f t="shared" si="11"/>
        <v>55136.917445482861</v>
      </c>
      <c r="L55" s="1326">
        <f t="shared" si="15"/>
        <v>-50254935.091900326</v>
      </c>
      <c r="M55" s="1325"/>
      <c r="N55" s="1321">
        <v>0</v>
      </c>
      <c r="O55" s="1326">
        <f t="shared" si="16"/>
        <v>0</v>
      </c>
      <c r="P55" s="1326">
        <f t="shared" si="17"/>
        <v>0</v>
      </c>
      <c r="Q55" s="1326">
        <f t="shared" si="12"/>
        <v>0</v>
      </c>
      <c r="R55" s="1326">
        <f t="shared" si="18"/>
        <v>0</v>
      </c>
      <c r="S55" s="1325"/>
    </row>
    <row r="56" spans="2:19">
      <c r="B56" s="1316">
        <f t="shared" si="13"/>
        <v>32</v>
      </c>
      <c r="D56" s="1322" t="s">
        <v>546</v>
      </c>
      <c r="E56" s="1321">
        <v>31</v>
      </c>
      <c r="F56" s="1323">
        <f t="shared" si="19"/>
        <v>123</v>
      </c>
      <c r="G56" s="1323">
        <f t="shared" si="14"/>
        <v>214</v>
      </c>
      <c r="H56" s="1324">
        <f t="shared" si="10"/>
        <v>0.57476635514018692</v>
      </c>
      <c r="I56" s="1325"/>
      <c r="J56" s="1321">
        <f>+'1E - EDIT Amortization'!$O$90/12</f>
        <v>76618.833333333328</v>
      </c>
      <c r="K56" s="1326">
        <f t="shared" si="11"/>
        <v>44037.927570093452</v>
      </c>
      <c r="L56" s="1326">
        <f t="shared" si="15"/>
        <v>-50210897.164330229</v>
      </c>
      <c r="M56" s="1325"/>
      <c r="N56" s="1321">
        <v>0</v>
      </c>
      <c r="O56" s="1326">
        <f t="shared" si="16"/>
        <v>0</v>
      </c>
      <c r="P56" s="1326">
        <f t="shared" si="17"/>
        <v>0</v>
      </c>
      <c r="Q56" s="1326">
        <f t="shared" si="12"/>
        <v>0</v>
      </c>
      <c r="R56" s="1326">
        <f t="shared" si="18"/>
        <v>0</v>
      </c>
      <c r="S56" s="1325"/>
    </row>
    <row r="57" spans="2:19">
      <c r="B57" s="1316">
        <f t="shared" si="13"/>
        <v>33</v>
      </c>
      <c r="D57" s="1322" t="s">
        <v>530</v>
      </c>
      <c r="E57" s="1321">
        <v>30</v>
      </c>
      <c r="F57" s="1323">
        <f t="shared" si="19"/>
        <v>93</v>
      </c>
      <c r="G57" s="1323">
        <f t="shared" si="14"/>
        <v>214</v>
      </c>
      <c r="H57" s="1324">
        <f t="shared" si="10"/>
        <v>0.43457943925233644</v>
      </c>
      <c r="I57" s="1325"/>
      <c r="J57" s="1321">
        <f>+'1E - EDIT Amortization'!$O$90/12</f>
        <v>76618.833333333328</v>
      </c>
      <c r="K57" s="1326">
        <f t="shared" si="11"/>
        <v>33296.969626168218</v>
      </c>
      <c r="L57" s="1326">
        <f t="shared" si="15"/>
        <v>-50177600.194704063</v>
      </c>
      <c r="M57" s="1325"/>
      <c r="N57" s="1321">
        <v>0</v>
      </c>
      <c r="O57" s="1326">
        <f t="shared" si="16"/>
        <v>0</v>
      </c>
      <c r="P57" s="1326">
        <f t="shared" si="17"/>
        <v>0</v>
      </c>
      <c r="Q57" s="1326">
        <f t="shared" si="12"/>
        <v>0</v>
      </c>
      <c r="R57" s="1326">
        <f t="shared" si="18"/>
        <v>0</v>
      </c>
      <c r="S57" s="1325"/>
    </row>
    <row r="58" spans="2:19">
      <c r="B58" s="1316">
        <f t="shared" si="13"/>
        <v>34</v>
      </c>
      <c r="D58" s="1322" t="s">
        <v>531</v>
      </c>
      <c r="E58" s="1321">
        <v>31</v>
      </c>
      <c r="F58" s="1323">
        <f t="shared" si="19"/>
        <v>62</v>
      </c>
      <c r="G58" s="1323">
        <f t="shared" si="14"/>
        <v>214</v>
      </c>
      <c r="H58" s="1324">
        <f t="shared" si="10"/>
        <v>0.28971962616822428</v>
      </c>
      <c r="I58" s="1325"/>
      <c r="J58" s="1321">
        <f>+'1E - EDIT Amortization'!$O$90/12</f>
        <v>76618.833333333328</v>
      </c>
      <c r="K58" s="1326">
        <f t="shared" si="11"/>
        <v>22197.979750778813</v>
      </c>
      <c r="L58" s="1326">
        <f t="shared" si="15"/>
        <v>-50155402.214953281</v>
      </c>
      <c r="M58" s="1325"/>
      <c r="N58" s="1321">
        <v>0</v>
      </c>
      <c r="O58" s="1326">
        <f t="shared" si="16"/>
        <v>0</v>
      </c>
      <c r="P58" s="1326">
        <f t="shared" si="17"/>
        <v>0</v>
      </c>
      <c r="Q58" s="1326">
        <f t="shared" si="12"/>
        <v>0</v>
      </c>
      <c r="R58" s="1326">
        <f t="shared" si="18"/>
        <v>0</v>
      </c>
      <c r="S58" s="1325"/>
    </row>
    <row r="59" spans="2:19">
      <c r="B59" s="1316">
        <f t="shared" si="13"/>
        <v>35</v>
      </c>
      <c r="D59" s="1322" t="s">
        <v>532</v>
      </c>
      <c r="E59" s="1321">
        <v>30</v>
      </c>
      <c r="F59" s="1323">
        <f t="shared" si="19"/>
        <v>32</v>
      </c>
      <c r="G59" s="1323">
        <f t="shared" si="14"/>
        <v>214</v>
      </c>
      <c r="H59" s="1324">
        <f t="shared" si="10"/>
        <v>0.14953271028037382</v>
      </c>
      <c r="I59" s="1325"/>
      <c r="J59" s="1321">
        <f>+'1E - EDIT Amortization'!$O$90/12</f>
        <v>76618.833333333328</v>
      </c>
      <c r="K59" s="1326">
        <f t="shared" si="11"/>
        <v>11457.021806853581</v>
      </c>
      <c r="L59" s="1326">
        <f t="shared" si="15"/>
        <v>-50143945.19314643</v>
      </c>
      <c r="M59" s="1325"/>
      <c r="N59" s="1321">
        <v>0</v>
      </c>
      <c r="O59" s="1326">
        <f t="shared" si="16"/>
        <v>0</v>
      </c>
      <c r="P59" s="1326">
        <f t="shared" si="17"/>
        <v>0</v>
      </c>
      <c r="Q59" s="1326">
        <f t="shared" si="12"/>
        <v>0</v>
      </c>
      <c r="R59" s="1326">
        <f t="shared" si="18"/>
        <v>0</v>
      </c>
      <c r="S59" s="1325"/>
    </row>
    <row r="60" spans="2:19">
      <c r="B60" s="1316">
        <f t="shared" si="13"/>
        <v>36</v>
      </c>
      <c r="D60" s="1327" t="s">
        <v>749</v>
      </c>
      <c r="E60" s="1321">
        <v>31</v>
      </c>
      <c r="F60" s="1328">
        <v>1</v>
      </c>
      <c r="G60" s="1323">
        <f t="shared" si="14"/>
        <v>214</v>
      </c>
      <c r="H60" s="1324">
        <f t="shared" si="10"/>
        <v>4.6728971962616819E-3</v>
      </c>
      <c r="I60" s="1325"/>
      <c r="J60" s="1321">
        <f>+'1E - EDIT Amortization'!$O$90/12</f>
        <v>76618.833333333328</v>
      </c>
      <c r="K60" s="1326">
        <f t="shared" si="11"/>
        <v>358.03193146417442</v>
      </c>
      <c r="L60" s="1326">
        <f t="shared" si="15"/>
        <v>-50143587.161214963</v>
      </c>
      <c r="M60" s="1325"/>
      <c r="N60" s="1321">
        <v>0</v>
      </c>
      <c r="O60" s="1326">
        <f t="shared" si="16"/>
        <v>0</v>
      </c>
      <c r="P60" s="1326">
        <f t="shared" si="17"/>
        <v>0</v>
      </c>
      <c r="Q60" s="1326">
        <f t="shared" si="12"/>
        <v>0</v>
      </c>
      <c r="R60" s="1326">
        <f t="shared" si="18"/>
        <v>0</v>
      </c>
      <c r="S60" s="1325"/>
    </row>
    <row r="61" spans="2:19">
      <c r="B61" s="1316">
        <f t="shared" si="13"/>
        <v>37</v>
      </c>
      <c r="D61" s="1329" t="str">
        <f>"Total (Sum of Lines "&amp;B49&amp;" - "&amp;B60&amp;")"</f>
        <v>Total (Sum of Lines 25 - 36)</v>
      </c>
      <c r="E61" s="1330">
        <f>SUM(E49:E60)</f>
        <v>365</v>
      </c>
      <c r="F61" s="1331"/>
      <c r="G61" s="1331"/>
      <c r="H61" s="1332"/>
      <c r="I61" s="1333"/>
      <c r="J61" s="1330">
        <f>SUM(J49:J60)</f>
        <v>919426.00000000012</v>
      </c>
      <c r="K61" s="1330">
        <f>SUM(K49:K60)</f>
        <v>424267.83878504665</v>
      </c>
      <c r="L61" s="1330"/>
      <c r="M61" s="1333"/>
      <c r="N61" s="1330">
        <f>SUM(N49:N60)</f>
        <v>0</v>
      </c>
      <c r="O61" s="1330">
        <f>SUM(O49:O60)</f>
        <v>0</v>
      </c>
      <c r="P61" s="1330">
        <f>SUM(P49:P60)</f>
        <v>0</v>
      </c>
      <c r="Q61" s="1330">
        <f>SUM(Q49:Q60)</f>
        <v>0</v>
      </c>
      <c r="R61" s="1334"/>
      <c r="S61" s="1333"/>
    </row>
    <row r="62" spans="2:19">
      <c r="D62" s="1335"/>
      <c r="E62" s="1335"/>
      <c r="F62" s="1335"/>
      <c r="G62" s="1335"/>
      <c r="H62" s="1336"/>
      <c r="I62" s="1336"/>
      <c r="K62" s="1337"/>
      <c r="L62" s="1336"/>
      <c r="M62" s="1336"/>
      <c r="N62" s="1347"/>
      <c r="O62" s="1337"/>
      <c r="P62" s="1337"/>
      <c r="Q62" s="1337"/>
      <c r="R62" s="1336"/>
      <c r="S62" s="1336"/>
    </row>
    <row r="63" spans="2:19" ht="15" customHeight="1">
      <c r="B63" s="1316">
        <f>B61+1</f>
        <v>38</v>
      </c>
      <c r="D63" s="1010" t="s">
        <v>1359</v>
      </c>
      <c r="I63" s="1336"/>
      <c r="J63" s="1321" t="s">
        <v>1798</v>
      </c>
      <c r="L63" s="1321">
        <f>'1E - EDIT Amortization'!M72+'1E - EDIT Amortization'!M81</f>
        <v>-32662759.225080743</v>
      </c>
      <c r="M63" s="1338"/>
      <c r="N63" s="1321"/>
      <c r="R63" s="1321">
        <v>0</v>
      </c>
    </row>
    <row r="64" spans="2:19">
      <c r="B64" s="1316">
        <f>B63+1</f>
        <v>39</v>
      </c>
      <c r="D64" s="1010" t="s">
        <v>1360</v>
      </c>
      <c r="I64" s="1336"/>
      <c r="J64" s="1339" t="s">
        <v>639</v>
      </c>
      <c r="L64" s="1340">
        <v>0</v>
      </c>
      <c r="M64" s="1341"/>
      <c r="N64" s="1339"/>
      <c r="R64" s="1340">
        <v>0</v>
      </c>
    </row>
    <row r="65" spans="2:19">
      <c r="B65" s="1316">
        <f>B64+1</f>
        <v>40</v>
      </c>
      <c r="D65" s="1010" t="s">
        <v>1361</v>
      </c>
      <c r="I65" s="1336"/>
      <c r="J65" s="1329" t="str">
        <f>"(Col. "&amp;L44&amp;", Line "&amp;B63&amp;" + Line "&amp;B64&amp;")"</f>
        <v>(Col. (H), Line 38 + Line 39)</v>
      </c>
      <c r="L65" s="1342">
        <f>L63+L64</f>
        <v>-32662759.225080743</v>
      </c>
      <c r="M65" s="1336"/>
      <c r="N65" s="1329" t="str">
        <f>"(Col. "&amp;R44&amp;", Line "&amp;B63&amp;" + Line "&amp;B64&amp;")"</f>
        <v>(Col. (M), Line 38 + Line 39)</v>
      </c>
      <c r="R65" s="1342">
        <f>R63+R64</f>
        <v>0</v>
      </c>
    </row>
    <row r="66" spans="2:19">
      <c r="I66" s="1336"/>
      <c r="L66" s="1342"/>
      <c r="M66" s="1336"/>
      <c r="R66" s="1342"/>
    </row>
    <row r="67" spans="2:19">
      <c r="B67" s="1316">
        <f>B65+1</f>
        <v>41</v>
      </c>
      <c r="D67" s="1010" t="s">
        <v>1362</v>
      </c>
      <c r="I67" s="1336"/>
      <c r="J67" s="1642" t="s">
        <v>1811</v>
      </c>
      <c r="L67" s="1321">
        <f>'1E - EDIT Amortization'!Q72+'1E - EDIT Amortization'!Q81</f>
        <v>-21775172.837621115</v>
      </c>
      <c r="M67" s="1338"/>
      <c r="N67" s="1321"/>
      <c r="R67" s="1321">
        <v>0</v>
      </c>
    </row>
    <row r="68" spans="2:19">
      <c r="B68" s="1316">
        <f>B67+1</f>
        <v>42</v>
      </c>
      <c r="D68" s="1010" t="s">
        <v>1363</v>
      </c>
      <c r="I68" s="1336"/>
      <c r="J68" s="1339" t="s">
        <v>639</v>
      </c>
      <c r="L68" s="1340">
        <v>0</v>
      </c>
      <c r="M68" s="1336"/>
      <c r="N68" s="1339"/>
      <c r="R68" s="1340">
        <v>0</v>
      </c>
    </row>
    <row r="69" spans="2:19">
      <c r="B69" s="1316">
        <f>B68+1</f>
        <v>43</v>
      </c>
      <c r="D69" s="1010" t="s">
        <v>1364</v>
      </c>
      <c r="I69" s="1336"/>
      <c r="J69" s="1329" t="str">
        <f>"(Col. "&amp;L44&amp;", Line "&amp;B67&amp;" + Line "&amp;B68&amp;")"</f>
        <v>(Col. (H), Line 41 + Line 42)</v>
      </c>
      <c r="L69" s="1342">
        <f>L67+L68</f>
        <v>-21775172.837621115</v>
      </c>
      <c r="M69" s="1336"/>
      <c r="N69" s="1329" t="str">
        <f>"(Col. "&amp;R44&amp;", Line "&amp;B67&amp;" + Line "&amp;B68&amp;")"</f>
        <v>(Col. (M), Line 41 + Line 42)</v>
      </c>
      <c r="R69" s="1342">
        <f>R67+R68</f>
        <v>0</v>
      </c>
    </row>
    <row r="70" spans="2:19">
      <c r="I70" s="1336"/>
      <c r="L70" s="1342"/>
      <c r="M70" s="1336"/>
      <c r="R70" s="1342"/>
    </row>
    <row r="71" spans="2:19">
      <c r="B71" s="1316">
        <f>B69+1</f>
        <v>44</v>
      </c>
      <c r="D71" s="1010" t="s">
        <v>1000</v>
      </c>
      <c r="I71" s="1336"/>
      <c r="J71" s="1329" t="str">
        <f>"([Col. "&amp;L44&amp;", Line "&amp;B65&amp;" + Line "&amp;B69&amp;"] /2)"</f>
        <v>([Col. (H), Line 40 + Line 43] /2)</v>
      </c>
      <c r="L71" s="1326">
        <f>(L65+L69)/2</f>
        <v>-27218966.031350929</v>
      </c>
      <c r="M71" s="1336"/>
      <c r="N71" s="1329" t="str">
        <f>"([Col. "&amp;R44&amp;", Line "&amp;B65&amp;" + Line "&amp;B69&amp;"] /2)"</f>
        <v>([Col. (M), Line 40 + Line 43] /2)</v>
      </c>
      <c r="R71" s="1326">
        <f>(R65+R69)/2</f>
        <v>0</v>
      </c>
    </row>
    <row r="72" spans="2:19">
      <c r="B72" s="1316">
        <f>B71+1</f>
        <v>45</v>
      </c>
      <c r="D72" s="1430" t="s">
        <v>1365</v>
      </c>
      <c r="E72" s="1335"/>
      <c r="F72" s="1335"/>
      <c r="G72" s="1335"/>
      <c r="H72" s="1336"/>
      <c r="I72" s="1336"/>
      <c r="J72" s="1329" t="str">
        <f>"(Col. "&amp;L44&amp;", Line "&amp;B60&amp;" )"</f>
        <v>(Col. (H), Line 36 )</v>
      </c>
      <c r="K72" s="1337"/>
      <c r="L72" s="1326">
        <f>L60</f>
        <v>-50143587.161214963</v>
      </c>
      <c r="M72" s="1336"/>
      <c r="N72" s="1329" t="str">
        <f>"(Col. "&amp;R44&amp;", Line "&amp;B60&amp;" )"</f>
        <v>(Col. (M), Line 36 )</v>
      </c>
      <c r="R72" s="1326">
        <f>R60</f>
        <v>0</v>
      </c>
    </row>
    <row r="73" spans="2:19" ht="13.5" thickBot="1">
      <c r="B73" s="1316">
        <f>B72+1</f>
        <v>46</v>
      </c>
      <c r="D73" s="1343" t="s">
        <v>1368</v>
      </c>
      <c r="E73" s="1335"/>
      <c r="F73" s="1335"/>
      <c r="G73" s="1335"/>
      <c r="H73" s="1336"/>
      <c r="I73" s="1336"/>
      <c r="J73" s="1329" t="str">
        <f>"(Col. "&amp;L44&amp;", Line "&amp;B71&amp;" + Line "&amp;B72&amp;")"</f>
        <v>(Col. (H), Line 44 + Line 45)</v>
      </c>
      <c r="K73" s="1337"/>
      <c r="L73" s="1344">
        <f>L71+L72</f>
        <v>-77362553.192565888</v>
      </c>
      <c r="M73" s="1336"/>
      <c r="N73" s="1329" t="str">
        <f>"(Col. "&amp;R44&amp;", Line "&amp;B71&amp;" + Line "&amp;B72&amp;")"</f>
        <v>(Col. (M), Line 44 + Line 45)</v>
      </c>
      <c r="R73" s="1344">
        <f>R71+R72</f>
        <v>0</v>
      </c>
    </row>
    <row r="74" spans="2:19" ht="13">
      <c r="D74" s="1313"/>
    </row>
    <row r="75" spans="2:19" ht="13">
      <c r="D75" s="1313" t="s">
        <v>1369</v>
      </c>
      <c r="J75" s="1740"/>
      <c r="K75" s="1740"/>
      <c r="L75" s="1740"/>
      <c r="N75" s="1740"/>
      <c r="O75" s="1740"/>
      <c r="P75" s="1740"/>
      <c r="Q75" s="1740"/>
      <c r="R75" s="1740"/>
    </row>
    <row r="76" spans="2:19" ht="13">
      <c r="D76" s="1733" t="s">
        <v>912</v>
      </c>
      <c r="E76" s="1734"/>
      <c r="F76" s="1734"/>
      <c r="G76" s="1734"/>
      <c r="H76" s="1735"/>
      <c r="I76" s="1317"/>
      <c r="J76" s="1736" t="s">
        <v>1356</v>
      </c>
      <c r="K76" s="1737"/>
      <c r="L76" s="1738"/>
      <c r="M76" s="1317"/>
      <c r="N76" s="1736" t="s">
        <v>1357</v>
      </c>
      <c r="O76" s="1737"/>
      <c r="P76" s="1737"/>
      <c r="Q76" s="1737"/>
      <c r="R76" s="1738"/>
      <c r="S76" s="1317"/>
    </row>
    <row r="77" spans="2:19" ht="13">
      <c r="D77" s="1318" t="s">
        <v>174</v>
      </c>
      <c r="E77" s="1318" t="s">
        <v>175</v>
      </c>
      <c r="F77" s="1318" t="s">
        <v>1294</v>
      </c>
      <c r="G77" s="1318" t="s">
        <v>1295</v>
      </c>
      <c r="H77" s="1318" t="s">
        <v>1296</v>
      </c>
      <c r="I77" s="1317"/>
      <c r="J77" s="1318" t="s">
        <v>1297</v>
      </c>
      <c r="K77" s="1318" t="s">
        <v>1298</v>
      </c>
      <c r="L77" s="1318" t="s">
        <v>1299</v>
      </c>
      <c r="M77" s="1317"/>
      <c r="N77" s="1318" t="s">
        <v>1300</v>
      </c>
      <c r="O77" s="1318" t="s">
        <v>1301</v>
      </c>
      <c r="P77" s="1318" t="s">
        <v>1302</v>
      </c>
      <c r="Q77" s="1318" t="s">
        <v>1303</v>
      </c>
      <c r="R77" s="1318" t="s">
        <v>1304</v>
      </c>
      <c r="S77" s="1317"/>
    </row>
    <row r="78" spans="2:19" ht="50">
      <c r="B78" s="1319" t="s">
        <v>1305</v>
      </c>
      <c r="D78" s="1320" t="s">
        <v>169</v>
      </c>
      <c r="E78" s="1320" t="s">
        <v>913</v>
      </c>
      <c r="F78" s="1320" t="s">
        <v>914</v>
      </c>
      <c r="G78" s="1320" t="s">
        <v>915</v>
      </c>
      <c r="H78" s="1320" t="s">
        <v>1306</v>
      </c>
      <c r="I78" s="1640"/>
      <c r="J78" s="1320" t="s">
        <v>916</v>
      </c>
      <c r="K78" s="1320" t="s">
        <v>1307</v>
      </c>
      <c r="L78" s="1320" t="s">
        <v>1308</v>
      </c>
      <c r="M78" s="1640"/>
      <c r="N78" s="1320" t="s">
        <v>1003</v>
      </c>
      <c r="O78" s="1320" t="s">
        <v>1309</v>
      </c>
      <c r="P78" s="1320" t="s">
        <v>1310</v>
      </c>
      <c r="Q78" s="1320" t="s">
        <v>1311</v>
      </c>
      <c r="R78" s="1320" t="s">
        <v>1312</v>
      </c>
      <c r="S78" s="1640"/>
    </row>
    <row r="79" spans="2:19">
      <c r="E79" s="1640"/>
      <c r="F79" s="1640"/>
      <c r="G79" s="1640"/>
      <c r="H79" s="1640"/>
      <c r="I79" s="1640"/>
      <c r="J79" s="1640"/>
      <c r="K79" s="1640"/>
      <c r="L79" s="1640"/>
      <c r="M79" s="1640"/>
      <c r="N79" s="1640"/>
      <c r="O79" s="1640"/>
      <c r="P79" s="1640"/>
      <c r="Q79" s="1640"/>
      <c r="R79" s="1640"/>
      <c r="S79" s="1640"/>
    </row>
    <row r="80" spans="2:19">
      <c r="B80" s="1316">
        <f>B73+1</f>
        <v>47</v>
      </c>
      <c r="D80" s="1010" t="s">
        <v>1002</v>
      </c>
      <c r="E80" s="1640"/>
      <c r="F80" s="1640"/>
      <c r="G80" s="1640"/>
      <c r="H80" s="1640"/>
      <c r="I80" s="1640"/>
      <c r="J80" s="1321" t="s">
        <v>1798</v>
      </c>
      <c r="K80" s="1640"/>
      <c r="L80" s="1321">
        <f>'1E - EDIT Amortization'!M91</f>
        <v>0</v>
      </c>
      <c r="M80" s="1640"/>
      <c r="N80" s="1321"/>
      <c r="O80" s="1640"/>
      <c r="P80" s="1640"/>
      <c r="Q80" s="1640"/>
      <c r="R80" s="1321">
        <v>0</v>
      </c>
      <c r="S80" s="1640"/>
    </row>
    <row r="81" spans="2:19">
      <c r="E81" s="1640"/>
      <c r="F81" s="1640"/>
      <c r="G81" s="1640"/>
      <c r="H81" s="1640"/>
      <c r="I81" s="1640"/>
      <c r="J81" s="1640"/>
      <c r="K81" s="1640"/>
      <c r="L81" s="1640"/>
      <c r="M81" s="1640"/>
      <c r="N81" s="1640"/>
      <c r="O81" s="1640"/>
      <c r="P81" s="1640"/>
      <c r="Q81" s="1640"/>
      <c r="R81" s="1640"/>
      <c r="S81" s="1640"/>
    </row>
    <row r="82" spans="2:19">
      <c r="B82" s="1316">
        <f>B80+1</f>
        <v>48</v>
      </c>
      <c r="D82" s="1322" t="s">
        <v>525</v>
      </c>
      <c r="E82" s="1321">
        <v>31</v>
      </c>
      <c r="F82" s="1323">
        <v>0</v>
      </c>
      <c r="G82" s="1323">
        <v>214</v>
      </c>
      <c r="H82" s="1324">
        <f t="shared" ref="H82:H93" si="20">IF(F82=0,0.5,F82/G82)</f>
        <v>0.5</v>
      </c>
      <c r="I82" s="1325"/>
      <c r="J82" s="1321">
        <v>0</v>
      </c>
      <c r="K82" s="1326">
        <f t="shared" ref="K82:K93" si="21">+J82*H82</f>
        <v>0</v>
      </c>
      <c r="L82" s="1326">
        <f>+K82</f>
        <v>0</v>
      </c>
      <c r="M82" s="1325"/>
      <c r="N82" s="1321">
        <v>0</v>
      </c>
      <c r="O82" s="1326">
        <f>IF($D$237="True-Up Adjustment",N82-J82,0)</f>
        <v>0</v>
      </c>
      <c r="P82" s="1326">
        <f>IF($D$237="True-Up Adjustment",IF(AND(J82&gt;=0,N82&gt;=0),IF(O82&gt;=0,K82+O82,N82/J82*K82),IF(AND(J82&lt;0,N82&lt;0),IF(O82&lt;0,K82+O82,N82/J82*K82),0)),0)</f>
        <v>0</v>
      </c>
      <c r="Q82" s="1326">
        <f t="shared" ref="Q82:Q93" si="22">IF(AND(J82&gt;=0,N82&lt;0),N82,IF(AND(J82&lt;0,N82&gt;=0),N82,0))</f>
        <v>0</v>
      </c>
      <c r="R82" s="1326">
        <f>+P82+Q82</f>
        <v>0</v>
      </c>
      <c r="S82" s="1325"/>
    </row>
    <row r="83" spans="2:19">
      <c r="B83" s="1316">
        <f t="shared" ref="B83:B94" si="23">+B82+1</f>
        <v>49</v>
      </c>
      <c r="D83" s="1322" t="s">
        <v>526</v>
      </c>
      <c r="E83" s="1321">
        <v>28</v>
      </c>
      <c r="F83" s="1323">
        <v>0</v>
      </c>
      <c r="G83" s="1323">
        <f t="shared" ref="G83:G93" si="24">G82</f>
        <v>214</v>
      </c>
      <c r="H83" s="1324">
        <f t="shared" si="20"/>
        <v>0.5</v>
      </c>
      <c r="I83" s="1325"/>
      <c r="J83" s="1321">
        <v>0</v>
      </c>
      <c r="K83" s="1326">
        <f t="shared" si="21"/>
        <v>0</v>
      </c>
      <c r="L83" s="1326">
        <f t="shared" ref="L83:L93" si="25">+K83+L82</f>
        <v>0</v>
      </c>
      <c r="M83" s="1325"/>
      <c r="N83" s="1321">
        <v>0</v>
      </c>
      <c r="O83" s="1326">
        <f t="shared" ref="O83:O93" si="26">IF($D$237="True-Up Adjustment",N83-J83,0)</f>
        <v>0</v>
      </c>
      <c r="P83" s="1326">
        <f t="shared" ref="P83:P93" si="27">IF($D$237="True-Up Adjustment",IF(AND(J83&gt;=0,N83&gt;=0),IF(O83&gt;=0,K83+O83,N83/J83*K83),IF(AND(J83&lt;0,N83&lt;0),IF(O83&lt;0,K83+O83,N83/J83*K83),0)),0)</f>
        <v>0</v>
      </c>
      <c r="Q83" s="1326">
        <f t="shared" si="22"/>
        <v>0</v>
      </c>
      <c r="R83" s="1326">
        <f t="shared" ref="R83:R93" si="28">R82+P83+Q83</f>
        <v>0</v>
      </c>
      <c r="S83" s="1325"/>
    </row>
    <row r="84" spans="2:19">
      <c r="B84" s="1316">
        <f t="shared" si="23"/>
        <v>50</v>
      </c>
      <c r="D84" s="1322" t="s">
        <v>545</v>
      </c>
      <c r="E84" s="1321">
        <v>31</v>
      </c>
      <c r="F84" s="1323">
        <v>0</v>
      </c>
      <c r="G84" s="1323">
        <f t="shared" si="24"/>
        <v>214</v>
      </c>
      <c r="H84" s="1324">
        <f t="shared" si="20"/>
        <v>0.5</v>
      </c>
      <c r="I84" s="1325"/>
      <c r="J84" s="1321">
        <v>0</v>
      </c>
      <c r="K84" s="1326">
        <f t="shared" si="21"/>
        <v>0</v>
      </c>
      <c r="L84" s="1326">
        <f t="shared" si="25"/>
        <v>0</v>
      </c>
      <c r="M84" s="1325"/>
      <c r="N84" s="1321">
        <v>0</v>
      </c>
      <c r="O84" s="1326">
        <f t="shared" si="26"/>
        <v>0</v>
      </c>
      <c r="P84" s="1326">
        <f t="shared" si="27"/>
        <v>0</v>
      </c>
      <c r="Q84" s="1326">
        <f t="shared" si="22"/>
        <v>0</v>
      </c>
      <c r="R84" s="1326">
        <f t="shared" si="28"/>
        <v>0</v>
      </c>
      <c r="S84" s="1325"/>
    </row>
    <row r="85" spans="2:19">
      <c r="B85" s="1316">
        <f t="shared" si="23"/>
        <v>51</v>
      </c>
      <c r="D85" s="1322" t="s">
        <v>171</v>
      </c>
      <c r="E85" s="1321">
        <v>30</v>
      </c>
      <c r="F85" s="1323">
        <v>0</v>
      </c>
      <c r="G85" s="1323">
        <f t="shared" si="24"/>
        <v>214</v>
      </c>
      <c r="H85" s="1324">
        <f t="shared" si="20"/>
        <v>0.5</v>
      </c>
      <c r="I85" s="1325"/>
      <c r="J85" s="1321">
        <v>0</v>
      </c>
      <c r="K85" s="1326">
        <f t="shared" si="21"/>
        <v>0</v>
      </c>
      <c r="L85" s="1326">
        <f t="shared" si="25"/>
        <v>0</v>
      </c>
      <c r="M85" s="1325"/>
      <c r="N85" s="1321">
        <v>0</v>
      </c>
      <c r="O85" s="1326">
        <f t="shared" si="26"/>
        <v>0</v>
      </c>
      <c r="P85" s="1326">
        <f t="shared" si="27"/>
        <v>0</v>
      </c>
      <c r="Q85" s="1326">
        <f t="shared" si="22"/>
        <v>0</v>
      </c>
      <c r="R85" s="1326">
        <f t="shared" si="28"/>
        <v>0</v>
      </c>
      <c r="S85" s="1325"/>
    </row>
    <row r="86" spans="2:19">
      <c r="B86" s="1316">
        <f t="shared" si="23"/>
        <v>52</v>
      </c>
      <c r="D86" s="1322" t="s">
        <v>172</v>
      </c>
      <c r="E86" s="1321">
        <v>31</v>
      </c>
      <c r="F86" s="1323">
        <v>0</v>
      </c>
      <c r="G86" s="1323">
        <f t="shared" si="24"/>
        <v>214</v>
      </c>
      <c r="H86" s="1324">
        <f t="shared" si="20"/>
        <v>0.5</v>
      </c>
      <c r="I86" s="1325"/>
      <c r="J86" s="1321">
        <v>0</v>
      </c>
      <c r="K86" s="1326">
        <f t="shared" si="21"/>
        <v>0</v>
      </c>
      <c r="L86" s="1326">
        <f t="shared" si="25"/>
        <v>0</v>
      </c>
      <c r="M86" s="1325"/>
      <c r="N86" s="1321">
        <v>0</v>
      </c>
      <c r="O86" s="1326">
        <f t="shared" si="26"/>
        <v>0</v>
      </c>
      <c r="P86" s="1326">
        <f t="shared" si="27"/>
        <v>0</v>
      </c>
      <c r="Q86" s="1326">
        <f t="shared" si="22"/>
        <v>0</v>
      </c>
      <c r="R86" s="1326">
        <f t="shared" si="28"/>
        <v>0</v>
      </c>
      <c r="S86" s="1325"/>
    </row>
    <row r="87" spans="2:19">
      <c r="B87" s="1316">
        <f t="shared" si="23"/>
        <v>53</v>
      </c>
      <c r="D87" s="1322" t="s">
        <v>173</v>
      </c>
      <c r="E87" s="1321">
        <v>30</v>
      </c>
      <c r="F87" s="1323">
        <f t="shared" ref="F87:F92" si="29">E88+F88</f>
        <v>185</v>
      </c>
      <c r="G87" s="1323">
        <f t="shared" si="24"/>
        <v>214</v>
      </c>
      <c r="H87" s="1324">
        <f t="shared" si="20"/>
        <v>0.86448598130841126</v>
      </c>
      <c r="I87" s="1325"/>
      <c r="J87" s="1321">
        <v>0</v>
      </c>
      <c r="K87" s="1326">
        <f t="shared" si="21"/>
        <v>0</v>
      </c>
      <c r="L87" s="1326">
        <f t="shared" si="25"/>
        <v>0</v>
      </c>
      <c r="M87" s="1325"/>
      <c r="N87" s="1321">
        <v>0</v>
      </c>
      <c r="O87" s="1326">
        <f t="shared" si="26"/>
        <v>0</v>
      </c>
      <c r="P87" s="1326">
        <f t="shared" si="27"/>
        <v>0</v>
      </c>
      <c r="Q87" s="1326">
        <f t="shared" si="22"/>
        <v>0</v>
      </c>
      <c r="R87" s="1326">
        <f t="shared" si="28"/>
        <v>0</v>
      </c>
      <c r="S87" s="1325"/>
    </row>
    <row r="88" spans="2:19">
      <c r="B88" s="1316">
        <f t="shared" si="23"/>
        <v>54</v>
      </c>
      <c r="D88" s="1322" t="s">
        <v>528</v>
      </c>
      <c r="E88" s="1321">
        <v>31</v>
      </c>
      <c r="F88" s="1323">
        <f t="shared" si="29"/>
        <v>154</v>
      </c>
      <c r="G88" s="1323">
        <f t="shared" si="24"/>
        <v>214</v>
      </c>
      <c r="H88" s="1324">
        <f t="shared" si="20"/>
        <v>0.71962616822429903</v>
      </c>
      <c r="I88" s="1325"/>
      <c r="J88" s="1321">
        <v>0</v>
      </c>
      <c r="K88" s="1326">
        <f t="shared" si="21"/>
        <v>0</v>
      </c>
      <c r="L88" s="1326">
        <f t="shared" si="25"/>
        <v>0</v>
      </c>
      <c r="M88" s="1325"/>
      <c r="N88" s="1321">
        <v>0</v>
      </c>
      <c r="O88" s="1326">
        <f t="shared" si="26"/>
        <v>0</v>
      </c>
      <c r="P88" s="1326">
        <f t="shared" si="27"/>
        <v>0</v>
      </c>
      <c r="Q88" s="1326">
        <f t="shared" si="22"/>
        <v>0</v>
      </c>
      <c r="R88" s="1326">
        <f t="shared" si="28"/>
        <v>0</v>
      </c>
      <c r="S88" s="1325"/>
    </row>
    <row r="89" spans="2:19">
      <c r="B89" s="1316">
        <f t="shared" si="23"/>
        <v>55</v>
      </c>
      <c r="D89" s="1322" t="s">
        <v>546</v>
      </c>
      <c r="E89" s="1321">
        <v>31</v>
      </c>
      <c r="F89" s="1323">
        <f t="shared" si="29"/>
        <v>123</v>
      </c>
      <c r="G89" s="1323">
        <f t="shared" si="24"/>
        <v>214</v>
      </c>
      <c r="H89" s="1324">
        <f t="shared" si="20"/>
        <v>0.57476635514018692</v>
      </c>
      <c r="I89" s="1325"/>
      <c r="J89" s="1321">
        <v>0</v>
      </c>
      <c r="K89" s="1326">
        <f t="shared" si="21"/>
        <v>0</v>
      </c>
      <c r="L89" s="1326">
        <f t="shared" si="25"/>
        <v>0</v>
      </c>
      <c r="M89" s="1325"/>
      <c r="N89" s="1321">
        <v>0</v>
      </c>
      <c r="O89" s="1326">
        <f t="shared" si="26"/>
        <v>0</v>
      </c>
      <c r="P89" s="1326">
        <f t="shared" si="27"/>
        <v>0</v>
      </c>
      <c r="Q89" s="1326">
        <f t="shared" si="22"/>
        <v>0</v>
      </c>
      <c r="R89" s="1326">
        <f t="shared" si="28"/>
        <v>0</v>
      </c>
      <c r="S89" s="1325"/>
    </row>
    <row r="90" spans="2:19">
      <c r="B90" s="1316">
        <f t="shared" si="23"/>
        <v>56</v>
      </c>
      <c r="D90" s="1322" t="s">
        <v>530</v>
      </c>
      <c r="E90" s="1321">
        <v>30</v>
      </c>
      <c r="F90" s="1323">
        <f t="shared" si="29"/>
        <v>93</v>
      </c>
      <c r="G90" s="1323">
        <f t="shared" si="24"/>
        <v>214</v>
      </c>
      <c r="H90" s="1324">
        <f t="shared" si="20"/>
        <v>0.43457943925233644</v>
      </c>
      <c r="I90" s="1325"/>
      <c r="J90" s="1321">
        <v>0</v>
      </c>
      <c r="K90" s="1326">
        <f t="shared" si="21"/>
        <v>0</v>
      </c>
      <c r="L90" s="1326">
        <f t="shared" si="25"/>
        <v>0</v>
      </c>
      <c r="M90" s="1325"/>
      <c r="N90" s="1321">
        <v>0</v>
      </c>
      <c r="O90" s="1326">
        <f t="shared" si="26"/>
        <v>0</v>
      </c>
      <c r="P90" s="1326">
        <f t="shared" si="27"/>
        <v>0</v>
      </c>
      <c r="Q90" s="1326">
        <f t="shared" si="22"/>
        <v>0</v>
      </c>
      <c r="R90" s="1326">
        <f t="shared" si="28"/>
        <v>0</v>
      </c>
      <c r="S90" s="1325"/>
    </row>
    <row r="91" spans="2:19">
      <c r="B91" s="1316">
        <f t="shared" si="23"/>
        <v>57</v>
      </c>
      <c r="D91" s="1322" t="s">
        <v>531</v>
      </c>
      <c r="E91" s="1321">
        <v>31</v>
      </c>
      <c r="F91" s="1323">
        <f t="shared" si="29"/>
        <v>62</v>
      </c>
      <c r="G91" s="1323">
        <f t="shared" si="24"/>
        <v>214</v>
      </c>
      <c r="H91" s="1324">
        <f t="shared" si="20"/>
        <v>0.28971962616822428</v>
      </c>
      <c r="I91" s="1325"/>
      <c r="J91" s="1321">
        <v>0</v>
      </c>
      <c r="K91" s="1326">
        <f t="shared" si="21"/>
        <v>0</v>
      </c>
      <c r="L91" s="1326">
        <f t="shared" si="25"/>
        <v>0</v>
      </c>
      <c r="M91" s="1325"/>
      <c r="N91" s="1321">
        <v>0</v>
      </c>
      <c r="O91" s="1326">
        <f t="shared" si="26"/>
        <v>0</v>
      </c>
      <c r="P91" s="1326">
        <f t="shared" si="27"/>
        <v>0</v>
      </c>
      <c r="Q91" s="1326">
        <f t="shared" si="22"/>
        <v>0</v>
      </c>
      <c r="R91" s="1326">
        <f t="shared" si="28"/>
        <v>0</v>
      </c>
      <c r="S91" s="1325"/>
    </row>
    <row r="92" spans="2:19">
      <c r="B92" s="1316">
        <f t="shared" si="23"/>
        <v>58</v>
      </c>
      <c r="D92" s="1322" t="s">
        <v>532</v>
      </c>
      <c r="E92" s="1321">
        <v>30</v>
      </c>
      <c r="F92" s="1323">
        <f t="shared" si="29"/>
        <v>32</v>
      </c>
      <c r="G92" s="1323">
        <f t="shared" si="24"/>
        <v>214</v>
      </c>
      <c r="H92" s="1324">
        <f t="shared" si="20"/>
        <v>0.14953271028037382</v>
      </c>
      <c r="I92" s="1325"/>
      <c r="J92" s="1321">
        <v>0</v>
      </c>
      <c r="K92" s="1326">
        <f t="shared" si="21"/>
        <v>0</v>
      </c>
      <c r="L92" s="1326">
        <f t="shared" si="25"/>
        <v>0</v>
      </c>
      <c r="M92" s="1325"/>
      <c r="N92" s="1321">
        <v>0</v>
      </c>
      <c r="O92" s="1326">
        <f t="shared" si="26"/>
        <v>0</v>
      </c>
      <c r="P92" s="1326">
        <f t="shared" si="27"/>
        <v>0</v>
      </c>
      <c r="Q92" s="1326">
        <f t="shared" si="22"/>
        <v>0</v>
      </c>
      <c r="R92" s="1326">
        <f t="shared" si="28"/>
        <v>0</v>
      </c>
      <c r="S92" s="1325"/>
    </row>
    <row r="93" spans="2:19">
      <c r="B93" s="1316">
        <f t="shared" si="23"/>
        <v>59</v>
      </c>
      <c r="D93" s="1327" t="s">
        <v>749</v>
      </c>
      <c r="E93" s="1321">
        <v>31</v>
      </c>
      <c r="F93" s="1328">
        <v>1</v>
      </c>
      <c r="G93" s="1323">
        <f t="shared" si="24"/>
        <v>214</v>
      </c>
      <c r="H93" s="1324">
        <f t="shared" si="20"/>
        <v>4.6728971962616819E-3</v>
      </c>
      <c r="I93" s="1325"/>
      <c r="J93" s="1321">
        <v>0</v>
      </c>
      <c r="K93" s="1326">
        <f t="shared" si="21"/>
        <v>0</v>
      </c>
      <c r="L93" s="1326">
        <f t="shared" si="25"/>
        <v>0</v>
      </c>
      <c r="M93" s="1325"/>
      <c r="N93" s="1321">
        <v>0</v>
      </c>
      <c r="O93" s="1326">
        <f t="shared" si="26"/>
        <v>0</v>
      </c>
      <c r="P93" s="1326">
        <f t="shared" si="27"/>
        <v>0</v>
      </c>
      <c r="Q93" s="1326">
        <f t="shared" si="22"/>
        <v>0</v>
      </c>
      <c r="R93" s="1326">
        <f t="shared" si="28"/>
        <v>0</v>
      </c>
      <c r="S93" s="1325"/>
    </row>
    <row r="94" spans="2:19">
      <c r="B94" s="1316">
        <f t="shared" si="23"/>
        <v>60</v>
      </c>
      <c r="D94" s="1329" t="str">
        <f>"Total (Sum of Lines "&amp;B82&amp;" - "&amp;B93&amp;")"</f>
        <v>Total (Sum of Lines 48 - 59)</v>
      </c>
      <c r="E94" s="1330">
        <f>SUM(E82:E93)</f>
        <v>365</v>
      </c>
      <c r="F94" s="1331"/>
      <c r="G94" s="1331"/>
      <c r="H94" s="1332"/>
      <c r="I94" s="1333"/>
      <c r="J94" s="1330">
        <f>SUM(J82:J93)</f>
        <v>0</v>
      </c>
      <c r="K94" s="1330">
        <f>SUM(K82:K93)</f>
        <v>0</v>
      </c>
      <c r="L94" s="1334"/>
      <c r="M94" s="1333"/>
      <c r="N94" s="1330">
        <f>SUM(N82:N93)</f>
        <v>0</v>
      </c>
      <c r="O94" s="1330">
        <f>SUM(O82:O93)</f>
        <v>0</v>
      </c>
      <c r="P94" s="1330">
        <f>SUM(P82:P93)</f>
        <v>0</v>
      </c>
      <c r="Q94" s="1330">
        <f>SUM(Q82:Q93)</f>
        <v>0</v>
      </c>
      <c r="R94" s="1334"/>
      <c r="S94" s="1333"/>
    </row>
    <row r="95" spans="2:19">
      <c r="D95" s="1335"/>
      <c r="E95" s="1335"/>
      <c r="F95" s="1335"/>
      <c r="G95" s="1335"/>
      <c r="H95" s="1336"/>
      <c r="I95" s="1336"/>
      <c r="K95" s="1337"/>
      <c r="L95" s="1336"/>
      <c r="M95" s="1336"/>
      <c r="N95" s="1347"/>
      <c r="O95" s="1337"/>
      <c r="P95" s="1337"/>
      <c r="Q95" s="1337"/>
      <c r="R95" s="1336"/>
      <c r="S95" s="1336"/>
    </row>
    <row r="96" spans="2:19">
      <c r="B96" s="1316">
        <f>B94+1</f>
        <v>61</v>
      </c>
      <c r="D96" s="1010" t="s">
        <v>1359</v>
      </c>
      <c r="I96" s="1336"/>
      <c r="J96" s="1321" t="s">
        <v>1798</v>
      </c>
      <c r="L96" s="1321">
        <f>'1E - EDIT Amortization'!M73+'1E - EDIT Amortization'!M82</f>
        <v>-2506651.1767727323</v>
      </c>
      <c r="M96" s="1338"/>
      <c r="N96" s="1321"/>
      <c r="R96" s="1321">
        <v>0</v>
      </c>
    </row>
    <row r="97" spans="2:19">
      <c r="B97" s="1316">
        <f>B96+1</f>
        <v>62</v>
      </c>
      <c r="D97" s="1010" t="s">
        <v>1360</v>
      </c>
      <c r="I97" s="1336"/>
      <c r="J97" s="1339" t="s">
        <v>639</v>
      </c>
      <c r="L97" s="1340">
        <v>0</v>
      </c>
      <c r="M97" s="1341"/>
      <c r="N97" s="1339"/>
      <c r="R97" s="1340">
        <v>0</v>
      </c>
    </row>
    <row r="98" spans="2:19">
      <c r="B98" s="1316">
        <f>B97+1</f>
        <v>63</v>
      </c>
      <c r="D98" s="1010" t="s">
        <v>1361</v>
      </c>
      <c r="I98" s="1336"/>
      <c r="J98" s="1329" t="str">
        <f>"(Col. "&amp;L77&amp;", Line "&amp;B96&amp;" + Line "&amp;B97&amp;")"</f>
        <v>(Col. (H), Line 61 + Line 62)</v>
      </c>
      <c r="L98" s="1342">
        <f>L96+L97</f>
        <v>-2506651.1767727323</v>
      </c>
      <c r="M98" s="1336"/>
      <c r="N98" s="1329" t="str">
        <f>"(Col. "&amp;R77&amp;", Line "&amp;B96&amp;" + Line "&amp;B97&amp;")"</f>
        <v>(Col. (M), Line 61 + Line 62)</v>
      </c>
      <c r="R98" s="1342">
        <f>R96+R97</f>
        <v>0</v>
      </c>
    </row>
    <row r="99" spans="2:19">
      <c r="I99" s="1336"/>
      <c r="L99" s="1342"/>
      <c r="M99" s="1336"/>
      <c r="R99" s="1342"/>
    </row>
    <row r="100" spans="2:19">
      <c r="B100" s="1316">
        <f>B98+1</f>
        <v>64</v>
      </c>
      <c r="D100" s="1010" t="s">
        <v>1362</v>
      </c>
      <c r="I100" s="1336"/>
      <c r="J100" s="1642" t="s">
        <v>1811</v>
      </c>
      <c r="L100" s="1321">
        <f>'1E - EDIT Amortization'!Q73+'1E - EDIT Amortization'!Q82</f>
        <v>-1253325.7651590982</v>
      </c>
      <c r="M100" s="1338"/>
      <c r="N100" s="1321"/>
      <c r="R100" s="1321">
        <v>0</v>
      </c>
    </row>
    <row r="101" spans="2:19">
      <c r="B101" s="1316">
        <f>B100+1</f>
        <v>65</v>
      </c>
      <c r="D101" s="1010" t="s">
        <v>1363</v>
      </c>
      <c r="I101" s="1336"/>
      <c r="J101" s="1339" t="s">
        <v>639</v>
      </c>
      <c r="L101" s="1340">
        <v>0</v>
      </c>
      <c r="M101" s="1336"/>
      <c r="N101" s="1339"/>
      <c r="R101" s="1340">
        <v>0</v>
      </c>
    </row>
    <row r="102" spans="2:19">
      <c r="B102" s="1316">
        <f>B101+1</f>
        <v>66</v>
      </c>
      <c r="D102" s="1010" t="s">
        <v>1364</v>
      </c>
      <c r="I102" s="1336"/>
      <c r="J102" s="1329" t="str">
        <f>"(Col. "&amp;L77&amp;", Line "&amp;B100&amp;" + Line "&amp;B101&amp;")"</f>
        <v>(Col. (H), Line 64 + Line 65)</v>
      </c>
      <c r="L102" s="1342">
        <f>L100+L101</f>
        <v>-1253325.7651590982</v>
      </c>
      <c r="M102" s="1336"/>
      <c r="N102" s="1329" t="str">
        <f>"(Col. "&amp;R77&amp;", Line "&amp;B100&amp;" + Line "&amp;B101&amp;")"</f>
        <v>(Col. (M), Line 64 + Line 65)</v>
      </c>
      <c r="R102" s="1342">
        <f>R100+R101</f>
        <v>0</v>
      </c>
    </row>
    <row r="103" spans="2:19">
      <c r="I103" s="1336"/>
      <c r="L103" s="1342"/>
      <c r="M103" s="1336"/>
      <c r="R103" s="1342"/>
    </row>
    <row r="104" spans="2:19">
      <c r="B104" s="1316">
        <f>B102+1</f>
        <v>67</v>
      </c>
      <c r="D104" s="1010" t="s">
        <v>1000</v>
      </c>
      <c r="I104" s="1336"/>
      <c r="J104" s="1329" t="str">
        <f>"([Col. "&amp;L77&amp;", Line "&amp;B98&amp;" + Line "&amp;B102&amp;"] /2)"</f>
        <v>([Col. (H), Line 63 + Line 66] /2)</v>
      </c>
      <c r="L104" s="1326">
        <f>(L98+L102)/2</f>
        <v>-1879988.4709659154</v>
      </c>
      <c r="M104" s="1336"/>
      <c r="N104" s="1329" t="str">
        <f>"([Col. "&amp;R77&amp;", Line "&amp;B98&amp;" + Line "&amp;B102&amp;"] /2)"</f>
        <v>([Col. (M), Line 63 + Line 66] /2)</v>
      </c>
      <c r="R104" s="1326">
        <f>(R98+R102)/2</f>
        <v>0</v>
      </c>
    </row>
    <row r="105" spans="2:19">
      <c r="B105" s="1316">
        <f>B104+1</f>
        <v>68</v>
      </c>
      <c r="D105" s="1430" t="s">
        <v>1365</v>
      </c>
      <c r="E105" s="1335"/>
      <c r="F105" s="1335"/>
      <c r="G105" s="1335"/>
      <c r="H105" s="1336"/>
      <c r="I105" s="1336"/>
      <c r="J105" s="1329" t="str">
        <f>"(Col. "&amp;L77&amp;", Line "&amp;B93&amp;" )"</f>
        <v>(Col. (H), Line 59 )</v>
      </c>
      <c r="K105" s="1337"/>
      <c r="L105" s="1326">
        <f>L93</f>
        <v>0</v>
      </c>
      <c r="M105" s="1336"/>
      <c r="N105" s="1329" t="str">
        <f>"(Col. "&amp;R77&amp;", Line "&amp;B93&amp;" )"</f>
        <v>(Col. (M), Line 59 )</v>
      </c>
      <c r="R105" s="1326">
        <f>R93</f>
        <v>0</v>
      </c>
    </row>
    <row r="106" spans="2:19" ht="13.5" thickBot="1">
      <c r="B106" s="1316">
        <f>B105+1</f>
        <v>69</v>
      </c>
      <c r="D106" s="1343" t="s">
        <v>1370</v>
      </c>
      <c r="E106" s="1335"/>
      <c r="F106" s="1335"/>
      <c r="G106" s="1335"/>
      <c r="H106" s="1336"/>
      <c r="I106" s="1336"/>
      <c r="J106" s="1329" t="str">
        <f>"(Col. "&amp;L77&amp;", Line "&amp;B104&amp;" + Line "&amp;B105&amp;")"</f>
        <v>(Col. (H), Line 67 + Line 68)</v>
      </c>
      <c r="K106" s="1337"/>
      <c r="L106" s="1344">
        <f>L104+L105</f>
        <v>-1879988.4709659154</v>
      </c>
      <c r="M106" s="1336"/>
      <c r="N106" s="1329" t="str">
        <f>"(Col. "&amp;R77&amp;", Line "&amp;B104&amp;" + Line "&amp;B105&amp;")"</f>
        <v>(Col. (M), Line 67 + Line 68)</v>
      </c>
      <c r="R106" s="1344">
        <f>R104+R105</f>
        <v>0</v>
      </c>
    </row>
    <row r="107" spans="2:19">
      <c r="D107" s="1335"/>
      <c r="E107" s="1335"/>
      <c r="F107" s="1335"/>
      <c r="G107" s="1335"/>
      <c r="H107" s="1336"/>
      <c r="I107" s="1336"/>
      <c r="K107" s="1337"/>
      <c r="L107" s="1336"/>
      <c r="M107" s="1336"/>
      <c r="O107" s="1337"/>
      <c r="P107" s="1337"/>
      <c r="Q107" s="1337"/>
      <c r="R107" s="1336"/>
      <c r="S107" s="1336"/>
    </row>
    <row r="108" spans="2:19">
      <c r="D108" s="1335"/>
      <c r="E108" s="1335"/>
      <c r="F108" s="1335" t="s">
        <v>86</v>
      </c>
      <c r="G108" s="1335"/>
      <c r="H108" s="1336"/>
      <c r="I108" s="1336"/>
      <c r="K108" s="1337"/>
      <c r="L108" s="1336"/>
      <c r="M108" s="1336"/>
      <c r="O108" s="1337"/>
      <c r="P108" s="1337"/>
      <c r="Q108" s="1337"/>
      <c r="R108" s="1336"/>
      <c r="S108" s="1336"/>
    </row>
    <row r="109" spans="2:19" ht="13">
      <c r="D109" s="1751" t="s">
        <v>1371</v>
      </c>
      <c r="E109" s="1751"/>
      <c r="F109" s="1751"/>
      <c r="G109" s="1751"/>
      <c r="H109" s="1752"/>
      <c r="I109" s="1336"/>
      <c r="J109" s="1752" t="s">
        <v>1372</v>
      </c>
      <c r="K109" s="1752"/>
      <c r="L109" s="1752"/>
      <c r="M109" s="1752"/>
      <c r="N109" s="1752"/>
      <c r="O109" s="1337"/>
      <c r="P109" s="1337"/>
      <c r="Q109" s="1337"/>
      <c r="R109" s="1336"/>
      <c r="S109" s="1336"/>
    </row>
    <row r="110" spans="2:19" ht="12.75" customHeight="1">
      <c r="B110" s="1753" t="s">
        <v>1305</v>
      </c>
      <c r="C110" s="1639"/>
      <c r="D110" s="1634" t="s">
        <v>174</v>
      </c>
      <c r="E110" s="1635"/>
      <c r="F110" s="1634" t="s">
        <v>175</v>
      </c>
      <c r="G110" s="1636"/>
      <c r="H110" s="1633" t="s">
        <v>1294</v>
      </c>
      <c r="I110" s="1317"/>
      <c r="J110" s="1634" t="s">
        <v>1295</v>
      </c>
      <c r="K110" s="1635"/>
      <c r="L110" s="1634" t="s">
        <v>1296</v>
      </c>
      <c r="M110" s="1636"/>
      <c r="N110" s="1633" t="s">
        <v>1297</v>
      </c>
    </row>
    <row r="111" spans="2:19" ht="26">
      <c r="B111" s="1754"/>
      <c r="C111" s="1639"/>
      <c r="D111" s="1431" t="s">
        <v>1373</v>
      </c>
      <c r="E111" s="1432"/>
      <c r="F111" s="1433" t="s">
        <v>1374</v>
      </c>
      <c r="G111" s="1434"/>
      <c r="H111" s="1435" t="s">
        <v>1375</v>
      </c>
      <c r="J111" s="1436" t="s">
        <v>1373</v>
      </c>
      <c r="K111" s="1437"/>
      <c r="L111" s="1438" t="s">
        <v>1374</v>
      </c>
      <c r="M111" s="1439"/>
      <c r="N111" s="1435" t="s">
        <v>1375</v>
      </c>
      <c r="O111" s="1337"/>
      <c r="P111" s="1337"/>
      <c r="Q111" s="1337"/>
      <c r="R111" s="1336"/>
      <c r="S111" s="1336"/>
    </row>
    <row r="112" spans="2:19" ht="5.15" customHeight="1">
      <c r="B112" s="1010"/>
      <c r="E112" s="1335"/>
      <c r="K112" s="1335"/>
      <c r="O112" s="1337"/>
      <c r="P112" s="1337"/>
      <c r="Q112" s="1337"/>
      <c r="R112" s="1336"/>
      <c r="S112" s="1336"/>
    </row>
    <row r="113" spans="2:19">
      <c r="B113" s="1316">
        <f>B106+1</f>
        <v>70</v>
      </c>
      <c r="D113" s="1440" t="s">
        <v>1376</v>
      </c>
      <c r="F113" s="1441" t="str">
        <f>"(Col. "&amp;L11&amp;", Line "&amp;B40&amp;")"</f>
        <v>(Col. (H), Line 23)</v>
      </c>
      <c r="G113" s="1442"/>
      <c r="H113" s="1443">
        <f>L40</f>
        <v>3259079.1681463295</v>
      </c>
      <c r="I113" s="1442"/>
      <c r="J113" s="1440" t="s">
        <v>1376</v>
      </c>
      <c r="L113" s="1441" t="str">
        <f>"(Col. "&amp;R11&amp;", Line "&amp;B40&amp;")"</f>
        <v>(Col. (M), Line 23)</v>
      </c>
      <c r="M113" s="1442"/>
      <c r="N113" s="1443">
        <f>R40</f>
        <v>0</v>
      </c>
      <c r="O113" s="1337"/>
      <c r="P113" s="1337"/>
      <c r="Q113" s="1337"/>
      <c r="R113" s="1336"/>
      <c r="S113" s="1336"/>
    </row>
    <row r="114" spans="2:19">
      <c r="B114" s="1316">
        <f>B113+1</f>
        <v>71</v>
      </c>
      <c r="D114" s="1440" t="s">
        <v>1377</v>
      </c>
      <c r="F114" s="1441" t="str">
        <f>"(Col. "&amp;L44&amp;", Line "&amp;B73&amp;")"</f>
        <v>(Col. (H), Line 46)</v>
      </c>
      <c r="H114" s="1444">
        <f>L73</f>
        <v>-77362553.192565888</v>
      </c>
      <c r="J114" s="1440" t="s">
        <v>1377</v>
      </c>
      <c r="L114" s="1441" t="str">
        <f>"(Col. "&amp;R44&amp;", Line "&amp;B73&amp;")"</f>
        <v>(Col. (M), Line 46)</v>
      </c>
      <c r="N114" s="1444">
        <f>R73</f>
        <v>0</v>
      </c>
      <c r="O114" s="1337"/>
      <c r="P114" s="1337"/>
      <c r="Q114" s="1337"/>
      <c r="R114" s="1336"/>
      <c r="S114" s="1336"/>
    </row>
    <row r="115" spans="2:19">
      <c r="B115" s="1316">
        <f>B114+1</f>
        <v>72</v>
      </c>
      <c r="D115" s="1440" t="s">
        <v>1378</v>
      </c>
      <c r="F115" s="1441" t="str">
        <f>"(Col. "&amp;L77&amp;", Line "&amp;B106&amp;")"</f>
        <v>(Col. (H), Line 69)</v>
      </c>
      <c r="H115" s="1444">
        <f>L106</f>
        <v>-1879988.4709659154</v>
      </c>
      <c r="J115" s="1440" t="s">
        <v>1378</v>
      </c>
      <c r="L115" s="1441" t="str">
        <f>"(Col. "&amp;R77&amp;", Line "&amp;B106&amp;")"</f>
        <v>(Col. (M), Line 69)</v>
      </c>
      <c r="N115" s="1444">
        <f>R106</f>
        <v>0</v>
      </c>
      <c r="O115" s="1337"/>
      <c r="P115" s="1337"/>
      <c r="Q115" s="1337"/>
      <c r="R115" s="1336"/>
      <c r="S115" s="1336"/>
    </row>
    <row r="116" spans="2:19" ht="5.15" customHeight="1">
      <c r="D116" s="1335"/>
      <c r="E116" s="1335"/>
      <c r="J116" s="1335"/>
      <c r="K116" s="1335"/>
      <c r="O116" s="1337"/>
      <c r="P116" s="1337"/>
      <c r="Q116" s="1337"/>
      <c r="R116" s="1336"/>
      <c r="S116" s="1336"/>
    </row>
    <row r="117" spans="2:19" ht="13">
      <c r="B117" s="1316">
        <f>B115+1</f>
        <v>73</v>
      </c>
      <c r="D117" s="12" t="s">
        <v>1211</v>
      </c>
      <c r="E117" s="1335"/>
      <c r="F117" s="1441" t="s">
        <v>1762</v>
      </c>
      <c r="G117" s="1445"/>
      <c r="H117" s="1446">
        <f>SUM(H113:H116)</f>
        <v>-75983462.495385483</v>
      </c>
      <c r="I117" s="1445"/>
      <c r="J117" s="12" t="s">
        <v>1211</v>
      </c>
      <c r="K117" s="1335"/>
      <c r="L117" s="1447" t="s">
        <v>1762</v>
      </c>
      <c r="M117" s="1445"/>
      <c r="N117" s="1446">
        <f>SUM(N113:N116)</f>
        <v>0</v>
      </c>
      <c r="O117" s="1337"/>
      <c r="P117" s="1337"/>
      <c r="Q117" s="1337"/>
      <c r="R117" s="1336"/>
      <c r="S117" s="1336"/>
    </row>
    <row r="118" spans="2:19">
      <c r="D118" s="1335"/>
      <c r="E118" s="1335"/>
      <c r="F118" s="1335"/>
      <c r="G118" s="1335"/>
      <c r="H118" s="1335"/>
      <c r="I118" s="1336"/>
      <c r="J118" s="1337"/>
      <c r="K118" s="1337"/>
      <c r="L118" s="1336"/>
      <c r="M118" s="1336"/>
      <c r="O118" s="1337"/>
      <c r="P118" s="1337"/>
      <c r="Q118" s="1337"/>
      <c r="R118" s="1336"/>
      <c r="S118" s="1336"/>
    </row>
    <row r="119" spans="2:19">
      <c r="D119" s="1335"/>
      <c r="E119" s="1335"/>
      <c r="F119" s="1335"/>
      <c r="G119" s="1335"/>
      <c r="H119" s="1336"/>
      <c r="I119" s="1336"/>
      <c r="K119" s="1337"/>
      <c r="L119" s="1336"/>
      <c r="M119" s="1336"/>
      <c r="O119" s="1337"/>
      <c r="P119" s="1337"/>
      <c r="Q119" s="1337"/>
      <c r="R119" s="1336"/>
      <c r="S119" s="1336"/>
    </row>
    <row r="120" spans="2:19" ht="15.75" customHeight="1">
      <c r="B120" s="1750" t="s">
        <v>1379</v>
      </c>
      <c r="C120" s="1750"/>
      <c r="D120" s="1750"/>
      <c r="E120" s="1750"/>
      <c r="F120" s="1750"/>
      <c r="G120" s="1750"/>
      <c r="H120" s="1750"/>
      <c r="I120" s="1750"/>
      <c r="J120" s="1750"/>
      <c r="K120" s="1750"/>
      <c r="L120" s="1750"/>
      <c r="M120" s="1750"/>
      <c r="N120" s="1750"/>
      <c r="O120" s="1750"/>
      <c r="P120" s="1750"/>
      <c r="Q120" s="1750"/>
      <c r="R120" s="1750"/>
    </row>
    <row r="121" spans="2:19" ht="13">
      <c r="D121" s="1313"/>
    </row>
    <row r="122" spans="2:19" ht="13">
      <c r="D122" s="1313" t="s">
        <v>1355</v>
      </c>
      <c r="J122" s="1740"/>
      <c r="K122" s="1740"/>
      <c r="L122" s="1740"/>
      <c r="N122" s="1740"/>
      <c r="O122" s="1740"/>
      <c r="P122" s="1740"/>
      <c r="Q122" s="1740"/>
      <c r="R122" s="1740"/>
    </row>
    <row r="123" spans="2:19" ht="13">
      <c r="D123" s="1733" t="s">
        <v>912</v>
      </c>
      <c r="E123" s="1734"/>
      <c r="F123" s="1734"/>
      <c r="G123" s="1734"/>
      <c r="H123" s="1735"/>
      <c r="I123" s="1317"/>
      <c r="J123" s="1736" t="s">
        <v>1356</v>
      </c>
      <c r="K123" s="1737"/>
      <c r="L123" s="1738"/>
      <c r="M123" s="1317"/>
      <c r="N123" s="1736" t="s">
        <v>1357</v>
      </c>
      <c r="O123" s="1737"/>
      <c r="P123" s="1737"/>
      <c r="Q123" s="1737"/>
      <c r="R123" s="1738"/>
      <c r="S123" s="1317"/>
    </row>
    <row r="124" spans="2:19" ht="13">
      <c r="D124" s="1318" t="s">
        <v>174</v>
      </c>
      <c r="E124" s="1318" t="s">
        <v>175</v>
      </c>
      <c r="F124" s="1318" t="s">
        <v>1294</v>
      </c>
      <c r="G124" s="1318" t="s">
        <v>1295</v>
      </c>
      <c r="H124" s="1318" t="s">
        <v>1296</v>
      </c>
      <c r="I124" s="1317"/>
      <c r="J124" s="1318" t="s">
        <v>1297</v>
      </c>
      <c r="K124" s="1318" t="s">
        <v>1298</v>
      </c>
      <c r="L124" s="1318" t="s">
        <v>1299</v>
      </c>
      <c r="M124" s="1317"/>
      <c r="N124" s="1318" t="s">
        <v>1300</v>
      </c>
      <c r="O124" s="1318" t="s">
        <v>1301</v>
      </c>
      <c r="P124" s="1318" t="s">
        <v>1302</v>
      </c>
      <c r="Q124" s="1318" t="s">
        <v>1303</v>
      </c>
      <c r="R124" s="1318" t="s">
        <v>1304</v>
      </c>
      <c r="S124" s="1317"/>
    </row>
    <row r="125" spans="2:19" ht="63" customHeight="1">
      <c r="B125" s="1319" t="s">
        <v>1305</v>
      </c>
      <c r="D125" s="1320" t="s">
        <v>169</v>
      </c>
      <c r="E125" s="1320" t="s">
        <v>913</v>
      </c>
      <c r="F125" s="1320" t="s">
        <v>1005</v>
      </c>
      <c r="G125" s="1320" t="s">
        <v>1004</v>
      </c>
      <c r="H125" s="1320" t="s">
        <v>1306</v>
      </c>
      <c r="I125" s="1640"/>
      <c r="J125" s="1320" t="s">
        <v>916</v>
      </c>
      <c r="K125" s="1320" t="s">
        <v>1307</v>
      </c>
      <c r="L125" s="1320" t="s">
        <v>1308</v>
      </c>
      <c r="M125" s="1640"/>
      <c r="N125" s="1320" t="s">
        <v>1003</v>
      </c>
      <c r="O125" s="1320" t="s">
        <v>1309</v>
      </c>
      <c r="P125" s="1320" t="s">
        <v>1310</v>
      </c>
      <c r="Q125" s="1320" t="s">
        <v>1311</v>
      </c>
      <c r="R125" s="1320" t="s">
        <v>1312</v>
      </c>
      <c r="S125" s="1640"/>
    </row>
    <row r="126" spans="2:19">
      <c r="E126" s="1640"/>
      <c r="F126" s="1640"/>
      <c r="G126" s="1640"/>
      <c r="H126" s="1640"/>
      <c r="I126" s="1640"/>
      <c r="J126" s="1640"/>
      <c r="K126" s="1640"/>
      <c r="L126" s="1640"/>
      <c r="M126" s="1640"/>
      <c r="N126" s="1640"/>
      <c r="O126" s="1640"/>
      <c r="P126" s="1640"/>
      <c r="Q126" s="1640"/>
      <c r="R126" s="1640"/>
      <c r="S126" s="1640"/>
    </row>
    <row r="127" spans="2:19">
      <c r="B127" s="1316">
        <f>B117+1</f>
        <v>74</v>
      </c>
      <c r="D127" s="1010" t="s">
        <v>1358</v>
      </c>
      <c r="E127" s="1640"/>
      <c r="F127" s="1640"/>
      <c r="G127" s="1640"/>
      <c r="H127" s="1640"/>
      <c r="I127" s="1640"/>
      <c r="J127" s="1321" t="s">
        <v>1798</v>
      </c>
      <c r="K127" s="1640"/>
      <c r="L127" s="1321">
        <v>0</v>
      </c>
      <c r="M127" s="1640"/>
      <c r="N127" s="1321"/>
      <c r="O127" s="1640"/>
      <c r="P127" s="1640"/>
      <c r="Q127" s="1640"/>
      <c r="R127" s="1321">
        <v>0</v>
      </c>
      <c r="S127" s="1640"/>
    </row>
    <row r="128" spans="2:19">
      <c r="E128" s="1640"/>
      <c r="F128" s="1640"/>
      <c r="G128" s="1640"/>
      <c r="H128" s="1640"/>
      <c r="I128" s="1640"/>
      <c r="J128" s="1640"/>
      <c r="K128" s="1640"/>
      <c r="L128" s="1640"/>
      <c r="M128" s="1640"/>
      <c r="N128" s="1640"/>
      <c r="O128" s="1640"/>
      <c r="P128" s="1640"/>
      <c r="Q128" s="1640"/>
      <c r="R128" s="1640"/>
      <c r="S128" s="1640"/>
    </row>
    <row r="129" spans="2:19">
      <c r="B129" s="1316">
        <f>B127+1</f>
        <v>75</v>
      </c>
      <c r="D129" s="1322" t="s">
        <v>525</v>
      </c>
      <c r="E129" s="1321">
        <v>31</v>
      </c>
      <c r="F129" s="1323">
        <v>0</v>
      </c>
      <c r="G129" s="1323">
        <v>214</v>
      </c>
      <c r="H129" s="1324">
        <f t="shared" ref="H129:H140" si="30">IF(F129=0,0.5,F129/G129)</f>
        <v>0.5</v>
      </c>
      <c r="I129" s="1325"/>
      <c r="J129" s="1321">
        <v>0</v>
      </c>
      <c r="K129" s="1326">
        <f t="shared" ref="K129:K136" si="31">+J129*H129</f>
        <v>0</v>
      </c>
      <c r="L129" s="1326">
        <f>+K129+L127</f>
        <v>0</v>
      </c>
      <c r="M129" s="1325"/>
      <c r="N129" s="1321">
        <v>0</v>
      </c>
      <c r="O129" s="1326">
        <f>IF($D$237="True-Up Adjustment",N129-J129,0)</f>
        <v>0</v>
      </c>
      <c r="P129" s="1326">
        <f>IF($D$237="True-Up Adjustment",IF(AND(J129&gt;=0,N129&gt;=0),IF(O129&gt;=0,K129+O129,N129/J129*K129),IF(AND(J129&lt;0,N129&lt;0),IF(O129&lt;0,K129+O129,N129/J129*K129),0)),0)</f>
        <v>0</v>
      </c>
      <c r="Q129" s="1326">
        <f t="shared" ref="Q129:Q140" si="32">IF(AND(J129&gt;=0,N129&lt;0),N129,IF(AND(J129&lt;0,N129&gt;=0),N129,0))</f>
        <v>0</v>
      </c>
      <c r="R129" s="1326">
        <f>+Q129+R127</f>
        <v>0</v>
      </c>
      <c r="S129" s="1325"/>
    </row>
    <row r="130" spans="2:19">
      <c r="B130" s="1316">
        <f t="shared" ref="B130:B141" si="33">+B129+1</f>
        <v>76</v>
      </c>
      <c r="D130" s="1322" t="s">
        <v>526</v>
      </c>
      <c r="E130" s="1321">
        <v>28</v>
      </c>
      <c r="F130" s="1323">
        <v>0</v>
      </c>
      <c r="G130" s="1323">
        <f t="shared" ref="G130:G140" si="34">G129</f>
        <v>214</v>
      </c>
      <c r="H130" s="1324">
        <f t="shared" si="30"/>
        <v>0.5</v>
      </c>
      <c r="I130" s="1325"/>
      <c r="J130" s="1321">
        <v>0</v>
      </c>
      <c r="K130" s="1326">
        <f t="shared" si="31"/>
        <v>0</v>
      </c>
      <c r="L130" s="1326">
        <f t="shared" ref="L130:L140" si="35">+K130+L129</f>
        <v>0</v>
      </c>
      <c r="M130" s="1325"/>
      <c r="N130" s="1321">
        <v>0</v>
      </c>
      <c r="O130" s="1326">
        <f t="shared" ref="O130:O140" si="36">IF($D$237="True-Up Adjustment",N130-J130,0)</f>
        <v>0</v>
      </c>
      <c r="P130" s="1326">
        <f t="shared" ref="P130:P140" si="37">IF($D$237="True-Up Adjustment",IF(AND(J130&gt;=0,N130&gt;=0),IF(O130&gt;=0,K130+O130,N130/J130*K130),IF(AND(J130&lt;0,N130&lt;0),IF(O130&lt;0,K130+O130,N130/J130*K130),0)),0)</f>
        <v>0</v>
      </c>
      <c r="Q130" s="1326">
        <f t="shared" si="32"/>
        <v>0</v>
      </c>
      <c r="R130" s="1326">
        <f t="shared" ref="R130:R140" si="38">R129+P130+Q130</f>
        <v>0</v>
      </c>
      <c r="S130" s="1325"/>
    </row>
    <row r="131" spans="2:19">
      <c r="B131" s="1316">
        <f t="shared" si="33"/>
        <v>77</v>
      </c>
      <c r="D131" s="1322" t="s">
        <v>545</v>
      </c>
      <c r="E131" s="1321">
        <v>31</v>
      </c>
      <c r="F131" s="1323">
        <v>0</v>
      </c>
      <c r="G131" s="1323">
        <f t="shared" si="34"/>
        <v>214</v>
      </c>
      <c r="H131" s="1324">
        <f t="shared" si="30"/>
        <v>0.5</v>
      </c>
      <c r="I131" s="1325"/>
      <c r="J131" s="1321">
        <v>0</v>
      </c>
      <c r="K131" s="1326">
        <f t="shared" si="31"/>
        <v>0</v>
      </c>
      <c r="L131" s="1326">
        <f t="shared" si="35"/>
        <v>0</v>
      </c>
      <c r="M131" s="1325"/>
      <c r="N131" s="1321">
        <v>0</v>
      </c>
      <c r="O131" s="1326">
        <f t="shared" si="36"/>
        <v>0</v>
      </c>
      <c r="P131" s="1326">
        <f t="shared" si="37"/>
        <v>0</v>
      </c>
      <c r="Q131" s="1326">
        <f t="shared" si="32"/>
        <v>0</v>
      </c>
      <c r="R131" s="1326">
        <f t="shared" si="38"/>
        <v>0</v>
      </c>
      <c r="S131" s="1325"/>
    </row>
    <row r="132" spans="2:19">
      <c r="B132" s="1316">
        <f t="shared" si="33"/>
        <v>78</v>
      </c>
      <c r="D132" s="1322" t="s">
        <v>171</v>
      </c>
      <c r="E132" s="1321">
        <v>30</v>
      </c>
      <c r="F132" s="1323">
        <v>0</v>
      </c>
      <c r="G132" s="1323">
        <f t="shared" si="34"/>
        <v>214</v>
      </c>
      <c r="H132" s="1324">
        <f t="shared" si="30"/>
        <v>0.5</v>
      </c>
      <c r="I132" s="1325"/>
      <c r="J132" s="1321">
        <v>0</v>
      </c>
      <c r="K132" s="1326">
        <f t="shared" si="31"/>
        <v>0</v>
      </c>
      <c r="L132" s="1326">
        <f t="shared" si="35"/>
        <v>0</v>
      </c>
      <c r="M132" s="1325"/>
      <c r="N132" s="1321">
        <v>0</v>
      </c>
      <c r="O132" s="1326">
        <f t="shared" si="36"/>
        <v>0</v>
      </c>
      <c r="P132" s="1326">
        <f t="shared" si="37"/>
        <v>0</v>
      </c>
      <c r="Q132" s="1326">
        <f t="shared" si="32"/>
        <v>0</v>
      </c>
      <c r="R132" s="1326">
        <f t="shared" si="38"/>
        <v>0</v>
      </c>
      <c r="S132" s="1325"/>
    </row>
    <row r="133" spans="2:19">
      <c r="B133" s="1316">
        <f t="shared" si="33"/>
        <v>79</v>
      </c>
      <c r="D133" s="1322" t="s">
        <v>172</v>
      </c>
      <c r="E133" s="1321">
        <v>31</v>
      </c>
      <c r="F133" s="1323">
        <v>0</v>
      </c>
      <c r="G133" s="1323">
        <f t="shared" si="34"/>
        <v>214</v>
      </c>
      <c r="H133" s="1324">
        <f t="shared" si="30"/>
        <v>0.5</v>
      </c>
      <c r="I133" s="1325"/>
      <c r="J133" s="1321">
        <v>0</v>
      </c>
      <c r="K133" s="1326">
        <f t="shared" si="31"/>
        <v>0</v>
      </c>
      <c r="L133" s="1326">
        <f t="shared" si="35"/>
        <v>0</v>
      </c>
      <c r="M133" s="1325"/>
      <c r="N133" s="1321">
        <v>0</v>
      </c>
      <c r="O133" s="1326">
        <f t="shared" si="36"/>
        <v>0</v>
      </c>
      <c r="P133" s="1326">
        <f t="shared" si="37"/>
        <v>0</v>
      </c>
      <c r="Q133" s="1326">
        <f t="shared" si="32"/>
        <v>0</v>
      </c>
      <c r="R133" s="1326">
        <f t="shared" si="38"/>
        <v>0</v>
      </c>
      <c r="S133" s="1325"/>
    </row>
    <row r="134" spans="2:19">
      <c r="B134" s="1316">
        <f t="shared" si="33"/>
        <v>80</v>
      </c>
      <c r="D134" s="1322" t="s">
        <v>173</v>
      </c>
      <c r="E134" s="1321">
        <v>30</v>
      </c>
      <c r="F134" s="1323">
        <f t="shared" ref="F134:F139" si="39">E135+F135</f>
        <v>185</v>
      </c>
      <c r="G134" s="1323">
        <f t="shared" si="34"/>
        <v>214</v>
      </c>
      <c r="H134" s="1324">
        <f t="shared" si="30"/>
        <v>0.86448598130841126</v>
      </c>
      <c r="I134" s="1325"/>
      <c r="J134" s="1321">
        <v>0</v>
      </c>
      <c r="K134" s="1326">
        <f t="shared" si="31"/>
        <v>0</v>
      </c>
      <c r="L134" s="1326">
        <f t="shared" si="35"/>
        <v>0</v>
      </c>
      <c r="M134" s="1325"/>
      <c r="N134" s="1321">
        <v>0</v>
      </c>
      <c r="O134" s="1326">
        <f t="shared" si="36"/>
        <v>0</v>
      </c>
      <c r="P134" s="1326">
        <f t="shared" si="37"/>
        <v>0</v>
      </c>
      <c r="Q134" s="1326">
        <f t="shared" si="32"/>
        <v>0</v>
      </c>
      <c r="R134" s="1326">
        <f t="shared" si="38"/>
        <v>0</v>
      </c>
      <c r="S134" s="1325"/>
    </row>
    <row r="135" spans="2:19">
      <c r="B135" s="1316">
        <f t="shared" si="33"/>
        <v>81</v>
      </c>
      <c r="D135" s="1322" t="s">
        <v>528</v>
      </c>
      <c r="E135" s="1321">
        <v>31</v>
      </c>
      <c r="F135" s="1323">
        <f t="shared" si="39"/>
        <v>154</v>
      </c>
      <c r="G135" s="1323">
        <f t="shared" si="34"/>
        <v>214</v>
      </c>
      <c r="H135" s="1324">
        <f t="shared" si="30"/>
        <v>0.71962616822429903</v>
      </c>
      <c r="I135" s="1325"/>
      <c r="J135" s="1321">
        <v>0</v>
      </c>
      <c r="K135" s="1326">
        <f t="shared" si="31"/>
        <v>0</v>
      </c>
      <c r="L135" s="1326">
        <f t="shared" si="35"/>
        <v>0</v>
      </c>
      <c r="M135" s="1325"/>
      <c r="N135" s="1321">
        <v>0</v>
      </c>
      <c r="O135" s="1326">
        <f t="shared" si="36"/>
        <v>0</v>
      </c>
      <c r="P135" s="1326">
        <f t="shared" si="37"/>
        <v>0</v>
      </c>
      <c r="Q135" s="1326">
        <f t="shared" si="32"/>
        <v>0</v>
      </c>
      <c r="R135" s="1326">
        <f t="shared" si="38"/>
        <v>0</v>
      </c>
      <c r="S135" s="1325"/>
    </row>
    <row r="136" spans="2:19">
      <c r="B136" s="1316">
        <f t="shared" si="33"/>
        <v>82</v>
      </c>
      <c r="D136" s="1322" t="s">
        <v>546</v>
      </c>
      <c r="E136" s="1321">
        <v>31</v>
      </c>
      <c r="F136" s="1323">
        <f t="shared" si="39"/>
        <v>123</v>
      </c>
      <c r="G136" s="1323">
        <f t="shared" si="34"/>
        <v>214</v>
      </c>
      <c r="H136" s="1324">
        <f t="shared" si="30"/>
        <v>0.57476635514018692</v>
      </c>
      <c r="I136" s="1325"/>
      <c r="J136" s="1321">
        <v>0</v>
      </c>
      <c r="K136" s="1326">
        <f t="shared" si="31"/>
        <v>0</v>
      </c>
      <c r="L136" s="1326">
        <f t="shared" si="35"/>
        <v>0</v>
      </c>
      <c r="M136" s="1325"/>
      <c r="N136" s="1321">
        <v>0</v>
      </c>
      <c r="O136" s="1326">
        <f t="shared" si="36"/>
        <v>0</v>
      </c>
      <c r="P136" s="1326">
        <f t="shared" si="37"/>
        <v>0</v>
      </c>
      <c r="Q136" s="1326">
        <f t="shared" si="32"/>
        <v>0</v>
      </c>
      <c r="R136" s="1326">
        <f t="shared" si="38"/>
        <v>0</v>
      </c>
      <c r="S136" s="1325"/>
    </row>
    <row r="137" spans="2:19">
      <c r="B137" s="1316">
        <f t="shared" si="33"/>
        <v>83</v>
      </c>
      <c r="D137" s="1322" t="s">
        <v>530</v>
      </c>
      <c r="E137" s="1321">
        <v>30</v>
      </c>
      <c r="F137" s="1323">
        <f t="shared" si="39"/>
        <v>93</v>
      </c>
      <c r="G137" s="1323">
        <f t="shared" si="34"/>
        <v>214</v>
      </c>
      <c r="H137" s="1324">
        <f t="shared" si="30"/>
        <v>0.43457943925233644</v>
      </c>
      <c r="I137" s="1325"/>
      <c r="J137" s="1321">
        <v>0</v>
      </c>
      <c r="K137" s="1326">
        <f>+J137*H137</f>
        <v>0</v>
      </c>
      <c r="L137" s="1326">
        <f t="shared" si="35"/>
        <v>0</v>
      </c>
      <c r="M137" s="1325"/>
      <c r="N137" s="1321">
        <v>0</v>
      </c>
      <c r="O137" s="1326">
        <f t="shared" si="36"/>
        <v>0</v>
      </c>
      <c r="P137" s="1326">
        <f t="shared" si="37"/>
        <v>0</v>
      </c>
      <c r="Q137" s="1326">
        <f t="shared" si="32"/>
        <v>0</v>
      </c>
      <c r="R137" s="1326">
        <f t="shared" si="38"/>
        <v>0</v>
      </c>
      <c r="S137" s="1325"/>
    </row>
    <row r="138" spans="2:19">
      <c r="B138" s="1316">
        <f t="shared" si="33"/>
        <v>84</v>
      </c>
      <c r="D138" s="1322" t="s">
        <v>531</v>
      </c>
      <c r="E138" s="1321">
        <v>31</v>
      </c>
      <c r="F138" s="1323">
        <f t="shared" si="39"/>
        <v>62</v>
      </c>
      <c r="G138" s="1323">
        <f t="shared" si="34"/>
        <v>214</v>
      </c>
      <c r="H138" s="1324">
        <f t="shared" si="30"/>
        <v>0.28971962616822428</v>
      </c>
      <c r="I138" s="1325"/>
      <c r="J138" s="1321">
        <v>0</v>
      </c>
      <c r="K138" s="1326">
        <f t="shared" ref="K138:K140" si="40">+J138*H138</f>
        <v>0</v>
      </c>
      <c r="L138" s="1326">
        <f t="shared" si="35"/>
        <v>0</v>
      </c>
      <c r="M138" s="1325"/>
      <c r="N138" s="1321">
        <v>0</v>
      </c>
      <c r="O138" s="1326">
        <f t="shared" si="36"/>
        <v>0</v>
      </c>
      <c r="P138" s="1326">
        <f t="shared" si="37"/>
        <v>0</v>
      </c>
      <c r="Q138" s="1326">
        <f t="shared" si="32"/>
        <v>0</v>
      </c>
      <c r="R138" s="1326">
        <f t="shared" si="38"/>
        <v>0</v>
      </c>
      <c r="S138" s="1325"/>
    </row>
    <row r="139" spans="2:19">
      <c r="B139" s="1316">
        <f t="shared" si="33"/>
        <v>85</v>
      </c>
      <c r="D139" s="1322" t="s">
        <v>532</v>
      </c>
      <c r="E139" s="1321">
        <v>30</v>
      </c>
      <c r="F139" s="1323">
        <f t="shared" si="39"/>
        <v>32</v>
      </c>
      <c r="G139" s="1323">
        <f t="shared" si="34"/>
        <v>214</v>
      </c>
      <c r="H139" s="1324">
        <f t="shared" si="30"/>
        <v>0.14953271028037382</v>
      </c>
      <c r="I139" s="1325"/>
      <c r="J139" s="1321">
        <v>0</v>
      </c>
      <c r="K139" s="1326">
        <f t="shared" si="40"/>
        <v>0</v>
      </c>
      <c r="L139" s="1326">
        <f t="shared" si="35"/>
        <v>0</v>
      </c>
      <c r="M139" s="1325"/>
      <c r="N139" s="1321">
        <v>0</v>
      </c>
      <c r="O139" s="1326">
        <f t="shared" si="36"/>
        <v>0</v>
      </c>
      <c r="P139" s="1326">
        <f t="shared" si="37"/>
        <v>0</v>
      </c>
      <c r="Q139" s="1326">
        <f t="shared" si="32"/>
        <v>0</v>
      </c>
      <c r="R139" s="1326">
        <f t="shared" si="38"/>
        <v>0</v>
      </c>
      <c r="S139" s="1325"/>
    </row>
    <row r="140" spans="2:19">
      <c r="B140" s="1316">
        <f t="shared" si="33"/>
        <v>86</v>
      </c>
      <c r="D140" s="1327" t="s">
        <v>749</v>
      </c>
      <c r="E140" s="1321">
        <v>31</v>
      </c>
      <c r="F140" s="1328">
        <v>1</v>
      </c>
      <c r="G140" s="1323">
        <f t="shared" si="34"/>
        <v>214</v>
      </c>
      <c r="H140" s="1324">
        <f t="shared" si="30"/>
        <v>4.6728971962616819E-3</v>
      </c>
      <c r="I140" s="1325"/>
      <c r="J140" s="1321">
        <v>0</v>
      </c>
      <c r="K140" s="1326">
        <f t="shared" si="40"/>
        <v>0</v>
      </c>
      <c r="L140" s="1326">
        <f t="shared" si="35"/>
        <v>0</v>
      </c>
      <c r="M140" s="1325"/>
      <c r="N140" s="1321">
        <v>0</v>
      </c>
      <c r="O140" s="1326">
        <f t="shared" si="36"/>
        <v>0</v>
      </c>
      <c r="P140" s="1326">
        <f t="shared" si="37"/>
        <v>0</v>
      </c>
      <c r="Q140" s="1326">
        <f t="shared" si="32"/>
        <v>0</v>
      </c>
      <c r="R140" s="1326">
        <f t="shared" si="38"/>
        <v>0</v>
      </c>
      <c r="S140" s="1325"/>
    </row>
    <row r="141" spans="2:19">
      <c r="B141" s="1316">
        <f t="shared" si="33"/>
        <v>87</v>
      </c>
      <c r="D141" s="1329" t="str">
        <f>"Total (Sum of Lines "&amp;B129&amp;" - "&amp;B140&amp;")"</f>
        <v>Total (Sum of Lines 75 - 86)</v>
      </c>
      <c r="E141" s="1330">
        <f>SUM(E129:E140)</f>
        <v>365</v>
      </c>
      <c r="F141" s="1331"/>
      <c r="G141" s="1331"/>
      <c r="H141" s="1332"/>
      <c r="I141" s="1333"/>
      <c r="J141" s="1330">
        <f>SUM(J129:J140)</f>
        <v>0</v>
      </c>
      <c r="K141" s="1330">
        <f>SUM(K129:K140)</f>
        <v>0</v>
      </c>
      <c r="L141" s="1334"/>
      <c r="M141" s="1333"/>
      <c r="N141" s="1330">
        <f>SUM(N129:N140)</f>
        <v>0</v>
      </c>
      <c r="O141" s="1330">
        <f>SUM(O129:O140)</f>
        <v>0</v>
      </c>
      <c r="P141" s="1330">
        <f>SUM(P129:P140)</f>
        <v>0</v>
      </c>
      <c r="Q141" s="1330">
        <f>SUM(Q129:Q140)</f>
        <v>0</v>
      </c>
      <c r="R141" s="1334"/>
      <c r="S141" s="1333"/>
    </row>
    <row r="142" spans="2:19">
      <c r="D142" s="1335"/>
      <c r="E142" s="1335"/>
      <c r="F142" s="1335"/>
      <c r="G142" s="1335"/>
      <c r="H142" s="1336"/>
      <c r="I142" s="1336"/>
      <c r="K142" s="1337"/>
      <c r="L142" s="1336"/>
      <c r="M142" s="1336"/>
      <c r="O142" s="1337"/>
      <c r="P142" s="1337"/>
      <c r="Q142" s="1337"/>
      <c r="R142" s="1336"/>
      <c r="S142" s="1336"/>
    </row>
    <row r="143" spans="2:19">
      <c r="B143" s="1316">
        <f>B141+1</f>
        <v>88</v>
      </c>
      <c r="D143" s="1010" t="s">
        <v>1359</v>
      </c>
      <c r="I143" s="1336"/>
      <c r="J143" s="1321" t="s">
        <v>1798</v>
      </c>
      <c r="L143" s="1321">
        <v>0</v>
      </c>
      <c r="M143" s="1338"/>
      <c r="N143" s="1321"/>
      <c r="R143" s="1321">
        <v>0</v>
      </c>
    </row>
    <row r="144" spans="2:19">
      <c r="B144" s="1316">
        <f>B143+1</f>
        <v>89</v>
      </c>
      <c r="D144" s="1010" t="s">
        <v>1360</v>
      </c>
      <c r="I144" s="1336"/>
      <c r="J144" s="1339" t="s">
        <v>639</v>
      </c>
      <c r="L144" s="1340">
        <v>0</v>
      </c>
      <c r="M144" s="1341"/>
      <c r="N144" s="1339"/>
      <c r="R144" s="1340">
        <v>0</v>
      </c>
    </row>
    <row r="145" spans="2:19">
      <c r="B145" s="1316">
        <f>B144+1</f>
        <v>90</v>
      </c>
      <c r="D145" s="1010" t="s">
        <v>1361</v>
      </c>
      <c r="I145" s="1336"/>
      <c r="J145" s="1329" t="str">
        <f>"(Col. "&amp;L124&amp;", Line "&amp;B143&amp;" + Line "&amp;B144&amp;")"</f>
        <v>(Col. (H), Line 88 + Line 89)</v>
      </c>
      <c r="L145" s="1342">
        <f>L143+L144</f>
        <v>0</v>
      </c>
      <c r="M145" s="1336"/>
      <c r="N145" s="1329" t="str">
        <f>"(Col. "&amp;R124&amp;", Line "&amp;B143&amp;" + Line "&amp;B144&amp;")"</f>
        <v>(Col. (M), Line 88 + Line 89)</v>
      </c>
      <c r="R145" s="1342">
        <f>R143+R144</f>
        <v>0</v>
      </c>
    </row>
    <row r="146" spans="2:19">
      <c r="I146" s="1336"/>
      <c r="L146" s="1342"/>
      <c r="M146" s="1336"/>
      <c r="R146" s="1342"/>
    </row>
    <row r="147" spans="2:19">
      <c r="B147" s="1316">
        <f>B145+1</f>
        <v>91</v>
      </c>
      <c r="D147" s="1010" t="s">
        <v>1362</v>
      </c>
      <c r="I147" s="1336"/>
      <c r="J147" s="1642" t="s">
        <v>1811</v>
      </c>
      <c r="L147" s="1321">
        <v>0</v>
      </c>
      <c r="M147" s="1338"/>
      <c r="N147" s="1321"/>
      <c r="R147" s="1321">
        <v>0</v>
      </c>
    </row>
    <row r="148" spans="2:19">
      <c r="B148" s="1316">
        <f>B147+1</f>
        <v>92</v>
      </c>
      <c r="D148" s="1010" t="s">
        <v>1363</v>
      </c>
      <c r="I148" s="1336"/>
      <c r="J148" s="1339" t="s">
        <v>639</v>
      </c>
      <c r="L148" s="1340">
        <v>0</v>
      </c>
      <c r="M148" s="1336"/>
      <c r="N148" s="1339"/>
      <c r="R148" s="1340">
        <v>0</v>
      </c>
    </row>
    <row r="149" spans="2:19">
      <c r="B149" s="1316">
        <f>B148+1</f>
        <v>93</v>
      </c>
      <c r="D149" s="1010" t="s">
        <v>1364</v>
      </c>
      <c r="G149" s="1329"/>
      <c r="I149" s="1336"/>
      <c r="J149" s="1329" t="str">
        <f>"(Col. "&amp;L124&amp;", Line "&amp;B147&amp;" + Line "&amp;B148&amp;")"</f>
        <v>(Col. (H), Line 91 + Line 92)</v>
      </c>
      <c r="L149" s="1342">
        <f>L147+L148</f>
        <v>0</v>
      </c>
      <c r="M149" s="1336"/>
      <c r="N149" s="1329" t="str">
        <f>"(Col. "&amp;R124&amp;", Line "&amp;B147&amp;" + Line "&amp;B148&amp;")"</f>
        <v>(Col. (M), Line 91 + Line 92)</v>
      </c>
      <c r="R149" s="1342">
        <f>R147+R148</f>
        <v>0</v>
      </c>
    </row>
    <row r="150" spans="2:19">
      <c r="I150" s="1336"/>
      <c r="L150" s="1342"/>
      <c r="M150" s="1336"/>
      <c r="R150" s="1342"/>
    </row>
    <row r="151" spans="2:19">
      <c r="B151" s="1316">
        <f>B149+1</f>
        <v>94</v>
      </c>
      <c r="D151" s="1010" t="s">
        <v>1000</v>
      </c>
      <c r="I151" s="1336"/>
      <c r="J151" s="1329" t="str">
        <f>"([Col. "&amp;L124&amp;", Line "&amp;B145&amp;" + Line "&amp;B149&amp;"] /2)"</f>
        <v>([Col. (H), Line 90 + Line 93] /2)</v>
      </c>
      <c r="L151" s="1326">
        <f>(L145+L149)/2</f>
        <v>0</v>
      </c>
      <c r="M151" s="1336"/>
      <c r="N151" s="1329" t="str">
        <f>"([Col. "&amp;R124&amp;", Line "&amp;B145&amp;" + Line "&amp;B149&amp;"] /2)"</f>
        <v>([Col. (M), Line 90 + Line 93] /2)</v>
      </c>
      <c r="R151" s="1326">
        <f>(R145+R149)/2</f>
        <v>0</v>
      </c>
    </row>
    <row r="152" spans="2:19">
      <c r="B152" s="1316">
        <f>B151+1</f>
        <v>95</v>
      </c>
      <c r="D152" s="1430" t="s">
        <v>1365</v>
      </c>
      <c r="E152" s="1335"/>
      <c r="F152" s="1335"/>
      <c r="G152" s="1335"/>
      <c r="H152" s="1336"/>
      <c r="I152" s="1336"/>
      <c r="J152" s="1329" t="str">
        <f>"(Col. "&amp;L124&amp;", Line "&amp;B140&amp;" )"</f>
        <v>(Col. (H), Line 86 )</v>
      </c>
      <c r="K152" s="1337"/>
      <c r="L152" s="1326">
        <f>L140</f>
        <v>0</v>
      </c>
      <c r="M152" s="1336"/>
      <c r="N152" s="1329" t="str">
        <f>"(Col. "&amp;R124&amp;", Line "&amp;B140&amp;" )"</f>
        <v>(Col. (M), Line 86 )</v>
      </c>
      <c r="R152" s="1326">
        <f>R140</f>
        <v>0</v>
      </c>
    </row>
    <row r="153" spans="2:19" ht="13.5" thickBot="1">
      <c r="B153" s="1316">
        <f>B152+1</f>
        <v>96</v>
      </c>
      <c r="D153" s="1343" t="s">
        <v>1366</v>
      </c>
      <c r="E153" s="1335"/>
      <c r="F153" s="1335"/>
      <c r="G153" s="1335"/>
      <c r="H153" s="1336"/>
      <c r="I153" s="1336"/>
      <c r="J153" s="1329" t="str">
        <f>"(Col. "&amp;L124&amp;", Line "&amp;B151&amp;" + Line "&amp;B152&amp;")"</f>
        <v>(Col. (H), Line 94 + Line 95)</v>
      </c>
      <c r="K153" s="1337"/>
      <c r="L153" s="1344">
        <f>L151+L152</f>
        <v>0</v>
      </c>
      <c r="M153" s="1336"/>
      <c r="N153" s="1329" t="str">
        <f>"(Col. "&amp;R124&amp;", Line "&amp;B151&amp;" + Line "&amp;B152&amp;")"</f>
        <v>(Col. (M), Line 94 + Line 95)</v>
      </c>
      <c r="R153" s="1344">
        <f>R151+R152</f>
        <v>0</v>
      </c>
    </row>
    <row r="154" spans="2:19">
      <c r="I154" s="1336"/>
      <c r="L154" s="1326"/>
      <c r="M154" s="1336"/>
      <c r="R154" s="1326"/>
      <c r="S154" s="1336"/>
    </row>
    <row r="155" spans="2:19" ht="13">
      <c r="D155" s="1313" t="s">
        <v>1367</v>
      </c>
      <c r="J155" s="1345"/>
      <c r="K155" s="1346"/>
      <c r="L155" s="1346"/>
      <c r="N155" s="1346"/>
      <c r="O155" s="1346"/>
      <c r="P155" s="1346"/>
      <c r="Q155" s="1346"/>
      <c r="R155" s="1346"/>
    </row>
    <row r="156" spans="2:19" ht="13">
      <c r="D156" s="1733" t="s">
        <v>912</v>
      </c>
      <c r="E156" s="1734"/>
      <c r="F156" s="1734"/>
      <c r="G156" s="1734"/>
      <c r="H156" s="1735"/>
      <c r="I156" s="1317"/>
      <c r="J156" s="1736" t="s">
        <v>1356</v>
      </c>
      <c r="K156" s="1737"/>
      <c r="L156" s="1738"/>
      <c r="M156" s="1317"/>
      <c r="N156" s="1736" t="s">
        <v>1357</v>
      </c>
      <c r="O156" s="1737"/>
      <c r="P156" s="1737"/>
      <c r="Q156" s="1737"/>
      <c r="R156" s="1738"/>
      <c r="S156" s="1317"/>
    </row>
    <row r="157" spans="2:19" ht="13">
      <c r="D157" s="1318" t="s">
        <v>174</v>
      </c>
      <c r="E157" s="1318" t="s">
        <v>175</v>
      </c>
      <c r="F157" s="1318" t="s">
        <v>1294</v>
      </c>
      <c r="G157" s="1318" t="s">
        <v>1295</v>
      </c>
      <c r="H157" s="1318" t="s">
        <v>1296</v>
      </c>
      <c r="I157" s="1317"/>
      <c r="J157" s="1318" t="s">
        <v>1297</v>
      </c>
      <c r="K157" s="1318" t="s">
        <v>1298</v>
      </c>
      <c r="L157" s="1318" t="s">
        <v>1299</v>
      </c>
      <c r="M157" s="1317"/>
      <c r="N157" s="1318" t="s">
        <v>1300</v>
      </c>
      <c r="O157" s="1318" t="s">
        <v>1301</v>
      </c>
      <c r="P157" s="1318" t="s">
        <v>1302</v>
      </c>
      <c r="Q157" s="1318" t="s">
        <v>1303</v>
      </c>
      <c r="R157" s="1318" t="s">
        <v>1304</v>
      </c>
      <c r="S157" s="1317"/>
    </row>
    <row r="158" spans="2:19" ht="50">
      <c r="B158" s="1319" t="s">
        <v>1305</v>
      </c>
      <c r="D158" s="1320" t="s">
        <v>169</v>
      </c>
      <c r="E158" s="1320" t="s">
        <v>913</v>
      </c>
      <c r="F158" s="1320" t="s">
        <v>914</v>
      </c>
      <c r="G158" s="1320" t="s">
        <v>915</v>
      </c>
      <c r="H158" s="1320" t="s">
        <v>1306</v>
      </c>
      <c r="I158" s="1640"/>
      <c r="J158" s="1320" t="s">
        <v>916</v>
      </c>
      <c r="K158" s="1320" t="s">
        <v>1307</v>
      </c>
      <c r="L158" s="1320" t="s">
        <v>1308</v>
      </c>
      <c r="M158" s="1640"/>
      <c r="N158" s="1320" t="s">
        <v>1003</v>
      </c>
      <c r="O158" s="1320" t="s">
        <v>1309</v>
      </c>
      <c r="P158" s="1320" t="s">
        <v>1310</v>
      </c>
      <c r="Q158" s="1320" t="s">
        <v>1311</v>
      </c>
      <c r="R158" s="1320" t="s">
        <v>1312</v>
      </c>
      <c r="S158" s="1640"/>
    </row>
    <row r="159" spans="2:19">
      <c r="E159" s="1640"/>
      <c r="F159" s="1640"/>
      <c r="G159" s="1640"/>
      <c r="H159" s="1640"/>
      <c r="I159" s="1640"/>
      <c r="J159" s="1640"/>
      <c r="K159" s="1640"/>
      <c r="L159" s="1640"/>
      <c r="M159" s="1640"/>
      <c r="N159" s="1640"/>
      <c r="O159" s="1640"/>
      <c r="P159" s="1640"/>
      <c r="Q159" s="1640"/>
      <c r="R159" s="1640"/>
      <c r="S159" s="1640"/>
    </row>
    <row r="160" spans="2:19">
      <c r="B160" s="1316">
        <f>B153+1</f>
        <v>97</v>
      </c>
      <c r="D160" s="1010" t="s">
        <v>1358</v>
      </c>
      <c r="E160" s="1640"/>
      <c r="F160" s="1640"/>
      <c r="G160" s="1640"/>
      <c r="H160" s="1640"/>
      <c r="I160" s="1640"/>
      <c r="J160" s="1321" t="s">
        <v>1798</v>
      </c>
      <c r="K160" s="1640"/>
      <c r="L160" s="1321">
        <v>0</v>
      </c>
      <c r="M160" s="1640"/>
      <c r="N160" s="1321"/>
      <c r="O160" s="1640"/>
      <c r="P160" s="1640"/>
      <c r="Q160" s="1640"/>
      <c r="R160" s="1321">
        <v>0</v>
      </c>
      <c r="S160" s="1640"/>
    </row>
    <row r="161" spans="2:19">
      <c r="E161" s="1640"/>
      <c r="F161" s="1640"/>
      <c r="G161" s="1640"/>
      <c r="H161" s="1640"/>
      <c r="I161" s="1640"/>
      <c r="J161" s="1640"/>
      <c r="K161" s="1640"/>
      <c r="L161" s="1640"/>
      <c r="M161" s="1640"/>
      <c r="N161" s="1640"/>
      <c r="O161" s="1640"/>
      <c r="P161" s="1640"/>
      <c r="Q161" s="1640"/>
      <c r="R161" s="1640"/>
      <c r="S161" s="1640"/>
    </row>
    <row r="162" spans="2:19">
      <c r="B162" s="1316">
        <f>B160+1</f>
        <v>98</v>
      </c>
      <c r="D162" s="1322" t="s">
        <v>525</v>
      </c>
      <c r="E162" s="1321">
        <v>31</v>
      </c>
      <c r="F162" s="1323">
        <v>0</v>
      </c>
      <c r="G162" s="1323">
        <v>214</v>
      </c>
      <c r="H162" s="1324">
        <f t="shared" ref="H162:H173" si="41">IF(F162=0,0.5,F162/G162)</f>
        <v>0.5</v>
      </c>
      <c r="I162" s="1325"/>
      <c r="J162" s="1321">
        <v>0</v>
      </c>
      <c r="K162" s="1326">
        <f t="shared" ref="K162:K173" si="42">+J162*H162</f>
        <v>0</v>
      </c>
      <c r="L162" s="1326">
        <f>+K162+L160</f>
        <v>0</v>
      </c>
      <c r="M162" s="1325"/>
      <c r="N162" s="1321">
        <v>0</v>
      </c>
      <c r="O162" s="1326">
        <f>IF($D$237="True-Up Adjustment",N162-J162,0)</f>
        <v>0</v>
      </c>
      <c r="P162" s="1326">
        <f>IF($D$237="True-Up Adjustment",IF(AND(J162&gt;=0,N162&gt;=0),IF(O162&gt;=0,K162+O162,N162/J162*K162),IF(AND(J162&lt;0,N162&lt;0),IF(O162&lt;0,K162+O162,N162/J162*K162),0)),0)</f>
        <v>0</v>
      </c>
      <c r="Q162" s="1326">
        <f t="shared" ref="Q162:Q173" si="43">IF(AND(J162&gt;=0,N162&lt;0),N162,IF(AND(J162&lt;0,N162&gt;=0),N162,0))</f>
        <v>0</v>
      </c>
      <c r="R162" s="1326">
        <f>R160+P162+Q162</f>
        <v>0</v>
      </c>
      <c r="S162" s="1325"/>
    </row>
    <row r="163" spans="2:19">
      <c r="B163" s="1316">
        <f t="shared" ref="B163:B174" si="44">+B162+1</f>
        <v>99</v>
      </c>
      <c r="D163" s="1322" t="s">
        <v>526</v>
      </c>
      <c r="E163" s="1321">
        <v>28</v>
      </c>
      <c r="F163" s="1323">
        <v>0</v>
      </c>
      <c r="G163" s="1323">
        <f t="shared" ref="G163:G173" si="45">G162</f>
        <v>214</v>
      </c>
      <c r="H163" s="1324">
        <f t="shared" si="41"/>
        <v>0.5</v>
      </c>
      <c r="I163" s="1325"/>
      <c r="J163" s="1321">
        <v>0</v>
      </c>
      <c r="K163" s="1326">
        <f t="shared" si="42"/>
        <v>0</v>
      </c>
      <c r="L163" s="1326">
        <f t="shared" ref="L163:L173" si="46">+K163+L162</f>
        <v>0</v>
      </c>
      <c r="M163" s="1325"/>
      <c r="N163" s="1321">
        <v>0</v>
      </c>
      <c r="O163" s="1326">
        <f t="shared" ref="O163:O173" si="47">IF($D$237="True-Up Adjustment",N163-J163,0)</f>
        <v>0</v>
      </c>
      <c r="P163" s="1326">
        <f t="shared" ref="P163:P173" si="48">IF($D$237="True-Up Adjustment",IF(AND(J163&gt;=0,N163&gt;=0),IF(O163&gt;=0,K163+O163,N163/J163*K163),IF(AND(J163&lt;0,N163&lt;0),IF(O163&lt;0,K163+O163,N163/J163*K163),0)),0)</f>
        <v>0</v>
      </c>
      <c r="Q163" s="1326">
        <f t="shared" si="43"/>
        <v>0</v>
      </c>
      <c r="R163" s="1326">
        <f t="shared" ref="R163:R173" si="49">R162+P163+Q163</f>
        <v>0</v>
      </c>
      <c r="S163" s="1325"/>
    </row>
    <row r="164" spans="2:19">
      <c r="B164" s="1316">
        <f t="shared" si="44"/>
        <v>100</v>
      </c>
      <c r="D164" s="1322" t="s">
        <v>545</v>
      </c>
      <c r="E164" s="1321">
        <v>31</v>
      </c>
      <c r="F164" s="1323">
        <v>0</v>
      </c>
      <c r="G164" s="1323">
        <f t="shared" si="45"/>
        <v>214</v>
      </c>
      <c r="H164" s="1324">
        <f t="shared" si="41"/>
        <v>0.5</v>
      </c>
      <c r="I164" s="1325"/>
      <c r="J164" s="1321">
        <v>0</v>
      </c>
      <c r="K164" s="1326">
        <f t="shared" si="42"/>
        <v>0</v>
      </c>
      <c r="L164" s="1326">
        <f t="shared" si="46"/>
        <v>0</v>
      </c>
      <c r="M164" s="1325"/>
      <c r="N164" s="1321">
        <v>0</v>
      </c>
      <c r="O164" s="1326">
        <f t="shared" si="47"/>
        <v>0</v>
      </c>
      <c r="P164" s="1326">
        <f t="shared" si="48"/>
        <v>0</v>
      </c>
      <c r="Q164" s="1326">
        <f t="shared" si="43"/>
        <v>0</v>
      </c>
      <c r="R164" s="1326">
        <f t="shared" si="49"/>
        <v>0</v>
      </c>
      <c r="S164" s="1325"/>
    </row>
    <row r="165" spans="2:19">
      <c r="B165" s="1316">
        <f t="shared" si="44"/>
        <v>101</v>
      </c>
      <c r="D165" s="1322" t="s">
        <v>171</v>
      </c>
      <c r="E165" s="1321">
        <v>30</v>
      </c>
      <c r="F165" s="1323">
        <v>0</v>
      </c>
      <c r="G165" s="1323">
        <f t="shared" si="45"/>
        <v>214</v>
      </c>
      <c r="H165" s="1324">
        <f t="shared" si="41"/>
        <v>0.5</v>
      </c>
      <c r="I165" s="1325"/>
      <c r="J165" s="1321">
        <v>0</v>
      </c>
      <c r="K165" s="1326">
        <f t="shared" si="42"/>
        <v>0</v>
      </c>
      <c r="L165" s="1326">
        <f t="shared" si="46"/>
        <v>0</v>
      </c>
      <c r="M165" s="1325"/>
      <c r="N165" s="1321">
        <v>0</v>
      </c>
      <c r="O165" s="1326">
        <f t="shared" si="47"/>
        <v>0</v>
      </c>
      <c r="P165" s="1326">
        <f t="shared" si="48"/>
        <v>0</v>
      </c>
      <c r="Q165" s="1326">
        <f t="shared" si="43"/>
        <v>0</v>
      </c>
      <c r="R165" s="1326">
        <f t="shared" si="49"/>
        <v>0</v>
      </c>
      <c r="S165" s="1325"/>
    </row>
    <row r="166" spans="2:19">
      <c r="B166" s="1316">
        <f t="shared" si="44"/>
        <v>102</v>
      </c>
      <c r="D166" s="1322" t="s">
        <v>172</v>
      </c>
      <c r="E166" s="1321">
        <v>31</v>
      </c>
      <c r="F166" s="1323">
        <v>0</v>
      </c>
      <c r="G166" s="1323">
        <f t="shared" si="45"/>
        <v>214</v>
      </c>
      <c r="H166" s="1324">
        <f t="shared" si="41"/>
        <v>0.5</v>
      </c>
      <c r="I166" s="1325"/>
      <c r="J166" s="1321">
        <v>0</v>
      </c>
      <c r="K166" s="1326">
        <f t="shared" si="42"/>
        <v>0</v>
      </c>
      <c r="L166" s="1326">
        <f t="shared" si="46"/>
        <v>0</v>
      </c>
      <c r="M166" s="1325"/>
      <c r="N166" s="1321">
        <v>0</v>
      </c>
      <c r="O166" s="1326">
        <f t="shared" si="47"/>
        <v>0</v>
      </c>
      <c r="P166" s="1326">
        <f t="shared" si="48"/>
        <v>0</v>
      </c>
      <c r="Q166" s="1326">
        <f t="shared" si="43"/>
        <v>0</v>
      </c>
      <c r="R166" s="1326">
        <f t="shared" si="49"/>
        <v>0</v>
      </c>
      <c r="S166" s="1325"/>
    </row>
    <row r="167" spans="2:19">
      <c r="B167" s="1316">
        <f t="shared" si="44"/>
        <v>103</v>
      </c>
      <c r="D167" s="1322" t="s">
        <v>173</v>
      </c>
      <c r="E167" s="1321">
        <v>30</v>
      </c>
      <c r="F167" s="1323">
        <f t="shared" ref="F167:F172" si="50">E168+F168</f>
        <v>185</v>
      </c>
      <c r="G167" s="1323">
        <f t="shared" si="45"/>
        <v>214</v>
      </c>
      <c r="H167" s="1324">
        <f t="shared" si="41"/>
        <v>0.86448598130841126</v>
      </c>
      <c r="I167" s="1325"/>
      <c r="J167" s="1321">
        <v>0</v>
      </c>
      <c r="K167" s="1326">
        <f t="shared" si="42"/>
        <v>0</v>
      </c>
      <c r="L167" s="1326">
        <f t="shared" si="46"/>
        <v>0</v>
      </c>
      <c r="M167" s="1325"/>
      <c r="N167" s="1321">
        <v>0</v>
      </c>
      <c r="O167" s="1326">
        <f t="shared" si="47"/>
        <v>0</v>
      </c>
      <c r="P167" s="1326">
        <f t="shared" si="48"/>
        <v>0</v>
      </c>
      <c r="Q167" s="1326">
        <f t="shared" si="43"/>
        <v>0</v>
      </c>
      <c r="R167" s="1326">
        <f t="shared" si="49"/>
        <v>0</v>
      </c>
      <c r="S167" s="1325"/>
    </row>
    <row r="168" spans="2:19">
      <c r="B168" s="1316">
        <f t="shared" si="44"/>
        <v>104</v>
      </c>
      <c r="D168" s="1322" t="s">
        <v>528</v>
      </c>
      <c r="E168" s="1321">
        <v>31</v>
      </c>
      <c r="F168" s="1323">
        <f t="shared" si="50"/>
        <v>154</v>
      </c>
      <c r="G168" s="1323">
        <f t="shared" si="45"/>
        <v>214</v>
      </c>
      <c r="H168" s="1324">
        <f t="shared" si="41"/>
        <v>0.71962616822429903</v>
      </c>
      <c r="I168" s="1325"/>
      <c r="J168" s="1321">
        <v>0</v>
      </c>
      <c r="K168" s="1326">
        <f t="shared" si="42"/>
        <v>0</v>
      </c>
      <c r="L168" s="1326">
        <f t="shared" si="46"/>
        <v>0</v>
      </c>
      <c r="M168" s="1325"/>
      <c r="N168" s="1321">
        <v>0</v>
      </c>
      <c r="O168" s="1326">
        <f t="shared" si="47"/>
        <v>0</v>
      </c>
      <c r="P168" s="1326">
        <f t="shared" si="48"/>
        <v>0</v>
      </c>
      <c r="Q168" s="1326">
        <f t="shared" si="43"/>
        <v>0</v>
      </c>
      <c r="R168" s="1326">
        <f t="shared" si="49"/>
        <v>0</v>
      </c>
      <c r="S168" s="1325"/>
    </row>
    <row r="169" spans="2:19">
      <c r="B169" s="1316">
        <f t="shared" si="44"/>
        <v>105</v>
      </c>
      <c r="D169" s="1322" t="s">
        <v>546</v>
      </c>
      <c r="E169" s="1321">
        <v>31</v>
      </c>
      <c r="F169" s="1323">
        <f t="shared" si="50"/>
        <v>123</v>
      </c>
      <c r="G169" s="1323">
        <f t="shared" si="45"/>
        <v>214</v>
      </c>
      <c r="H169" s="1324">
        <f t="shared" si="41"/>
        <v>0.57476635514018692</v>
      </c>
      <c r="I169" s="1325"/>
      <c r="J169" s="1321">
        <v>0</v>
      </c>
      <c r="K169" s="1326">
        <f t="shared" si="42"/>
        <v>0</v>
      </c>
      <c r="L169" s="1326">
        <f t="shared" si="46"/>
        <v>0</v>
      </c>
      <c r="M169" s="1325"/>
      <c r="N169" s="1321">
        <v>0</v>
      </c>
      <c r="O169" s="1326">
        <f t="shared" si="47"/>
        <v>0</v>
      </c>
      <c r="P169" s="1326">
        <f t="shared" si="48"/>
        <v>0</v>
      </c>
      <c r="Q169" s="1326">
        <f t="shared" si="43"/>
        <v>0</v>
      </c>
      <c r="R169" s="1326">
        <f t="shared" si="49"/>
        <v>0</v>
      </c>
      <c r="S169" s="1325"/>
    </row>
    <row r="170" spans="2:19">
      <c r="B170" s="1316">
        <f t="shared" si="44"/>
        <v>106</v>
      </c>
      <c r="D170" s="1322" t="s">
        <v>530</v>
      </c>
      <c r="E170" s="1321">
        <v>30</v>
      </c>
      <c r="F170" s="1323">
        <f t="shared" si="50"/>
        <v>93</v>
      </c>
      <c r="G170" s="1323">
        <f t="shared" si="45"/>
        <v>214</v>
      </c>
      <c r="H170" s="1324">
        <f t="shared" si="41"/>
        <v>0.43457943925233644</v>
      </c>
      <c r="I170" s="1325"/>
      <c r="J170" s="1321">
        <v>0</v>
      </c>
      <c r="K170" s="1326">
        <f t="shared" si="42"/>
        <v>0</v>
      </c>
      <c r="L170" s="1326">
        <f t="shared" si="46"/>
        <v>0</v>
      </c>
      <c r="M170" s="1325"/>
      <c r="N170" s="1321">
        <v>0</v>
      </c>
      <c r="O170" s="1326">
        <f t="shared" si="47"/>
        <v>0</v>
      </c>
      <c r="P170" s="1326">
        <f t="shared" si="48"/>
        <v>0</v>
      </c>
      <c r="Q170" s="1326">
        <f t="shared" si="43"/>
        <v>0</v>
      </c>
      <c r="R170" s="1326">
        <f t="shared" si="49"/>
        <v>0</v>
      </c>
      <c r="S170" s="1325"/>
    </row>
    <row r="171" spans="2:19">
      <c r="B171" s="1316">
        <f t="shared" si="44"/>
        <v>107</v>
      </c>
      <c r="D171" s="1322" t="s">
        <v>531</v>
      </c>
      <c r="E171" s="1321">
        <v>31</v>
      </c>
      <c r="F171" s="1323">
        <f t="shared" si="50"/>
        <v>62</v>
      </c>
      <c r="G171" s="1323">
        <f t="shared" si="45"/>
        <v>214</v>
      </c>
      <c r="H171" s="1324">
        <f t="shared" si="41"/>
        <v>0.28971962616822428</v>
      </c>
      <c r="I171" s="1325"/>
      <c r="J171" s="1321">
        <v>0</v>
      </c>
      <c r="K171" s="1326">
        <f t="shared" si="42"/>
        <v>0</v>
      </c>
      <c r="L171" s="1326">
        <f t="shared" si="46"/>
        <v>0</v>
      </c>
      <c r="M171" s="1325"/>
      <c r="N171" s="1321">
        <v>0</v>
      </c>
      <c r="O171" s="1326">
        <f t="shared" si="47"/>
        <v>0</v>
      </c>
      <c r="P171" s="1326">
        <f t="shared" si="48"/>
        <v>0</v>
      </c>
      <c r="Q171" s="1326">
        <f t="shared" si="43"/>
        <v>0</v>
      </c>
      <c r="R171" s="1326">
        <f t="shared" si="49"/>
        <v>0</v>
      </c>
      <c r="S171" s="1325"/>
    </row>
    <row r="172" spans="2:19">
      <c r="B172" s="1316">
        <f t="shared" si="44"/>
        <v>108</v>
      </c>
      <c r="D172" s="1322" t="s">
        <v>532</v>
      </c>
      <c r="E172" s="1321">
        <v>30</v>
      </c>
      <c r="F172" s="1323">
        <f t="shared" si="50"/>
        <v>32</v>
      </c>
      <c r="G172" s="1323">
        <f t="shared" si="45"/>
        <v>214</v>
      </c>
      <c r="H172" s="1324">
        <f t="shared" si="41"/>
        <v>0.14953271028037382</v>
      </c>
      <c r="I172" s="1325"/>
      <c r="J172" s="1321">
        <v>0</v>
      </c>
      <c r="K172" s="1326">
        <f t="shared" si="42"/>
        <v>0</v>
      </c>
      <c r="L172" s="1326">
        <f t="shared" si="46"/>
        <v>0</v>
      </c>
      <c r="M172" s="1325"/>
      <c r="N172" s="1321">
        <v>0</v>
      </c>
      <c r="O172" s="1326">
        <f t="shared" si="47"/>
        <v>0</v>
      </c>
      <c r="P172" s="1326">
        <f t="shared" si="48"/>
        <v>0</v>
      </c>
      <c r="Q172" s="1326">
        <f t="shared" si="43"/>
        <v>0</v>
      </c>
      <c r="R172" s="1326">
        <f t="shared" si="49"/>
        <v>0</v>
      </c>
      <c r="S172" s="1325"/>
    </row>
    <row r="173" spans="2:19">
      <c r="B173" s="1316">
        <f t="shared" si="44"/>
        <v>109</v>
      </c>
      <c r="D173" s="1327" t="s">
        <v>749</v>
      </c>
      <c r="E173" s="1321">
        <v>31</v>
      </c>
      <c r="F173" s="1328">
        <v>1</v>
      </c>
      <c r="G173" s="1323">
        <f t="shared" si="45"/>
        <v>214</v>
      </c>
      <c r="H173" s="1324">
        <f t="shared" si="41"/>
        <v>4.6728971962616819E-3</v>
      </c>
      <c r="I173" s="1325"/>
      <c r="J173" s="1321">
        <v>0</v>
      </c>
      <c r="K173" s="1326">
        <f t="shared" si="42"/>
        <v>0</v>
      </c>
      <c r="L173" s="1326">
        <f t="shared" si="46"/>
        <v>0</v>
      </c>
      <c r="M173" s="1325"/>
      <c r="N173" s="1321">
        <v>0</v>
      </c>
      <c r="O173" s="1326">
        <f t="shared" si="47"/>
        <v>0</v>
      </c>
      <c r="P173" s="1326">
        <f t="shared" si="48"/>
        <v>0</v>
      </c>
      <c r="Q173" s="1326">
        <f t="shared" si="43"/>
        <v>0</v>
      </c>
      <c r="R173" s="1326">
        <f t="shared" si="49"/>
        <v>0</v>
      </c>
      <c r="S173" s="1325"/>
    </row>
    <row r="174" spans="2:19">
      <c r="B174" s="1316">
        <f t="shared" si="44"/>
        <v>110</v>
      </c>
      <c r="D174" s="1329" t="str">
        <f>"Total (Sum of Lines "&amp;B162&amp;" - "&amp;B173&amp;")"</f>
        <v>Total (Sum of Lines 98 - 109)</v>
      </c>
      <c r="E174" s="1330">
        <f>SUM(E162:E173)</f>
        <v>365</v>
      </c>
      <c r="F174" s="1331"/>
      <c r="G174" s="1331"/>
      <c r="H174" s="1332"/>
      <c r="I174" s="1333"/>
      <c r="J174" s="1330">
        <f>SUM(J162:J173)</f>
        <v>0</v>
      </c>
      <c r="K174" s="1330">
        <f>SUM(K162:K173)</f>
        <v>0</v>
      </c>
      <c r="L174" s="1330"/>
      <c r="M174" s="1333"/>
      <c r="N174" s="1330">
        <f>SUM(N162:N173)</f>
        <v>0</v>
      </c>
      <c r="O174" s="1330">
        <f>SUM(O162:O173)</f>
        <v>0</v>
      </c>
      <c r="P174" s="1330">
        <f>SUM(P162:P173)</f>
        <v>0</v>
      </c>
      <c r="Q174" s="1330">
        <f>SUM(Q162:Q173)</f>
        <v>0</v>
      </c>
      <c r="R174" s="1334"/>
      <c r="S174" s="1333"/>
    </row>
    <row r="175" spans="2:19">
      <c r="D175" s="1335"/>
      <c r="E175" s="1335"/>
      <c r="F175" s="1335"/>
      <c r="G175" s="1335"/>
      <c r="H175" s="1336"/>
      <c r="I175" s="1336"/>
      <c r="K175" s="1337"/>
      <c r="L175" s="1336"/>
      <c r="M175" s="1336"/>
      <c r="N175" s="1347"/>
      <c r="O175" s="1337"/>
      <c r="P175" s="1337"/>
      <c r="Q175" s="1337"/>
      <c r="R175" s="1336"/>
      <c r="S175" s="1336"/>
    </row>
    <row r="176" spans="2:19" ht="15" customHeight="1">
      <c r="B176" s="1316">
        <f>B174+1</f>
        <v>111</v>
      </c>
      <c r="D176" s="1010" t="s">
        <v>1359</v>
      </c>
      <c r="I176" s="1336"/>
      <c r="J176" s="1321" t="s">
        <v>1798</v>
      </c>
      <c r="L176" s="1321">
        <v>0</v>
      </c>
      <c r="M176" s="1338"/>
      <c r="N176" s="1321"/>
      <c r="R176" s="1321">
        <v>0</v>
      </c>
    </row>
    <row r="177" spans="2:19">
      <c r="B177" s="1316">
        <f>B176+1</f>
        <v>112</v>
      </c>
      <c r="D177" s="1010" t="s">
        <v>1360</v>
      </c>
      <c r="I177" s="1336"/>
      <c r="J177" s="1339" t="s">
        <v>639</v>
      </c>
      <c r="L177" s="1340">
        <v>0</v>
      </c>
      <c r="M177" s="1341"/>
      <c r="N177" s="1339"/>
      <c r="R177" s="1340">
        <v>0</v>
      </c>
    </row>
    <row r="178" spans="2:19">
      <c r="B178" s="1316">
        <f>B177+1</f>
        <v>113</v>
      </c>
      <c r="D178" s="1010" t="s">
        <v>1361</v>
      </c>
      <c r="I178" s="1336"/>
      <c r="J178" s="1329" t="str">
        <f>"(Col. "&amp;L157&amp;", Line "&amp;B176&amp;" + Line "&amp;B177&amp;")"</f>
        <v>(Col. (H), Line 111 + Line 112)</v>
      </c>
      <c r="L178" s="1342">
        <f>L176+L177</f>
        <v>0</v>
      </c>
      <c r="M178" s="1336"/>
      <c r="N178" s="1329" t="str">
        <f>"(Col. "&amp;R157&amp;", Line "&amp;B176&amp;" + Line "&amp;B177&amp;")"</f>
        <v>(Col. (M), Line 111 + Line 112)</v>
      </c>
      <c r="R178" s="1342">
        <f>R176+R177</f>
        <v>0</v>
      </c>
    </row>
    <row r="179" spans="2:19">
      <c r="I179" s="1336"/>
      <c r="L179" s="1342"/>
      <c r="M179" s="1336"/>
      <c r="R179" s="1342"/>
    </row>
    <row r="180" spans="2:19">
      <c r="B180" s="1316">
        <f>B178+1</f>
        <v>114</v>
      </c>
      <c r="D180" s="1010" t="s">
        <v>1362</v>
      </c>
      <c r="I180" s="1336"/>
      <c r="J180" s="1642" t="s">
        <v>1811</v>
      </c>
      <c r="L180" s="1321">
        <v>0</v>
      </c>
      <c r="M180" s="1338"/>
      <c r="N180" s="1321"/>
      <c r="R180" s="1321">
        <v>0</v>
      </c>
    </row>
    <row r="181" spans="2:19">
      <c r="B181" s="1316">
        <f>B180+1</f>
        <v>115</v>
      </c>
      <c r="D181" s="1010" t="s">
        <v>1363</v>
      </c>
      <c r="I181" s="1336"/>
      <c r="J181" s="1339" t="s">
        <v>639</v>
      </c>
      <c r="L181" s="1340">
        <v>0</v>
      </c>
      <c r="M181" s="1336"/>
      <c r="N181" s="1339"/>
      <c r="R181" s="1340">
        <v>0</v>
      </c>
    </row>
    <row r="182" spans="2:19">
      <c r="B182" s="1316">
        <f>B181+1</f>
        <v>116</v>
      </c>
      <c r="D182" s="1010" t="s">
        <v>1364</v>
      </c>
      <c r="I182" s="1336"/>
      <c r="J182" s="1329" t="str">
        <f>"(Col. "&amp;L157&amp;", Line "&amp;B180&amp;" + Line "&amp;B181&amp;")"</f>
        <v>(Col. (H), Line 114 + Line 115)</v>
      </c>
      <c r="L182" s="1342">
        <f>L180+L181</f>
        <v>0</v>
      </c>
      <c r="M182" s="1336"/>
      <c r="N182" s="1329" t="str">
        <f>"(Col. "&amp;R157&amp;", Line "&amp;B180&amp;" + Line "&amp;B181&amp;")"</f>
        <v>(Col. (M), Line 114 + Line 115)</v>
      </c>
      <c r="R182" s="1342">
        <f>R180+R181</f>
        <v>0</v>
      </c>
    </row>
    <row r="183" spans="2:19">
      <c r="I183" s="1336"/>
      <c r="L183" s="1342"/>
      <c r="M183" s="1336"/>
      <c r="R183" s="1342"/>
    </row>
    <row r="184" spans="2:19">
      <c r="B184" s="1316">
        <f>B182+1</f>
        <v>117</v>
      </c>
      <c r="D184" s="1010" t="s">
        <v>1000</v>
      </c>
      <c r="I184" s="1336"/>
      <c r="J184" s="1329" t="str">
        <f>"([Col. "&amp;L157&amp;", Line "&amp;B178&amp;" + Line "&amp;B182&amp;"] /2)"</f>
        <v>([Col. (H), Line 113 + Line 116] /2)</v>
      </c>
      <c r="L184" s="1326">
        <f>(L178+L182)/2</f>
        <v>0</v>
      </c>
      <c r="M184" s="1336"/>
      <c r="N184" s="1329" t="str">
        <f>"([Col. "&amp;R157&amp;", Line "&amp;B178&amp;" + Line "&amp;B182&amp;"] /2)"</f>
        <v>([Col. (M), Line 113 + Line 116] /2)</v>
      </c>
      <c r="R184" s="1326">
        <f>(R178+R182)/2</f>
        <v>0</v>
      </c>
    </row>
    <row r="185" spans="2:19">
      <c r="B185" s="1316">
        <f>B184+1</f>
        <v>118</v>
      </c>
      <c r="D185" s="1430" t="s">
        <v>1365</v>
      </c>
      <c r="E185" s="1335"/>
      <c r="F185" s="1335"/>
      <c r="G185" s="1335"/>
      <c r="H185" s="1336"/>
      <c r="I185" s="1336"/>
      <c r="J185" s="1329" t="str">
        <f>"(Col. "&amp;L157&amp;", Line "&amp;B173&amp;" )"</f>
        <v>(Col. (H), Line 109 )</v>
      </c>
      <c r="K185" s="1337"/>
      <c r="L185" s="1326">
        <f>L173</f>
        <v>0</v>
      </c>
      <c r="M185" s="1336"/>
      <c r="N185" s="1329" t="str">
        <f>"(Col. "&amp;R157&amp;", Line "&amp;B173&amp;" )"</f>
        <v>(Col. (M), Line 109 )</v>
      </c>
      <c r="R185" s="1326">
        <f>R173</f>
        <v>0</v>
      </c>
    </row>
    <row r="186" spans="2:19" ht="13.5" thickBot="1">
      <c r="B186" s="1316">
        <f>B185+1</f>
        <v>119</v>
      </c>
      <c r="D186" s="1343" t="s">
        <v>1368</v>
      </c>
      <c r="E186" s="1335"/>
      <c r="F186" s="1335"/>
      <c r="G186" s="1335"/>
      <c r="H186" s="1336"/>
      <c r="I186" s="1336"/>
      <c r="J186" s="1329" t="str">
        <f>"(Col. "&amp;L157&amp;", Line "&amp;B184&amp;" + Line "&amp;B185&amp;")"</f>
        <v>(Col. (H), Line 117 + Line 118)</v>
      </c>
      <c r="K186" s="1337"/>
      <c r="L186" s="1344">
        <f>L184+L185</f>
        <v>0</v>
      </c>
      <c r="M186" s="1336"/>
      <c r="N186" s="1329" t="str">
        <f>"(Col. "&amp;R157&amp;", Line "&amp;B184&amp;" + Line "&amp;B185&amp;")"</f>
        <v>(Col. (M), Line 117 + Line 118)</v>
      </c>
      <c r="R186" s="1344">
        <f>R184+R185</f>
        <v>0</v>
      </c>
    </row>
    <row r="187" spans="2:19" ht="13">
      <c r="D187" s="1313"/>
    </row>
    <row r="188" spans="2:19" ht="13">
      <c r="D188" s="1313" t="s">
        <v>1369</v>
      </c>
      <c r="J188" s="1740"/>
      <c r="K188" s="1740"/>
      <c r="L188" s="1740"/>
      <c r="N188" s="1740"/>
      <c r="O188" s="1740"/>
      <c r="P188" s="1740"/>
      <c r="Q188" s="1740"/>
      <c r="R188" s="1740"/>
    </row>
    <row r="189" spans="2:19" ht="13">
      <c r="D189" s="1733" t="s">
        <v>912</v>
      </c>
      <c r="E189" s="1734"/>
      <c r="F189" s="1734"/>
      <c r="G189" s="1734"/>
      <c r="H189" s="1735"/>
      <c r="I189" s="1317"/>
      <c r="J189" s="1736" t="s">
        <v>1356</v>
      </c>
      <c r="K189" s="1737"/>
      <c r="L189" s="1738"/>
      <c r="M189" s="1317"/>
      <c r="N189" s="1736" t="s">
        <v>1357</v>
      </c>
      <c r="O189" s="1737"/>
      <c r="P189" s="1737"/>
      <c r="Q189" s="1737"/>
      <c r="R189" s="1738"/>
      <c r="S189" s="1317"/>
    </row>
    <row r="190" spans="2:19" ht="13">
      <c r="D190" s="1318" t="s">
        <v>174</v>
      </c>
      <c r="E190" s="1318" t="s">
        <v>175</v>
      </c>
      <c r="F190" s="1318" t="s">
        <v>1294</v>
      </c>
      <c r="G190" s="1318" t="s">
        <v>1295</v>
      </c>
      <c r="H190" s="1318" t="s">
        <v>1296</v>
      </c>
      <c r="I190" s="1317"/>
      <c r="J190" s="1318" t="s">
        <v>1297</v>
      </c>
      <c r="K190" s="1318" t="s">
        <v>1298</v>
      </c>
      <c r="L190" s="1318" t="s">
        <v>1299</v>
      </c>
      <c r="M190" s="1317"/>
      <c r="N190" s="1318" t="s">
        <v>1300</v>
      </c>
      <c r="O190" s="1318" t="s">
        <v>1301</v>
      </c>
      <c r="P190" s="1318" t="s">
        <v>1302</v>
      </c>
      <c r="Q190" s="1318" t="s">
        <v>1303</v>
      </c>
      <c r="R190" s="1318" t="s">
        <v>1304</v>
      </c>
      <c r="S190" s="1317"/>
    </row>
    <row r="191" spans="2:19" ht="50">
      <c r="B191" s="1319" t="s">
        <v>1305</v>
      </c>
      <c r="D191" s="1320" t="s">
        <v>169</v>
      </c>
      <c r="E191" s="1320" t="s">
        <v>913</v>
      </c>
      <c r="F191" s="1320" t="s">
        <v>914</v>
      </c>
      <c r="G191" s="1320" t="s">
        <v>915</v>
      </c>
      <c r="H191" s="1320" t="s">
        <v>1306</v>
      </c>
      <c r="I191" s="1640"/>
      <c r="J191" s="1320" t="s">
        <v>916</v>
      </c>
      <c r="K191" s="1320" t="s">
        <v>1307</v>
      </c>
      <c r="L191" s="1320" t="s">
        <v>1308</v>
      </c>
      <c r="M191" s="1640"/>
      <c r="N191" s="1320" t="s">
        <v>1003</v>
      </c>
      <c r="O191" s="1320" t="s">
        <v>1309</v>
      </c>
      <c r="P191" s="1320" t="s">
        <v>1310</v>
      </c>
      <c r="Q191" s="1320" t="s">
        <v>1311</v>
      </c>
      <c r="R191" s="1320" t="s">
        <v>1312</v>
      </c>
      <c r="S191" s="1640"/>
    </row>
    <row r="192" spans="2:19">
      <c r="E192" s="1640"/>
      <c r="F192" s="1640"/>
      <c r="G192" s="1640"/>
      <c r="H192" s="1640"/>
      <c r="I192" s="1640"/>
      <c r="J192" s="1640"/>
      <c r="K192" s="1640"/>
      <c r="L192" s="1640"/>
      <c r="M192" s="1640"/>
      <c r="N192" s="1640"/>
      <c r="O192" s="1640"/>
      <c r="P192" s="1640"/>
      <c r="Q192" s="1640"/>
      <c r="R192" s="1640"/>
      <c r="S192" s="1640"/>
    </row>
    <row r="193" spans="2:19">
      <c r="B193" s="1316">
        <f>B186+1</f>
        <v>120</v>
      </c>
      <c r="D193" s="1010" t="s">
        <v>1002</v>
      </c>
      <c r="E193" s="1640"/>
      <c r="F193" s="1640"/>
      <c r="G193" s="1640"/>
      <c r="H193" s="1640"/>
      <c r="I193" s="1640"/>
      <c r="J193" s="1321" t="s">
        <v>1798</v>
      </c>
      <c r="K193" s="1640"/>
      <c r="L193" s="1321">
        <v>0</v>
      </c>
      <c r="M193" s="1640"/>
      <c r="N193" s="1321"/>
      <c r="O193" s="1640"/>
      <c r="P193" s="1640"/>
      <c r="Q193" s="1640"/>
      <c r="R193" s="1321">
        <v>0</v>
      </c>
      <c r="S193" s="1640"/>
    </row>
    <row r="194" spans="2:19">
      <c r="E194" s="1640"/>
      <c r="F194" s="1640"/>
      <c r="G194" s="1640"/>
      <c r="H194" s="1640"/>
      <c r="I194" s="1640"/>
      <c r="J194" s="1640"/>
      <c r="K194" s="1640"/>
      <c r="L194" s="1640"/>
      <c r="M194" s="1640"/>
      <c r="N194" s="1640"/>
      <c r="O194" s="1640"/>
      <c r="P194" s="1640"/>
      <c r="Q194" s="1640"/>
      <c r="R194" s="1640"/>
      <c r="S194" s="1640"/>
    </row>
    <row r="195" spans="2:19">
      <c r="B195" s="1316">
        <f>B193+1</f>
        <v>121</v>
      </c>
      <c r="D195" s="1322" t="s">
        <v>525</v>
      </c>
      <c r="E195" s="1321">
        <v>31</v>
      </c>
      <c r="F195" s="1323">
        <v>0</v>
      </c>
      <c r="G195" s="1323">
        <v>214</v>
      </c>
      <c r="H195" s="1324">
        <f t="shared" ref="H195:H206" si="51">IF(F195=0,0.5,F195/G195)</f>
        <v>0.5</v>
      </c>
      <c r="I195" s="1325"/>
      <c r="J195" s="1321">
        <v>0</v>
      </c>
      <c r="K195" s="1326">
        <f t="shared" ref="K195:K206" si="52">+J195*H195</f>
        <v>0</v>
      </c>
      <c r="L195" s="1326">
        <f>+K195</f>
        <v>0</v>
      </c>
      <c r="M195" s="1325"/>
      <c r="N195" s="1321">
        <v>0</v>
      </c>
      <c r="O195" s="1326">
        <f>IF($D$237="True-Up Adjustment",N195-J195,0)</f>
        <v>0</v>
      </c>
      <c r="P195" s="1326">
        <f>IF($D$237="True-Up Adjustment",IF(AND(J195&gt;=0,N195&gt;=0),IF(O195&gt;=0,K195+O195,N195/J195*K195),IF(AND(J195&lt;0,N195&lt;0),IF(O195&lt;0,K195+O195,N195/J195*K195),0)),0)</f>
        <v>0</v>
      </c>
      <c r="Q195" s="1326">
        <f t="shared" ref="Q195:Q206" si="53">IF(AND(J195&gt;=0,N195&lt;0),N195,IF(AND(J195&lt;0,N195&gt;=0),N195,0))</f>
        <v>0</v>
      </c>
      <c r="R195" s="1326">
        <f>+P195+Q195</f>
        <v>0</v>
      </c>
      <c r="S195" s="1325"/>
    </row>
    <row r="196" spans="2:19">
      <c r="B196" s="1316">
        <f t="shared" ref="B196:B207" si="54">+B195+1</f>
        <v>122</v>
      </c>
      <c r="D196" s="1322" t="s">
        <v>526</v>
      </c>
      <c r="E196" s="1321">
        <v>28</v>
      </c>
      <c r="F196" s="1323">
        <v>0</v>
      </c>
      <c r="G196" s="1323">
        <f t="shared" ref="G196:G206" si="55">G195</f>
        <v>214</v>
      </c>
      <c r="H196" s="1324">
        <f t="shared" si="51"/>
        <v>0.5</v>
      </c>
      <c r="I196" s="1325"/>
      <c r="J196" s="1321">
        <v>0</v>
      </c>
      <c r="K196" s="1326">
        <f t="shared" si="52"/>
        <v>0</v>
      </c>
      <c r="L196" s="1326">
        <f t="shared" ref="L196:L206" si="56">+K196+L195</f>
        <v>0</v>
      </c>
      <c r="M196" s="1325"/>
      <c r="N196" s="1321">
        <v>0</v>
      </c>
      <c r="O196" s="1326">
        <f t="shared" ref="O196:O206" si="57">IF($D$237="True-Up Adjustment",N196-J196,0)</f>
        <v>0</v>
      </c>
      <c r="P196" s="1326">
        <f t="shared" ref="P196:P206" si="58">IF($D$237="True-Up Adjustment",IF(AND(J196&gt;=0,N196&gt;=0),IF(O196&gt;=0,K196+O196,N196/J196*K196),IF(AND(J196&lt;0,N196&lt;0),IF(O196&lt;0,K196+O196,N196/J196*K196),0)),0)</f>
        <v>0</v>
      </c>
      <c r="Q196" s="1326">
        <f t="shared" si="53"/>
        <v>0</v>
      </c>
      <c r="R196" s="1326">
        <f t="shared" ref="R196:R206" si="59">R195+P196+Q196</f>
        <v>0</v>
      </c>
      <c r="S196" s="1325"/>
    </row>
    <row r="197" spans="2:19">
      <c r="B197" s="1316">
        <f t="shared" si="54"/>
        <v>123</v>
      </c>
      <c r="D197" s="1322" t="s">
        <v>545</v>
      </c>
      <c r="E197" s="1321">
        <v>31</v>
      </c>
      <c r="F197" s="1323">
        <v>0</v>
      </c>
      <c r="G197" s="1323">
        <f t="shared" si="55"/>
        <v>214</v>
      </c>
      <c r="H197" s="1324">
        <f t="shared" si="51"/>
        <v>0.5</v>
      </c>
      <c r="I197" s="1325"/>
      <c r="J197" s="1321">
        <v>0</v>
      </c>
      <c r="K197" s="1326">
        <f t="shared" si="52"/>
        <v>0</v>
      </c>
      <c r="L197" s="1326">
        <f t="shared" si="56"/>
        <v>0</v>
      </c>
      <c r="M197" s="1325"/>
      <c r="N197" s="1321">
        <v>0</v>
      </c>
      <c r="O197" s="1326">
        <f t="shared" si="57"/>
        <v>0</v>
      </c>
      <c r="P197" s="1326">
        <f t="shared" si="58"/>
        <v>0</v>
      </c>
      <c r="Q197" s="1326">
        <f t="shared" si="53"/>
        <v>0</v>
      </c>
      <c r="R197" s="1326">
        <f t="shared" si="59"/>
        <v>0</v>
      </c>
      <c r="S197" s="1325"/>
    </row>
    <row r="198" spans="2:19">
      <c r="B198" s="1316">
        <f t="shared" si="54"/>
        <v>124</v>
      </c>
      <c r="D198" s="1322" t="s">
        <v>171</v>
      </c>
      <c r="E198" s="1321">
        <v>30</v>
      </c>
      <c r="F198" s="1323">
        <v>0</v>
      </c>
      <c r="G198" s="1323">
        <f t="shared" si="55"/>
        <v>214</v>
      </c>
      <c r="H198" s="1324">
        <f t="shared" si="51"/>
        <v>0.5</v>
      </c>
      <c r="I198" s="1325"/>
      <c r="J198" s="1321">
        <v>0</v>
      </c>
      <c r="K198" s="1326">
        <f t="shared" si="52"/>
        <v>0</v>
      </c>
      <c r="L198" s="1326">
        <f t="shared" si="56"/>
        <v>0</v>
      </c>
      <c r="M198" s="1325"/>
      <c r="N198" s="1321">
        <v>0</v>
      </c>
      <c r="O198" s="1326">
        <f t="shared" si="57"/>
        <v>0</v>
      </c>
      <c r="P198" s="1326">
        <f t="shared" si="58"/>
        <v>0</v>
      </c>
      <c r="Q198" s="1326">
        <f t="shared" si="53"/>
        <v>0</v>
      </c>
      <c r="R198" s="1326">
        <f t="shared" si="59"/>
        <v>0</v>
      </c>
      <c r="S198" s="1325"/>
    </row>
    <row r="199" spans="2:19">
      <c r="B199" s="1316">
        <f t="shared" si="54"/>
        <v>125</v>
      </c>
      <c r="D199" s="1322" t="s">
        <v>172</v>
      </c>
      <c r="E199" s="1321">
        <v>31</v>
      </c>
      <c r="F199" s="1323">
        <v>0</v>
      </c>
      <c r="G199" s="1323">
        <f t="shared" si="55"/>
        <v>214</v>
      </c>
      <c r="H199" s="1324">
        <f t="shared" si="51"/>
        <v>0.5</v>
      </c>
      <c r="I199" s="1325"/>
      <c r="J199" s="1321">
        <v>0</v>
      </c>
      <c r="K199" s="1326">
        <f t="shared" si="52"/>
        <v>0</v>
      </c>
      <c r="L199" s="1326">
        <f t="shared" si="56"/>
        <v>0</v>
      </c>
      <c r="M199" s="1325"/>
      <c r="N199" s="1321">
        <v>0</v>
      </c>
      <c r="O199" s="1326">
        <f t="shared" si="57"/>
        <v>0</v>
      </c>
      <c r="P199" s="1326">
        <f t="shared" si="58"/>
        <v>0</v>
      </c>
      <c r="Q199" s="1326">
        <f t="shared" si="53"/>
        <v>0</v>
      </c>
      <c r="R199" s="1326">
        <f t="shared" si="59"/>
        <v>0</v>
      </c>
      <c r="S199" s="1325"/>
    </row>
    <row r="200" spans="2:19">
      <c r="B200" s="1316">
        <f t="shared" si="54"/>
        <v>126</v>
      </c>
      <c r="D200" s="1322" t="s">
        <v>173</v>
      </c>
      <c r="E200" s="1321">
        <v>30</v>
      </c>
      <c r="F200" s="1323">
        <f t="shared" ref="F200:F205" si="60">E201+F201</f>
        <v>185</v>
      </c>
      <c r="G200" s="1323">
        <f t="shared" si="55"/>
        <v>214</v>
      </c>
      <c r="H200" s="1324">
        <f t="shared" si="51"/>
        <v>0.86448598130841126</v>
      </c>
      <c r="I200" s="1325"/>
      <c r="J200" s="1321">
        <v>0</v>
      </c>
      <c r="K200" s="1326">
        <f t="shared" si="52"/>
        <v>0</v>
      </c>
      <c r="L200" s="1326">
        <f t="shared" si="56"/>
        <v>0</v>
      </c>
      <c r="M200" s="1325"/>
      <c r="N200" s="1321">
        <v>0</v>
      </c>
      <c r="O200" s="1326">
        <f t="shared" si="57"/>
        <v>0</v>
      </c>
      <c r="P200" s="1326">
        <f t="shared" si="58"/>
        <v>0</v>
      </c>
      <c r="Q200" s="1326">
        <f t="shared" si="53"/>
        <v>0</v>
      </c>
      <c r="R200" s="1326">
        <f t="shared" si="59"/>
        <v>0</v>
      </c>
      <c r="S200" s="1325"/>
    </row>
    <row r="201" spans="2:19">
      <c r="B201" s="1316">
        <f t="shared" si="54"/>
        <v>127</v>
      </c>
      <c r="D201" s="1322" t="s">
        <v>528</v>
      </c>
      <c r="E201" s="1321">
        <v>31</v>
      </c>
      <c r="F201" s="1323">
        <f t="shared" si="60"/>
        <v>154</v>
      </c>
      <c r="G201" s="1323">
        <f t="shared" si="55"/>
        <v>214</v>
      </c>
      <c r="H201" s="1324">
        <f t="shared" si="51"/>
        <v>0.71962616822429903</v>
      </c>
      <c r="I201" s="1325"/>
      <c r="J201" s="1321">
        <v>0</v>
      </c>
      <c r="K201" s="1326">
        <f t="shared" si="52"/>
        <v>0</v>
      </c>
      <c r="L201" s="1326">
        <f t="shared" si="56"/>
        <v>0</v>
      </c>
      <c r="M201" s="1325"/>
      <c r="N201" s="1321">
        <v>0</v>
      </c>
      <c r="O201" s="1326">
        <f t="shared" si="57"/>
        <v>0</v>
      </c>
      <c r="P201" s="1326">
        <f t="shared" si="58"/>
        <v>0</v>
      </c>
      <c r="Q201" s="1326">
        <f t="shared" si="53"/>
        <v>0</v>
      </c>
      <c r="R201" s="1326">
        <f t="shared" si="59"/>
        <v>0</v>
      </c>
      <c r="S201" s="1325"/>
    </row>
    <row r="202" spans="2:19">
      <c r="B202" s="1316">
        <f t="shared" si="54"/>
        <v>128</v>
      </c>
      <c r="D202" s="1322" t="s">
        <v>546</v>
      </c>
      <c r="E202" s="1321">
        <v>31</v>
      </c>
      <c r="F202" s="1323">
        <f t="shared" si="60"/>
        <v>123</v>
      </c>
      <c r="G202" s="1323">
        <f t="shared" si="55"/>
        <v>214</v>
      </c>
      <c r="H202" s="1324">
        <f t="shared" si="51"/>
        <v>0.57476635514018692</v>
      </c>
      <c r="I202" s="1325"/>
      <c r="J202" s="1321">
        <v>0</v>
      </c>
      <c r="K202" s="1326">
        <f t="shared" si="52"/>
        <v>0</v>
      </c>
      <c r="L202" s="1326">
        <f t="shared" si="56"/>
        <v>0</v>
      </c>
      <c r="M202" s="1325"/>
      <c r="N202" s="1321">
        <v>0</v>
      </c>
      <c r="O202" s="1326">
        <f t="shared" si="57"/>
        <v>0</v>
      </c>
      <c r="P202" s="1326">
        <f t="shared" si="58"/>
        <v>0</v>
      </c>
      <c r="Q202" s="1326">
        <f t="shared" si="53"/>
        <v>0</v>
      </c>
      <c r="R202" s="1326">
        <f t="shared" si="59"/>
        <v>0</v>
      </c>
      <c r="S202" s="1325"/>
    </row>
    <row r="203" spans="2:19">
      <c r="B203" s="1316">
        <f t="shared" si="54"/>
        <v>129</v>
      </c>
      <c r="D203" s="1322" t="s">
        <v>530</v>
      </c>
      <c r="E203" s="1321">
        <v>30</v>
      </c>
      <c r="F203" s="1323">
        <f t="shared" si="60"/>
        <v>93</v>
      </c>
      <c r="G203" s="1323">
        <f t="shared" si="55"/>
        <v>214</v>
      </c>
      <c r="H203" s="1324">
        <f t="shared" si="51"/>
        <v>0.43457943925233644</v>
      </c>
      <c r="I203" s="1325"/>
      <c r="J203" s="1321">
        <v>0</v>
      </c>
      <c r="K203" s="1326">
        <f t="shared" si="52"/>
        <v>0</v>
      </c>
      <c r="L203" s="1326">
        <f t="shared" si="56"/>
        <v>0</v>
      </c>
      <c r="M203" s="1325"/>
      <c r="N203" s="1321">
        <v>0</v>
      </c>
      <c r="O203" s="1326">
        <f t="shared" si="57"/>
        <v>0</v>
      </c>
      <c r="P203" s="1326">
        <f t="shared" si="58"/>
        <v>0</v>
      </c>
      <c r="Q203" s="1326">
        <f t="shared" si="53"/>
        <v>0</v>
      </c>
      <c r="R203" s="1326">
        <f t="shared" si="59"/>
        <v>0</v>
      </c>
      <c r="S203" s="1325"/>
    </row>
    <row r="204" spans="2:19">
      <c r="B204" s="1316">
        <f t="shared" si="54"/>
        <v>130</v>
      </c>
      <c r="D204" s="1322" t="s">
        <v>531</v>
      </c>
      <c r="E204" s="1321">
        <v>31</v>
      </c>
      <c r="F204" s="1323">
        <f t="shared" si="60"/>
        <v>62</v>
      </c>
      <c r="G204" s="1323">
        <f t="shared" si="55"/>
        <v>214</v>
      </c>
      <c r="H204" s="1324">
        <f t="shared" si="51"/>
        <v>0.28971962616822428</v>
      </c>
      <c r="I204" s="1325"/>
      <c r="J204" s="1321">
        <v>0</v>
      </c>
      <c r="K204" s="1326">
        <f t="shared" si="52"/>
        <v>0</v>
      </c>
      <c r="L204" s="1326">
        <f t="shared" si="56"/>
        <v>0</v>
      </c>
      <c r="M204" s="1325"/>
      <c r="N204" s="1321">
        <v>0</v>
      </c>
      <c r="O204" s="1326">
        <f t="shared" si="57"/>
        <v>0</v>
      </c>
      <c r="P204" s="1326">
        <f t="shared" si="58"/>
        <v>0</v>
      </c>
      <c r="Q204" s="1326">
        <f t="shared" si="53"/>
        <v>0</v>
      </c>
      <c r="R204" s="1326">
        <f t="shared" si="59"/>
        <v>0</v>
      </c>
      <c r="S204" s="1325"/>
    </row>
    <row r="205" spans="2:19">
      <c r="B205" s="1316">
        <f t="shared" si="54"/>
        <v>131</v>
      </c>
      <c r="D205" s="1322" t="s">
        <v>532</v>
      </c>
      <c r="E205" s="1321">
        <v>30</v>
      </c>
      <c r="F205" s="1323">
        <f t="shared" si="60"/>
        <v>32</v>
      </c>
      <c r="G205" s="1323">
        <f t="shared" si="55"/>
        <v>214</v>
      </c>
      <c r="H205" s="1324">
        <f t="shared" si="51"/>
        <v>0.14953271028037382</v>
      </c>
      <c r="I205" s="1325"/>
      <c r="J205" s="1321">
        <v>0</v>
      </c>
      <c r="K205" s="1326">
        <f t="shared" si="52"/>
        <v>0</v>
      </c>
      <c r="L205" s="1326">
        <f t="shared" si="56"/>
        <v>0</v>
      </c>
      <c r="M205" s="1325"/>
      <c r="N205" s="1321">
        <v>0</v>
      </c>
      <c r="O205" s="1326">
        <f t="shared" si="57"/>
        <v>0</v>
      </c>
      <c r="P205" s="1326">
        <f t="shared" si="58"/>
        <v>0</v>
      </c>
      <c r="Q205" s="1326">
        <f t="shared" si="53"/>
        <v>0</v>
      </c>
      <c r="R205" s="1326">
        <f t="shared" si="59"/>
        <v>0</v>
      </c>
      <c r="S205" s="1325"/>
    </row>
    <row r="206" spans="2:19">
      <c r="B206" s="1316">
        <f t="shared" si="54"/>
        <v>132</v>
      </c>
      <c r="D206" s="1327" t="s">
        <v>749</v>
      </c>
      <c r="E206" s="1321">
        <v>31</v>
      </c>
      <c r="F206" s="1328">
        <v>1</v>
      </c>
      <c r="G206" s="1323">
        <f t="shared" si="55"/>
        <v>214</v>
      </c>
      <c r="H206" s="1324">
        <f t="shared" si="51"/>
        <v>4.6728971962616819E-3</v>
      </c>
      <c r="I206" s="1325"/>
      <c r="J206" s="1321">
        <v>0</v>
      </c>
      <c r="K206" s="1326">
        <f t="shared" si="52"/>
        <v>0</v>
      </c>
      <c r="L206" s="1326">
        <f t="shared" si="56"/>
        <v>0</v>
      </c>
      <c r="M206" s="1325"/>
      <c r="N206" s="1321">
        <v>0</v>
      </c>
      <c r="O206" s="1326">
        <f t="shared" si="57"/>
        <v>0</v>
      </c>
      <c r="P206" s="1326">
        <f t="shared" si="58"/>
        <v>0</v>
      </c>
      <c r="Q206" s="1326">
        <f t="shared" si="53"/>
        <v>0</v>
      </c>
      <c r="R206" s="1326">
        <f t="shared" si="59"/>
        <v>0</v>
      </c>
      <c r="S206" s="1325"/>
    </row>
    <row r="207" spans="2:19">
      <c r="B207" s="1316">
        <f t="shared" si="54"/>
        <v>133</v>
      </c>
      <c r="D207" s="1329" t="str">
        <f>"Total (Sum of Lines "&amp;B195&amp;" - "&amp;B206&amp;")"</f>
        <v>Total (Sum of Lines 121 - 132)</v>
      </c>
      <c r="E207" s="1330">
        <f>SUM(E195:E206)</f>
        <v>365</v>
      </c>
      <c r="F207" s="1331"/>
      <c r="G207" s="1331"/>
      <c r="H207" s="1332"/>
      <c r="I207" s="1333"/>
      <c r="J207" s="1330">
        <f>SUM(J195:J206)</f>
        <v>0</v>
      </c>
      <c r="K207" s="1330">
        <f>SUM(K195:K206)</f>
        <v>0</v>
      </c>
      <c r="L207" s="1334"/>
      <c r="M207" s="1333"/>
      <c r="N207" s="1330">
        <f>SUM(N195:N206)</f>
        <v>0</v>
      </c>
      <c r="O207" s="1330">
        <f>SUM(O195:O206)</f>
        <v>0</v>
      </c>
      <c r="P207" s="1330">
        <f>SUM(P195:P206)</f>
        <v>0</v>
      </c>
      <c r="Q207" s="1330">
        <f>SUM(Q195:Q206)</f>
        <v>0</v>
      </c>
      <c r="R207" s="1334"/>
      <c r="S207" s="1333"/>
    </row>
    <row r="208" spans="2:19">
      <c r="D208" s="1335"/>
      <c r="E208" s="1335"/>
      <c r="F208" s="1335"/>
      <c r="G208" s="1335"/>
      <c r="H208" s="1336"/>
      <c r="I208" s="1336"/>
      <c r="K208" s="1337"/>
      <c r="L208" s="1336"/>
      <c r="M208" s="1336"/>
      <c r="N208" s="1347"/>
      <c r="O208" s="1337"/>
      <c r="P208" s="1337"/>
      <c r="Q208" s="1337"/>
      <c r="R208" s="1336"/>
      <c r="S208" s="1336"/>
    </row>
    <row r="209" spans="2:19">
      <c r="B209" s="1316">
        <f>B207+1</f>
        <v>134</v>
      </c>
      <c r="D209" s="1010" t="s">
        <v>1359</v>
      </c>
      <c r="I209" s="1336"/>
      <c r="J209" s="1321" t="s">
        <v>1798</v>
      </c>
      <c r="L209" s="1321">
        <v>0</v>
      </c>
      <c r="M209" s="1338"/>
      <c r="N209" s="1321"/>
      <c r="R209" s="1321">
        <v>0</v>
      </c>
    </row>
    <row r="210" spans="2:19">
      <c r="B210" s="1316">
        <f>B209+1</f>
        <v>135</v>
      </c>
      <c r="D210" s="1010" t="s">
        <v>1360</v>
      </c>
      <c r="I210" s="1336"/>
      <c r="J210" s="1339" t="s">
        <v>639</v>
      </c>
      <c r="L210" s="1340">
        <v>0</v>
      </c>
      <c r="M210" s="1341"/>
      <c r="N210" s="1339"/>
      <c r="R210" s="1340">
        <v>0</v>
      </c>
    </row>
    <row r="211" spans="2:19">
      <c r="B211" s="1316">
        <f>B210+1</f>
        <v>136</v>
      </c>
      <c r="D211" s="1010" t="s">
        <v>1361</v>
      </c>
      <c r="I211" s="1336"/>
      <c r="J211" s="1329" t="str">
        <f>"(Col. "&amp;L190&amp;", Line "&amp;B209&amp;" + Line "&amp;B210&amp;")"</f>
        <v>(Col. (H), Line 134 + Line 135)</v>
      </c>
      <c r="L211" s="1342">
        <f>L209+L210</f>
        <v>0</v>
      </c>
      <c r="M211" s="1336"/>
      <c r="N211" s="1329" t="str">
        <f>"(Col. "&amp;R190&amp;", Line "&amp;B209&amp;" + Line "&amp;B210&amp;")"</f>
        <v>(Col. (M), Line 134 + Line 135)</v>
      </c>
      <c r="R211" s="1342">
        <f>R209+R210</f>
        <v>0</v>
      </c>
    </row>
    <row r="212" spans="2:19">
      <c r="I212" s="1336"/>
      <c r="L212" s="1342"/>
      <c r="M212" s="1336"/>
      <c r="R212" s="1342"/>
    </row>
    <row r="213" spans="2:19">
      <c r="B213" s="1316">
        <f>B211+1</f>
        <v>137</v>
      </c>
      <c r="D213" s="1010" t="s">
        <v>1362</v>
      </c>
      <c r="I213" s="1336"/>
      <c r="J213" s="1642" t="s">
        <v>1811</v>
      </c>
      <c r="L213" s="1321">
        <v>0</v>
      </c>
      <c r="M213" s="1338"/>
      <c r="N213" s="1321"/>
      <c r="R213" s="1321">
        <v>0</v>
      </c>
    </row>
    <row r="214" spans="2:19">
      <c r="B214" s="1316">
        <f>B213+1</f>
        <v>138</v>
      </c>
      <c r="D214" s="1010" t="s">
        <v>1363</v>
      </c>
      <c r="I214" s="1336"/>
      <c r="J214" s="1339" t="s">
        <v>639</v>
      </c>
      <c r="L214" s="1340">
        <v>0</v>
      </c>
      <c r="M214" s="1336"/>
      <c r="N214" s="1339"/>
      <c r="R214" s="1340">
        <v>0</v>
      </c>
    </row>
    <row r="215" spans="2:19">
      <c r="B215" s="1316">
        <f>B214+1</f>
        <v>139</v>
      </c>
      <c r="D215" s="1010" t="s">
        <v>1364</v>
      </c>
      <c r="I215" s="1336"/>
      <c r="J215" s="1329" t="str">
        <f>"(Col. "&amp;L190&amp;", Line "&amp;B213&amp;" + Line "&amp;B214&amp;")"</f>
        <v>(Col. (H), Line 137 + Line 138)</v>
      </c>
      <c r="L215" s="1342">
        <f>L213+L214</f>
        <v>0</v>
      </c>
      <c r="M215" s="1336"/>
      <c r="N215" s="1329" t="str">
        <f>"(Col. "&amp;R190&amp;", Line "&amp;B213&amp;" + Line "&amp;B214&amp;")"</f>
        <v>(Col. (M), Line 137 + Line 138)</v>
      </c>
      <c r="R215" s="1342">
        <f>R213+R214</f>
        <v>0</v>
      </c>
    </row>
    <row r="216" spans="2:19">
      <c r="I216" s="1336"/>
      <c r="L216" s="1342"/>
      <c r="M216" s="1336"/>
      <c r="R216" s="1342"/>
    </row>
    <row r="217" spans="2:19">
      <c r="B217" s="1316">
        <f>B215+1</f>
        <v>140</v>
      </c>
      <c r="D217" s="1010" t="s">
        <v>1000</v>
      </c>
      <c r="I217" s="1336"/>
      <c r="J217" s="1329" t="str">
        <f>"([Col. "&amp;L190&amp;", Line "&amp;B211&amp;" + Line "&amp;B215&amp;"] /2)"</f>
        <v>([Col. (H), Line 136 + Line 139] /2)</v>
      </c>
      <c r="L217" s="1326">
        <f>(L211+L215)/2</f>
        <v>0</v>
      </c>
      <c r="M217" s="1336"/>
      <c r="N217" s="1329" t="str">
        <f>"([Col. "&amp;R190&amp;", Line "&amp;B211&amp;" + Line "&amp;B215&amp;"] /2)"</f>
        <v>([Col. (M), Line 136 + Line 139] /2)</v>
      </c>
      <c r="R217" s="1326">
        <f>(R211+R215)/2</f>
        <v>0</v>
      </c>
    </row>
    <row r="218" spans="2:19">
      <c r="B218" s="1316">
        <f>B217+1</f>
        <v>141</v>
      </c>
      <c r="D218" s="1430" t="s">
        <v>1365</v>
      </c>
      <c r="E218" s="1335"/>
      <c r="F218" s="1335"/>
      <c r="G218" s="1335"/>
      <c r="H218" s="1336"/>
      <c r="I218" s="1336"/>
      <c r="J218" s="1329" t="str">
        <f>"(Col. "&amp;L190&amp;", Line "&amp;B206&amp;" )"</f>
        <v>(Col. (H), Line 132 )</v>
      </c>
      <c r="K218" s="1337"/>
      <c r="L218" s="1326">
        <f>L206</f>
        <v>0</v>
      </c>
      <c r="M218" s="1336"/>
      <c r="N218" s="1329" t="str">
        <f>"(Col. "&amp;R190&amp;", Line "&amp;B206&amp;" )"</f>
        <v>(Col. (M), Line 132 )</v>
      </c>
      <c r="R218" s="1326">
        <f>R206</f>
        <v>0</v>
      </c>
    </row>
    <row r="219" spans="2:19" ht="13.5" thickBot="1">
      <c r="B219" s="1316">
        <f>B218+1</f>
        <v>142</v>
      </c>
      <c r="D219" s="1343" t="s">
        <v>1370</v>
      </c>
      <c r="E219" s="1335"/>
      <c r="F219" s="1335"/>
      <c r="G219" s="1335"/>
      <c r="H219" s="1336"/>
      <c r="I219" s="1336"/>
      <c r="J219" s="1329" t="str">
        <f>"(Col. "&amp;L190&amp;", Line "&amp;B217&amp;" + Line "&amp;B218&amp;")"</f>
        <v>(Col. (H), Line 140 + Line 141)</v>
      </c>
      <c r="K219" s="1337"/>
      <c r="L219" s="1344">
        <f>L217+L218</f>
        <v>0</v>
      </c>
      <c r="M219" s="1336"/>
      <c r="N219" s="1329" t="str">
        <f>"(Col. "&amp;R190&amp;", Line "&amp;B217&amp;" + Line "&amp;B218&amp;")"</f>
        <v>(Col. (M), Line 140 + Line 141)</v>
      </c>
      <c r="R219" s="1344">
        <f>R217+R218</f>
        <v>0</v>
      </c>
    </row>
    <row r="220" spans="2:19">
      <c r="D220" s="1335"/>
      <c r="E220" s="1335"/>
      <c r="F220" s="1335"/>
      <c r="G220" s="1335"/>
      <c r="H220" s="1336"/>
      <c r="I220" s="1336"/>
      <c r="K220" s="1337"/>
      <c r="L220" s="1336"/>
      <c r="M220" s="1336"/>
      <c r="O220" s="1337"/>
      <c r="P220" s="1337"/>
      <c r="Q220" s="1337"/>
      <c r="R220" s="1336"/>
      <c r="S220" s="1336"/>
    </row>
    <row r="221" spans="2:19">
      <c r="D221" s="1335"/>
      <c r="E221" s="1335"/>
      <c r="F221" s="1335" t="s">
        <v>86</v>
      </c>
      <c r="G221" s="1335"/>
      <c r="H221" s="1336"/>
      <c r="I221" s="1336"/>
      <c r="K221" s="1337"/>
      <c r="L221" s="1336"/>
      <c r="M221" s="1336"/>
      <c r="O221" s="1337"/>
      <c r="P221" s="1337"/>
      <c r="Q221" s="1337"/>
      <c r="R221" s="1336"/>
      <c r="S221" s="1336"/>
    </row>
    <row r="222" spans="2:19" ht="13">
      <c r="D222" s="1752" t="s">
        <v>1380</v>
      </c>
      <c r="E222" s="1752"/>
      <c r="F222" s="1752"/>
      <c r="G222" s="1752"/>
      <c r="H222" s="1752"/>
      <c r="I222" s="1336"/>
      <c r="J222" s="1752" t="s">
        <v>1381</v>
      </c>
      <c r="K222" s="1752"/>
      <c r="L222" s="1752"/>
      <c r="M222" s="1752"/>
      <c r="N222" s="1752"/>
      <c r="O222" s="1337"/>
      <c r="P222" s="1337"/>
      <c r="Q222" s="1337"/>
      <c r="R222" s="1336"/>
      <c r="S222" s="1336"/>
    </row>
    <row r="223" spans="2:19" ht="12.75" customHeight="1">
      <c r="B223" s="1753" t="s">
        <v>1305</v>
      </c>
      <c r="C223" s="1639"/>
      <c r="D223" s="1634" t="s">
        <v>174</v>
      </c>
      <c r="E223" s="1635"/>
      <c r="F223" s="1634" t="s">
        <v>175</v>
      </c>
      <c r="G223" s="1636"/>
      <c r="H223" s="1633" t="s">
        <v>1294</v>
      </c>
      <c r="I223" s="1317"/>
      <c r="J223" s="1634" t="s">
        <v>1295</v>
      </c>
      <c r="K223" s="1635"/>
      <c r="L223" s="1634" t="s">
        <v>1296</v>
      </c>
      <c r="M223" s="1636"/>
      <c r="N223" s="1633" t="s">
        <v>1297</v>
      </c>
    </row>
    <row r="224" spans="2:19" ht="26">
      <c r="B224" s="1754"/>
      <c r="C224" s="1639"/>
      <c r="D224" s="1436" t="s">
        <v>1373</v>
      </c>
      <c r="E224" s="1437"/>
      <c r="F224" s="1438" t="s">
        <v>1374</v>
      </c>
      <c r="G224" s="1439"/>
      <c r="H224" s="1435" t="s">
        <v>1382</v>
      </c>
      <c r="J224" s="1436" t="s">
        <v>1373</v>
      </c>
      <c r="K224" s="1437"/>
      <c r="L224" s="1438" t="s">
        <v>1374</v>
      </c>
      <c r="M224" s="1439"/>
      <c r="N224" s="1435" t="s">
        <v>1375</v>
      </c>
      <c r="O224" s="1337"/>
      <c r="P224" s="1337"/>
      <c r="Q224" s="1337"/>
      <c r="R224" s="1336"/>
      <c r="S224" s="1336"/>
    </row>
    <row r="225" spans="1:19" ht="5.15" customHeight="1">
      <c r="B225" s="1010"/>
      <c r="E225" s="1335"/>
      <c r="K225" s="1335"/>
      <c r="O225" s="1337"/>
      <c r="P225" s="1337"/>
      <c r="Q225" s="1337"/>
      <c r="R225" s="1336"/>
      <c r="S225" s="1336"/>
    </row>
    <row r="226" spans="1:19">
      <c r="B226" s="1316">
        <f>B219+1</f>
        <v>143</v>
      </c>
      <c r="D226" s="1440" t="s">
        <v>1376</v>
      </c>
      <c r="F226" s="1441" t="str">
        <f>"(Col. "&amp;L124&amp;", Line "&amp;B153&amp;")"</f>
        <v>(Col. (H), Line 96)</v>
      </c>
      <c r="G226" s="1442"/>
      <c r="H226" s="1443">
        <f>L153</f>
        <v>0</v>
      </c>
      <c r="I226" s="1442"/>
      <c r="J226" s="1440" t="s">
        <v>1376</v>
      </c>
      <c r="L226" s="1441" t="str">
        <f>"(Col. "&amp;R124&amp;", Line "&amp;B153&amp;")"</f>
        <v>(Col. (M), Line 96)</v>
      </c>
      <c r="M226" s="1442"/>
      <c r="N226" s="1443">
        <f>R153</f>
        <v>0</v>
      </c>
      <c r="O226" s="1337"/>
      <c r="P226" s="1337"/>
      <c r="Q226" s="1337"/>
      <c r="R226" s="1336"/>
      <c r="S226" s="1336"/>
    </row>
    <row r="227" spans="1:19">
      <c r="B227" s="1316">
        <f>B226+1</f>
        <v>144</v>
      </c>
      <c r="D227" s="1440" t="s">
        <v>1377</v>
      </c>
      <c r="F227" s="1441" t="str">
        <f>"(Col. "&amp;L157&amp;", Line "&amp;B186&amp;")"</f>
        <v>(Col. (H), Line 119)</v>
      </c>
      <c r="H227" s="1444">
        <f>L186</f>
        <v>0</v>
      </c>
      <c r="J227" s="1440" t="s">
        <v>1377</v>
      </c>
      <c r="L227" s="1441" t="str">
        <f>"(Col. "&amp;R157&amp;", Line "&amp;B186&amp;")"</f>
        <v>(Col. (M), Line 119)</v>
      </c>
      <c r="N227" s="1444">
        <f>R186</f>
        <v>0</v>
      </c>
      <c r="O227" s="1337"/>
      <c r="P227" s="1337"/>
      <c r="Q227" s="1337"/>
      <c r="R227" s="1336"/>
      <c r="S227" s="1336"/>
    </row>
    <row r="228" spans="1:19">
      <c r="B228" s="1316">
        <f>B227+1</f>
        <v>145</v>
      </c>
      <c r="D228" s="1440" t="s">
        <v>1378</v>
      </c>
      <c r="F228" s="1441" t="str">
        <f>"(Col. "&amp;L190&amp;", Line "&amp;B219&amp;")"</f>
        <v>(Col. (H), Line 142)</v>
      </c>
      <c r="H228" s="1444">
        <f>L219</f>
        <v>0</v>
      </c>
      <c r="J228" s="1440" t="s">
        <v>1378</v>
      </c>
      <c r="L228" s="1441" t="str">
        <f>"(Col. "&amp;R190&amp;", Line "&amp;B219&amp;")"</f>
        <v>(Col. (M), Line 142)</v>
      </c>
      <c r="N228" s="1444">
        <f>R219</f>
        <v>0</v>
      </c>
      <c r="O228" s="1337"/>
      <c r="P228" s="1337"/>
      <c r="Q228" s="1337"/>
      <c r="R228" s="1336"/>
      <c r="S228" s="1336"/>
    </row>
    <row r="229" spans="1:19" ht="5.15" customHeight="1">
      <c r="D229" s="1335"/>
      <c r="E229" s="1335"/>
      <c r="J229" s="1335"/>
      <c r="K229" s="1335"/>
      <c r="O229" s="1337"/>
      <c r="P229" s="1337"/>
      <c r="Q229" s="1337"/>
      <c r="R229" s="1336"/>
      <c r="S229" s="1336"/>
    </row>
    <row r="230" spans="1:19" ht="13">
      <c r="B230" s="1316">
        <f>B228+1</f>
        <v>146</v>
      </c>
      <c r="D230" s="12" t="s">
        <v>1213</v>
      </c>
      <c r="E230" s="1335"/>
      <c r="F230" s="1441" t="s">
        <v>1763</v>
      </c>
      <c r="G230" s="1445"/>
      <c r="H230" s="1446">
        <f>SUM(H226:H229)</f>
        <v>0</v>
      </c>
      <c r="I230" s="1445"/>
      <c r="J230" s="12" t="s">
        <v>1213</v>
      </c>
      <c r="K230" s="1335"/>
      <c r="L230" s="1447" t="s">
        <v>1763</v>
      </c>
      <c r="M230" s="1445"/>
      <c r="N230" s="1446">
        <f>SUM(N226:N229)</f>
        <v>0</v>
      </c>
      <c r="O230" s="1337"/>
      <c r="P230" s="1337"/>
      <c r="Q230" s="1337"/>
      <c r="R230" s="1336"/>
      <c r="S230" s="1336"/>
    </row>
    <row r="231" spans="1:19">
      <c r="D231" s="1335"/>
      <c r="E231" s="1335"/>
      <c r="F231" s="1335"/>
      <c r="G231" s="1335"/>
      <c r="H231" s="1336"/>
      <c r="I231" s="1336"/>
      <c r="K231" s="1337"/>
      <c r="L231" s="1336"/>
      <c r="M231" s="1336"/>
      <c r="O231" s="1337"/>
      <c r="P231" s="1337"/>
      <c r="Q231" s="1337"/>
      <c r="R231" s="1336"/>
      <c r="S231" s="1336"/>
    </row>
    <row r="232" spans="1:19" ht="13">
      <c r="A232" s="1348"/>
      <c r="B232" s="1349" t="s">
        <v>1273</v>
      </c>
      <c r="C232" s="1348"/>
      <c r="D232" s="1348"/>
      <c r="E232" s="1348"/>
      <c r="F232" s="1348"/>
      <c r="G232" s="1348"/>
      <c r="H232" s="1348"/>
      <c r="I232" s="1348"/>
      <c r="J232" s="1348"/>
      <c r="K232" s="1348"/>
      <c r="L232" s="1348"/>
      <c r="M232" s="1348"/>
      <c r="N232" s="1348"/>
      <c r="O232" s="1348"/>
      <c r="P232" s="1348"/>
      <c r="Q232" s="1348"/>
      <c r="R232" s="1348"/>
      <c r="S232" s="1348"/>
    </row>
    <row r="234" spans="1:19">
      <c r="B234" s="1741" t="s">
        <v>1325</v>
      </c>
      <c r="C234" s="1741"/>
      <c r="D234" s="1741"/>
      <c r="E234" s="1741"/>
      <c r="F234" s="1741"/>
      <c r="G234" s="1741"/>
      <c r="H234" s="1741"/>
      <c r="I234" s="1741"/>
      <c r="J234" s="1741"/>
      <c r="K234" s="1741"/>
      <c r="L234" s="1741"/>
      <c r="M234" s="1336"/>
      <c r="O234" s="1337"/>
      <c r="P234" s="1337"/>
      <c r="Q234" s="1337"/>
      <c r="R234" s="1336"/>
      <c r="S234" s="1336"/>
    </row>
    <row r="235" spans="1:19">
      <c r="B235" s="1741"/>
      <c r="C235" s="1741"/>
      <c r="D235" s="1741"/>
      <c r="E235" s="1741"/>
      <c r="F235" s="1741"/>
      <c r="G235" s="1741"/>
      <c r="H235" s="1741"/>
      <c r="I235" s="1741"/>
      <c r="J235" s="1741"/>
      <c r="K235" s="1741"/>
      <c r="L235" s="1741"/>
      <c r="M235" s="1336"/>
      <c r="O235" s="1337"/>
      <c r="P235" s="1337"/>
      <c r="Q235" s="1337"/>
      <c r="R235" s="1336"/>
      <c r="S235" s="1336"/>
    </row>
    <row r="236" spans="1:19">
      <c r="D236" s="1335"/>
      <c r="E236" s="1335"/>
      <c r="F236" s="1335"/>
      <c r="G236" s="1335"/>
      <c r="H236" s="1336"/>
      <c r="I236" s="1336"/>
      <c r="K236" s="1337"/>
      <c r="L236" s="1336"/>
      <c r="M236" s="1336"/>
      <c r="O236" s="1337"/>
      <c r="P236" s="1337"/>
      <c r="Q236" s="1337"/>
      <c r="R236" s="1336"/>
      <c r="S236" s="1336"/>
    </row>
    <row r="237" spans="1:19" ht="13">
      <c r="B237" s="1314" t="s">
        <v>1326</v>
      </c>
      <c r="D237" s="1350" t="str">
        <f>'1A - ADIT Summary'!D177</f>
        <v>Projected Activity</v>
      </c>
      <c r="E237" s="1351" t="str">
        <f>IF(D237="Projected Activity","Check",IF(D237="True-Up Adjustment","Check","Error"))</f>
        <v>Check</v>
      </c>
      <c r="F237" s="1335"/>
      <c r="G237" s="1335"/>
      <c r="H237" s="1336"/>
      <c r="I237" s="1336"/>
      <c r="K237" s="1337"/>
      <c r="L237" s="1336"/>
      <c r="M237" s="1336"/>
      <c r="O237" s="1337"/>
      <c r="P237" s="1337"/>
      <c r="Q237" s="1337"/>
      <c r="R237" s="1336"/>
      <c r="S237" s="1336"/>
    </row>
    <row r="238" spans="1:19">
      <c r="D238" s="1335"/>
      <c r="E238" s="1335"/>
      <c r="F238" s="1335"/>
      <c r="G238" s="1335"/>
      <c r="H238" s="1336"/>
      <c r="I238" s="1336"/>
      <c r="K238" s="1337"/>
      <c r="L238" s="1336"/>
      <c r="M238" s="1336"/>
      <c r="O238" s="1337"/>
      <c r="P238" s="1337"/>
      <c r="Q238" s="1337"/>
      <c r="R238" s="1336"/>
      <c r="S238" s="1336"/>
    </row>
    <row r="239" spans="1:19">
      <c r="B239" s="1742" t="s">
        <v>1327</v>
      </c>
      <c r="C239" s="1742"/>
      <c r="D239" s="1742"/>
      <c r="E239" s="1742"/>
      <c r="F239" s="1742"/>
      <c r="G239" s="1742"/>
      <c r="H239" s="1742"/>
      <c r="I239" s="1742"/>
      <c r="J239" s="1742"/>
      <c r="K239" s="1742"/>
      <c r="L239" s="1742"/>
      <c r="M239" s="1336"/>
      <c r="O239" s="1337"/>
      <c r="P239" s="1337"/>
      <c r="Q239" s="1337"/>
      <c r="R239" s="1336"/>
      <c r="S239" s="1336"/>
    </row>
    <row r="240" spans="1:19">
      <c r="B240" s="1742"/>
      <c r="C240" s="1742"/>
      <c r="D240" s="1742"/>
      <c r="E240" s="1742"/>
      <c r="F240" s="1742"/>
      <c r="G240" s="1742"/>
      <c r="H240" s="1742"/>
      <c r="I240" s="1742"/>
      <c r="J240" s="1742"/>
      <c r="K240" s="1742"/>
      <c r="L240" s="1742"/>
      <c r="M240" s="1336"/>
      <c r="O240" s="1337"/>
      <c r="P240" s="1337"/>
      <c r="Q240" s="1337"/>
      <c r="R240" s="1336"/>
      <c r="S240" s="1336"/>
    </row>
    <row r="241" spans="1:19">
      <c r="D241" s="1335"/>
      <c r="E241" s="1335"/>
      <c r="F241" s="1335"/>
      <c r="G241" s="1335"/>
      <c r="H241" s="1336"/>
      <c r="I241" s="1336"/>
      <c r="K241" s="1337"/>
      <c r="L241" s="1336"/>
      <c r="M241" s="1336"/>
      <c r="O241" s="1337"/>
      <c r="P241" s="1337"/>
      <c r="Q241" s="1337"/>
      <c r="R241" s="1336"/>
      <c r="S241" s="1336"/>
    </row>
    <row r="242" spans="1:19" ht="13">
      <c r="A242" s="1348"/>
      <c r="B242" s="1349" t="s">
        <v>925</v>
      </c>
      <c r="C242" s="1348"/>
      <c r="D242" s="1348"/>
      <c r="E242" s="1348"/>
      <c r="F242" s="1348"/>
      <c r="G242" s="1348"/>
      <c r="H242" s="1348"/>
      <c r="I242" s="1348"/>
      <c r="J242" s="1348"/>
      <c r="K242" s="1348"/>
      <c r="L242" s="1348"/>
      <c r="M242" s="1348"/>
      <c r="N242" s="1348"/>
      <c r="O242" s="1348"/>
      <c r="P242" s="1348"/>
      <c r="Q242" s="1348"/>
      <c r="R242" s="1348"/>
      <c r="S242" s="1348"/>
    </row>
    <row r="244" spans="1:19" ht="15.75" customHeight="1">
      <c r="A244" s="1313"/>
      <c r="B244" s="1314" t="s">
        <v>9</v>
      </c>
      <c r="C244" s="1741" t="s">
        <v>1383</v>
      </c>
      <c r="D244" s="1741"/>
      <c r="E244" s="1741"/>
      <c r="F244" s="1741"/>
      <c r="G244" s="1741"/>
      <c r="H244" s="1741"/>
      <c r="I244" s="1741"/>
      <c r="J244" s="1741"/>
      <c r="K244" s="1741"/>
      <c r="L244" s="1741"/>
    </row>
    <row r="245" spans="1:19" ht="13">
      <c r="A245" s="1313"/>
      <c r="B245" s="1314"/>
      <c r="C245" s="1741"/>
      <c r="D245" s="1741"/>
      <c r="E245" s="1741"/>
      <c r="F245" s="1741"/>
      <c r="G245" s="1741"/>
      <c r="H245" s="1741"/>
      <c r="I245" s="1741"/>
      <c r="J245" s="1741"/>
      <c r="K245" s="1741"/>
      <c r="L245" s="1741"/>
    </row>
    <row r="246" spans="1:19" ht="13">
      <c r="A246" s="1313"/>
      <c r="B246" s="1314"/>
      <c r="C246" s="1741"/>
      <c r="D246" s="1741"/>
      <c r="E246" s="1741"/>
      <c r="F246" s="1741"/>
      <c r="G246" s="1741"/>
      <c r="H246" s="1741"/>
      <c r="I246" s="1741"/>
      <c r="J246" s="1741"/>
      <c r="K246" s="1741"/>
      <c r="L246" s="1741"/>
    </row>
    <row r="247" spans="1:19">
      <c r="C247" s="1741"/>
      <c r="D247" s="1741"/>
      <c r="E247" s="1741"/>
      <c r="F247" s="1741"/>
      <c r="G247" s="1741"/>
      <c r="H247" s="1741"/>
      <c r="I247" s="1741"/>
      <c r="J247" s="1741"/>
      <c r="K247" s="1741"/>
      <c r="L247" s="1741"/>
    </row>
    <row r="248" spans="1:19">
      <c r="C248" s="1741"/>
      <c r="D248" s="1741"/>
      <c r="E248" s="1741"/>
      <c r="F248" s="1741"/>
      <c r="G248" s="1741"/>
      <c r="H248" s="1741"/>
      <c r="I248" s="1741"/>
      <c r="J248" s="1741"/>
      <c r="K248" s="1741"/>
      <c r="L248" s="1741"/>
    </row>
    <row r="249" spans="1:19" ht="15.75" customHeight="1">
      <c r="A249" s="1313"/>
      <c r="B249" s="1314" t="s">
        <v>10</v>
      </c>
      <c r="C249" s="1741" t="s">
        <v>1384</v>
      </c>
      <c r="D249" s="1741"/>
      <c r="E249" s="1741"/>
      <c r="F249" s="1741"/>
      <c r="G249" s="1741"/>
      <c r="H249" s="1741"/>
      <c r="I249" s="1741"/>
      <c r="J249" s="1741"/>
      <c r="K249" s="1741"/>
      <c r="L249" s="1741"/>
    </row>
    <row r="250" spans="1:19" ht="13">
      <c r="A250" s="1313"/>
      <c r="B250" s="1314"/>
      <c r="C250" s="1741"/>
      <c r="D250" s="1741"/>
      <c r="E250" s="1741"/>
      <c r="F250" s="1741"/>
      <c r="G250" s="1741"/>
      <c r="H250" s="1741"/>
      <c r="I250" s="1741"/>
      <c r="J250" s="1741"/>
      <c r="K250" s="1741"/>
      <c r="L250" s="1741"/>
    </row>
    <row r="251" spans="1:19" ht="13">
      <c r="A251" s="1313"/>
      <c r="B251" s="1314"/>
      <c r="C251" s="1741"/>
      <c r="D251" s="1741"/>
      <c r="E251" s="1741"/>
      <c r="F251" s="1741"/>
      <c r="G251" s="1741"/>
      <c r="H251" s="1741"/>
      <c r="I251" s="1741"/>
      <c r="J251" s="1741"/>
      <c r="K251" s="1741"/>
      <c r="L251" s="1741"/>
    </row>
    <row r="252" spans="1:19" ht="13">
      <c r="A252" s="1313"/>
      <c r="B252" s="1314"/>
      <c r="C252" s="1741"/>
      <c r="D252" s="1741"/>
      <c r="E252" s="1741"/>
      <c r="F252" s="1741"/>
      <c r="G252" s="1741"/>
      <c r="H252" s="1741"/>
      <c r="I252" s="1741"/>
      <c r="J252" s="1741"/>
      <c r="K252" s="1741"/>
      <c r="L252" s="1741"/>
    </row>
    <row r="253" spans="1:19" ht="13">
      <c r="A253" s="1313"/>
      <c r="B253" s="1314"/>
      <c r="C253" s="1741"/>
      <c r="D253" s="1741"/>
      <c r="E253" s="1741"/>
      <c r="F253" s="1741"/>
      <c r="G253" s="1741"/>
      <c r="H253" s="1741"/>
      <c r="I253" s="1741"/>
      <c r="J253" s="1741"/>
      <c r="K253" s="1741"/>
      <c r="L253" s="1741"/>
    </row>
    <row r="254" spans="1:19" ht="13">
      <c r="A254" s="1313"/>
      <c r="B254" s="1314"/>
      <c r="C254" s="1741"/>
      <c r="D254" s="1741"/>
      <c r="E254" s="1741"/>
      <c r="F254" s="1741"/>
      <c r="G254" s="1741"/>
      <c r="H254" s="1741"/>
      <c r="I254" s="1741"/>
      <c r="J254" s="1741"/>
      <c r="K254" s="1741"/>
      <c r="L254" s="1741"/>
    </row>
    <row r="255" spans="1:19" ht="13">
      <c r="A255" s="1313"/>
      <c r="B255" s="1314"/>
      <c r="C255" s="1741"/>
      <c r="D255" s="1741"/>
      <c r="E255" s="1741"/>
      <c r="F255" s="1741"/>
      <c r="G255" s="1741"/>
      <c r="H255" s="1741"/>
      <c r="I255" s="1741"/>
      <c r="J255" s="1741"/>
      <c r="K255" s="1741"/>
      <c r="L255" s="1741"/>
    </row>
    <row r="256" spans="1:19" ht="13">
      <c r="A256" s="1313"/>
      <c r="B256" s="1314"/>
      <c r="C256" s="1741"/>
      <c r="D256" s="1741"/>
      <c r="E256" s="1741"/>
      <c r="F256" s="1741"/>
      <c r="G256" s="1741"/>
      <c r="H256" s="1741"/>
      <c r="I256" s="1741"/>
      <c r="J256" s="1741"/>
      <c r="K256" s="1741"/>
      <c r="L256" s="1741"/>
    </row>
    <row r="257" spans="1:12">
      <c r="C257" s="1741"/>
      <c r="D257" s="1741"/>
      <c r="E257" s="1741"/>
      <c r="F257" s="1741"/>
      <c r="G257" s="1741"/>
      <c r="H257" s="1741"/>
      <c r="I257" s="1741"/>
      <c r="J257" s="1741"/>
      <c r="K257" s="1741"/>
      <c r="L257" s="1741"/>
    </row>
    <row r="258" spans="1:12" ht="15.75" customHeight="1">
      <c r="A258" s="1313"/>
      <c r="B258" s="1314" t="s">
        <v>11</v>
      </c>
      <c r="C258" s="1741" t="s">
        <v>1385</v>
      </c>
      <c r="D258" s="1741"/>
      <c r="E258" s="1741"/>
      <c r="F258" s="1741"/>
      <c r="G258" s="1741"/>
      <c r="H258" s="1741"/>
      <c r="I258" s="1741"/>
      <c r="J258" s="1741"/>
      <c r="K258" s="1741"/>
      <c r="L258" s="1741"/>
    </row>
    <row r="259" spans="1:12" ht="13">
      <c r="A259" s="1313"/>
      <c r="B259" s="1314"/>
      <c r="C259" s="1741"/>
      <c r="D259" s="1741"/>
      <c r="E259" s="1741"/>
      <c r="F259" s="1741"/>
      <c r="G259" s="1741"/>
      <c r="H259" s="1741"/>
      <c r="I259" s="1741"/>
      <c r="J259" s="1741"/>
      <c r="K259" s="1741"/>
      <c r="L259" s="1741"/>
    </row>
    <row r="260" spans="1:12" ht="13">
      <c r="A260" s="1313"/>
      <c r="B260" s="1314"/>
      <c r="C260" s="1741"/>
      <c r="D260" s="1741"/>
      <c r="E260" s="1741"/>
      <c r="F260" s="1741"/>
      <c r="G260" s="1741"/>
      <c r="H260" s="1741"/>
      <c r="I260" s="1741"/>
      <c r="J260" s="1741"/>
      <c r="K260" s="1741"/>
      <c r="L260" s="1741"/>
    </row>
    <row r="261" spans="1:12" ht="13">
      <c r="A261" s="1313"/>
      <c r="B261" s="1314"/>
      <c r="C261" s="1741"/>
      <c r="D261" s="1741"/>
      <c r="E261" s="1741"/>
      <c r="F261" s="1741"/>
      <c r="G261" s="1741"/>
      <c r="H261" s="1741"/>
      <c r="I261" s="1741"/>
      <c r="J261" s="1741"/>
      <c r="K261" s="1741"/>
      <c r="L261" s="1741"/>
    </row>
    <row r="262" spans="1:12" ht="15.75" customHeight="1">
      <c r="A262" s="1313"/>
      <c r="B262" s="1314" t="s">
        <v>14</v>
      </c>
      <c r="C262" s="1741" t="s">
        <v>1386</v>
      </c>
      <c r="D262" s="1741"/>
      <c r="E262" s="1741"/>
      <c r="F262" s="1741"/>
      <c r="G262" s="1741"/>
      <c r="H262" s="1741"/>
      <c r="I262" s="1741"/>
      <c r="J262" s="1741"/>
      <c r="K262" s="1741"/>
      <c r="L262" s="1741"/>
    </row>
    <row r="263" spans="1:12" ht="15.75" customHeight="1">
      <c r="C263" s="1741"/>
      <c r="D263" s="1741"/>
      <c r="E263" s="1741"/>
      <c r="F263" s="1741"/>
      <c r="G263" s="1741"/>
      <c r="H263" s="1741"/>
      <c r="I263" s="1741"/>
      <c r="J263" s="1741"/>
      <c r="K263" s="1741"/>
      <c r="L263" s="1741"/>
    </row>
    <row r="264" spans="1:12" ht="15.75" customHeight="1">
      <c r="A264" s="1313"/>
      <c r="B264" s="1314" t="s">
        <v>138</v>
      </c>
      <c r="C264" s="1741" t="s">
        <v>1387</v>
      </c>
      <c r="D264" s="1741"/>
      <c r="E264" s="1741"/>
      <c r="F264" s="1741"/>
      <c r="G264" s="1741"/>
      <c r="H264" s="1741"/>
      <c r="I264" s="1741"/>
      <c r="J264" s="1741"/>
      <c r="K264" s="1741"/>
      <c r="L264" s="1741"/>
    </row>
    <row r="265" spans="1:12" ht="15.75" customHeight="1">
      <c r="C265" s="1741"/>
      <c r="D265" s="1741"/>
      <c r="E265" s="1741"/>
      <c r="F265" s="1741"/>
      <c r="G265" s="1741"/>
      <c r="H265" s="1741"/>
      <c r="I265" s="1741"/>
      <c r="J265" s="1741"/>
      <c r="K265" s="1741"/>
      <c r="L265" s="1741"/>
    </row>
    <row r="266" spans="1:12" ht="15.75" customHeight="1">
      <c r="A266" s="1313"/>
      <c r="B266" s="1314" t="s">
        <v>139</v>
      </c>
      <c r="C266" s="1743" t="s">
        <v>1388</v>
      </c>
      <c r="D266" s="1743"/>
      <c r="E266" s="1743"/>
      <c r="F266" s="1743"/>
      <c r="G266" s="1743"/>
      <c r="H266" s="1743"/>
      <c r="I266" s="1743"/>
      <c r="J266" s="1743"/>
      <c r="K266" s="1743"/>
      <c r="L266" s="1743"/>
    </row>
    <row r="267" spans="1:12">
      <c r="C267" s="1743"/>
      <c r="D267" s="1743"/>
      <c r="E267" s="1743"/>
      <c r="F267" s="1743"/>
      <c r="G267" s="1743"/>
      <c r="H267" s="1743"/>
      <c r="I267" s="1743"/>
      <c r="J267" s="1743"/>
      <c r="K267" s="1743"/>
      <c r="L267" s="1743"/>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5"/>
  <sheetViews>
    <sheetView topLeftCell="A117" zoomScale="80" zoomScaleNormal="80" workbookViewId="0">
      <selection activeCell="T158" sqref="T158"/>
    </sheetView>
  </sheetViews>
  <sheetFormatPr defaultColWidth="9.1796875" defaultRowHeight="12.5"/>
  <cols>
    <col min="1" max="1" width="9.1796875" style="1010"/>
    <col min="2" max="2" width="5.7265625" style="1010" customWidth="1"/>
    <col min="3" max="3" width="9.453125" style="1010" customWidth="1"/>
    <col min="4" max="4" width="2.7265625" style="1010" customWidth="1"/>
    <col min="5" max="5" width="46.81640625" style="1010" bestFit="1" customWidth="1"/>
    <col min="6" max="6" width="2.7265625" style="1010" customWidth="1"/>
    <col min="7" max="7" width="19.1796875" style="1010" bestFit="1" customWidth="1"/>
    <col min="8" max="8" width="2.7265625" style="1010" customWidth="1"/>
    <col min="9" max="9" width="19.1796875" style="1010" bestFit="1" customWidth="1"/>
    <col min="10" max="10" width="2.7265625" style="1010" customWidth="1"/>
    <col min="11" max="11" width="18.54296875" style="1010" bestFit="1" customWidth="1"/>
    <col min="12" max="12" width="5.7265625" style="1010" customWidth="1"/>
    <col min="13" max="13" width="19.1796875" style="1010" bestFit="1" customWidth="1"/>
    <col min="14" max="14" width="2.7265625" style="1010" customWidth="1"/>
    <col min="15" max="15" width="17.453125" style="1010" customWidth="1"/>
    <col min="16" max="16" width="2.7265625" style="1010" customWidth="1"/>
    <col min="17" max="17" width="17.453125" style="1010" bestFit="1" customWidth="1"/>
    <col min="18" max="18" width="5.7265625" style="1010" customWidth="1"/>
    <col min="19" max="19" width="9.1796875" style="1010"/>
    <col min="20" max="20" width="15.26953125" style="1010" customWidth="1"/>
    <col min="21" max="21" width="15.1796875" style="1010" customWidth="1"/>
    <col min="22" max="16384" width="9.1796875" style="1010"/>
  </cols>
  <sheetData>
    <row r="1" spans="1:20" ht="15.5">
      <c r="A1" s="1739" t="s">
        <v>1551</v>
      </c>
      <c r="B1" s="1739"/>
      <c r="C1" s="1739"/>
      <c r="D1" s="1739"/>
      <c r="E1" s="1739"/>
      <c r="F1" s="1739"/>
      <c r="G1" s="1739"/>
      <c r="H1" s="1739"/>
      <c r="I1" s="1739"/>
      <c r="J1" s="1739"/>
      <c r="K1" s="1739"/>
      <c r="L1" s="1739"/>
      <c r="M1" s="1739"/>
      <c r="N1" s="1739"/>
      <c r="O1" s="1739"/>
      <c r="P1" s="1739"/>
      <c r="Q1" s="1739"/>
      <c r="R1" s="1739"/>
      <c r="S1" s="1739"/>
    </row>
    <row r="2" spans="1:20" ht="15.5">
      <c r="A2" s="1739" t="s">
        <v>1389</v>
      </c>
      <c r="B2" s="1739"/>
      <c r="C2" s="1739"/>
      <c r="D2" s="1739"/>
      <c r="E2" s="1739"/>
      <c r="F2" s="1739"/>
      <c r="G2" s="1739"/>
      <c r="H2" s="1739"/>
      <c r="I2" s="1739"/>
      <c r="J2" s="1739"/>
      <c r="K2" s="1739"/>
      <c r="L2" s="1739"/>
      <c r="M2" s="1739"/>
      <c r="N2" s="1739"/>
      <c r="O2" s="1739"/>
      <c r="P2" s="1739"/>
      <c r="Q2" s="1739"/>
      <c r="R2" s="1739"/>
      <c r="S2" s="1739"/>
    </row>
    <row r="3" spans="1:20" ht="15.5">
      <c r="A3" s="1739" t="s">
        <v>1390</v>
      </c>
      <c r="B3" s="1739"/>
      <c r="C3" s="1739"/>
      <c r="D3" s="1739"/>
      <c r="E3" s="1739"/>
      <c r="F3" s="1739"/>
      <c r="G3" s="1739"/>
      <c r="H3" s="1739"/>
      <c r="I3" s="1739"/>
      <c r="J3" s="1739"/>
      <c r="K3" s="1739"/>
      <c r="L3" s="1739"/>
      <c r="M3" s="1739"/>
      <c r="N3" s="1739"/>
      <c r="O3" s="1739"/>
      <c r="P3" s="1739"/>
      <c r="Q3" s="1739"/>
      <c r="R3" s="1739"/>
      <c r="S3" s="1739"/>
    </row>
    <row r="4" spans="1:20" ht="14">
      <c r="A4" s="1448"/>
      <c r="G4" s="1448"/>
      <c r="O4" s="1448"/>
    </row>
    <row r="5" spans="1:20" ht="14">
      <c r="A5" s="1448"/>
      <c r="G5" s="1448"/>
      <c r="O5" s="1448"/>
    </row>
    <row r="6" spans="1:20" ht="15.75" customHeight="1">
      <c r="C6" s="1750" t="s">
        <v>1354</v>
      </c>
      <c r="D6" s="1750"/>
      <c r="E6" s="1750"/>
      <c r="F6" s="1750"/>
      <c r="G6" s="1750"/>
      <c r="H6" s="1750"/>
      <c r="I6" s="1750"/>
      <c r="J6" s="1750"/>
      <c r="K6" s="1750"/>
      <c r="L6" s="1750"/>
      <c r="M6" s="1750"/>
      <c r="N6" s="1750"/>
      <c r="O6" s="1750"/>
      <c r="P6" s="1750"/>
      <c r="Q6" s="1750"/>
    </row>
    <row r="8" spans="1:20" ht="15.75" customHeight="1">
      <c r="C8" s="1761" t="s">
        <v>1391</v>
      </c>
      <c r="D8" s="1762"/>
      <c r="E8" s="1762"/>
      <c r="F8" s="1762"/>
      <c r="G8" s="1762"/>
      <c r="H8" s="1762"/>
      <c r="I8" s="1762"/>
      <c r="J8" s="1762"/>
      <c r="K8" s="1762"/>
      <c r="L8" s="1762"/>
      <c r="M8" s="1762"/>
      <c r="N8" s="1762"/>
      <c r="O8" s="1762"/>
      <c r="P8" s="1762"/>
      <c r="Q8" s="1763"/>
    </row>
    <row r="10" spans="1:20" ht="13">
      <c r="E10" s="1314" t="s">
        <v>174</v>
      </c>
      <c r="F10" s="1314"/>
      <c r="G10" s="1314" t="s">
        <v>175</v>
      </c>
      <c r="H10" s="1314"/>
      <c r="I10" s="1314" t="s">
        <v>1142</v>
      </c>
      <c r="J10" s="1314"/>
      <c r="K10" s="1314" t="s">
        <v>1295</v>
      </c>
      <c r="L10" s="1314"/>
      <c r="M10" s="1314" t="s">
        <v>1392</v>
      </c>
      <c r="N10" s="1314"/>
      <c r="O10" s="1314" t="s">
        <v>1297</v>
      </c>
      <c r="P10" s="1314"/>
      <c r="Q10" s="1314" t="s">
        <v>1298</v>
      </c>
    </row>
    <row r="11" spans="1:20" ht="15" customHeight="1">
      <c r="C11" s="1753" t="s">
        <v>1305</v>
      </c>
      <c r="D11" s="1639"/>
      <c r="E11" s="1755" t="s">
        <v>1373</v>
      </c>
      <c r="G11" s="1757" t="s">
        <v>278</v>
      </c>
      <c r="I11" s="1757" t="s">
        <v>1393</v>
      </c>
      <c r="K11" s="1449" t="s">
        <v>1394</v>
      </c>
      <c r="M11" s="1450" t="s">
        <v>1508</v>
      </c>
      <c r="O11" s="1759" t="s">
        <v>1395</v>
      </c>
      <c r="Q11" s="1450" t="s">
        <v>1797</v>
      </c>
    </row>
    <row r="12" spans="1:20" ht="25">
      <c r="C12" s="1754"/>
      <c r="D12" s="1639"/>
      <c r="E12" s="1756"/>
      <c r="F12" s="1451"/>
      <c r="G12" s="1758"/>
      <c r="H12" s="1451"/>
      <c r="I12" s="1758"/>
      <c r="J12" s="1451"/>
      <c r="K12" s="1452" t="s">
        <v>1396</v>
      </c>
      <c r="M12" s="1705" t="s">
        <v>1397</v>
      </c>
      <c r="O12" s="1760"/>
      <c r="Q12" s="1705" t="s">
        <v>1398</v>
      </c>
    </row>
    <row r="13" spans="1:20" ht="5.15" customHeight="1"/>
    <row r="14" spans="1:20" ht="13">
      <c r="A14" s="1453"/>
      <c r="B14" s="1453"/>
      <c r="C14" s="1316">
        <v>1</v>
      </c>
      <c r="D14" s="1453"/>
      <c r="E14" s="1454" t="s">
        <v>1399</v>
      </c>
      <c r="F14" s="1453"/>
      <c r="G14" s="1455"/>
      <c r="H14" s="1453"/>
      <c r="I14" s="1455"/>
      <c r="J14" s="1453"/>
      <c r="K14" s="1456"/>
      <c r="M14" s="1445"/>
      <c r="O14" s="1457"/>
      <c r="Q14" s="1453"/>
    </row>
    <row r="15" spans="1:20" ht="5.15" customHeight="1"/>
    <row r="16" spans="1:20">
      <c r="C16" s="1316">
        <f>C14+1</f>
        <v>2</v>
      </c>
      <c r="E16" s="1440" t="s">
        <v>1376</v>
      </c>
      <c r="G16" s="1458" t="s">
        <v>814</v>
      </c>
      <c r="I16" s="1455" t="s">
        <v>1400</v>
      </c>
      <c r="K16" s="1443">
        <f>SUMIFS('1F - ADIT Remeasurement'!$AF$11:$AF$124,'1F - ADIT Remeasurement'!$E$11:$E$124,"Non-Property",'1F - ADIT Remeasurement'!$AH$11:$AH$124,"190")</f>
        <v>-831665.8690341271</v>
      </c>
      <c r="L16" s="1442"/>
      <c r="M16" s="1710">
        <v>-415833.06548293639</v>
      </c>
      <c r="N16" s="1711"/>
      <c r="O16" s="1710">
        <f>-K16/4</f>
        <v>207916.46725853177</v>
      </c>
      <c r="P16" s="1442"/>
      <c r="Q16" s="1443">
        <f>M16+O16</f>
        <v>-207916.59822440462</v>
      </c>
      <c r="T16" s="1347"/>
    </row>
    <row r="17" spans="1:20">
      <c r="C17" s="1316">
        <f>C16+1</f>
        <v>3</v>
      </c>
      <c r="E17" s="1440" t="s">
        <v>1401</v>
      </c>
      <c r="G17" s="1458" t="s">
        <v>814</v>
      </c>
      <c r="I17" s="1455" t="s">
        <v>1400</v>
      </c>
      <c r="K17" s="1459">
        <f>SUMIFS('1F - ADIT Remeasurement'!$AF$11:$AF$124,'1F - ADIT Remeasurement'!$E$11:$E$124,"Non-Property",'1F - ADIT Remeasurement'!$AH$11:$AH$124,"281")</f>
        <v>0</v>
      </c>
      <c r="L17" s="1650"/>
      <c r="M17" s="1710">
        <v>0</v>
      </c>
      <c r="O17" s="1663">
        <f>-K17/4</f>
        <v>0</v>
      </c>
      <c r="P17" s="1650"/>
      <c r="Q17" s="1459">
        <f>M17+O17</f>
        <v>0</v>
      </c>
    </row>
    <row r="18" spans="1:20">
      <c r="C18" s="1316">
        <f>C17+1</f>
        <v>4</v>
      </c>
      <c r="E18" s="1440" t="s">
        <v>1377</v>
      </c>
      <c r="G18" s="1458" t="s">
        <v>814</v>
      </c>
      <c r="I18" s="1455" t="s">
        <v>1400</v>
      </c>
      <c r="K18" s="1459">
        <f>SUMIFS('1F - ADIT Remeasurement'!$AF$11:$AF$124,'1F - ADIT Remeasurement'!$E$11:$E$124,"Non-Property",'1F - ADIT Remeasurement'!$AH$11:$AH$124,"282")</f>
        <v>0</v>
      </c>
      <c r="L18" s="1650"/>
      <c r="M18" s="1710">
        <v>0</v>
      </c>
      <c r="O18" s="1663">
        <f>-K18/4</f>
        <v>0</v>
      </c>
      <c r="P18" s="1650"/>
      <c r="Q18" s="1459">
        <f>M18+O18</f>
        <v>0</v>
      </c>
    </row>
    <row r="19" spans="1:20">
      <c r="C19" s="1316">
        <f>C18+1</f>
        <v>5</v>
      </c>
      <c r="E19" s="1440" t="s">
        <v>1378</v>
      </c>
      <c r="G19" s="1458" t="s">
        <v>814</v>
      </c>
      <c r="I19" s="1455" t="s">
        <v>1400</v>
      </c>
      <c r="K19" s="1459">
        <f>SUMIFS('1F - ADIT Remeasurement'!$AF$11:$AF$124,'1F - ADIT Remeasurement'!$E$11:$E$124,"Non-Property",'1F - ADIT Remeasurement'!$AH$11:$AH$124,"283")</f>
        <v>-5013301.6464545364</v>
      </c>
      <c r="L19" s="1650"/>
      <c r="M19" s="1710">
        <v>-2506651.1767727323</v>
      </c>
      <c r="O19" s="1663">
        <f>-K19/4</f>
        <v>1253325.4116136341</v>
      </c>
      <c r="P19" s="1650"/>
      <c r="Q19" s="1459">
        <f>M19+O19</f>
        <v>-1253325.7651590982</v>
      </c>
      <c r="T19" s="1347"/>
    </row>
    <row r="20" spans="1:20" ht="5.15" customHeight="1">
      <c r="K20" s="1460"/>
      <c r="M20" s="1460"/>
      <c r="O20" s="1460"/>
      <c r="Q20" s="1460"/>
    </row>
    <row r="21" spans="1:20" ht="13">
      <c r="C21" s="1316">
        <f>C19+1</f>
        <v>6</v>
      </c>
      <c r="E21" s="1313" t="s">
        <v>1402</v>
      </c>
      <c r="K21" s="1445">
        <f>SUM(K15:K20)</f>
        <v>-5844967.5154886637</v>
      </c>
      <c r="L21" s="1445"/>
      <c r="M21" s="1445">
        <f>SUM(M15:M20)</f>
        <v>-2922484.2422556686</v>
      </c>
      <c r="N21" s="1442"/>
      <c r="O21" s="1445">
        <f>SUM(O15:O20)</f>
        <v>1461241.8788721659</v>
      </c>
      <c r="P21" s="1445"/>
      <c r="Q21" s="1445">
        <f>SUM(Q15:Q20)</f>
        <v>-1461242.3633835027</v>
      </c>
    </row>
    <row r="22" spans="1:20">
      <c r="C22" s="1316"/>
    </row>
    <row r="23" spans="1:20" ht="13">
      <c r="A23" s="1453"/>
      <c r="B23" s="1453"/>
      <c r="C23" s="1316">
        <f>C21+1</f>
        <v>7</v>
      </c>
      <c r="D23" s="1453"/>
      <c r="E23" s="1454" t="s">
        <v>1403</v>
      </c>
      <c r="F23" s="1453"/>
      <c r="G23" s="1455"/>
      <c r="H23" s="1453"/>
      <c r="I23" s="1455"/>
      <c r="J23" s="1453"/>
      <c r="K23" s="1456"/>
      <c r="M23" s="1445"/>
      <c r="O23" s="1457"/>
      <c r="Q23" s="1453"/>
    </row>
    <row r="24" spans="1:20" ht="5.15" customHeight="1"/>
    <row r="25" spans="1:20">
      <c r="C25" s="1316">
        <f>C23+1</f>
        <v>8</v>
      </c>
      <c r="E25" s="1440" t="s">
        <v>1376</v>
      </c>
      <c r="G25" s="1458" t="s">
        <v>814</v>
      </c>
      <c r="I25" s="1455" t="s">
        <v>1404</v>
      </c>
      <c r="K25" s="1443">
        <f>SUMIFS('1F - ADIT Remeasurement'!$AF$11:$AF$124,'1F - ADIT Remeasurement'!$E$11:$E$124,"Unprotected Property",'1F - ADIT Remeasurement'!$AH$11:$AH$124,"190")</f>
        <v>0</v>
      </c>
      <c r="L25" s="1442"/>
      <c r="M25" s="1443">
        <v>0</v>
      </c>
      <c r="N25" s="1442"/>
      <c r="O25" s="1443">
        <f>-K25/5</f>
        <v>0</v>
      </c>
      <c r="P25" s="1442"/>
      <c r="Q25" s="1443">
        <f>M25+O25</f>
        <v>0</v>
      </c>
    </row>
    <row r="26" spans="1:20">
      <c r="C26" s="1316">
        <f>C25+1</f>
        <v>9</v>
      </c>
      <c r="E26" s="1440" t="s">
        <v>1401</v>
      </c>
      <c r="G26" s="1458" t="s">
        <v>814</v>
      </c>
      <c r="I26" s="1455" t="s">
        <v>1404</v>
      </c>
      <c r="K26" s="1466">
        <f>SUMIFS('1F - ADIT Remeasurement'!$AF$11:$AF$124,'1F - ADIT Remeasurement'!$E$11:$E$124,"Unprotected Property",'1F - ADIT Remeasurement'!$AH$11:$AH$124,"281")</f>
        <v>0</v>
      </c>
      <c r="L26" s="1651"/>
      <c r="M26" s="1466">
        <v>0</v>
      </c>
      <c r="N26" s="1651"/>
      <c r="O26" s="1466">
        <f>-K26/5</f>
        <v>0</v>
      </c>
      <c r="P26" s="1651"/>
      <c r="Q26" s="1466">
        <f>M26+O26</f>
        <v>0</v>
      </c>
    </row>
    <row r="27" spans="1:20">
      <c r="C27" s="1316">
        <f>C26+1</f>
        <v>10</v>
      </c>
      <c r="E27" s="1440" t="s">
        <v>1377</v>
      </c>
      <c r="G27" s="1458" t="s">
        <v>814</v>
      </c>
      <c r="I27" s="1455" t="s">
        <v>1404</v>
      </c>
      <c r="K27" s="1466">
        <f>SUMIFS('1F - ADIT Remeasurement'!$AF$11:$AF$124,'1F - ADIT Remeasurement'!$E$11:$E$124,"Unprotected Property",'1F - ADIT Remeasurement'!$AH$11:$AH$124,"282")</f>
        <v>-54437931.937298149</v>
      </c>
      <c r="L27" s="1651"/>
      <c r="M27" s="1710">
        <v>-32662759.225080743</v>
      </c>
      <c r="O27" s="1663">
        <f>-K27/5</f>
        <v>10887586.38745963</v>
      </c>
      <c r="P27" s="1651"/>
      <c r="Q27" s="1466">
        <f>M27+O27</f>
        <v>-21775172.837621115</v>
      </c>
      <c r="T27" s="1347"/>
    </row>
    <row r="28" spans="1:20">
      <c r="C28" s="1316">
        <f>C27+1</f>
        <v>11</v>
      </c>
      <c r="E28" s="1440" t="s">
        <v>1378</v>
      </c>
      <c r="G28" s="1458" t="s">
        <v>814</v>
      </c>
      <c r="I28" s="1455" t="s">
        <v>1404</v>
      </c>
      <c r="K28" s="1466">
        <f>SUMIFS('1F - ADIT Remeasurement'!$AF$11:$AF$124,'1F - ADIT Remeasurement'!$E$11:$E$124,"Unprotected Property",'1F - ADIT Remeasurement'!$AH$11:$AH$124,"283")</f>
        <v>0</v>
      </c>
      <c r="L28" s="1651"/>
      <c r="M28" s="1466">
        <v>0</v>
      </c>
      <c r="N28" s="1651"/>
      <c r="O28" s="1466">
        <f>-K28/5</f>
        <v>0</v>
      </c>
      <c r="P28" s="1651"/>
      <c r="Q28" s="1466">
        <f>M28+O28</f>
        <v>0</v>
      </c>
    </row>
    <row r="29" spans="1:20" ht="5.15" customHeight="1">
      <c r="K29" s="1460"/>
      <c r="M29" s="1460"/>
      <c r="O29" s="1460"/>
      <c r="Q29" s="1460"/>
    </row>
    <row r="30" spans="1:20" ht="13">
      <c r="C30" s="1316">
        <f>C28+1</f>
        <v>12</v>
      </c>
      <c r="E30" s="1313" t="s">
        <v>1402</v>
      </c>
      <c r="K30" s="1445">
        <f>SUM(K24:K29)</f>
        <v>-54437931.937298149</v>
      </c>
      <c r="L30" s="1442"/>
      <c r="M30" s="1445">
        <f>SUM(M24:M29)</f>
        <v>-32662759.225080743</v>
      </c>
      <c r="N30" s="1445"/>
      <c r="O30" s="1445">
        <f>SUM(O24:O29)</f>
        <v>10887586.38745963</v>
      </c>
      <c r="P30" s="1445"/>
      <c r="Q30" s="1445">
        <f>SUM(Q24:Q29)</f>
        <v>-21775172.837621115</v>
      </c>
    </row>
    <row r="32" spans="1:20" ht="13">
      <c r="A32" s="1453"/>
      <c r="B32" s="1453"/>
      <c r="C32" s="1316">
        <f>C30+1</f>
        <v>13</v>
      </c>
      <c r="D32" s="1453"/>
      <c r="E32" s="1454" t="s">
        <v>1405</v>
      </c>
      <c r="F32" s="1453"/>
      <c r="G32" s="1455"/>
      <c r="H32" s="1453"/>
      <c r="I32" s="1455"/>
      <c r="J32" s="1453"/>
      <c r="K32" s="1456"/>
      <c r="M32" s="1445"/>
      <c r="O32" s="1457"/>
      <c r="Q32" s="1453"/>
    </row>
    <row r="33" spans="3:20" ht="5.15" customHeight="1"/>
    <row r="34" spans="3:20">
      <c r="C34" s="1316">
        <f>C32+1</f>
        <v>14</v>
      </c>
      <c r="E34" s="1440" t="s">
        <v>1376</v>
      </c>
      <c r="G34" s="1458" t="s">
        <v>814</v>
      </c>
      <c r="I34" s="1455" t="s">
        <v>1406</v>
      </c>
      <c r="K34" s="1443">
        <f>SUMIFS('1F - ADIT Remeasurement'!$AF$11:$AF$124,'1F - ADIT Remeasurement'!$E$11:$E$124,"Protected Property",'1F - ADIT Remeasurement'!$AH$11:$AH$124,"190")</f>
        <v>3570954.0898157381</v>
      </c>
      <c r="L34" s="1442"/>
      <c r="M34" s="1710">
        <v>3570954</v>
      </c>
      <c r="O34" s="1663">
        <v>0</v>
      </c>
      <c r="P34" s="1442"/>
      <c r="Q34" s="1443">
        <f>M34+O34</f>
        <v>3570954</v>
      </c>
    </row>
    <row r="35" spans="3:20">
      <c r="C35" s="1316">
        <f>C34+1</f>
        <v>15</v>
      </c>
      <c r="E35" s="1440" t="s">
        <v>1401</v>
      </c>
      <c r="G35" s="1458" t="s">
        <v>814</v>
      </c>
      <c r="I35" s="1455" t="s">
        <v>1406</v>
      </c>
      <c r="K35" s="1459">
        <f>SUMIFS('1F - ADIT Remeasurement'!$AF$11:$AF$124,'1F - ADIT Remeasurement'!$E$11:$E$124,"Protected Property",'1F - ADIT Remeasurement'!$AH$11:$AH$124,"281")</f>
        <v>0</v>
      </c>
      <c r="L35" s="1650"/>
      <c r="M35" s="1710">
        <v>0</v>
      </c>
      <c r="O35" s="1663">
        <v>0</v>
      </c>
      <c r="P35" s="1650"/>
      <c r="Q35" s="1459">
        <f>M35+O35</f>
        <v>0</v>
      </c>
    </row>
    <row r="36" spans="3:20">
      <c r="C36" s="1316">
        <f>C35+1</f>
        <v>16</v>
      </c>
      <c r="E36" s="1440" t="s">
        <v>1377</v>
      </c>
      <c r="G36" s="1458" t="s">
        <v>814</v>
      </c>
      <c r="I36" s="1455" t="s">
        <v>1406</v>
      </c>
      <c r="K36" s="1459">
        <f>SUMIFS('1F - ADIT Remeasurement'!$AF$11:$AF$124,'1F - ADIT Remeasurement'!$E$11:$E$124,"Protected Property",'1F - ADIT Remeasurement'!$AH$11:$AH$124,"282")</f>
        <v>-51415785.138475791</v>
      </c>
      <c r="L36" s="1650"/>
      <c r="M36" s="1710">
        <v>-50401229</v>
      </c>
      <c r="O36" s="1663">
        <v>855244</v>
      </c>
      <c r="P36" s="1650"/>
      <c r="Q36" s="1459">
        <f>M36+O36</f>
        <v>-49545985</v>
      </c>
    </row>
    <row r="37" spans="3:20">
      <c r="C37" s="1316">
        <f>C36+1</f>
        <v>17</v>
      </c>
      <c r="E37" s="1440" t="s">
        <v>1378</v>
      </c>
      <c r="G37" s="1458" t="s">
        <v>814</v>
      </c>
      <c r="I37" s="1455" t="s">
        <v>1406</v>
      </c>
      <c r="K37" s="1459">
        <f>SUMIFS('1F - ADIT Remeasurement'!$AF$11:$AF$124,'1F - ADIT Remeasurement'!$E$11:$E$124,"Protected Property",'1F - ADIT Remeasurement'!$AH$11:$AH$124,"283")</f>
        <v>0</v>
      </c>
      <c r="L37" s="1650"/>
      <c r="M37" s="1459">
        <v>0</v>
      </c>
      <c r="N37" s="1650"/>
      <c r="O37" s="1459">
        <v>0</v>
      </c>
      <c r="P37" s="1650"/>
      <c r="Q37" s="1459">
        <f>M37+O37</f>
        <v>0</v>
      </c>
    </row>
    <row r="38" spans="3:20" ht="5.15" customHeight="1">
      <c r="K38" s="1460"/>
      <c r="M38" s="1460"/>
      <c r="O38" s="1460"/>
      <c r="Q38" s="1460"/>
    </row>
    <row r="39" spans="3:20" ht="13">
      <c r="C39" s="1316">
        <f>C37+1</f>
        <v>18</v>
      </c>
      <c r="E39" s="1313" t="s">
        <v>1402</v>
      </c>
      <c r="K39" s="1445">
        <f>SUM(K33:K38)</f>
        <v>-47844831.048660055</v>
      </c>
      <c r="L39" s="1442"/>
      <c r="M39" s="1445">
        <f>SUM(M33:M38)</f>
        <v>-46830275</v>
      </c>
      <c r="N39" s="1442"/>
      <c r="O39" s="1445">
        <f>SUM(O33:O38)</f>
        <v>855244</v>
      </c>
      <c r="P39" s="1445"/>
      <c r="Q39" s="1445">
        <f>SUM(Q33:Q38)</f>
        <v>-45975031</v>
      </c>
      <c r="T39" s="1347"/>
    </row>
    <row r="41" spans="3:20" ht="13.5" thickBot="1">
      <c r="C41" s="1316">
        <f>C39+1</f>
        <v>19</v>
      </c>
      <c r="E41" s="1313" t="s">
        <v>1407</v>
      </c>
      <c r="K41" s="1461">
        <f>K21+K30+K39</f>
        <v>-108127730.50144687</v>
      </c>
      <c r="L41" s="1445"/>
      <c r="M41" s="1461">
        <f>M21+M30+M39</f>
        <v>-82415518.467336416</v>
      </c>
      <c r="N41" s="1445"/>
      <c r="O41" s="1461">
        <f>O21+O30+O39</f>
        <v>13204072.266331796</v>
      </c>
      <c r="P41" s="1445"/>
      <c r="Q41" s="1461">
        <f>Q21+Q30+Q39</f>
        <v>-69211446.201004624</v>
      </c>
      <c r="T41" s="1462"/>
    </row>
    <row r="44" spans="3:20" ht="15.75" customHeight="1">
      <c r="C44" s="1761" t="s">
        <v>1408</v>
      </c>
      <c r="D44" s="1762"/>
      <c r="E44" s="1762"/>
      <c r="F44" s="1762"/>
      <c r="G44" s="1762"/>
      <c r="H44" s="1762"/>
      <c r="I44" s="1762"/>
      <c r="J44" s="1762"/>
      <c r="K44" s="1762"/>
      <c r="L44" s="1762"/>
      <c r="M44" s="1762"/>
      <c r="N44" s="1762"/>
      <c r="O44" s="1762"/>
      <c r="P44" s="1762"/>
      <c r="Q44" s="1763"/>
    </row>
    <row r="46" spans="3:20" ht="13">
      <c r="E46" s="1314" t="s">
        <v>174</v>
      </c>
      <c r="F46" s="1314"/>
      <c r="G46" s="1314" t="s">
        <v>175</v>
      </c>
      <c r="H46" s="1314"/>
      <c r="I46" s="1314" t="s">
        <v>1142</v>
      </c>
      <c r="J46" s="1314"/>
      <c r="K46" s="1314" t="s">
        <v>1295</v>
      </c>
      <c r="L46" s="1314"/>
      <c r="M46" s="1314" t="s">
        <v>1392</v>
      </c>
      <c r="N46" s="1314"/>
      <c r="O46" s="1314" t="s">
        <v>1297</v>
      </c>
      <c r="P46" s="1314"/>
      <c r="Q46" s="1314" t="s">
        <v>1298</v>
      </c>
    </row>
    <row r="47" spans="3:20" ht="15" customHeight="1">
      <c r="C47" s="1753" t="s">
        <v>1305</v>
      </c>
      <c r="D47" s="1639"/>
      <c r="E47" s="1755" t="s">
        <v>1373</v>
      </c>
      <c r="G47" s="1757" t="s">
        <v>278</v>
      </c>
      <c r="I47" s="1757" t="s">
        <v>1393</v>
      </c>
      <c r="K47" s="1463" t="s">
        <v>1409</v>
      </c>
      <c r="M47" s="1450" t="s">
        <v>1508</v>
      </c>
      <c r="O47" s="1759" t="s">
        <v>1395</v>
      </c>
      <c r="Q47" s="1450" t="s">
        <v>1797</v>
      </c>
    </row>
    <row r="48" spans="3:20" ht="25">
      <c r="C48" s="1754"/>
      <c r="D48" s="1639"/>
      <c r="E48" s="1756"/>
      <c r="F48" s="1451"/>
      <c r="G48" s="1758"/>
      <c r="H48" s="1451"/>
      <c r="I48" s="1758"/>
      <c r="J48" s="1451"/>
      <c r="K48" s="1452" t="s">
        <v>1396</v>
      </c>
      <c r="M48" s="1705" t="s">
        <v>1397</v>
      </c>
      <c r="O48" s="1760"/>
      <c r="Q48" s="1705" t="s">
        <v>1398</v>
      </c>
    </row>
    <row r="49" spans="1:20" ht="5.15" customHeight="1"/>
    <row r="50" spans="1:20" ht="13">
      <c r="A50" s="1453"/>
      <c r="B50" s="1453"/>
      <c r="C50" s="1316">
        <f>C41+1</f>
        <v>20</v>
      </c>
      <c r="D50" s="1453"/>
      <c r="E50" s="1454" t="s">
        <v>1405</v>
      </c>
      <c r="F50" s="1453"/>
      <c r="G50" s="1455"/>
      <c r="H50" s="1453"/>
      <c r="I50" s="1455"/>
      <c r="J50" s="1453"/>
      <c r="K50" s="1456"/>
      <c r="M50" s="1445"/>
      <c r="O50" s="1457"/>
      <c r="Q50" s="1453"/>
    </row>
    <row r="51" spans="1:20" ht="5.15" customHeight="1"/>
    <row r="52" spans="1:20">
      <c r="C52" s="1316">
        <f>C50+1</f>
        <v>21</v>
      </c>
      <c r="E52" s="1440" t="s">
        <v>1376</v>
      </c>
      <c r="G52" s="1458" t="s">
        <v>321</v>
      </c>
      <c r="I52" s="1455" t="s">
        <v>1406</v>
      </c>
      <c r="K52" s="1443">
        <v>0</v>
      </c>
      <c r="L52" s="1442"/>
      <c r="M52" s="1443">
        <v>0</v>
      </c>
      <c r="N52" s="1442"/>
      <c r="O52" s="1443">
        <v>0</v>
      </c>
      <c r="P52" s="1442"/>
      <c r="Q52" s="1443">
        <f>M52+O52</f>
        <v>0</v>
      </c>
    </row>
    <row r="53" spans="1:20">
      <c r="C53" s="1316">
        <f>C52+1</f>
        <v>22</v>
      </c>
      <c r="E53" s="1440" t="s">
        <v>1401</v>
      </c>
      <c r="G53" s="1458" t="s">
        <v>321</v>
      </c>
      <c r="I53" s="1455" t="s">
        <v>1406</v>
      </c>
      <c r="K53" s="1459">
        <v>0</v>
      </c>
      <c r="L53" s="1650"/>
      <c r="M53" s="1459">
        <v>0</v>
      </c>
      <c r="N53" s="1650"/>
      <c r="O53" s="1459">
        <v>0</v>
      </c>
      <c r="P53" s="1650"/>
      <c r="Q53" s="1459">
        <f>M53+O53</f>
        <v>0</v>
      </c>
    </row>
    <row r="54" spans="1:20">
      <c r="C54" s="1316">
        <f>C53+1</f>
        <v>23</v>
      </c>
      <c r="E54" s="1440" t="s">
        <v>1377</v>
      </c>
      <c r="G54" s="1458" t="s">
        <v>321</v>
      </c>
      <c r="I54" s="1455" t="s">
        <v>1406</v>
      </c>
      <c r="K54" s="1459">
        <v>-228106</v>
      </c>
      <c r="L54" s="1650"/>
      <c r="M54" s="1710">
        <v>-166626</v>
      </c>
      <c r="O54" s="1663">
        <v>64182</v>
      </c>
      <c r="P54" s="1650"/>
      <c r="Q54" s="1459">
        <f>M54+O54</f>
        <v>-102444</v>
      </c>
    </row>
    <row r="55" spans="1:20">
      <c r="C55" s="1316">
        <f>C54+1</f>
        <v>24</v>
      </c>
      <c r="E55" s="1440" t="s">
        <v>1378</v>
      </c>
      <c r="G55" s="1458" t="s">
        <v>321</v>
      </c>
      <c r="I55" s="1455" t="s">
        <v>1406</v>
      </c>
      <c r="K55" s="1459">
        <v>0</v>
      </c>
      <c r="L55" s="1650"/>
      <c r="M55" s="1459">
        <v>0</v>
      </c>
      <c r="N55" s="1650"/>
      <c r="O55" s="1459">
        <v>0</v>
      </c>
      <c r="P55" s="1650"/>
      <c r="Q55" s="1459">
        <f>M55+O55</f>
        <v>0</v>
      </c>
      <c r="R55" s="1010" t="s">
        <v>86</v>
      </c>
      <c r="S55" s="1010" t="s">
        <v>86</v>
      </c>
      <c r="T55" s="1010" t="s">
        <v>86</v>
      </c>
    </row>
    <row r="56" spans="1:20" ht="5.15" customHeight="1">
      <c r="K56" s="1460"/>
      <c r="M56" s="1460"/>
      <c r="O56" s="1460"/>
      <c r="Q56" s="1460"/>
    </row>
    <row r="57" spans="1:20" ht="13">
      <c r="C57" s="1316">
        <f>C55+1</f>
        <v>25</v>
      </c>
      <c r="E57" s="1313" t="s">
        <v>1402</v>
      </c>
      <c r="K57" s="1445">
        <f>SUM(K51:K56)</f>
        <v>-228106</v>
      </c>
      <c r="L57" s="1445"/>
      <c r="M57" s="1445">
        <f>SUM(M51:M56)</f>
        <v>-166626</v>
      </c>
      <c r="N57" s="1445"/>
      <c r="O57" s="1445">
        <f>SUM(O51:O56)</f>
        <v>64182</v>
      </c>
      <c r="P57" s="1445"/>
      <c r="Q57" s="1445">
        <f>SUM(Q51:Q56)</f>
        <v>-102444</v>
      </c>
    </row>
    <row r="59" spans="1:20" ht="13.5" thickBot="1">
      <c r="C59" s="1316">
        <f>C57+1</f>
        <v>26</v>
      </c>
      <c r="E59" s="1313" t="s">
        <v>1407</v>
      </c>
      <c r="K59" s="1461">
        <f>K57</f>
        <v>-228106</v>
      </c>
      <c r="L59" s="1445"/>
      <c r="M59" s="1461">
        <f>M57</f>
        <v>-166626</v>
      </c>
      <c r="N59" s="1445"/>
      <c r="O59" s="1461">
        <f>O57</f>
        <v>64182</v>
      </c>
      <c r="P59" s="1445"/>
      <c r="Q59" s="1461">
        <f>Q57</f>
        <v>-102444</v>
      </c>
    </row>
    <row r="60" spans="1:20" ht="13">
      <c r="C60" s="1316"/>
      <c r="E60" s="1313"/>
      <c r="K60" s="1464"/>
      <c r="L60" s="1445"/>
      <c r="M60" s="1464"/>
      <c r="N60" s="1445"/>
      <c r="P60" s="1445"/>
    </row>
    <row r="61" spans="1:20" ht="13">
      <c r="C61" s="1316"/>
      <c r="E61" s="1313"/>
      <c r="L61" s="1445"/>
      <c r="N61" s="1445"/>
      <c r="P61" s="1445"/>
      <c r="T61" s="1462"/>
    </row>
    <row r="62" spans="1:20" ht="15.75" customHeight="1">
      <c r="C62" s="1761" t="s">
        <v>1410</v>
      </c>
      <c r="D62" s="1762"/>
      <c r="E62" s="1762"/>
      <c r="F62" s="1762"/>
      <c r="G62" s="1762"/>
      <c r="H62" s="1762"/>
      <c r="I62" s="1762"/>
      <c r="J62" s="1762"/>
      <c r="K62" s="1762"/>
      <c r="L62" s="1762"/>
      <c r="M62" s="1762"/>
      <c r="N62" s="1762"/>
      <c r="O62" s="1762"/>
      <c r="P62" s="1762"/>
      <c r="Q62" s="1763"/>
    </row>
    <row r="64" spans="1:20" ht="13">
      <c r="E64" s="1314" t="s">
        <v>174</v>
      </c>
      <c r="F64" s="1314"/>
      <c r="G64" s="1314" t="s">
        <v>175</v>
      </c>
      <c r="H64" s="1314"/>
      <c r="I64" s="1314" t="s">
        <v>1142</v>
      </c>
      <c r="J64" s="1314"/>
      <c r="K64" s="1314" t="s">
        <v>1295</v>
      </c>
      <c r="L64" s="1314"/>
      <c r="M64" s="1314" t="s">
        <v>1392</v>
      </c>
      <c r="N64" s="1314"/>
      <c r="O64" s="1314" t="s">
        <v>1297</v>
      </c>
      <c r="P64" s="1314"/>
      <c r="Q64" s="1314" t="s">
        <v>1298</v>
      </c>
    </row>
    <row r="65" spans="1:20" ht="15" customHeight="1">
      <c r="C65" s="1753" t="s">
        <v>1305</v>
      </c>
      <c r="D65" s="1639"/>
      <c r="E65" s="1755" t="s">
        <v>1373</v>
      </c>
      <c r="G65" s="1757" t="s">
        <v>278</v>
      </c>
      <c r="I65" s="1757" t="s">
        <v>1393</v>
      </c>
      <c r="K65" s="1449"/>
      <c r="M65" s="1450" t="s">
        <v>1508</v>
      </c>
      <c r="O65" s="1759" t="s">
        <v>1395</v>
      </c>
      <c r="Q65" s="1450" t="s">
        <v>1797</v>
      </c>
    </row>
    <row r="66" spans="1:20" ht="25">
      <c r="C66" s="1754"/>
      <c r="D66" s="1639"/>
      <c r="E66" s="1756"/>
      <c r="F66" s="1451"/>
      <c r="G66" s="1758"/>
      <c r="H66" s="1451"/>
      <c r="I66" s="1758"/>
      <c r="J66" s="1451"/>
      <c r="K66" s="1452" t="s">
        <v>1396</v>
      </c>
      <c r="M66" s="1705" t="s">
        <v>1397</v>
      </c>
      <c r="O66" s="1760"/>
      <c r="Q66" s="1705" t="s">
        <v>1398</v>
      </c>
    </row>
    <row r="67" spans="1:20" ht="5.15" customHeight="1"/>
    <row r="68" spans="1:20" ht="13">
      <c r="A68" s="1453"/>
      <c r="B68" s="1453"/>
      <c r="C68" s="1316">
        <f>C59+1</f>
        <v>27</v>
      </c>
      <c r="D68" s="1453"/>
      <c r="E68" s="1454" t="s">
        <v>1399</v>
      </c>
      <c r="F68" s="1453"/>
      <c r="G68" s="1455"/>
      <c r="H68" s="1453"/>
      <c r="I68" s="1455"/>
      <c r="J68" s="1453"/>
      <c r="K68" s="1456"/>
      <c r="M68" s="1445"/>
      <c r="O68" s="1457"/>
      <c r="Q68" s="1453"/>
    </row>
    <row r="69" spans="1:20" ht="5.15" customHeight="1"/>
    <row r="70" spans="1:20">
      <c r="C70" s="1316">
        <f>C68+1</f>
        <v>28</v>
      </c>
      <c r="E70" s="1440" t="s">
        <v>1376</v>
      </c>
      <c r="G70" s="1458"/>
      <c r="I70" s="1455"/>
      <c r="K70" s="1443">
        <f>K16</f>
        <v>-831665.8690341271</v>
      </c>
      <c r="L70" s="1442"/>
      <c r="M70" s="1443">
        <f>M16</f>
        <v>-415833.06548293639</v>
      </c>
      <c r="N70" s="1442"/>
      <c r="O70" s="1443">
        <f>O16</f>
        <v>207916.46725853177</v>
      </c>
      <c r="P70" s="1442"/>
      <c r="Q70" s="1443">
        <f>M70+O70</f>
        <v>-207916.59822440462</v>
      </c>
      <c r="T70" s="1347"/>
    </row>
    <row r="71" spans="1:20">
      <c r="C71" s="1316">
        <f>C70+1</f>
        <v>29</v>
      </c>
      <c r="E71" s="1440" t="s">
        <v>1401</v>
      </c>
      <c r="G71" s="1458"/>
      <c r="I71" s="1455"/>
      <c r="K71" s="1459">
        <f>K17</f>
        <v>0</v>
      </c>
      <c r="M71" s="1459">
        <f>M17</f>
        <v>0</v>
      </c>
      <c r="O71" s="1459">
        <f>O17</f>
        <v>0</v>
      </c>
      <c r="Q71" s="1444">
        <f>M71+O71</f>
        <v>0</v>
      </c>
    </row>
    <row r="72" spans="1:20">
      <c r="C72" s="1316">
        <f>C71+1</f>
        <v>30</v>
      </c>
      <c r="E72" s="1440" t="s">
        <v>1377</v>
      </c>
      <c r="G72" s="1458"/>
      <c r="I72" s="1455"/>
      <c r="K72" s="1459">
        <f>K18</f>
        <v>0</v>
      </c>
      <c r="M72" s="1459">
        <f>M18</f>
        <v>0</v>
      </c>
      <c r="O72" s="1459">
        <f>O18</f>
        <v>0</v>
      </c>
      <c r="Q72" s="1444">
        <f>M72+O72</f>
        <v>0</v>
      </c>
    </row>
    <row r="73" spans="1:20">
      <c r="C73" s="1316">
        <f>C72+1</f>
        <v>31</v>
      </c>
      <c r="E73" s="1440" t="s">
        <v>1378</v>
      </c>
      <c r="G73" s="1458"/>
      <c r="I73" s="1455"/>
      <c r="K73" s="1459">
        <f>K19</f>
        <v>-5013301.6464545364</v>
      </c>
      <c r="M73" s="1459">
        <f>M19</f>
        <v>-2506651.1767727323</v>
      </c>
      <c r="O73" s="1459">
        <f>O19</f>
        <v>1253325.4116136341</v>
      </c>
      <c r="Q73" s="1444">
        <f>M73+O73</f>
        <v>-1253325.7651590982</v>
      </c>
      <c r="T73" s="1347"/>
    </row>
    <row r="74" spans="1:20" ht="5.15" customHeight="1">
      <c r="K74" s="1460"/>
      <c r="M74" s="1460"/>
      <c r="O74" s="1460"/>
      <c r="Q74" s="1460"/>
    </row>
    <row r="75" spans="1:20" ht="13">
      <c r="C75" s="1316">
        <f>C73+1</f>
        <v>32</v>
      </c>
      <c r="E75" s="1313" t="s">
        <v>1402</v>
      </c>
      <c r="K75" s="1445">
        <f>SUM(K69:K74)</f>
        <v>-5844967.5154886637</v>
      </c>
      <c r="L75" s="1445"/>
      <c r="M75" s="1445">
        <f>SUM(M69:M74)</f>
        <v>-2922484.2422556686</v>
      </c>
      <c r="N75" s="1442"/>
      <c r="O75" s="1445">
        <f>SUM(O69:O74)</f>
        <v>1461241.8788721659</v>
      </c>
      <c r="P75" s="1445"/>
      <c r="Q75" s="1445">
        <f>SUM(Q69:Q74)</f>
        <v>-1461242.3633835027</v>
      </c>
    </row>
    <row r="76" spans="1:20">
      <c r="C76" s="1316"/>
    </row>
    <row r="77" spans="1:20" ht="13">
      <c r="A77" s="1453"/>
      <c r="B77" s="1453"/>
      <c r="C77" s="1316">
        <f>C75+1</f>
        <v>33</v>
      </c>
      <c r="D77" s="1453"/>
      <c r="E77" s="1454" t="s">
        <v>1403</v>
      </c>
      <c r="F77" s="1453"/>
      <c r="G77" s="1455"/>
      <c r="H77" s="1453"/>
      <c r="I77" s="1455"/>
      <c r="J77" s="1453"/>
      <c r="K77" s="1456"/>
      <c r="M77" s="1445"/>
      <c r="O77" s="1457"/>
      <c r="Q77" s="1453"/>
    </row>
    <row r="78" spans="1:20" ht="5.15" customHeight="1"/>
    <row r="79" spans="1:20">
      <c r="C79" s="1316">
        <f>C77+1</f>
        <v>34</v>
      </c>
      <c r="E79" s="1440" t="s">
        <v>1376</v>
      </c>
      <c r="G79" s="1458"/>
      <c r="I79" s="1455"/>
      <c r="K79" s="1443">
        <f>K25</f>
        <v>0</v>
      </c>
      <c r="L79" s="1442"/>
      <c r="M79" s="1443">
        <f>M25</f>
        <v>0</v>
      </c>
      <c r="N79" s="1445"/>
      <c r="O79" s="1443">
        <f>O25</f>
        <v>0</v>
      </c>
      <c r="P79" s="1445"/>
      <c r="Q79" s="1443">
        <f>M79+O79</f>
        <v>0</v>
      </c>
    </row>
    <row r="80" spans="1:20">
      <c r="C80" s="1316">
        <f>C79+1</f>
        <v>35</v>
      </c>
      <c r="E80" s="1440" t="s">
        <v>1401</v>
      </c>
      <c r="G80" s="1458"/>
      <c r="I80" s="1455"/>
      <c r="K80" s="1459">
        <f>K26</f>
        <v>0</v>
      </c>
      <c r="M80" s="1459">
        <f>M26</f>
        <v>0</v>
      </c>
      <c r="O80" s="1459">
        <f>O26</f>
        <v>0</v>
      </c>
      <c r="Q80" s="1444">
        <f>M80+O80</f>
        <v>0</v>
      </c>
    </row>
    <row r="81" spans="1:20">
      <c r="C81" s="1316">
        <f>C80+1</f>
        <v>36</v>
      </c>
      <c r="E81" s="1440" t="s">
        <v>1377</v>
      </c>
      <c r="G81" s="1458"/>
      <c r="I81" s="1455"/>
      <c r="K81" s="1459">
        <f>K27</f>
        <v>-54437931.937298149</v>
      </c>
      <c r="M81" s="1459">
        <f>M27</f>
        <v>-32662759.225080743</v>
      </c>
      <c r="O81" s="1459">
        <f>O27</f>
        <v>10887586.38745963</v>
      </c>
      <c r="Q81" s="1444">
        <f>M81+O81</f>
        <v>-21775172.837621115</v>
      </c>
      <c r="T81" s="1347"/>
    </row>
    <row r="82" spans="1:20">
      <c r="C82" s="1316">
        <f>C81+1</f>
        <v>37</v>
      </c>
      <c r="E82" s="1440" t="s">
        <v>1378</v>
      </c>
      <c r="G82" s="1458"/>
      <c r="I82" s="1455"/>
      <c r="K82" s="1459">
        <f>K28</f>
        <v>0</v>
      </c>
      <c r="M82" s="1459">
        <f>M28</f>
        <v>0</v>
      </c>
      <c r="O82" s="1459">
        <f>O28</f>
        <v>0</v>
      </c>
      <c r="Q82" s="1444">
        <f>M82+O82</f>
        <v>0</v>
      </c>
    </row>
    <row r="83" spans="1:20" ht="5.15" customHeight="1">
      <c r="K83" s="1460"/>
      <c r="M83" s="1460"/>
      <c r="O83" s="1460"/>
      <c r="Q83" s="1460"/>
    </row>
    <row r="84" spans="1:20" ht="13">
      <c r="C84" s="1316">
        <f>C82+1</f>
        <v>38</v>
      </c>
      <c r="E84" s="1313" t="s">
        <v>1402</v>
      </c>
      <c r="K84" s="1445">
        <f>SUM(K78:K83)</f>
        <v>-54437931.937298149</v>
      </c>
      <c r="L84" s="1442"/>
      <c r="M84" s="1445">
        <f>SUM(M78:M83)</f>
        <v>-32662759.225080743</v>
      </c>
      <c r="N84" s="1445"/>
      <c r="O84" s="1445">
        <f>SUM(O78:O83)</f>
        <v>10887586.38745963</v>
      </c>
      <c r="P84" s="1445"/>
      <c r="Q84" s="1445">
        <f>SUM(Q78:Q83)</f>
        <v>-21775172.837621115</v>
      </c>
    </row>
    <row r="86" spans="1:20" ht="13">
      <c r="A86" s="1453"/>
      <c r="B86" s="1453"/>
      <c r="C86" s="1316">
        <f>C84+1</f>
        <v>39</v>
      </c>
      <c r="D86" s="1453"/>
      <c r="E86" s="1454" t="s">
        <v>1405</v>
      </c>
      <c r="F86" s="1453"/>
      <c r="G86" s="1455"/>
      <c r="H86" s="1453"/>
      <c r="I86" s="1455"/>
      <c r="J86" s="1453"/>
      <c r="K86" s="1456"/>
      <c r="M86" s="1445"/>
      <c r="O86" s="1457"/>
      <c r="Q86" s="1453"/>
    </row>
    <row r="87" spans="1:20" ht="5.15" customHeight="1"/>
    <row r="88" spans="1:20">
      <c r="C88" s="1316">
        <f>C86+1</f>
        <v>40</v>
      </c>
      <c r="E88" s="1440" t="s">
        <v>1376</v>
      </c>
      <c r="G88" s="1458"/>
      <c r="I88" s="1455"/>
      <c r="K88" s="1443">
        <f>K34+K52</f>
        <v>3570954.0898157381</v>
      </c>
      <c r="M88" s="1443">
        <f>M34+M52</f>
        <v>3570954</v>
      </c>
      <c r="O88" s="1443">
        <f>O34+O52</f>
        <v>0</v>
      </c>
      <c r="Q88" s="1443">
        <f>Q34+Q52</f>
        <v>3570954</v>
      </c>
    </row>
    <row r="89" spans="1:20">
      <c r="C89" s="1316">
        <f>C88+1</f>
        <v>41</v>
      </c>
      <c r="E89" s="1440" t="s">
        <v>1401</v>
      </c>
      <c r="G89" s="1458"/>
      <c r="I89" s="1455"/>
      <c r="K89" s="1459">
        <f>K35+K53</f>
        <v>0</v>
      </c>
      <c r="M89" s="1459">
        <f>M35+M53</f>
        <v>0</v>
      </c>
      <c r="O89" s="1459">
        <f>O35+O53</f>
        <v>0</v>
      </c>
      <c r="Q89" s="1459">
        <f>Q35+Q53</f>
        <v>0</v>
      </c>
    </row>
    <row r="90" spans="1:20">
      <c r="C90" s="1316">
        <f>C89+1</f>
        <v>42</v>
      </c>
      <c r="E90" s="1440" t="s">
        <v>1377</v>
      </c>
      <c r="G90" s="1458"/>
      <c r="I90" s="1455"/>
      <c r="K90" s="1459">
        <f>K36+K54</f>
        <v>-51643891.138475791</v>
      </c>
      <c r="M90" s="1459">
        <f>M36+M54</f>
        <v>-50567855</v>
      </c>
      <c r="O90" s="1459">
        <f>O36+O54</f>
        <v>919426</v>
      </c>
      <c r="Q90" s="1459">
        <f>Q36+Q54</f>
        <v>-49648429</v>
      </c>
    </row>
    <row r="91" spans="1:20">
      <c r="C91" s="1316">
        <f>C90+1</f>
        <v>43</v>
      </c>
      <c r="E91" s="1440" t="s">
        <v>1378</v>
      </c>
      <c r="G91" s="1458"/>
      <c r="I91" s="1455"/>
      <c r="K91" s="1459">
        <f>K37+K55</f>
        <v>0</v>
      </c>
      <c r="M91" s="1459">
        <f>M37+M55</f>
        <v>0</v>
      </c>
      <c r="O91" s="1459">
        <f>O37+O55</f>
        <v>0</v>
      </c>
      <c r="Q91" s="1459">
        <f>Q37+Q55</f>
        <v>0</v>
      </c>
    </row>
    <row r="92" spans="1:20" ht="5.15" customHeight="1">
      <c r="K92" s="1460"/>
      <c r="M92" s="1460"/>
      <c r="O92" s="1460"/>
      <c r="Q92" s="1460"/>
    </row>
    <row r="93" spans="1:20" ht="13">
      <c r="C93" s="1316">
        <f>C91+1</f>
        <v>44</v>
      </c>
      <c r="E93" s="1313" t="s">
        <v>1402</v>
      </c>
      <c r="K93" s="1445">
        <f>SUM(K87:K92)</f>
        <v>-48072937.048660055</v>
      </c>
      <c r="L93" s="1442"/>
      <c r="M93" s="1445">
        <f>SUM(M87:M92)</f>
        <v>-46996901</v>
      </c>
      <c r="N93" s="1442"/>
      <c r="O93" s="1445">
        <f>SUM(O87:O92)</f>
        <v>919426</v>
      </c>
      <c r="P93" s="1445"/>
      <c r="Q93" s="1445">
        <f>SUM(Q87:Q92)</f>
        <v>-46077475</v>
      </c>
      <c r="T93" s="1347"/>
    </row>
    <row r="95" spans="1:20" ht="13.5" thickBot="1">
      <c r="C95" s="1316">
        <f>C93+1</f>
        <v>45</v>
      </c>
      <c r="E95" s="1313" t="s">
        <v>1407</v>
      </c>
      <c r="K95" s="1461">
        <f>K75+K84+K93</f>
        <v>-108355836.50144687</v>
      </c>
      <c r="L95" s="1445"/>
      <c r="M95" s="1461">
        <f>M75+M84+M93</f>
        <v>-82582144.467336416</v>
      </c>
      <c r="N95" s="1445"/>
      <c r="O95" s="1461">
        <f>O75+O84+O93</f>
        <v>13268254.266331796</v>
      </c>
      <c r="P95" s="1445"/>
      <c r="Q95" s="1461">
        <f>Q75+Q84+Q93</f>
        <v>-69313890.201004624</v>
      </c>
      <c r="T95" s="1462"/>
    </row>
    <row r="96" spans="1:20" ht="13">
      <c r="C96" s="1316"/>
      <c r="E96" s="1313"/>
      <c r="K96" s="1464"/>
      <c r="L96" s="1445"/>
      <c r="M96" s="1464"/>
      <c r="N96" s="1445"/>
      <c r="O96" s="1464"/>
      <c r="P96" s="1445"/>
      <c r="Q96" s="1464"/>
      <c r="T96" s="1462"/>
    </row>
    <row r="97" spans="3:20" ht="13">
      <c r="C97" s="1316"/>
      <c r="E97" s="1313"/>
      <c r="L97" s="1445"/>
      <c r="N97" s="1445"/>
      <c r="P97" s="1445"/>
      <c r="T97" s="1462"/>
    </row>
    <row r="98" spans="3:20" ht="15.75" customHeight="1">
      <c r="C98" s="1761" t="s">
        <v>1410</v>
      </c>
      <c r="D98" s="1762"/>
      <c r="E98" s="1762"/>
      <c r="F98" s="1762"/>
      <c r="G98" s="1762"/>
      <c r="H98" s="1762"/>
      <c r="I98" s="1762"/>
      <c r="J98" s="1762"/>
      <c r="K98" s="1762"/>
      <c r="L98" s="1762"/>
      <c r="M98" s="1762"/>
      <c r="N98" s="1762"/>
      <c r="O98" s="1762"/>
      <c r="P98" s="1762"/>
      <c r="Q98" s="1763"/>
    </row>
    <row r="100" spans="3:20" ht="13">
      <c r="E100" s="1314" t="s">
        <v>174</v>
      </c>
      <c r="F100" s="1314"/>
      <c r="G100" s="1314" t="s">
        <v>175</v>
      </c>
      <c r="H100" s="1314"/>
      <c r="I100" s="1314" t="s">
        <v>1142</v>
      </c>
      <c r="J100" s="1314"/>
      <c r="K100" s="1314" t="s">
        <v>1295</v>
      </c>
      <c r="L100" s="1314"/>
      <c r="M100" s="1314" t="s">
        <v>1392</v>
      </c>
      <c r="N100" s="1314"/>
      <c r="O100" s="1314" t="s">
        <v>1297</v>
      </c>
      <c r="P100" s="1314"/>
      <c r="Q100" s="1314" t="s">
        <v>1298</v>
      </c>
    </row>
    <row r="101" spans="3:20" ht="15" customHeight="1">
      <c r="C101" s="1753" t="s">
        <v>1305</v>
      </c>
      <c r="D101" s="1639"/>
      <c r="E101" s="1755" t="s">
        <v>1373</v>
      </c>
      <c r="G101" s="1757" t="s">
        <v>278</v>
      </c>
      <c r="I101" s="1757" t="s">
        <v>1393</v>
      </c>
      <c r="M101" s="1450" t="s">
        <v>1508</v>
      </c>
      <c r="O101" s="1759" t="s">
        <v>1395</v>
      </c>
      <c r="Q101" s="1450" t="s">
        <v>1797</v>
      </c>
    </row>
    <row r="102" spans="3:20" ht="25">
      <c r="C102" s="1754"/>
      <c r="D102" s="1639"/>
      <c r="E102" s="1756"/>
      <c r="F102" s="1451"/>
      <c r="G102" s="1758"/>
      <c r="H102" s="1451"/>
      <c r="I102" s="1758"/>
      <c r="J102" s="1451"/>
      <c r="K102" s="1452" t="s">
        <v>1396</v>
      </c>
      <c r="M102" s="1705" t="s">
        <v>1397</v>
      </c>
      <c r="O102" s="1760"/>
      <c r="Q102" s="1705" t="s">
        <v>1398</v>
      </c>
    </row>
    <row r="103" spans="3:20" ht="5.15" customHeight="1"/>
    <row r="104" spans="3:20">
      <c r="C104" s="1316">
        <f>C95+1</f>
        <v>46</v>
      </c>
      <c r="E104" s="1440" t="s">
        <v>1376</v>
      </c>
      <c r="K104" s="1443">
        <f>K16+K25+K34+K52</f>
        <v>2739288.2207816113</v>
      </c>
      <c r="L104" s="1442"/>
      <c r="M104" s="1443">
        <f>M16+M25+M34+M52</f>
        <v>3155120.9345170637</v>
      </c>
      <c r="N104" s="1442"/>
      <c r="O104" s="1443">
        <f>O16+O25+O34+O52</f>
        <v>207916.46725853177</v>
      </c>
      <c r="P104" s="1442"/>
      <c r="Q104" s="1443">
        <f>M104+O104</f>
        <v>3363037.4017755953</v>
      </c>
    </row>
    <row r="105" spans="3:20">
      <c r="C105" s="1316">
        <f>C104+1</f>
        <v>47</v>
      </c>
      <c r="E105" s="1440" t="s">
        <v>1401</v>
      </c>
      <c r="K105" s="1444">
        <f>K17+K26+K35+K53</f>
        <v>0</v>
      </c>
      <c r="M105" s="1444">
        <f>M17+M26+M35+M53</f>
        <v>0</v>
      </c>
      <c r="O105" s="1444">
        <f>O17+O26+O35+O53</f>
        <v>0</v>
      </c>
      <c r="Q105" s="1444">
        <f>M105+O105</f>
        <v>0</v>
      </c>
    </row>
    <row r="106" spans="3:20">
      <c r="C106" s="1316">
        <f>C105+1</f>
        <v>48</v>
      </c>
      <c r="E106" s="1440" t="s">
        <v>1377</v>
      </c>
      <c r="K106" s="1444">
        <f>K18+K27+K36+K54</f>
        <v>-106081823.07577394</v>
      </c>
      <c r="M106" s="1444">
        <f>M18+M27+M36+M54</f>
        <v>-83230614.225080743</v>
      </c>
      <c r="O106" s="1444">
        <f>O18+O27+O36+O54</f>
        <v>11807012.38745963</v>
      </c>
      <c r="Q106" s="1444">
        <f>M106+O106</f>
        <v>-71423601.837621108</v>
      </c>
    </row>
    <row r="107" spans="3:20">
      <c r="C107" s="1316">
        <f>C106+1</f>
        <v>49</v>
      </c>
      <c r="E107" s="1440" t="s">
        <v>1378</v>
      </c>
      <c r="K107" s="1444">
        <f>K19+K28+K37+K55</f>
        <v>-5013301.6464545364</v>
      </c>
      <c r="M107" s="1444">
        <f>M19+M28+M37+M55</f>
        <v>-2506651.1767727323</v>
      </c>
      <c r="O107" s="1444">
        <f>O19+O28+O37+O55</f>
        <v>1253325.4116136341</v>
      </c>
      <c r="Q107" s="1444">
        <f>M107+O107</f>
        <v>-1253325.7651590982</v>
      </c>
    </row>
    <row r="108" spans="3:20" ht="5.15" customHeight="1">
      <c r="Q108" s="1460"/>
    </row>
    <row r="109" spans="3:20" ht="13">
      <c r="C109" s="1316">
        <f>C107+1</f>
        <v>50</v>
      </c>
      <c r="E109" s="1313" t="s">
        <v>1407</v>
      </c>
      <c r="K109" s="1465">
        <f>SUM(K104:K108)</f>
        <v>-108355836.50144687</v>
      </c>
      <c r="L109" s="1445"/>
      <c r="M109" s="1465">
        <f>SUM(M104:M108)</f>
        <v>-82582144.467336401</v>
      </c>
      <c r="N109" s="1445"/>
      <c r="O109" s="1465">
        <f>SUM(O104:O108)</f>
        <v>13268254.266331796</v>
      </c>
      <c r="P109" s="1445"/>
      <c r="Q109" s="1465">
        <f>SUM(Q104:Q108)</f>
        <v>-69313890.201004609</v>
      </c>
    </row>
    <row r="110" spans="3:20" ht="5.15" customHeight="1"/>
    <row r="111" spans="3:20">
      <c r="C111" s="1316">
        <f>C109+1</f>
        <v>51</v>
      </c>
      <c r="E111" s="1440" t="s">
        <v>1245</v>
      </c>
      <c r="G111" s="1010" t="s">
        <v>1638</v>
      </c>
      <c r="K111" s="1466">
        <f>'ATT H-1A'!$H$248</f>
        <v>1.3910140492418972</v>
      </c>
      <c r="M111" s="1466">
        <f>'ATT H-1A'!$H$248</f>
        <v>1.3910140492418972</v>
      </c>
      <c r="O111" s="1466">
        <f>'ATT H-1A'!$H$248</f>
        <v>1.3910140492418972</v>
      </c>
      <c r="Q111" s="1466">
        <f>'ATT H-1A'!$H$248</f>
        <v>1.3910140492418972</v>
      </c>
    </row>
    <row r="112" spans="3:20" ht="5.15" customHeight="1"/>
    <row r="113" spans="3:19" ht="13.5" thickBot="1">
      <c r="C113" s="1316">
        <f>C111+1</f>
        <v>52</v>
      </c>
      <c r="E113" s="1313" t="s">
        <v>1411</v>
      </c>
      <c r="K113" s="1467">
        <f>K109*K111</f>
        <v>-150724490.89087057</v>
      </c>
      <c r="L113" s="1445"/>
      <c r="M113" s="1467">
        <f>M109*M111</f>
        <v>-114872923.17058894</v>
      </c>
      <c r="N113" s="1445"/>
      <c r="O113" s="1467">
        <f>O109*O111</f>
        <v>18456328.093381271</v>
      </c>
      <c r="P113" s="1445"/>
      <c r="Q113" s="1467">
        <f>Q109*Q111</f>
        <v>-96416595.077207685</v>
      </c>
      <c r="S113" s="136"/>
    </row>
    <row r="114" spans="3:19" ht="13" thickTop="1"/>
    <row r="116" spans="3:19" ht="15.75" customHeight="1">
      <c r="C116" s="1761" t="s">
        <v>1412</v>
      </c>
      <c r="D116" s="1762"/>
      <c r="E116" s="1762"/>
      <c r="F116" s="1762"/>
      <c r="G116" s="1762"/>
      <c r="H116" s="1762"/>
      <c r="I116" s="1762"/>
      <c r="J116" s="1762"/>
      <c r="K116" s="1762"/>
      <c r="L116" s="1762"/>
      <c r="M116" s="1762"/>
      <c r="N116" s="1762"/>
      <c r="O116" s="1762"/>
      <c r="P116" s="1762"/>
      <c r="Q116" s="1763"/>
    </row>
    <row r="118" spans="3:19" ht="13">
      <c r="E118" s="1314" t="s">
        <v>174</v>
      </c>
      <c r="F118" s="1314"/>
      <c r="G118" s="1314" t="s">
        <v>175</v>
      </c>
      <c r="H118" s="1314"/>
      <c r="I118" s="1314" t="s">
        <v>1142</v>
      </c>
      <c r="J118" s="1314"/>
      <c r="K118" s="1314" t="s">
        <v>1295</v>
      </c>
      <c r="L118" s="1314"/>
      <c r="M118" s="1314" t="s">
        <v>1392</v>
      </c>
      <c r="N118" s="1314"/>
      <c r="O118" s="1314" t="s">
        <v>1297</v>
      </c>
      <c r="P118" s="1314"/>
      <c r="Q118" s="1314" t="s">
        <v>1298</v>
      </c>
    </row>
    <row r="119" spans="3:19">
      <c r="C119" s="1764" t="s">
        <v>1305</v>
      </c>
      <c r="E119" s="1765" t="s">
        <v>1413</v>
      </c>
      <c r="G119" s="1767" t="s">
        <v>278</v>
      </c>
      <c r="H119" s="1767"/>
      <c r="I119" s="1767"/>
      <c r="K119" s="1449"/>
      <c r="M119" s="1450" t="s">
        <v>1508</v>
      </c>
      <c r="O119" s="1759" t="s">
        <v>1395</v>
      </c>
      <c r="Q119" s="1450" t="s">
        <v>1797</v>
      </c>
    </row>
    <row r="120" spans="3:19" ht="25">
      <c r="C120" s="1740"/>
      <c r="E120" s="1766"/>
      <c r="G120" s="1768"/>
      <c r="H120" s="1768"/>
      <c r="I120" s="1768"/>
      <c r="J120" s="1451"/>
      <c r="K120" s="1452" t="s">
        <v>1396</v>
      </c>
      <c r="M120" s="1705" t="s">
        <v>1397</v>
      </c>
      <c r="O120" s="1760"/>
      <c r="Q120" s="1705" t="s">
        <v>1398</v>
      </c>
    </row>
    <row r="121" spans="3:19" ht="5.15" customHeight="1"/>
    <row r="122" spans="3:19">
      <c r="C122" s="1316">
        <f>C113+1</f>
        <v>53</v>
      </c>
      <c r="E122" s="1440" t="s">
        <v>1414</v>
      </c>
      <c r="K122" s="1443">
        <v>0</v>
      </c>
      <c r="L122" s="1442"/>
      <c r="M122" s="1443">
        <v>0</v>
      </c>
      <c r="N122" s="1442"/>
      <c r="O122" s="1443">
        <v>0</v>
      </c>
      <c r="P122" s="1442"/>
      <c r="Q122" s="1443">
        <v>0</v>
      </c>
    </row>
    <row r="123" spans="3:19">
      <c r="C123" s="1316">
        <f>C122+1</f>
        <v>54</v>
      </c>
      <c r="E123" s="1440" t="s">
        <v>1415</v>
      </c>
      <c r="K123" s="1444">
        <f>K113</f>
        <v>-150724490.89087057</v>
      </c>
      <c r="M123" s="1444">
        <f>M113</f>
        <v>-114872923.17058894</v>
      </c>
      <c r="O123" s="1444">
        <f>O113</f>
        <v>18456328.093381271</v>
      </c>
      <c r="Q123" s="1444">
        <f>Q113</f>
        <v>-96416595.077207685</v>
      </c>
    </row>
    <row r="124" spans="3:19" ht="5.15" customHeight="1">
      <c r="K124" s="1460"/>
      <c r="M124" s="1460"/>
      <c r="O124" s="1460"/>
      <c r="Q124" s="1460"/>
    </row>
    <row r="125" spans="3:19" ht="13">
      <c r="C125" s="1316">
        <f>C123+1</f>
        <v>55</v>
      </c>
      <c r="E125" s="1313" t="s">
        <v>1416</v>
      </c>
      <c r="K125" s="1445">
        <f>SUM(K122:K124)</f>
        <v>-150724490.89087057</v>
      </c>
      <c r="L125" s="1445"/>
      <c r="M125" s="1445">
        <f>SUM(M122:M124)</f>
        <v>-114872923.17058894</v>
      </c>
      <c r="N125" s="1442"/>
      <c r="O125" s="1445">
        <f>SUM(O122:O124)</f>
        <v>18456328.093381271</v>
      </c>
      <c r="P125" s="1442"/>
      <c r="Q125" s="1445">
        <f>SUM(Q122:Q124)</f>
        <v>-96416595.077207685</v>
      </c>
    </row>
    <row r="129" spans="1:17" ht="15.75" customHeight="1">
      <c r="C129" s="1750" t="s">
        <v>1379</v>
      </c>
      <c r="D129" s="1750"/>
      <c r="E129" s="1750"/>
      <c r="F129" s="1750"/>
      <c r="G129" s="1750"/>
      <c r="H129" s="1750"/>
      <c r="I129" s="1750"/>
      <c r="J129" s="1750"/>
      <c r="K129" s="1750"/>
      <c r="L129" s="1750"/>
      <c r="M129" s="1750"/>
      <c r="N129" s="1750"/>
      <c r="O129" s="1750"/>
      <c r="P129" s="1750"/>
      <c r="Q129" s="1750"/>
    </row>
    <row r="131" spans="1:17" ht="15.75" customHeight="1">
      <c r="C131" s="1761" t="s">
        <v>1639</v>
      </c>
      <c r="D131" s="1762"/>
      <c r="E131" s="1762"/>
      <c r="F131" s="1762"/>
      <c r="G131" s="1762"/>
      <c r="H131" s="1762"/>
      <c r="I131" s="1762"/>
      <c r="J131" s="1762"/>
      <c r="K131" s="1762"/>
      <c r="L131" s="1762"/>
      <c r="M131" s="1762"/>
      <c r="N131" s="1762"/>
      <c r="O131" s="1762"/>
      <c r="P131" s="1762"/>
      <c r="Q131" s="1763"/>
    </row>
    <row r="133" spans="1:17" ht="13">
      <c r="E133" s="1314" t="s">
        <v>174</v>
      </c>
      <c r="F133" s="1314"/>
      <c r="G133" s="1314" t="s">
        <v>175</v>
      </c>
      <c r="H133" s="1314"/>
      <c r="I133" s="1314" t="s">
        <v>1142</v>
      </c>
      <c r="J133" s="1314"/>
      <c r="K133" s="1314" t="s">
        <v>1295</v>
      </c>
      <c r="L133" s="1314"/>
      <c r="M133" s="1314" t="s">
        <v>1392</v>
      </c>
      <c r="N133" s="1314"/>
      <c r="O133" s="1314" t="s">
        <v>1297</v>
      </c>
      <c r="P133" s="1314"/>
      <c r="Q133" s="1314" t="s">
        <v>1298</v>
      </c>
    </row>
    <row r="134" spans="1:17" ht="15" customHeight="1">
      <c r="C134" s="1753" t="s">
        <v>1305</v>
      </c>
      <c r="D134" s="1639"/>
      <c r="E134" s="1755" t="s">
        <v>1373</v>
      </c>
      <c r="G134" s="1757" t="s">
        <v>278</v>
      </c>
      <c r="I134" s="1757" t="s">
        <v>1393</v>
      </c>
      <c r="K134" s="1449"/>
      <c r="M134" s="1450" t="s">
        <v>1508</v>
      </c>
      <c r="O134" s="1759" t="s">
        <v>1395</v>
      </c>
      <c r="Q134" s="1450" t="s">
        <v>1797</v>
      </c>
    </row>
    <row r="135" spans="1:17" ht="25">
      <c r="C135" s="1754"/>
      <c r="D135" s="1639"/>
      <c r="E135" s="1756"/>
      <c r="F135" s="1451"/>
      <c r="G135" s="1758"/>
      <c r="H135" s="1451"/>
      <c r="I135" s="1758"/>
      <c r="J135" s="1451"/>
      <c r="K135" s="1452" t="s">
        <v>1396</v>
      </c>
      <c r="M135" s="1705" t="s">
        <v>1397</v>
      </c>
      <c r="O135" s="1760"/>
      <c r="Q135" s="1705" t="s">
        <v>1398</v>
      </c>
    </row>
    <row r="136" spans="1:17" ht="5.15" customHeight="1"/>
    <row r="137" spans="1:17" ht="13">
      <c r="A137" s="1453"/>
      <c r="B137" s="1453"/>
      <c r="C137" s="1316">
        <f>C125+1</f>
        <v>56</v>
      </c>
      <c r="D137" s="1453"/>
      <c r="E137" s="1454" t="s">
        <v>1399</v>
      </c>
      <c r="F137" s="1453"/>
      <c r="G137" s="1455"/>
      <c r="H137" s="1453"/>
      <c r="I137" s="1455"/>
      <c r="J137" s="1453"/>
      <c r="K137" s="1456"/>
      <c r="M137" s="1445"/>
      <c r="O137" s="1457"/>
      <c r="Q137" s="1453"/>
    </row>
    <row r="138" spans="1:17" ht="5.15" customHeight="1">
      <c r="C138" s="1316"/>
    </row>
    <row r="139" spans="1:17">
      <c r="C139" s="1316">
        <f>C137+1</f>
        <v>57</v>
      </c>
      <c r="E139" s="1440" t="s">
        <v>1376</v>
      </c>
      <c r="G139" s="1458"/>
      <c r="I139" s="1455" t="s">
        <v>1400</v>
      </c>
      <c r="K139" s="1443">
        <v>0</v>
      </c>
      <c r="L139" s="1442"/>
      <c r="M139" s="1443">
        <v>0</v>
      </c>
      <c r="N139" s="1442"/>
      <c r="O139" s="1443">
        <f>-K139/4</f>
        <v>0</v>
      </c>
      <c r="P139" s="1442"/>
      <c r="Q139" s="1443">
        <f>M139+O139</f>
        <v>0</v>
      </c>
    </row>
    <row r="140" spans="1:17">
      <c r="C140" s="1316">
        <f>C139+1</f>
        <v>58</v>
      </c>
      <c r="E140" s="1440" t="s">
        <v>1401</v>
      </c>
      <c r="G140" s="1458"/>
      <c r="I140" s="1455" t="s">
        <v>1400</v>
      </c>
      <c r="K140" s="1459">
        <v>0</v>
      </c>
      <c r="L140" s="1650"/>
      <c r="M140" s="1459">
        <v>0</v>
      </c>
      <c r="N140" s="1650"/>
      <c r="O140" s="1459">
        <f>-K140/4</f>
        <v>0</v>
      </c>
      <c r="P140" s="1650"/>
      <c r="Q140" s="1459">
        <f>M140+O140</f>
        <v>0</v>
      </c>
    </row>
    <row r="141" spans="1:17">
      <c r="C141" s="1316">
        <f>C140+1</f>
        <v>59</v>
      </c>
      <c r="E141" s="1440" t="s">
        <v>1377</v>
      </c>
      <c r="G141" s="1458"/>
      <c r="I141" s="1455" t="s">
        <v>1400</v>
      </c>
      <c r="K141" s="1459">
        <v>0</v>
      </c>
      <c r="L141" s="1650"/>
      <c r="M141" s="1459">
        <v>0</v>
      </c>
      <c r="N141" s="1650"/>
      <c r="O141" s="1459">
        <f>-K141/4</f>
        <v>0</v>
      </c>
      <c r="P141" s="1650"/>
      <c r="Q141" s="1459">
        <f>M141+O141</f>
        <v>0</v>
      </c>
    </row>
    <row r="142" spans="1:17">
      <c r="C142" s="1316">
        <f>C141+1</f>
        <v>60</v>
      </c>
      <c r="E142" s="1440" t="s">
        <v>1378</v>
      </c>
      <c r="G142" s="1458"/>
      <c r="I142" s="1455" t="s">
        <v>1400</v>
      </c>
      <c r="K142" s="1459">
        <v>0</v>
      </c>
      <c r="L142" s="1650"/>
      <c r="M142" s="1459">
        <v>0</v>
      </c>
      <c r="N142" s="1650"/>
      <c r="O142" s="1459">
        <f>-K142/4</f>
        <v>0</v>
      </c>
      <c r="P142" s="1650"/>
      <c r="Q142" s="1459">
        <f>M142+O142</f>
        <v>0</v>
      </c>
    </row>
    <row r="143" spans="1:17" ht="5.15" customHeight="1">
      <c r="K143" s="1460"/>
      <c r="M143" s="1460"/>
      <c r="O143" s="1460"/>
      <c r="Q143" s="1460"/>
    </row>
    <row r="144" spans="1:17" ht="13">
      <c r="C144" s="1316">
        <f>C142+1</f>
        <v>61</v>
      </c>
      <c r="E144" s="1313" t="s">
        <v>1402</v>
      </c>
      <c r="K144" s="1445">
        <f>SUM(K138:K143)</f>
        <v>0</v>
      </c>
      <c r="L144" s="1445"/>
      <c r="M144" s="1445">
        <f>SUM(M138:M143)</f>
        <v>0</v>
      </c>
      <c r="N144" s="1442"/>
      <c r="O144" s="1445">
        <f>SUM(O138:O143)</f>
        <v>0</v>
      </c>
      <c r="P144" s="1445"/>
      <c r="Q144" s="1445">
        <f>SUM(Q138:Q143)</f>
        <v>0</v>
      </c>
    </row>
    <row r="146" spans="1:17" ht="13">
      <c r="A146" s="1453"/>
      <c r="B146" s="1453"/>
      <c r="C146" s="1316">
        <f>C144+1</f>
        <v>62</v>
      </c>
      <c r="D146" s="1453"/>
      <c r="E146" s="1454" t="s">
        <v>1403</v>
      </c>
      <c r="F146" s="1453"/>
      <c r="G146" s="1455"/>
      <c r="H146" s="1453"/>
      <c r="I146" s="1455"/>
      <c r="J146" s="1453"/>
      <c r="K146" s="1456"/>
      <c r="M146" s="1445"/>
      <c r="O146" s="1457"/>
      <c r="Q146" s="1453"/>
    </row>
    <row r="147" spans="1:17" ht="5.15" customHeight="1"/>
    <row r="148" spans="1:17">
      <c r="C148" s="1316">
        <f>C146+1</f>
        <v>63</v>
      </c>
      <c r="E148" s="1440" t="s">
        <v>1376</v>
      </c>
      <c r="G148" s="1458"/>
      <c r="I148" s="1455" t="s">
        <v>1404</v>
      </c>
      <c r="K148" s="1443">
        <v>0</v>
      </c>
      <c r="L148" s="1442"/>
      <c r="M148" s="1443">
        <v>0</v>
      </c>
      <c r="N148" s="1442"/>
      <c r="O148" s="1443">
        <v>0</v>
      </c>
      <c r="P148" s="1442"/>
      <c r="Q148" s="1443">
        <f>M148+O148</f>
        <v>0</v>
      </c>
    </row>
    <row r="149" spans="1:17">
      <c r="C149" s="1316">
        <f>C148+1</f>
        <v>64</v>
      </c>
      <c r="E149" s="1440" t="s">
        <v>1401</v>
      </c>
      <c r="G149" s="1458"/>
      <c r="I149" s="1455" t="s">
        <v>1404</v>
      </c>
      <c r="K149" s="1459">
        <v>0</v>
      </c>
      <c r="L149" s="1650"/>
      <c r="M149" s="1459">
        <v>0</v>
      </c>
      <c r="N149" s="1650"/>
      <c r="O149" s="1459">
        <v>0</v>
      </c>
      <c r="P149" s="1650"/>
      <c r="Q149" s="1459">
        <f>M149+O149</f>
        <v>0</v>
      </c>
    </row>
    <row r="150" spans="1:17">
      <c r="C150" s="1316">
        <f>C149+1</f>
        <v>65</v>
      </c>
      <c r="E150" s="1440" t="s">
        <v>1377</v>
      </c>
      <c r="G150" s="1458"/>
      <c r="I150" s="1455" t="s">
        <v>1404</v>
      </c>
      <c r="K150" s="1459">
        <v>0</v>
      </c>
      <c r="L150" s="1650"/>
      <c r="M150" s="1459">
        <v>0</v>
      </c>
      <c r="N150" s="1650"/>
      <c r="O150" s="1459">
        <f>-K150/5</f>
        <v>0</v>
      </c>
      <c r="P150" s="1650"/>
      <c r="Q150" s="1459">
        <f>M150+O150</f>
        <v>0</v>
      </c>
    </row>
    <row r="151" spans="1:17">
      <c r="C151" s="1316">
        <f>C150+1</f>
        <v>66</v>
      </c>
      <c r="E151" s="1440" t="s">
        <v>1378</v>
      </c>
      <c r="G151" s="1458"/>
      <c r="I151" s="1455" t="s">
        <v>1404</v>
      </c>
      <c r="K151" s="1459">
        <v>0</v>
      </c>
      <c r="L151" s="1650"/>
      <c r="M151" s="1459">
        <v>0</v>
      </c>
      <c r="N151" s="1650"/>
      <c r="O151" s="1459">
        <v>0</v>
      </c>
      <c r="P151" s="1650"/>
      <c r="Q151" s="1459">
        <f>M151+O151</f>
        <v>0</v>
      </c>
    </row>
    <row r="152" spans="1:17" ht="5.15" customHeight="1">
      <c r="K152" s="1460"/>
      <c r="M152" s="1460"/>
      <c r="O152" s="1460"/>
      <c r="Q152" s="1460"/>
    </row>
    <row r="153" spans="1:17" ht="13">
      <c r="C153" s="1316">
        <f>C151+1</f>
        <v>67</v>
      </c>
      <c r="E153" s="1313" t="s">
        <v>1402</v>
      </c>
      <c r="K153" s="1445">
        <f>SUM(K147:K152)</f>
        <v>0</v>
      </c>
      <c r="L153" s="1442"/>
      <c r="M153" s="1445">
        <f>SUM(M147:M152)</f>
        <v>0</v>
      </c>
      <c r="N153" s="1445"/>
      <c r="O153" s="1445">
        <f>SUM(O147:O152)</f>
        <v>0</v>
      </c>
      <c r="P153" s="1445"/>
      <c r="Q153" s="1445">
        <f>SUM(Q147:Q152)</f>
        <v>0</v>
      </c>
    </row>
    <row r="155" spans="1:17" ht="13">
      <c r="A155" s="1453"/>
      <c r="B155" s="1453"/>
      <c r="C155" s="1316">
        <f>C153+1</f>
        <v>68</v>
      </c>
      <c r="D155" s="1453"/>
      <c r="E155" s="1454" t="s">
        <v>1405</v>
      </c>
      <c r="F155" s="1453"/>
      <c r="G155" s="1455"/>
      <c r="H155" s="1453"/>
      <c r="I155" s="1455"/>
      <c r="J155" s="1453"/>
      <c r="K155" s="1456"/>
      <c r="M155" s="1445"/>
      <c r="O155" s="1457"/>
      <c r="Q155" s="1453"/>
    </row>
    <row r="156" spans="1:17" ht="5.15" customHeight="1"/>
    <row r="157" spans="1:17">
      <c r="C157" s="1316">
        <f>C155+1</f>
        <v>69</v>
      </c>
      <c r="E157" s="1440" t="s">
        <v>1376</v>
      </c>
      <c r="G157" s="1458"/>
      <c r="I157" s="1455" t="s">
        <v>1417</v>
      </c>
      <c r="K157" s="1443">
        <v>0</v>
      </c>
      <c r="L157" s="1442"/>
      <c r="M157" s="1443">
        <v>0</v>
      </c>
      <c r="N157" s="1442"/>
      <c r="O157" s="1443">
        <v>0</v>
      </c>
      <c r="P157" s="1442"/>
      <c r="Q157" s="1443">
        <f>M157+O157</f>
        <v>0</v>
      </c>
    </row>
    <row r="158" spans="1:17">
      <c r="C158" s="1316">
        <f>C157+1</f>
        <v>70</v>
      </c>
      <c r="E158" s="1440" t="s">
        <v>1401</v>
      </c>
      <c r="G158" s="1458"/>
      <c r="I158" s="1455" t="s">
        <v>1417</v>
      </c>
      <c r="K158" s="1459">
        <v>0</v>
      </c>
      <c r="L158" s="1650"/>
      <c r="M158" s="1459">
        <v>0</v>
      </c>
      <c r="N158" s="1650"/>
      <c r="O158" s="1459">
        <v>0</v>
      </c>
      <c r="P158" s="1650"/>
      <c r="Q158" s="1459">
        <f>M158+O158</f>
        <v>0</v>
      </c>
    </row>
    <row r="159" spans="1:17">
      <c r="C159" s="1316">
        <f>C158+1</f>
        <v>71</v>
      </c>
      <c r="E159" s="1440" t="s">
        <v>1377</v>
      </c>
      <c r="G159" s="1458"/>
      <c r="I159" s="1455" t="s">
        <v>1417</v>
      </c>
      <c r="K159" s="1459">
        <v>0</v>
      </c>
      <c r="L159" s="1650"/>
      <c r="M159" s="1459">
        <v>0</v>
      </c>
      <c r="N159" s="1650"/>
      <c r="O159" s="1459">
        <v>0</v>
      </c>
      <c r="P159" s="1650"/>
      <c r="Q159" s="1459">
        <f>M159+O159</f>
        <v>0</v>
      </c>
    </row>
    <row r="160" spans="1:17">
      <c r="C160" s="1316">
        <f>C159+1</f>
        <v>72</v>
      </c>
      <c r="E160" s="1440" t="s">
        <v>1378</v>
      </c>
      <c r="G160" s="1458"/>
      <c r="I160" s="1455" t="s">
        <v>1417</v>
      </c>
      <c r="K160" s="1459">
        <v>0</v>
      </c>
      <c r="L160" s="1650"/>
      <c r="M160" s="1459">
        <v>0</v>
      </c>
      <c r="N160" s="1650"/>
      <c r="O160" s="1459">
        <v>0</v>
      </c>
      <c r="P160" s="1650"/>
      <c r="Q160" s="1459">
        <f>M160+O160</f>
        <v>0</v>
      </c>
    </row>
    <row r="161" spans="1:20" ht="5.15" customHeight="1">
      <c r="K161" s="1460"/>
      <c r="M161" s="1460"/>
      <c r="O161" s="1460"/>
      <c r="Q161" s="1460"/>
    </row>
    <row r="162" spans="1:20" ht="13">
      <c r="C162" s="1316">
        <f>C160+1</f>
        <v>73</v>
      </c>
      <c r="E162" s="1313" t="s">
        <v>1402</v>
      </c>
      <c r="K162" s="1445">
        <f>SUM(K156:K161)</f>
        <v>0</v>
      </c>
      <c r="L162" s="1442"/>
      <c r="M162" s="1445">
        <f>SUM(M156:M161)</f>
        <v>0</v>
      </c>
      <c r="N162" s="1442"/>
      <c r="O162" s="1445">
        <f>SUM(O156:O161)</f>
        <v>0</v>
      </c>
      <c r="P162" s="1445"/>
      <c r="Q162" s="1445">
        <f>SUM(Q156:Q161)</f>
        <v>0</v>
      </c>
    </row>
    <row r="164" spans="1:20" ht="13.5" thickBot="1">
      <c r="C164" s="1316">
        <f>C162+1</f>
        <v>74</v>
      </c>
      <c r="E164" s="1313" t="s">
        <v>1407</v>
      </c>
      <c r="K164" s="1461">
        <f>K144+K153+K162</f>
        <v>0</v>
      </c>
      <c r="L164" s="1445"/>
      <c r="M164" s="1461">
        <f>M144+M153+M162</f>
        <v>0</v>
      </c>
      <c r="N164" s="1445"/>
      <c r="O164" s="1461">
        <f>O144+O153+O162</f>
        <v>0</v>
      </c>
      <c r="P164" s="1445"/>
      <c r="Q164" s="1461">
        <f>Q144+Q153+Q162</f>
        <v>0</v>
      </c>
    </row>
    <row r="166" spans="1:20" ht="13">
      <c r="C166" s="1316"/>
      <c r="E166" s="1313"/>
      <c r="L166" s="1445"/>
      <c r="N166" s="1445"/>
      <c r="P166" s="1445"/>
      <c r="T166" s="1462"/>
    </row>
    <row r="167" spans="1:20" ht="15.75" customHeight="1">
      <c r="C167" s="1761" t="s">
        <v>1418</v>
      </c>
      <c r="D167" s="1762"/>
      <c r="E167" s="1762"/>
      <c r="F167" s="1762"/>
      <c r="G167" s="1762"/>
      <c r="H167" s="1762"/>
      <c r="I167" s="1762"/>
      <c r="J167" s="1762"/>
      <c r="K167" s="1762"/>
      <c r="L167" s="1762"/>
      <c r="M167" s="1762"/>
      <c r="N167" s="1762"/>
      <c r="O167" s="1762"/>
      <c r="P167" s="1762"/>
      <c r="Q167" s="1763"/>
    </row>
    <row r="169" spans="1:20" ht="13">
      <c r="E169" s="1314" t="s">
        <v>174</v>
      </c>
      <c r="F169" s="1314"/>
      <c r="G169" s="1314" t="s">
        <v>175</v>
      </c>
      <c r="H169" s="1314"/>
      <c r="I169" s="1314" t="s">
        <v>1142</v>
      </c>
      <c r="J169" s="1314"/>
      <c r="K169" s="1314" t="s">
        <v>1295</v>
      </c>
      <c r="L169" s="1314"/>
      <c r="M169" s="1314" t="s">
        <v>1392</v>
      </c>
      <c r="N169" s="1314"/>
      <c r="O169" s="1314" t="s">
        <v>1297</v>
      </c>
      <c r="P169" s="1314"/>
      <c r="Q169" s="1314" t="s">
        <v>1298</v>
      </c>
    </row>
    <row r="170" spans="1:20" ht="15" customHeight="1">
      <c r="C170" s="1753" t="s">
        <v>1305</v>
      </c>
      <c r="D170" s="1639"/>
      <c r="E170" s="1755" t="s">
        <v>1373</v>
      </c>
      <c r="G170" s="1757" t="s">
        <v>278</v>
      </c>
      <c r="I170" s="1757" t="s">
        <v>1393</v>
      </c>
      <c r="K170" s="1449"/>
      <c r="M170" s="1450" t="s">
        <v>1508</v>
      </c>
      <c r="O170" s="1759" t="s">
        <v>1395</v>
      </c>
      <c r="Q170" s="1450" t="s">
        <v>1797</v>
      </c>
    </row>
    <row r="171" spans="1:20" ht="25">
      <c r="C171" s="1754"/>
      <c r="D171" s="1639"/>
      <c r="E171" s="1756"/>
      <c r="F171" s="1451"/>
      <c r="G171" s="1758"/>
      <c r="H171" s="1451"/>
      <c r="I171" s="1758"/>
      <c r="J171" s="1451"/>
      <c r="K171" s="1452" t="s">
        <v>1396</v>
      </c>
      <c r="M171" s="1705" t="s">
        <v>1397</v>
      </c>
      <c r="O171" s="1760"/>
      <c r="Q171" s="1705" t="s">
        <v>1398</v>
      </c>
    </row>
    <row r="172" spans="1:20" ht="5.15" customHeight="1"/>
    <row r="173" spans="1:20" ht="13">
      <c r="A173" s="1453"/>
      <c r="B173" s="1453"/>
      <c r="C173" s="1316">
        <f>C164+1</f>
        <v>75</v>
      </c>
      <c r="D173" s="1453"/>
      <c r="E173" s="1454" t="s">
        <v>1399</v>
      </c>
      <c r="F173" s="1453"/>
      <c r="G173" s="1455"/>
      <c r="H173" s="1453"/>
      <c r="I173" s="1455"/>
      <c r="J173" s="1453"/>
      <c r="K173" s="1456"/>
      <c r="M173" s="1445"/>
      <c r="O173" s="1457"/>
      <c r="Q173" s="1453"/>
    </row>
    <row r="174" spans="1:20" ht="5.15" customHeight="1"/>
    <row r="175" spans="1:20">
      <c r="C175" s="1316">
        <f>C173+1</f>
        <v>76</v>
      </c>
      <c r="E175" s="1440" t="s">
        <v>1376</v>
      </c>
      <c r="G175" s="1458"/>
      <c r="I175" s="1455"/>
      <c r="K175" s="1443">
        <f>K139</f>
        <v>0</v>
      </c>
      <c r="L175" s="1442"/>
      <c r="M175" s="1443">
        <f>M139</f>
        <v>0</v>
      </c>
      <c r="N175" s="1442"/>
      <c r="O175" s="1443">
        <f>O139</f>
        <v>0</v>
      </c>
      <c r="P175" s="1442"/>
      <c r="Q175" s="1443">
        <f>M175+O175</f>
        <v>0</v>
      </c>
      <c r="T175" s="1347"/>
    </row>
    <row r="176" spans="1:20">
      <c r="C176" s="1316">
        <f>C175+1</f>
        <v>77</v>
      </c>
      <c r="E176" s="1440" t="s">
        <v>1401</v>
      </c>
      <c r="G176" s="1458"/>
      <c r="I176" s="1455"/>
      <c r="K176" s="1459">
        <f t="shared" ref="K176:M178" si="0">K140</f>
        <v>0</v>
      </c>
      <c r="M176" s="1459">
        <f t="shared" si="0"/>
        <v>0</v>
      </c>
      <c r="O176" s="1459">
        <f t="shared" ref="O176:O178" si="1">O140</f>
        <v>0</v>
      </c>
      <c r="Q176" s="1444">
        <f>M176+O176</f>
        <v>0</v>
      </c>
    </row>
    <row r="177" spans="1:20">
      <c r="C177" s="1316">
        <f>C176+1</f>
        <v>78</v>
      </c>
      <c r="E177" s="1440" t="s">
        <v>1377</v>
      </c>
      <c r="G177" s="1458"/>
      <c r="I177" s="1455"/>
      <c r="K177" s="1459">
        <f t="shared" si="0"/>
        <v>0</v>
      </c>
      <c r="M177" s="1459">
        <f t="shared" si="0"/>
        <v>0</v>
      </c>
      <c r="O177" s="1459">
        <f t="shared" si="1"/>
        <v>0</v>
      </c>
      <c r="Q177" s="1444">
        <f>M177+O177</f>
        <v>0</v>
      </c>
    </row>
    <row r="178" spans="1:20">
      <c r="C178" s="1316">
        <f>C177+1</f>
        <v>79</v>
      </c>
      <c r="E178" s="1440" t="s">
        <v>1378</v>
      </c>
      <c r="G178" s="1458"/>
      <c r="I178" s="1455"/>
      <c r="K178" s="1459">
        <f t="shared" si="0"/>
        <v>0</v>
      </c>
      <c r="M178" s="1459">
        <f t="shared" si="0"/>
        <v>0</v>
      </c>
      <c r="O178" s="1459">
        <f t="shared" si="1"/>
        <v>0</v>
      </c>
      <c r="Q178" s="1444">
        <f>M178+O178</f>
        <v>0</v>
      </c>
      <c r="T178" s="1347"/>
    </row>
    <row r="179" spans="1:20" ht="5.15" customHeight="1">
      <c r="K179" s="1460"/>
      <c r="M179" s="1460"/>
      <c r="O179" s="1460"/>
      <c r="Q179" s="1460"/>
    </row>
    <row r="180" spans="1:20" ht="13">
      <c r="C180" s="1316">
        <f>C178+1</f>
        <v>80</v>
      </c>
      <c r="E180" s="1313" t="s">
        <v>1402</v>
      </c>
      <c r="K180" s="1445">
        <f>SUM(K174:K179)</f>
        <v>0</v>
      </c>
      <c r="L180" s="1445"/>
      <c r="M180" s="1445">
        <f>SUM(M174:M179)</f>
        <v>0</v>
      </c>
      <c r="N180" s="1442"/>
      <c r="O180" s="1445">
        <f>SUM(O174:O179)</f>
        <v>0</v>
      </c>
      <c r="P180" s="1445"/>
      <c r="Q180" s="1445">
        <f>SUM(Q174:Q179)</f>
        <v>0</v>
      </c>
    </row>
    <row r="181" spans="1:20">
      <c r="C181" s="1316"/>
    </row>
    <row r="182" spans="1:20" ht="13">
      <c r="A182" s="1453"/>
      <c r="B182" s="1453"/>
      <c r="C182" s="1316">
        <f>C180+1</f>
        <v>81</v>
      </c>
      <c r="D182" s="1453"/>
      <c r="E182" s="1454" t="s">
        <v>1403</v>
      </c>
      <c r="F182" s="1453"/>
      <c r="G182" s="1455"/>
      <c r="H182" s="1453"/>
      <c r="I182" s="1455"/>
      <c r="J182" s="1453"/>
      <c r="K182" s="1456"/>
      <c r="M182" s="1445"/>
      <c r="O182" s="1457"/>
      <c r="Q182" s="1453"/>
    </row>
    <row r="183" spans="1:20" ht="5.15" customHeight="1"/>
    <row r="184" spans="1:20">
      <c r="C184" s="1316">
        <f>C182+1</f>
        <v>82</v>
      </c>
      <c r="E184" s="1440" t="s">
        <v>1376</v>
      </c>
      <c r="G184" s="1458"/>
      <c r="I184" s="1455"/>
      <c r="K184" s="1443">
        <f>K148</f>
        <v>0</v>
      </c>
      <c r="L184" s="1442"/>
      <c r="M184" s="1443">
        <f>M148</f>
        <v>0</v>
      </c>
      <c r="N184" s="1442"/>
      <c r="O184" s="1443">
        <f>O148</f>
        <v>0</v>
      </c>
      <c r="P184" s="1442"/>
      <c r="Q184" s="1443">
        <f>M184+O184</f>
        <v>0</v>
      </c>
    </row>
    <row r="185" spans="1:20">
      <c r="C185" s="1316">
        <f>C184+1</f>
        <v>83</v>
      </c>
      <c r="E185" s="1440" t="s">
        <v>1401</v>
      </c>
      <c r="G185" s="1458"/>
      <c r="I185" s="1455"/>
      <c r="K185" s="1459">
        <f>K149</f>
        <v>0</v>
      </c>
      <c r="M185" s="1459">
        <f t="shared" ref="M185:M187" si="2">M149</f>
        <v>0</v>
      </c>
      <c r="O185" s="1459">
        <f t="shared" ref="O185:O187" si="3">O149</f>
        <v>0</v>
      </c>
      <c r="Q185" s="1444">
        <f>M185+O185</f>
        <v>0</v>
      </c>
    </row>
    <row r="186" spans="1:20">
      <c r="C186" s="1316">
        <f>C185+1</f>
        <v>84</v>
      </c>
      <c r="E186" s="1440" t="s">
        <v>1377</v>
      </c>
      <c r="G186" s="1458"/>
      <c r="I186" s="1455"/>
      <c r="K186" s="1459">
        <f t="shared" ref="K186:K187" si="4">K150</f>
        <v>0</v>
      </c>
      <c r="M186" s="1459">
        <f t="shared" si="2"/>
        <v>0</v>
      </c>
      <c r="O186" s="1459">
        <f t="shared" si="3"/>
        <v>0</v>
      </c>
      <c r="Q186" s="1444">
        <f>M186+O186</f>
        <v>0</v>
      </c>
      <c r="T186" s="1347"/>
    </row>
    <row r="187" spans="1:20">
      <c r="C187" s="1316">
        <f>C186+1</f>
        <v>85</v>
      </c>
      <c r="E187" s="1440" t="s">
        <v>1378</v>
      </c>
      <c r="G187" s="1458"/>
      <c r="I187" s="1455"/>
      <c r="K187" s="1459">
        <f t="shared" si="4"/>
        <v>0</v>
      </c>
      <c r="M187" s="1459">
        <f t="shared" si="2"/>
        <v>0</v>
      </c>
      <c r="O187" s="1459">
        <f t="shared" si="3"/>
        <v>0</v>
      </c>
      <c r="Q187" s="1444">
        <f>M187+O187</f>
        <v>0</v>
      </c>
    </row>
    <row r="188" spans="1:20" ht="5.15" customHeight="1">
      <c r="K188" s="1460"/>
      <c r="M188" s="1460"/>
      <c r="O188" s="1460"/>
      <c r="Q188" s="1460"/>
    </row>
    <row r="189" spans="1:20" ht="13">
      <c r="C189" s="1316">
        <f>C187+1</f>
        <v>86</v>
      </c>
      <c r="E189" s="1313" t="s">
        <v>1402</v>
      </c>
      <c r="K189" s="1445">
        <f>SUM(K183:K188)</f>
        <v>0</v>
      </c>
      <c r="L189" s="1442"/>
      <c r="M189" s="1445">
        <f>SUM(M183:M188)</f>
        <v>0</v>
      </c>
      <c r="N189" s="1445"/>
      <c r="O189" s="1445">
        <f>SUM(O183:O188)</f>
        <v>0</v>
      </c>
      <c r="P189" s="1445"/>
      <c r="Q189" s="1445">
        <f>SUM(Q183:Q188)</f>
        <v>0</v>
      </c>
    </row>
    <row r="191" spans="1:20" ht="13">
      <c r="A191" s="1453"/>
      <c r="B191" s="1453"/>
      <c r="C191" s="1316">
        <f>C189+1</f>
        <v>87</v>
      </c>
      <c r="D191" s="1453"/>
      <c r="E191" s="1454" t="s">
        <v>1405</v>
      </c>
      <c r="F191" s="1453"/>
      <c r="G191" s="1455"/>
      <c r="H191" s="1453"/>
      <c r="I191" s="1455"/>
      <c r="J191" s="1453"/>
      <c r="K191" s="1456"/>
      <c r="M191" s="1445"/>
      <c r="O191" s="1457"/>
      <c r="Q191" s="1453"/>
    </row>
    <row r="192" spans="1:20" ht="5.15" customHeight="1"/>
    <row r="193" spans="3:20">
      <c r="C193" s="1316">
        <f>C191+1</f>
        <v>88</v>
      </c>
      <c r="E193" s="1440" t="s">
        <v>1376</v>
      </c>
      <c r="G193" s="1458"/>
      <c r="I193" s="1455"/>
      <c r="K193" s="1443">
        <f>K157</f>
        <v>0</v>
      </c>
      <c r="L193" s="1442"/>
      <c r="M193" s="1443">
        <f>M157</f>
        <v>0</v>
      </c>
      <c r="N193" s="1442"/>
      <c r="O193" s="1443">
        <f>O157</f>
        <v>0</v>
      </c>
      <c r="P193" s="1442"/>
      <c r="Q193" s="1443">
        <f>M193+O193</f>
        <v>0</v>
      </c>
    </row>
    <row r="194" spans="3:20">
      <c r="C194" s="1316">
        <f>C193+1</f>
        <v>89</v>
      </c>
      <c r="E194" s="1440" t="s">
        <v>1401</v>
      </c>
      <c r="G194" s="1458"/>
      <c r="I194" s="1455"/>
      <c r="K194" s="1459">
        <f>K158</f>
        <v>0</v>
      </c>
      <c r="M194" s="1459">
        <f t="shared" ref="M194:M196" si="5">M158</f>
        <v>0</v>
      </c>
      <c r="O194" s="1459">
        <f t="shared" ref="O194:O196" si="6">O158</f>
        <v>0</v>
      </c>
      <c r="Q194" s="1444">
        <f>M194+O194</f>
        <v>0</v>
      </c>
    </row>
    <row r="195" spans="3:20">
      <c r="C195" s="1316">
        <f>C194+1</f>
        <v>90</v>
      </c>
      <c r="E195" s="1440" t="s">
        <v>1377</v>
      </c>
      <c r="G195" s="1458"/>
      <c r="I195" s="1455"/>
      <c r="K195" s="1459">
        <f t="shared" ref="K195:K196" si="7">K159</f>
        <v>0</v>
      </c>
      <c r="M195" s="1459">
        <f t="shared" si="5"/>
        <v>0</v>
      </c>
      <c r="O195" s="1459">
        <f t="shared" si="6"/>
        <v>0</v>
      </c>
      <c r="Q195" s="1444">
        <f>M195+O195</f>
        <v>0</v>
      </c>
    </row>
    <row r="196" spans="3:20">
      <c r="C196" s="1316">
        <f>C195+1</f>
        <v>91</v>
      </c>
      <c r="E196" s="1440" t="s">
        <v>1378</v>
      </c>
      <c r="G196" s="1458"/>
      <c r="I196" s="1455"/>
      <c r="K196" s="1459">
        <f t="shared" si="7"/>
        <v>0</v>
      </c>
      <c r="M196" s="1459">
        <f t="shared" si="5"/>
        <v>0</v>
      </c>
      <c r="O196" s="1459">
        <f t="shared" si="6"/>
        <v>0</v>
      </c>
      <c r="Q196" s="1444">
        <f>M196+O196</f>
        <v>0</v>
      </c>
    </row>
    <row r="197" spans="3:20" ht="5.15" customHeight="1">
      <c r="K197" s="1460"/>
      <c r="M197" s="1460"/>
      <c r="O197" s="1460"/>
      <c r="Q197" s="1460"/>
    </row>
    <row r="198" spans="3:20" ht="13">
      <c r="C198" s="1316">
        <f>C196+1</f>
        <v>92</v>
      </c>
      <c r="E198" s="1313" t="s">
        <v>1402</v>
      </c>
      <c r="K198" s="1445">
        <f>SUM(K192:K197)</f>
        <v>0</v>
      </c>
      <c r="L198" s="1442"/>
      <c r="M198" s="1445">
        <f>SUM(M192:M197)</f>
        <v>0</v>
      </c>
      <c r="N198" s="1442"/>
      <c r="O198" s="1445">
        <f>SUM(O192:O197)</f>
        <v>0</v>
      </c>
      <c r="P198" s="1445"/>
      <c r="Q198" s="1445">
        <f>SUM(Q192:Q197)</f>
        <v>0</v>
      </c>
      <c r="T198" s="1347"/>
    </row>
    <row r="200" spans="3:20" ht="13.5" thickBot="1">
      <c r="C200" s="1316">
        <f>C198+1</f>
        <v>93</v>
      </c>
      <c r="E200" s="1313" t="s">
        <v>1407</v>
      </c>
      <c r="K200" s="1461">
        <f>K180+K189+K198</f>
        <v>0</v>
      </c>
      <c r="L200" s="1445"/>
      <c r="M200" s="1461">
        <f>M180+M189+M198</f>
        <v>0</v>
      </c>
      <c r="N200" s="1445"/>
      <c r="O200" s="1461">
        <f>O180+O189+O198</f>
        <v>0</v>
      </c>
      <c r="P200" s="1445"/>
      <c r="Q200" s="1461">
        <f>Q180+Q189+Q198</f>
        <v>0</v>
      </c>
      <c r="T200" s="1462"/>
    </row>
    <row r="201" spans="3:20" ht="13">
      <c r="C201" s="1316"/>
      <c r="E201" s="1313"/>
      <c r="K201" s="1464"/>
      <c r="L201" s="1445"/>
      <c r="M201" s="1464"/>
      <c r="N201" s="1445"/>
      <c r="O201" s="1464"/>
      <c r="P201" s="1445"/>
      <c r="Q201" s="1464"/>
      <c r="T201" s="1462"/>
    </row>
    <row r="202" spans="3:20" ht="13">
      <c r="C202" s="1316"/>
      <c r="E202" s="1313"/>
      <c r="L202" s="1445"/>
      <c r="N202" s="1445"/>
      <c r="P202" s="1445"/>
      <c r="T202" s="1462"/>
    </row>
    <row r="203" spans="3:20" ht="15.5">
      <c r="E203" s="1761" t="s">
        <v>1418</v>
      </c>
      <c r="F203" s="1762"/>
      <c r="G203" s="1762"/>
      <c r="H203" s="1762"/>
      <c r="I203" s="1762"/>
      <c r="J203" s="1762"/>
      <c r="K203" s="1762"/>
      <c r="L203" s="1762"/>
      <c r="M203" s="1762"/>
      <c r="N203" s="1762"/>
      <c r="O203" s="1762"/>
      <c r="P203" s="1762"/>
      <c r="Q203" s="1763"/>
    </row>
    <row r="205" spans="3:20" ht="13">
      <c r="E205" s="1314" t="s">
        <v>174</v>
      </c>
      <c r="F205" s="1314"/>
      <c r="G205" s="1314" t="s">
        <v>175</v>
      </c>
      <c r="H205" s="1314"/>
      <c r="I205" s="1314" t="s">
        <v>1142</v>
      </c>
      <c r="J205" s="1314"/>
      <c r="K205" s="1314" t="s">
        <v>1295</v>
      </c>
      <c r="L205" s="1314"/>
      <c r="M205" s="1314" t="s">
        <v>1392</v>
      </c>
      <c r="N205" s="1314"/>
      <c r="O205" s="1314" t="s">
        <v>1297</v>
      </c>
      <c r="P205" s="1314"/>
      <c r="Q205" s="1314" t="s">
        <v>1298</v>
      </c>
    </row>
    <row r="206" spans="3:20" ht="15" customHeight="1">
      <c r="C206" s="1753" t="s">
        <v>1305</v>
      </c>
      <c r="D206" s="1639"/>
      <c r="E206" s="1755" t="s">
        <v>1373</v>
      </c>
      <c r="G206" s="1757" t="s">
        <v>278</v>
      </c>
      <c r="I206" s="1757" t="s">
        <v>1393</v>
      </c>
      <c r="M206" s="1450" t="s">
        <v>1508</v>
      </c>
      <c r="O206" s="1759" t="s">
        <v>1395</v>
      </c>
      <c r="Q206" s="1450" t="s">
        <v>1797</v>
      </c>
    </row>
    <row r="207" spans="3:20" ht="25">
      <c r="C207" s="1754"/>
      <c r="D207" s="1639"/>
      <c r="E207" s="1756"/>
      <c r="F207" s="1451"/>
      <c r="G207" s="1758"/>
      <c r="H207" s="1451"/>
      <c r="I207" s="1758"/>
      <c r="J207" s="1451"/>
      <c r="K207" s="1452" t="s">
        <v>1396</v>
      </c>
      <c r="M207" s="1705" t="s">
        <v>1397</v>
      </c>
      <c r="O207" s="1760"/>
      <c r="Q207" s="1705" t="s">
        <v>1398</v>
      </c>
    </row>
    <row r="208" spans="3:20" ht="5.15" customHeight="1"/>
    <row r="209" spans="3:17">
      <c r="C209" s="1316">
        <f>C164+1</f>
        <v>75</v>
      </c>
      <c r="E209" s="1440" t="s">
        <v>1376</v>
      </c>
      <c r="K209" s="1443">
        <f>K139+K148+K157</f>
        <v>0</v>
      </c>
      <c r="L209" s="1442"/>
      <c r="M209" s="1443">
        <f>M139+M148+M157</f>
        <v>0</v>
      </c>
      <c r="N209" s="1442"/>
      <c r="O209" s="1443">
        <f>O139+O148+O157</f>
        <v>0</v>
      </c>
      <c r="P209" s="1442"/>
      <c r="Q209" s="1443">
        <f t="shared" ref="Q209:Q212" si="8">M209+O209</f>
        <v>0</v>
      </c>
    </row>
    <row r="210" spans="3:17">
      <c r="C210" s="1316">
        <f>C209+1</f>
        <v>76</v>
      </c>
      <c r="E210" s="1440" t="s">
        <v>1401</v>
      </c>
      <c r="K210" s="1459">
        <f>K140+K149+K158</f>
        <v>0</v>
      </c>
      <c r="L210" s="1650"/>
      <c r="M210" s="1459">
        <f>M140+M149+M158</f>
        <v>0</v>
      </c>
      <c r="N210" s="1650"/>
      <c r="O210" s="1459">
        <f>O140+O149+O158</f>
        <v>0</v>
      </c>
      <c r="P210" s="1650"/>
      <c r="Q210" s="1459">
        <f t="shared" si="8"/>
        <v>0</v>
      </c>
    </row>
    <row r="211" spans="3:17">
      <c r="C211" s="1316">
        <f>C210+1</f>
        <v>77</v>
      </c>
      <c r="E211" s="1440" t="s">
        <v>1377</v>
      </c>
      <c r="K211" s="1459">
        <f>K141+K150+K159</f>
        <v>0</v>
      </c>
      <c r="L211" s="1650"/>
      <c r="M211" s="1459">
        <f>M141+M150+M159</f>
        <v>0</v>
      </c>
      <c r="N211" s="1650"/>
      <c r="O211" s="1459">
        <f>O141+O150+O159</f>
        <v>0</v>
      </c>
      <c r="P211" s="1650"/>
      <c r="Q211" s="1459">
        <f t="shared" si="8"/>
        <v>0</v>
      </c>
    </row>
    <row r="212" spans="3:17">
      <c r="C212" s="1316">
        <f>C211+1</f>
        <v>78</v>
      </c>
      <c r="E212" s="1440" t="s">
        <v>1378</v>
      </c>
      <c r="K212" s="1459">
        <f>K142+K151+K160</f>
        <v>0</v>
      </c>
      <c r="L212" s="1650"/>
      <c r="M212" s="1459">
        <f>M142+M151+M160</f>
        <v>0</v>
      </c>
      <c r="N212" s="1650"/>
      <c r="O212" s="1459">
        <f>O142+O151+O160</f>
        <v>0</v>
      </c>
      <c r="P212" s="1650"/>
      <c r="Q212" s="1459">
        <f t="shared" si="8"/>
        <v>0</v>
      </c>
    </row>
    <row r="213" spans="3:17" ht="5.15" customHeight="1">
      <c r="Q213" s="1460"/>
    </row>
    <row r="214" spans="3:17" ht="13">
      <c r="C214" s="1316">
        <f>C212+1</f>
        <v>79</v>
      </c>
      <c r="E214" s="1313" t="s">
        <v>1407</v>
      </c>
      <c r="K214" s="1465">
        <f>SUM(K209:K213)</f>
        <v>0</v>
      </c>
      <c r="L214" s="1445"/>
      <c r="M214" s="1465">
        <f>SUM(M209:M213)</f>
        <v>0</v>
      </c>
      <c r="N214" s="1445"/>
      <c r="O214" s="1465">
        <f>SUM(O209:O213)</f>
        <v>0</v>
      </c>
      <c r="P214" s="1445"/>
      <c r="Q214" s="1465">
        <f>SUM(Q209:Q213)</f>
        <v>0</v>
      </c>
    </row>
    <row r="215" spans="3:17" ht="5.15" customHeight="1"/>
    <row r="216" spans="3:17">
      <c r="C216" s="1316">
        <f>C214+1</f>
        <v>80</v>
      </c>
      <c r="E216" s="1440" t="s">
        <v>1245</v>
      </c>
      <c r="G216" s="1010" t="s">
        <v>1638</v>
      </c>
      <c r="K216" s="1466">
        <f>'ATT H-1A'!$H$248</f>
        <v>1.3910140492418972</v>
      </c>
      <c r="M216" s="1466">
        <f>'ATT H-1A'!$H$248</f>
        <v>1.3910140492418972</v>
      </c>
      <c r="O216" s="1466">
        <f>'ATT H-1A'!$H$248</f>
        <v>1.3910140492418972</v>
      </c>
      <c r="Q216" s="1466">
        <f>'ATT H-1A'!$H$248</f>
        <v>1.3910140492418972</v>
      </c>
    </row>
    <row r="217" spans="3:17" ht="5.15" customHeight="1"/>
    <row r="218" spans="3:17" ht="13.5" thickBot="1">
      <c r="C218" s="1316">
        <f>C216+1</f>
        <v>81</v>
      </c>
      <c r="E218" s="1313" t="s">
        <v>1411</v>
      </c>
      <c r="K218" s="1467">
        <f>K214*K216</f>
        <v>0</v>
      </c>
      <c r="L218" s="1445"/>
      <c r="M218" s="1467">
        <f>M214*M216</f>
        <v>0</v>
      </c>
      <c r="N218" s="1445"/>
      <c r="O218" s="1467">
        <f>O214*O216</f>
        <v>0</v>
      </c>
      <c r="P218" s="1445"/>
      <c r="Q218" s="1467">
        <f>Q214*Q216</f>
        <v>0</v>
      </c>
    </row>
    <row r="219" spans="3:17" ht="13" thickTop="1"/>
    <row r="221" spans="3:17" ht="15.5">
      <c r="E221" s="1761" t="s">
        <v>1419</v>
      </c>
      <c r="F221" s="1762"/>
      <c r="G221" s="1762"/>
      <c r="H221" s="1762"/>
      <c r="I221" s="1762"/>
      <c r="J221" s="1762"/>
      <c r="K221" s="1762"/>
      <c r="L221" s="1762"/>
      <c r="M221" s="1762"/>
      <c r="N221" s="1762"/>
      <c r="O221" s="1762"/>
      <c r="P221" s="1762"/>
      <c r="Q221" s="1763"/>
    </row>
    <row r="223" spans="3:17" ht="13">
      <c r="E223" s="1314" t="s">
        <v>174</v>
      </c>
      <c r="F223" s="1314"/>
      <c r="G223" s="1314" t="s">
        <v>175</v>
      </c>
      <c r="H223" s="1314"/>
      <c r="I223" s="1314" t="s">
        <v>1142</v>
      </c>
      <c r="J223" s="1314"/>
      <c r="K223" s="1314" t="s">
        <v>1295</v>
      </c>
      <c r="L223" s="1314"/>
      <c r="M223" s="1314" t="s">
        <v>1392</v>
      </c>
      <c r="N223" s="1314"/>
      <c r="O223" s="1314" t="s">
        <v>1297</v>
      </c>
      <c r="P223" s="1314"/>
      <c r="Q223" s="1314" t="s">
        <v>1298</v>
      </c>
    </row>
    <row r="224" spans="3:17">
      <c r="C224" s="1764" t="s">
        <v>1305</v>
      </c>
      <c r="E224" s="1765" t="s">
        <v>1413</v>
      </c>
      <c r="G224" s="1767" t="s">
        <v>278</v>
      </c>
      <c r="H224" s="1767"/>
      <c r="I224" s="1767"/>
      <c r="K224" s="1449"/>
      <c r="M224" s="1450" t="s">
        <v>1508</v>
      </c>
      <c r="O224" s="1759" t="s">
        <v>1395</v>
      </c>
      <c r="Q224" s="1450" t="s">
        <v>1797</v>
      </c>
    </row>
    <row r="225" spans="3:17" ht="25">
      <c r="C225" s="1740"/>
      <c r="E225" s="1766"/>
      <c r="G225" s="1768"/>
      <c r="H225" s="1768"/>
      <c r="I225" s="1768"/>
      <c r="J225" s="1451"/>
      <c r="K225" s="1452" t="s">
        <v>1396</v>
      </c>
      <c r="M225" s="1705" t="s">
        <v>1397</v>
      </c>
      <c r="O225" s="1760"/>
      <c r="Q225" s="1705" t="s">
        <v>1398</v>
      </c>
    </row>
    <row r="226" spans="3:17" ht="5.15" customHeight="1"/>
    <row r="227" spans="3:17">
      <c r="C227" s="1316">
        <f>C218+1</f>
        <v>82</v>
      </c>
      <c r="E227" s="1440" t="s">
        <v>1414</v>
      </c>
      <c r="K227" s="1443">
        <v>0</v>
      </c>
      <c r="L227" s="1442"/>
      <c r="M227" s="1443">
        <v>0</v>
      </c>
      <c r="N227" s="1442"/>
      <c r="O227" s="1443">
        <v>0</v>
      </c>
      <c r="P227" s="1442"/>
      <c r="Q227" s="1443">
        <v>0</v>
      </c>
    </row>
    <row r="228" spans="3:17">
      <c r="C228" s="1316">
        <f>C227+1</f>
        <v>83</v>
      </c>
      <c r="E228" s="1440" t="s">
        <v>1415</v>
      </c>
      <c r="K228" s="1444">
        <f>K218</f>
        <v>0</v>
      </c>
      <c r="M228" s="1444">
        <f>M218</f>
        <v>0</v>
      </c>
      <c r="O228" s="1444">
        <f>O218</f>
        <v>0</v>
      </c>
      <c r="Q228" s="1444">
        <f>Q218</f>
        <v>0</v>
      </c>
    </row>
    <row r="229" spans="3:17" ht="5.15" customHeight="1">
      <c r="K229" s="1460"/>
      <c r="M229" s="1460"/>
      <c r="O229" s="1460"/>
      <c r="Q229" s="1460"/>
    </row>
    <row r="230" spans="3:17" ht="13">
      <c r="C230" s="1316">
        <f>C228+1</f>
        <v>84</v>
      </c>
      <c r="E230" s="1313" t="s">
        <v>1416</v>
      </c>
      <c r="K230" s="1445">
        <f>SUM(K227:K229)</f>
        <v>0</v>
      </c>
      <c r="L230" s="1445"/>
      <c r="M230" s="1445">
        <f>SUM(M227:M229)</f>
        <v>0</v>
      </c>
      <c r="N230" s="1442"/>
      <c r="O230" s="1445">
        <f>SUM(O227:O229)</f>
        <v>0</v>
      </c>
      <c r="P230" s="1442"/>
      <c r="Q230" s="1445">
        <f>SUM(Q227:Q229)</f>
        <v>0</v>
      </c>
    </row>
    <row r="231" spans="3:17">
      <c r="K231" s="1462"/>
    </row>
    <row r="233" spans="3:17" ht="15.5">
      <c r="E233" s="1750" t="s">
        <v>1420</v>
      </c>
      <c r="F233" s="1750"/>
      <c r="G233" s="1750"/>
      <c r="H233" s="1750"/>
      <c r="I233" s="1750"/>
      <c r="J233" s="1750"/>
      <c r="K233" s="1750"/>
      <c r="L233" s="1750"/>
      <c r="M233" s="1750"/>
      <c r="N233" s="1750"/>
      <c r="O233" s="1750"/>
      <c r="P233" s="1750"/>
      <c r="Q233" s="1750"/>
    </row>
    <row r="235" spans="3:17" ht="15.5">
      <c r="E235" s="1761" t="s">
        <v>1421</v>
      </c>
      <c r="F235" s="1762"/>
      <c r="G235" s="1762"/>
      <c r="H235" s="1762"/>
      <c r="I235" s="1762"/>
      <c r="J235" s="1762"/>
      <c r="K235" s="1762"/>
      <c r="L235" s="1762"/>
      <c r="M235" s="1762"/>
      <c r="N235" s="1762"/>
      <c r="O235" s="1762"/>
      <c r="P235" s="1762"/>
      <c r="Q235" s="1763"/>
    </row>
    <row r="237" spans="3:17" ht="13">
      <c r="E237" s="1314" t="s">
        <v>174</v>
      </c>
      <c r="F237" s="1314"/>
      <c r="G237" s="1314" t="s">
        <v>175</v>
      </c>
      <c r="H237" s="1314"/>
      <c r="I237" s="1314" t="s">
        <v>1142</v>
      </c>
      <c r="J237" s="1314"/>
      <c r="K237" s="1314" t="s">
        <v>1295</v>
      </c>
      <c r="L237" s="1314"/>
      <c r="M237" s="1314" t="s">
        <v>1392</v>
      </c>
      <c r="N237" s="1314"/>
      <c r="O237" s="1314" t="s">
        <v>1297</v>
      </c>
      <c r="P237" s="1314"/>
      <c r="Q237" s="1314" t="s">
        <v>1298</v>
      </c>
    </row>
    <row r="238" spans="3:17">
      <c r="C238" s="1764" t="s">
        <v>1305</v>
      </c>
      <c r="E238" s="1765" t="s">
        <v>1413</v>
      </c>
      <c r="G238" s="1767" t="s">
        <v>278</v>
      </c>
      <c r="H238" s="1767"/>
      <c r="I238" s="1767"/>
      <c r="K238" s="1449"/>
      <c r="M238" s="1450" t="s">
        <v>1508</v>
      </c>
      <c r="O238" s="1759" t="s">
        <v>1395</v>
      </c>
      <c r="Q238" s="1450" t="s">
        <v>1797</v>
      </c>
    </row>
    <row r="239" spans="3:17" ht="25">
      <c r="C239" s="1740"/>
      <c r="E239" s="1766"/>
      <c r="G239" s="1768"/>
      <c r="H239" s="1768"/>
      <c r="I239" s="1768"/>
      <c r="J239" s="1451"/>
      <c r="K239" s="1452" t="s">
        <v>1396</v>
      </c>
      <c r="M239" s="1705" t="s">
        <v>1397</v>
      </c>
      <c r="O239" s="1760"/>
      <c r="Q239" s="1705" t="s">
        <v>1398</v>
      </c>
    </row>
    <row r="240" spans="3:17" ht="5.15" customHeight="1"/>
    <row r="241" spans="1:19">
      <c r="C241" s="1316">
        <f>C230+1</f>
        <v>85</v>
      </c>
      <c r="E241" s="1440" t="s">
        <v>1414</v>
      </c>
      <c r="K241" s="1443">
        <f>K122+K227</f>
        <v>0</v>
      </c>
      <c r="L241" s="1442"/>
      <c r="M241" s="1443">
        <f>M122+M227</f>
        <v>0</v>
      </c>
      <c r="N241" s="1442"/>
      <c r="O241" s="1443">
        <f>O122+O227</f>
        <v>0</v>
      </c>
      <c r="P241" s="1442"/>
      <c r="Q241" s="1443">
        <f>Q122+Q227</f>
        <v>0</v>
      </c>
    </row>
    <row r="242" spans="1:19">
      <c r="C242" s="1316">
        <f>C241+1</f>
        <v>86</v>
      </c>
      <c r="E242" s="1440" t="s">
        <v>1415</v>
      </c>
      <c r="K242" s="1459">
        <f>K123+K228</f>
        <v>-150724490.89087057</v>
      </c>
      <c r="M242" s="1459">
        <f>M123+M228</f>
        <v>-114872923.17058894</v>
      </c>
      <c r="O242" s="1459">
        <f>O123+O228</f>
        <v>18456328.093381271</v>
      </c>
      <c r="Q242" s="1459">
        <f>Q123+Q228</f>
        <v>-96416595.077207685</v>
      </c>
    </row>
    <row r="243" spans="1:19" ht="5.15" customHeight="1">
      <c r="K243" s="1460"/>
      <c r="M243" s="1460"/>
      <c r="O243" s="1460"/>
      <c r="Q243" s="1460"/>
    </row>
    <row r="244" spans="1:19" ht="13">
      <c r="C244" s="1316">
        <f>C242+1</f>
        <v>87</v>
      </c>
      <c r="E244" s="1313" t="s">
        <v>1416</v>
      </c>
      <c r="K244" s="1445">
        <f>SUM(K241:K243)</f>
        <v>-150724490.89087057</v>
      </c>
      <c r="L244" s="1445"/>
      <c r="M244" s="1445">
        <f>SUM(M241:M243)</f>
        <v>-114872923.17058894</v>
      </c>
      <c r="N244" s="1442"/>
      <c r="O244" s="1445">
        <f>SUM(O241:O243)</f>
        <v>18456328.093381271</v>
      </c>
      <c r="P244" s="1442"/>
      <c r="Q244" s="1445">
        <f>SUM(Q241:Q243)</f>
        <v>-96416595.077207685</v>
      </c>
    </row>
    <row r="248" spans="1:19" ht="18">
      <c r="A248" s="918"/>
      <c r="B248" s="918" t="s">
        <v>1422</v>
      </c>
      <c r="C248" s="918"/>
      <c r="D248" s="918"/>
      <c r="E248" s="918"/>
      <c r="F248" s="918"/>
      <c r="G248" s="918"/>
      <c r="H248" s="918"/>
      <c r="I248" s="918"/>
      <c r="J248" s="918"/>
      <c r="K248" s="918"/>
      <c r="L248" s="918"/>
      <c r="M248" s="918"/>
      <c r="N248" s="918"/>
      <c r="O248" s="918"/>
      <c r="P248" s="918"/>
      <c r="Q248" s="918"/>
      <c r="R248" s="918"/>
      <c r="S248" s="918"/>
    </row>
    <row r="249" spans="1:19">
      <c r="A249" s="44"/>
      <c r="B249" s="44"/>
      <c r="C249" s="44"/>
      <c r="D249" s="44"/>
      <c r="E249" s="44"/>
      <c r="F249" s="44"/>
      <c r="G249" s="44"/>
      <c r="H249" s="44"/>
      <c r="I249" s="44"/>
      <c r="J249" s="44"/>
      <c r="K249" s="44"/>
      <c r="L249" s="44"/>
      <c r="M249" s="44"/>
      <c r="N249" s="44"/>
      <c r="O249" s="44"/>
      <c r="P249" s="44"/>
      <c r="Q249" s="44"/>
    </row>
    <row r="250" spans="1:19">
      <c r="A250" s="44"/>
      <c r="B250" s="1769" t="s">
        <v>1423</v>
      </c>
      <c r="C250" s="1769"/>
      <c r="D250" s="1769"/>
      <c r="E250" s="1769"/>
      <c r="F250" s="1769"/>
      <c r="G250" s="1769"/>
      <c r="H250" s="1769"/>
      <c r="I250" s="1769"/>
      <c r="J250" s="1769"/>
      <c r="K250" s="1769"/>
      <c r="L250" s="1769"/>
      <c r="M250" s="1769"/>
      <c r="N250" s="1769"/>
      <c r="O250" s="1769"/>
      <c r="P250" s="1769"/>
      <c r="Q250" s="1769"/>
    </row>
    <row r="251" spans="1:19">
      <c r="A251" s="44"/>
      <c r="B251" s="1769"/>
      <c r="C251" s="1769"/>
      <c r="D251" s="1769"/>
      <c r="E251" s="1769"/>
      <c r="F251" s="1769"/>
      <c r="G251" s="1769"/>
      <c r="H251" s="1769"/>
      <c r="I251" s="1769"/>
      <c r="J251" s="1769"/>
      <c r="K251" s="1769"/>
      <c r="L251" s="1769"/>
      <c r="M251" s="1769"/>
      <c r="N251" s="1769"/>
      <c r="O251" s="1769"/>
      <c r="P251" s="1769"/>
      <c r="Q251" s="1769"/>
    </row>
    <row r="252" spans="1:19">
      <c r="A252" s="44"/>
      <c r="B252" s="1769"/>
      <c r="C252" s="1769"/>
      <c r="D252" s="1769"/>
      <c r="E252" s="1769"/>
      <c r="F252" s="1769"/>
      <c r="G252" s="1769"/>
      <c r="H252" s="1769"/>
      <c r="I252" s="1769"/>
      <c r="J252" s="1769"/>
      <c r="K252" s="1769"/>
      <c r="L252" s="1769"/>
      <c r="M252" s="1769"/>
      <c r="N252" s="1769"/>
      <c r="O252" s="1769"/>
      <c r="P252" s="1769"/>
      <c r="Q252" s="1769"/>
    </row>
    <row r="253" spans="1:19">
      <c r="A253" s="44"/>
      <c r="B253" s="1769" t="s">
        <v>1424</v>
      </c>
      <c r="C253" s="1769"/>
      <c r="D253" s="1769"/>
      <c r="E253" s="1769"/>
      <c r="F253" s="1769"/>
      <c r="G253" s="1769"/>
      <c r="H253" s="1769"/>
      <c r="I253" s="1769"/>
      <c r="J253" s="1769"/>
      <c r="K253" s="1769"/>
      <c r="L253" s="1769"/>
      <c r="M253" s="1769"/>
      <c r="N253" s="1769"/>
      <c r="O253" s="1769"/>
      <c r="P253" s="1769"/>
      <c r="Q253" s="1769"/>
    </row>
    <row r="254" spans="1:19">
      <c r="A254" s="44"/>
      <c r="B254" s="1769"/>
      <c r="C254" s="1769"/>
      <c r="D254" s="1769"/>
      <c r="E254" s="1769"/>
      <c r="F254" s="1769"/>
      <c r="G254" s="1769"/>
      <c r="H254" s="1769"/>
      <c r="I254" s="1769"/>
      <c r="J254" s="1769"/>
      <c r="K254" s="1769"/>
      <c r="L254" s="1769"/>
      <c r="M254" s="1769"/>
      <c r="N254" s="1769"/>
      <c r="O254" s="1769"/>
      <c r="P254" s="1769"/>
      <c r="Q254" s="1769"/>
    </row>
    <row r="255" spans="1:19">
      <c r="A255" s="44"/>
      <c r="B255" s="1769"/>
      <c r="C255" s="1769"/>
      <c r="D255" s="1769"/>
      <c r="E255" s="1769"/>
      <c r="F255" s="1769"/>
      <c r="G255" s="1769"/>
      <c r="H255" s="1769"/>
      <c r="I255" s="1769"/>
      <c r="J255" s="1769"/>
      <c r="K255" s="1769"/>
      <c r="L255" s="1769"/>
      <c r="M255" s="1769"/>
      <c r="N255" s="1769"/>
      <c r="O255" s="1769"/>
      <c r="P255" s="1769"/>
      <c r="Q255" s="1769"/>
    </row>
    <row r="256" spans="1:19">
      <c r="A256" s="44"/>
      <c r="B256" s="1769" t="s">
        <v>1425</v>
      </c>
      <c r="C256" s="1769"/>
      <c r="D256" s="1769"/>
      <c r="E256" s="1769"/>
      <c r="F256" s="1769"/>
      <c r="G256" s="1769"/>
      <c r="H256" s="1769"/>
      <c r="I256" s="1769"/>
      <c r="J256" s="1769"/>
      <c r="K256" s="1769"/>
      <c r="L256" s="1769"/>
      <c r="M256" s="1769"/>
      <c r="N256" s="1769"/>
      <c r="O256" s="1769"/>
      <c r="P256" s="1769"/>
      <c r="Q256" s="1769"/>
    </row>
    <row r="257" spans="1:19">
      <c r="A257" s="44"/>
      <c r="B257" s="1769"/>
      <c r="C257" s="1769"/>
      <c r="D257" s="1769"/>
      <c r="E257" s="1769"/>
      <c r="F257" s="1769"/>
      <c r="G257" s="1769"/>
      <c r="H257" s="1769"/>
      <c r="I257" s="1769"/>
      <c r="J257" s="1769"/>
      <c r="K257" s="1769"/>
      <c r="L257" s="1769"/>
      <c r="M257" s="1769"/>
      <c r="N257" s="1769"/>
      <c r="O257" s="1769"/>
      <c r="P257" s="1769"/>
      <c r="Q257" s="1769"/>
    </row>
    <row r="258" spans="1:19">
      <c r="A258" s="44"/>
      <c r="B258" s="1769"/>
      <c r="C258" s="1769"/>
      <c r="D258" s="1769"/>
      <c r="E258" s="1769"/>
      <c r="F258" s="1769"/>
      <c r="G258" s="1769"/>
      <c r="H258" s="1769"/>
      <c r="I258" s="1769"/>
      <c r="J258" s="1769"/>
      <c r="K258" s="1769"/>
      <c r="L258" s="1769"/>
      <c r="M258" s="1769"/>
      <c r="N258" s="1769"/>
      <c r="O258" s="1769"/>
      <c r="P258" s="1769"/>
      <c r="Q258" s="1769"/>
    </row>
    <row r="259" spans="1:19">
      <c r="A259" s="44"/>
      <c r="B259" s="1769" t="s">
        <v>1426</v>
      </c>
      <c r="C259" s="1769"/>
      <c r="D259" s="1769"/>
      <c r="E259" s="1769"/>
      <c r="F259" s="1769"/>
      <c r="G259" s="1769"/>
      <c r="H259" s="1769"/>
      <c r="I259" s="1769"/>
      <c r="J259" s="1769"/>
      <c r="K259" s="1769"/>
      <c r="L259" s="1769"/>
      <c r="M259" s="1769"/>
      <c r="N259" s="1769"/>
      <c r="O259" s="1769"/>
      <c r="P259" s="1769"/>
      <c r="Q259" s="1769"/>
    </row>
    <row r="260" spans="1:19">
      <c r="A260" s="44"/>
      <c r="B260" s="1769"/>
      <c r="C260" s="1769"/>
      <c r="D260" s="1769"/>
      <c r="E260" s="1769"/>
      <c r="F260" s="1769"/>
      <c r="G260" s="1769"/>
      <c r="H260" s="1769"/>
      <c r="I260" s="1769"/>
      <c r="J260" s="1769"/>
      <c r="K260" s="1769"/>
      <c r="L260" s="1769"/>
      <c r="M260" s="1769"/>
      <c r="N260" s="1769"/>
      <c r="O260" s="1769"/>
      <c r="P260" s="1769"/>
      <c r="Q260" s="1769"/>
    </row>
    <row r="261" spans="1:19">
      <c r="A261" s="44"/>
      <c r="B261" s="1641"/>
      <c r="C261" s="1641"/>
      <c r="D261" s="1641"/>
      <c r="E261" s="1641"/>
      <c r="F261" s="1641"/>
      <c r="G261" s="1641"/>
      <c r="H261" s="1641"/>
      <c r="I261" s="1641"/>
      <c r="J261" s="1641"/>
      <c r="K261" s="1641"/>
      <c r="L261" s="1641"/>
      <c r="M261" s="1641"/>
      <c r="N261" s="1641"/>
      <c r="O261" s="1641"/>
      <c r="P261" s="1641"/>
      <c r="Q261" s="1641"/>
    </row>
    <row r="262" spans="1:19" ht="18">
      <c r="A262" s="918"/>
      <c r="B262" s="918" t="s">
        <v>925</v>
      </c>
      <c r="C262" s="918"/>
      <c r="D262" s="918"/>
      <c r="E262" s="918"/>
      <c r="F262" s="918"/>
      <c r="G262" s="918"/>
      <c r="H262" s="918"/>
      <c r="I262" s="918"/>
      <c r="J262" s="918"/>
      <c r="K262" s="918"/>
      <c r="L262" s="918"/>
      <c r="M262" s="918"/>
      <c r="N262" s="918"/>
      <c r="O262" s="918"/>
      <c r="P262" s="918"/>
      <c r="Q262" s="918"/>
      <c r="R262" s="918"/>
      <c r="S262" s="918"/>
    </row>
    <row r="263" spans="1:19">
      <c r="A263" s="44"/>
      <c r="B263" s="44"/>
      <c r="C263" s="44"/>
      <c r="D263" s="44"/>
      <c r="E263" s="44"/>
      <c r="F263" s="44"/>
      <c r="G263" s="44"/>
      <c r="H263" s="44"/>
      <c r="I263" s="44" t="s">
        <v>86</v>
      </c>
      <c r="J263" s="44"/>
      <c r="K263" s="44"/>
      <c r="L263" s="44"/>
      <c r="M263" s="44"/>
      <c r="N263" s="44"/>
      <c r="O263" s="44"/>
      <c r="P263" s="44"/>
      <c r="Q263" s="44"/>
    </row>
    <row r="264" spans="1:19" ht="12.75" customHeight="1">
      <c r="A264" s="44"/>
      <c r="B264" s="44" t="s">
        <v>9</v>
      </c>
      <c r="C264" s="1769" t="s">
        <v>1605</v>
      </c>
      <c r="D264" s="1769"/>
      <c r="E264" s="1769"/>
      <c r="F264" s="1769"/>
      <c r="G264" s="1769"/>
      <c r="H264" s="1769"/>
      <c r="I264" s="1769"/>
      <c r="J264" s="1769"/>
      <c r="K264" s="1769"/>
      <c r="L264" s="1769"/>
      <c r="M264" s="1769"/>
      <c r="N264" s="1769"/>
      <c r="O264" s="1769"/>
      <c r="P264" s="1769"/>
      <c r="Q264" s="1769"/>
    </row>
    <row r="265" spans="1:19">
      <c r="A265" s="44"/>
      <c r="B265" s="44"/>
      <c r="C265" s="1769"/>
      <c r="D265" s="1769"/>
      <c r="E265" s="1769"/>
      <c r="F265" s="1769"/>
      <c r="G265" s="1769"/>
      <c r="H265" s="1769"/>
      <c r="I265" s="1769"/>
      <c r="J265" s="1769"/>
      <c r="K265" s="1769"/>
      <c r="L265" s="1769"/>
      <c r="M265" s="1769"/>
      <c r="N265" s="1769"/>
      <c r="O265" s="1769"/>
      <c r="P265" s="1769"/>
      <c r="Q265" s="1769"/>
    </row>
    <row r="266" spans="1:19">
      <c r="A266" s="44"/>
      <c r="B266" s="44"/>
      <c r="C266" s="1769"/>
      <c r="D266" s="1769"/>
      <c r="E266" s="1769"/>
      <c r="F266" s="1769"/>
      <c r="G266" s="1769"/>
      <c r="H266" s="1769"/>
      <c r="I266" s="1769"/>
      <c r="J266" s="1769"/>
      <c r="K266" s="1769"/>
      <c r="L266" s="1769"/>
      <c r="M266" s="1769"/>
      <c r="N266" s="1769"/>
      <c r="O266" s="1769"/>
      <c r="P266" s="1769"/>
      <c r="Q266" s="1769"/>
    </row>
    <row r="267" spans="1:19">
      <c r="A267" s="44"/>
      <c r="B267" s="44"/>
      <c r="C267" s="1769"/>
      <c r="D267" s="1769"/>
      <c r="E267" s="1769"/>
      <c r="F267" s="1769"/>
      <c r="G267" s="1769"/>
      <c r="H267" s="1769"/>
      <c r="I267" s="1769"/>
      <c r="J267" s="1769"/>
      <c r="K267" s="1769"/>
      <c r="L267" s="1769"/>
      <c r="M267" s="1769"/>
      <c r="N267" s="1769"/>
      <c r="O267" s="1769"/>
      <c r="P267" s="1769"/>
      <c r="Q267" s="1769"/>
    </row>
    <row r="268" spans="1:19">
      <c r="A268" s="44"/>
      <c r="B268" s="44"/>
      <c r="C268" s="1769"/>
      <c r="D268" s="1769"/>
      <c r="E268" s="1769"/>
      <c r="F268" s="1769"/>
      <c r="G268" s="1769"/>
      <c r="H268" s="1769"/>
      <c r="I268" s="1769"/>
      <c r="J268" s="1769"/>
      <c r="K268" s="1769"/>
      <c r="L268" s="1769"/>
      <c r="M268" s="1769"/>
      <c r="N268" s="1769"/>
      <c r="O268" s="1769"/>
      <c r="P268" s="1769"/>
      <c r="Q268" s="1769"/>
    </row>
    <row r="269" spans="1:19">
      <c r="A269" s="44"/>
      <c r="B269" s="44"/>
      <c r="C269" s="1769"/>
      <c r="D269" s="1769"/>
      <c r="E269" s="1769"/>
      <c r="F269" s="1769"/>
      <c r="G269" s="1769"/>
      <c r="H269" s="1769"/>
      <c r="I269" s="1769"/>
      <c r="J269" s="1769"/>
      <c r="K269" s="1769"/>
      <c r="L269" s="1769"/>
      <c r="M269" s="1769"/>
      <c r="N269" s="1769"/>
      <c r="O269" s="1769"/>
      <c r="P269" s="1769"/>
      <c r="Q269" s="1769"/>
    </row>
    <row r="270" spans="1:19">
      <c r="A270" s="44"/>
      <c r="B270" s="44"/>
      <c r="C270" s="1769"/>
      <c r="D270" s="1769"/>
      <c r="E270" s="1769"/>
      <c r="F270" s="1769"/>
      <c r="G270" s="1769"/>
      <c r="H270" s="1769"/>
      <c r="I270" s="1769"/>
      <c r="J270" s="1769"/>
      <c r="K270" s="1769"/>
      <c r="L270" s="1769"/>
      <c r="M270" s="1769"/>
      <c r="N270" s="1769"/>
      <c r="O270" s="1769"/>
      <c r="P270" s="1769"/>
      <c r="Q270" s="1769"/>
    </row>
    <row r="271" spans="1:19" ht="12.75" customHeight="1">
      <c r="A271" s="44"/>
      <c r="B271" s="44" t="s">
        <v>10</v>
      </c>
      <c r="C271" s="1769" t="s">
        <v>1427</v>
      </c>
      <c r="D271" s="1769"/>
      <c r="E271" s="1769"/>
      <c r="F271" s="1769"/>
      <c r="G271" s="1769"/>
      <c r="H271" s="1769"/>
      <c r="I271" s="1769"/>
      <c r="J271" s="1769"/>
      <c r="K271" s="1769"/>
      <c r="L271" s="1769"/>
      <c r="M271" s="1769"/>
      <c r="N271" s="1769"/>
      <c r="O271" s="1769"/>
      <c r="P271" s="1769"/>
      <c r="Q271" s="1769"/>
    </row>
    <row r="272" spans="1:19" ht="12.75" customHeight="1">
      <c r="A272" s="44"/>
      <c r="B272" s="44"/>
      <c r="C272" s="1769"/>
      <c r="D272" s="1769"/>
      <c r="E272" s="1769"/>
      <c r="F272" s="1769"/>
      <c r="G272" s="1769"/>
      <c r="H272" s="1769"/>
      <c r="I272" s="1769"/>
      <c r="J272" s="1769"/>
      <c r="K272" s="1769"/>
      <c r="L272" s="1769"/>
      <c r="M272" s="1769"/>
      <c r="N272" s="1769"/>
      <c r="O272" s="1769"/>
      <c r="P272" s="1769"/>
      <c r="Q272" s="1769"/>
    </row>
    <row r="273" spans="1:19">
      <c r="A273" s="44"/>
      <c r="B273" s="44"/>
      <c r="C273" s="1769"/>
      <c r="D273" s="1769"/>
      <c r="E273" s="1769"/>
      <c r="F273" s="1769"/>
      <c r="G273" s="1769"/>
      <c r="H273" s="1769"/>
      <c r="I273" s="1769"/>
      <c r="J273" s="1769"/>
      <c r="K273" s="1769"/>
      <c r="L273" s="1769"/>
      <c r="M273" s="1769"/>
      <c r="N273" s="1769"/>
      <c r="O273" s="1769"/>
      <c r="P273" s="1769"/>
      <c r="Q273" s="1769"/>
    </row>
    <row r="274" spans="1:19">
      <c r="E274" s="1638"/>
      <c r="F274" s="1638"/>
      <c r="G274" s="1638"/>
      <c r="H274" s="1638"/>
      <c r="I274" s="1638"/>
      <c r="J274" s="1638"/>
      <c r="K274" s="1638"/>
      <c r="L274" s="1638"/>
      <c r="M274" s="1638"/>
      <c r="N274" s="1638"/>
      <c r="O274" s="1638"/>
      <c r="P274" s="1638"/>
      <c r="Q274" s="1638"/>
    </row>
    <row r="275" spans="1:19" ht="15.5">
      <c r="A275" s="1428" t="s">
        <v>489</v>
      </c>
      <c r="B275" s="1428"/>
      <c r="C275" s="1428"/>
      <c r="D275" s="1428"/>
      <c r="E275" s="1429"/>
      <c r="F275" s="225"/>
      <c r="G275" s="225"/>
      <c r="H275" s="578"/>
      <c r="I275" s="225"/>
      <c r="J275" s="225"/>
      <c r="K275" s="225"/>
      <c r="L275" s="225"/>
      <c r="M275" s="225"/>
      <c r="N275" s="225"/>
      <c r="O275" s="225"/>
      <c r="P275" s="225"/>
      <c r="Q275" s="225"/>
      <c r="R275" s="225"/>
      <c r="S275" s="225"/>
    </row>
  </sheetData>
  <mergeCells count="69">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O224:O225"/>
    <mergeCell ref="O238:O239"/>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38" orientation="landscape" r:id="rId1"/>
  <rowBreaks count="2" manualBreakCount="2">
    <brk id="60" max="19" man="1"/>
    <brk id="165"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topLeftCell="J96" zoomScale="68" zoomScaleNormal="68" workbookViewId="0">
      <selection activeCell="J140" sqref="J140:L140"/>
    </sheetView>
  </sheetViews>
  <sheetFormatPr defaultColWidth="9.1796875" defaultRowHeight="12.5"/>
  <cols>
    <col min="1" max="1" width="9.1796875" style="1468" customWidth="1"/>
    <col min="2" max="2" width="9.453125" style="1470" customWidth="1"/>
    <col min="3" max="3" width="75.26953125" style="1470" customWidth="1"/>
    <col min="4" max="4" width="50.7265625" style="1470" bestFit="1" customWidth="1"/>
    <col min="5" max="5" width="25.81640625" style="1470" bestFit="1" customWidth="1"/>
    <col min="6" max="6" width="23.453125" style="1468" bestFit="1" customWidth="1"/>
    <col min="7" max="7" width="23" style="1468" bestFit="1" customWidth="1"/>
    <col min="8" max="9" width="21.453125" style="1468" customWidth="1"/>
    <col min="10" max="10" width="25.453125" style="1468" bestFit="1" customWidth="1"/>
    <col min="11" max="11" width="5.453125" style="1468" customWidth="1"/>
    <col min="12" max="12" width="23" style="1468" bestFit="1" customWidth="1"/>
    <col min="13" max="15" width="21.453125" style="1468" customWidth="1"/>
    <col min="16" max="16" width="25.1796875" style="1468" bestFit="1" customWidth="1"/>
    <col min="17" max="17" width="2.7265625" style="1468" customWidth="1"/>
    <col min="18" max="18" width="26.54296875" style="1468" customWidth="1"/>
    <col min="19" max="19" width="2.7265625" style="1468" customWidth="1"/>
    <col min="20" max="20" width="21.453125" style="1468" customWidth="1"/>
    <col min="21" max="21" width="2.7265625" style="1468" customWidth="1"/>
    <col min="22" max="22" width="24.26953125" style="1468" customWidth="1"/>
    <col min="23" max="23" width="2.7265625" style="1468" customWidth="1"/>
    <col min="24" max="24" width="26.54296875" style="1468" customWidth="1"/>
    <col min="25" max="25" width="2.7265625" style="1468" customWidth="1"/>
    <col min="26" max="26" width="22.7265625" style="1470" customWidth="1"/>
    <col min="27" max="27" width="2.7265625" style="1468" customWidth="1"/>
    <col min="28" max="28" width="18.7265625" style="1470" customWidth="1"/>
    <col min="29" max="29" width="2.7265625" style="1468" customWidth="1"/>
    <col min="30" max="30" width="14.453125" style="1468" customWidth="1"/>
    <col min="31" max="31" width="2.453125" style="1468" customWidth="1"/>
    <col min="32" max="32" width="31.81640625" style="1468" bestFit="1" customWidth="1"/>
    <col min="33" max="33" width="2.453125" style="1468" customWidth="1"/>
    <col min="34" max="34" width="19.81640625" style="1469" customWidth="1"/>
    <col min="35" max="35" width="2.453125" style="1469" customWidth="1"/>
    <col min="36" max="16384" width="9.1796875" style="1468"/>
  </cols>
  <sheetData>
    <row r="1" spans="1:162" ht="14">
      <c r="A1" s="1448" t="s">
        <v>1551</v>
      </c>
      <c r="B1" s="1448"/>
      <c r="C1" s="1468"/>
      <c r="D1" s="1468"/>
      <c r="E1" s="1468"/>
      <c r="X1" s="1448"/>
      <c r="Z1" s="1468"/>
      <c r="AB1" s="1468"/>
    </row>
    <row r="2" spans="1:162" ht="14">
      <c r="A2" s="1448" t="s">
        <v>1428</v>
      </c>
      <c r="B2" s="1448"/>
      <c r="C2" s="1468"/>
      <c r="D2" s="1468"/>
      <c r="E2" s="1468"/>
      <c r="X2" s="1448"/>
      <c r="Z2" s="1468"/>
      <c r="AB2" s="1468"/>
    </row>
    <row r="3" spans="1:162" ht="14">
      <c r="A3" s="1448" t="s">
        <v>1429</v>
      </c>
      <c r="B3" s="1448"/>
      <c r="C3" s="1468"/>
      <c r="D3" s="1468"/>
      <c r="E3" s="1468"/>
      <c r="Z3" s="1468"/>
      <c r="AB3" s="1468"/>
    </row>
    <row r="4" spans="1:162" ht="14">
      <c r="B4" s="1448"/>
    </row>
    <row r="5" spans="1:162" ht="19">
      <c r="B5" s="1772" t="s">
        <v>1391</v>
      </c>
      <c r="C5" s="1773"/>
      <c r="D5" s="1773"/>
      <c r="E5" s="1773"/>
      <c r="F5" s="1773"/>
      <c r="G5" s="1773"/>
      <c r="H5" s="1773"/>
      <c r="I5" s="1773"/>
      <c r="J5" s="1773"/>
      <c r="K5" s="1773"/>
      <c r="L5" s="1773"/>
      <c r="M5" s="1773"/>
      <c r="N5" s="1773"/>
      <c r="O5" s="1773"/>
      <c r="P5" s="1773"/>
      <c r="Q5" s="1773"/>
      <c r="R5" s="1773"/>
      <c r="S5" s="1773"/>
      <c r="T5" s="1773"/>
      <c r="U5" s="1773"/>
      <c r="V5" s="1773"/>
      <c r="W5" s="1773"/>
      <c r="X5" s="1773"/>
      <c r="Y5" s="1773"/>
      <c r="Z5" s="1773"/>
      <c r="AA5" s="1773"/>
      <c r="AB5" s="1773"/>
      <c r="AC5" s="1773"/>
      <c r="AD5" s="1773"/>
      <c r="AE5" s="1773"/>
      <c r="AF5" s="1773"/>
      <c r="AG5" s="1773"/>
      <c r="AH5" s="1774"/>
    </row>
    <row r="6" spans="1:162" ht="14">
      <c r="B6" s="1448"/>
    </row>
    <row r="7" spans="1:162" s="1685" customFormat="1" ht="15.5">
      <c r="B7" s="1686"/>
      <c r="C7" s="1686"/>
      <c r="D7" s="1686"/>
      <c r="E7" s="1686"/>
      <c r="F7" s="1775" t="s">
        <v>1430</v>
      </c>
      <c r="G7" s="1776"/>
      <c r="H7" s="1776"/>
      <c r="I7" s="1776"/>
      <c r="J7" s="1777"/>
      <c r="L7" s="1775" t="s">
        <v>1431</v>
      </c>
      <c r="M7" s="1776"/>
      <c r="N7" s="1776"/>
      <c r="O7" s="1776"/>
      <c r="P7" s="1777"/>
      <c r="R7" s="1775" t="s">
        <v>1432</v>
      </c>
      <c r="S7" s="1776"/>
      <c r="T7" s="1776"/>
      <c r="U7" s="1776"/>
      <c r="V7" s="1776"/>
      <c r="W7" s="1776"/>
      <c r="X7" s="1776"/>
      <c r="Y7" s="1776"/>
      <c r="Z7" s="1776"/>
      <c r="AA7" s="1776"/>
      <c r="AB7" s="1776"/>
      <c r="AC7" s="1776"/>
      <c r="AD7" s="1776"/>
      <c r="AE7" s="1776"/>
      <c r="AF7" s="1777"/>
      <c r="AG7" s="1687"/>
      <c r="AH7" s="1688"/>
      <c r="AI7" s="1688"/>
    </row>
    <row r="8" spans="1:162" s="1471" customFormat="1" ht="61.5" customHeight="1">
      <c r="B8" s="1652" t="s">
        <v>573</v>
      </c>
      <c r="C8" s="1653" t="s">
        <v>1433</v>
      </c>
      <c r="D8" s="1653" t="s">
        <v>1247</v>
      </c>
      <c r="E8" s="1652" t="s">
        <v>1434</v>
      </c>
      <c r="F8" s="1652" t="s">
        <v>1435</v>
      </c>
      <c r="G8" s="1652" t="s">
        <v>1436</v>
      </c>
      <c r="H8" s="1652" t="s">
        <v>1437</v>
      </c>
      <c r="I8" s="1652" t="s">
        <v>1438</v>
      </c>
      <c r="J8" s="1652" t="s">
        <v>1439</v>
      </c>
      <c r="K8" s="1652"/>
      <c r="L8" s="1652" t="s">
        <v>1435</v>
      </c>
      <c r="M8" s="1652" t="s">
        <v>1440</v>
      </c>
      <c r="N8" s="1652" t="s">
        <v>1437</v>
      </c>
      <c r="O8" s="1652" t="s">
        <v>1438</v>
      </c>
      <c r="P8" s="1652" t="s">
        <v>1439</v>
      </c>
      <c r="Q8" s="1652"/>
      <c r="R8" s="1652" t="s">
        <v>1441</v>
      </c>
      <c r="S8" s="1652"/>
      <c r="T8" s="1652" t="s">
        <v>1097</v>
      </c>
      <c r="U8" s="1652"/>
      <c r="V8" s="1652" t="s">
        <v>1442</v>
      </c>
      <c r="W8" s="1652"/>
      <c r="X8" s="1652" t="s">
        <v>1443</v>
      </c>
      <c r="Y8" s="1652"/>
      <c r="Z8" s="1652" t="s">
        <v>1444</v>
      </c>
      <c r="AA8" s="1652"/>
      <c r="AB8" s="1652" t="s">
        <v>1445</v>
      </c>
      <c r="AC8" s="1652"/>
      <c r="AD8" s="1652" t="s">
        <v>1640</v>
      </c>
      <c r="AE8" s="1652"/>
      <c r="AF8" s="1652" t="s">
        <v>1446</v>
      </c>
      <c r="AG8" s="1652"/>
      <c r="AH8" s="1652" t="s">
        <v>1447</v>
      </c>
      <c r="AI8" s="1468"/>
      <c r="AJ8" s="1468"/>
      <c r="AK8" s="1468"/>
      <c r="AL8" s="1468"/>
      <c r="AM8" s="1468"/>
      <c r="AN8" s="1468"/>
      <c r="AO8" s="1468"/>
      <c r="AP8" s="1468"/>
      <c r="AQ8" s="1468"/>
      <c r="AR8" s="1468"/>
      <c r="AS8" s="1468"/>
      <c r="AT8" s="1468"/>
      <c r="AU8" s="1468"/>
      <c r="AV8" s="1468"/>
      <c r="AW8" s="1468"/>
      <c r="AX8" s="1468"/>
      <c r="AY8" s="1468"/>
      <c r="AZ8" s="1468"/>
      <c r="BA8" s="1468"/>
      <c r="BB8" s="1468"/>
      <c r="BC8" s="1468"/>
      <c r="BD8" s="1468"/>
      <c r="BE8" s="1468"/>
      <c r="BF8" s="1468"/>
      <c r="BG8" s="1468"/>
      <c r="BH8" s="1468"/>
      <c r="BI8" s="1468"/>
      <c r="BJ8" s="1468"/>
      <c r="BK8" s="1468"/>
      <c r="BL8" s="1468"/>
      <c r="BM8" s="1468"/>
      <c r="BN8" s="1468"/>
      <c r="BO8" s="1468"/>
      <c r="BP8" s="1468"/>
      <c r="BQ8" s="1468"/>
      <c r="BR8" s="1468"/>
      <c r="BS8" s="1468"/>
      <c r="BT8" s="1468"/>
      <c r="BU8" s="1468"/>
      <c r="BV8" s="1468"/>
      <c r="BW8" s="1468"/>
      <c r="BX8" s="1468"/>
      <c r="BY8" s="1468"/>
      <c r="BZ8" s="1468"/>
      <c r="CA8" s="1468"/>
      <c r="CB8" s="1468"/>
      <c r="CC8" s="1468"/>
      <c r="CD8" s="1468"/>
      <c r="CE8" s="1468"/>
      <c r="CF8" s="1468"/>
      <c r="CG8" s="1468"/>
      <c r="CH8" s="1468"/>
      <c r="CI8" s="1468"/>
      <c r="CJ8" s="1468"/>
      <c r="CK8" s="1468"/>
      <c r="CL8" s="1468"/>
      <c r="CM8" s="1468"/>
      <c r="CN8" s="1468"/>
      <c r="CO8" s="1468"/>
      <c r="CP8" s="1468"/>
      <c r="CQ8" s="1468"/>
      <c r="CR8" s="1468"/>
      <c r="CS8" s="1468"/>
      <c r="CT8" s="1468"/>
      <c r="CU8" s="1468"/>
      <c r="CV8" s="1468"/>
      <c r="CW8" s="1468"/>
      <c r="CX8" s="1468"/>
      <c r="CY8" s="1468"/>
      <c r="CZ8" s="1468"/>
      <c r="DA8" s="1468"/>
      <c r="DB8" s="1468"/>
      <c r="DC8" s="1468"/>
      <c r="DD8" s="1468"/>
      <c r="DE8" s="1468"/>
      <c r="DF8" s="1468"/>
      <c r="DG8" s="1468"/>
      <c r="DH8" s="1468"/>
      <c r="DI8" s="1468"/>
      <c r="DJ8" s="1468"/>
      <c r="DK8" s="1468"/>
      <c r="DL8" s="1468"/>
      <c r="DM8" s="1468"/>
      <c r="DN8" s="1468"/>
      <c r="DO8" s="1468"/>
      <c r="DP8" s="1468"/>
      <c r="DQ8" s="1468"/>
      <c r="DR8" s="1468"/>
      <c r="DS8" s="1468"/>
      <c r="DT8" s="1468"/>
      <c r="DU8" s="1468"/>
      <c r="DV8" s="1468"/>
      <c r="DW8" s="1468"/>
      <c r="DX8" s="1468"/>
      <c r="DY8" s="1468"/>
      <c r="DZ8" s="1468"/>
      <c r="EA8" s="1468"/>
      <c r="EB8" s="1468"/>
      <c r="EC8" s="1468"/>
      <c r="ED8" s="1468"/>
      <c r="EE8" s="1468"/>
      <c r="EF8" s="1468"/>
      <c r="EG8" s="1468"/>
      <c r="EH8" s="1468"/>
      <c r="EI8" s="1468"/>
      <c r="EJ8" s="1468"/>
      <c r="EK8" s="1468"/>
      <c r="EL8" s="1468"/>
      <c r="EM8" s="1468"/>
      <c r="EN8" s="1468"/>
      <c r="EO8" s="1468"/>
      <c r="EP8" s="1468"/>
      <c r="EQ8" s="1468"/>
      <c r="ER8" s="1468"/>
      <c r="ES8" s="1468"/>
      <c r="ET8" s="1468"/>
      <c r="EU8" s="1468"/>
      <c r="EV8" s="1468"/>
      <c r="EW8" s="1468"/>
      <c r="EX8" s="1468"/>
      <c r="EY8" s="1468"/>
      <c r="EZ8" s="1468"/>
      <c r="FA8" s="1468"/>
      <c r="FB8" s="1468"/>
      <c r="FC8" s="1468"/>
      <c r="FD8" s="1468"/>
      <c r="FE8" s="1468"/>
      <c r="FF8" s="1468"/>
    </row>
    <row r="9" spans="1:162" ht="15" customHeight="1">
      <c r="B9" s="1472"/>
      <c r="C9" s="1654" t="s">
        <v>174</v>
      </c>
      <c r="D9" s="1655" t="s">
        <v>175</v>
      </c>
      <c r="E9" s="1655" t="s">
        <v>1142</v>
      </c>
      <c r="F9" s="1655" t="s">
        <v>1295</v>
      </c>
      <c r="G9" s="1655" t="s">
        <v>1448</v>
      </c>
      <c r="H9" s="1655" t="s">
        <v>1297</v>
      </c>
      <c r="I9" s="1655" t="s">
        <v>1449</v>
      </c>
      <c r="J9" s="1655" t="s">
        <v>1450</v>
      </c>
      <c r="K9" s="1473"/>
      <c r="L9" s="1655" t="s">
        <v>1300</v>
      </c>
      <c r="M9" s="1655" t="s">
        <v>1451</v>
      </c>
      <c r="N9" s="1655" t="s">
        <v>1302</v>
      </c>
      <c r="O9" s="1655" t="s">
        <v>1452</v>
      </c>
      <c r="P9" s="1655" t="s">
        <v>1453</v>
      </c>
      <c r="Q9" s="1474"/>
      <c r="R9" s="1655" t="s">
        <v>1454</v>
      </c>
      <c r="S9" s="1655"/>
      <c r="T9" s="1655" t="s">
        <v>1455</v>
      </c>
      <c r="U9" s="1655"/>
      <c r="V9" s="1655" t="s">
        <v>1456</v>
      </c>
      <c r="W9" s="1655"/>
      <c r="X9" s="1655" t="s">
        <v>1457</v>
      </c>
      <c r="Y9" s="1655"/>
      <c r="Z9" s="1655" t="s">
        <v>1458</v>
      </c>
      <c r="AA9" s="1655"/>
      <c r="AB9" s="1655" t="s">
        <v>1459</v>
      </c>
      <c r="AC9" s="1655"/>
      <c r="AD9" s="1655" t="s">
        <v>1460</v>
      </c>
      <c r="AE9" s="1655"/>
      <c r="AF9" s="1655" t="s">
        <v>1461</v>
      </c>
      <c r="AG9" s="1655"/>
      <c r="AH9" s="1655" t="s">
        <v>1462</v>
      </c>
      <c r="AI9" s="1468"/>
    </row>
    <row r="10" spans="1:162" s="1471" customFormat="1" ht="15" customHeight="1">
      <c r="B10" s="1656"/>
      <c r="C10" s="1656"/>
      <c r="D10" s="1656"/>
      <c r="E10" s="1655"/>
      <c r="F10" s="1655"/>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468"/>
      <c r="AK10" s="1468"/>
      <c r="AL10" s="1468"/>
      <c r="AM10" s="1468"/>
      <c r="AN10" s="1468"/>
      <c r="AO10" s="1468"/>
      <c r="AP10" s="1468"/>
      <c r="AQ10" s="1468"/>
      <c r="AR10" s="1468"/>
      <c r="AS10" s="1468"/>
      <c r="AT10" s="1468"/>
      <c r="AU10" s="1468"/>
      <c r="AV10" s="1468"/>
      <c r="AW10" s="1468"/>
      <c r="AX10" s="1468"/>
      <c r="AY10" s="1468"/>
      <c r="AZ10" s="1468"/>
      <c r="BA10" s="1468"/>
      <c r="BB10" s="1468"/>
      <c r="BC10" s="1468"/>
      <c r="BD10" s="1468"/>
      <c r="BE10" s="1468"/>
      <c r="BF10" s="1468"/>
      <c r="BG10" s="1468"/>
      <c r="BH10" s="1468"/>
      <c r="BI10" s="1468"/>
      <c r="BJ10" s="1468"/>
      <c r="BK10" s="1468"/>
      <c r="BL10" s="1468"/>
      <c r="BM10" s="1468"/>
      <c r="BN10" s="1468"/>
      <c r="BO10" s="1468"/>
      <c r="BP10" s="1468"/>
      <c r="BQ10" s="1468"/>
      <c r="BR10" s="1468"/>
      <c r="BS10" s="1468"/>
      <c r="BT10" s="1468"/>
      <c r="BU10" s="1468"/>
      <c r="BV10" s="1468"/>
      <c r="BW10" s="1468"/>
      <c r="BX10" s="1468"/>
      <c r="BY10" s="1468"/>
      <c r="BZ10" s="1468"/>
      <c r="CA10" s="1468"/>
      <c r="CB10" s="1468"/>
      <c r="CC10" s="1468"/>
      <c r="CD10" s="1468"/>
      <c r="CE10" s="1468"/>
      <c r="CF10" s="1468"/>
      <c r="CG10" s="1468"/>
      <c r="CH10" s="1468"/>
      <c r="CI10" s="1468"/>
      <c r="CJ10" s="1468"/>
      <c r="CK10" s="1468"/>
      <c r="CL10" s="1468"/>
      <c r="CM10" s="1468"/>
      <c r="CN10" s="1468"/>
      <c r="CO10" s="1468"/>
      <c r="CP10" s="1468"/>
      <c r="CQ10" s="1468"/>
      <c r="CR10" s="1468"/>
      <c r="CS10" s="1468"/>
      <c r="CT10" s="1468"/>
      <c r="CU10" s="1468"/>
      <c r="CV10" s="1468"/>
      <c r="CW10" s="1468"/>
      <c r="CX10" s="1468"/>
      <c r="CY10" s="1468"/>
      <c r="CZ10" s="1468"/>
      <c r="DA10" s="1468"/>
      <c r="DB10" s="1468"/>
      <c r="DC10" s="1468"/>
      <c r="DD10" s="1468"/>
      <c r="DE10" s="1468"/>
      <c r="DF10" s="1468"/>
      <c r="DG10" s="1468"/>
      <c r="DH10" s="1468"/>
      <c r="DI10" s="1468"/>
      <c r="DJ10" s="1468"/>
      <c r="DK10" s="1468"/>
      <c r="DL10" s="1468"/>
      <c r="DM10" s="1468"/>
      <c r="DN10" s="1468"/>
      <c r="DO10" s="1468"/>
      <c r="DP10" s="1468"/>
      <c r="DQ10" s="1468"/>
      <c r="DR10" s="1468"/>
      <c r="DS10" s="1468"/>
      <c r="DT10" s="1468"/>
      <c r="DU10" s="1468"/>
      <c r="DV10" s="1468"/>
      <c r="DW10" s="1468"/>
      <c r="DX10" s="1468"/>
      <c r="DY10" s="1468"/>
      <c r="DZ10" s="1468"/>
      <c r="EA10" s="1468"/>
      <c r="EB10" s="1468"/>
      <c r="EC10" s="1468"/>
      <c r="ED10" s="1468"/>
      <c r="EE10" s="1468"/>
      <c r="EF10" s="1468"/>
      <c r="EG10" s="1468"/>
      <c r="EH10" s="1468"/>
      <c r="EI10" s="1468"/>
      <c r="EJ10" s="1468"/>
      <c r="EK10" s="1468"/>
      <c r="EL10" s="1468"/>
      <c r="EM10" s="1468"/>
      <c r="EN10" s="1468"/>
      <c r="EO10" s="1468"/>
      <c r="EP10" s="1468"/>
      <c r="EQ10" s="1468"/>
      <c r="ER10" s="1468"/>
      <c r="ES10" s="1468"/>
      <c r="ET10" s="1468"/>
      <c r="EU10" s="1468"/>
      <c r="EV10" s="1468"/>
      <c r="EW10" s="1468"/>
      <c r="EX10" s="1468"/>
      <c r="EY10" s="1468"/>
      <c r="EZ10" s="1468"/>
      <c r="FA10" s="1468"/>
      <c r="FB10" s="1468"/>
      <c r="FC10" s="1468"/>
      <c r="FD10" s="1468"/>
      <c r="FE10" s="1468"/>
      <c r="FF10" s="1468"/>
    </row>
    <row r="11" spans="1:162" s="1471" customFormat="1" ht="13">
      <c r="B11" s="1656"/>
      <c r="C11" s="1657" t="s">
        <v>1641</v>
      </c>
      <c r="D11" s="1656"/>
      <c r="E11" s="1655"/>
      <c r="F11" s="1655"/>
      <c r="G11" s="1655"/>
      <c r="H11" s="1655"/>
      <c r="I11" s="1655"/>
      <c r="J11" s="1655"/>
      <c r="K11" s="1655"/>
      <c r="L11" s="1655"/>
      <c r="M11" s="1655"/>
      <c r="N11" s="1655"/>
      <c r="O11" s="1655"/>
      <c r="P11" s="1655"/>
      <c r="Q11" s="1655"/>
      <c r="R11" s="1655"/>
      <c r="S11" s="1655"/>
      <c r="T11" s="1655"/>
      <c r="U11" s="1655"/>
      <c r="V11" s="1655"/>
      <c r="W11" s="1655"/>
      <c r="X11" s="1655"/>
      <c r="Y11" s="1655"/>
      <c r="Z11" s="1655"/>
      <c r="AA11" s="1655"/>
      <c r="AB11" s="1655"/>
      <c r="AC11" s="1655"/>
      <c r="AD11" s="1655"/>
      <c r="AE11" s="1655"/>
      <c r="AF11" s="1655"/>
      <c r="AG11" s="1655"/>
      <c r="AH11" s="1655"/>
      <c r="AI11" s="1655"/>
      <c r="AJ11" s="1468"/>
      <c r="AK11" s="1468"/>
      <c r="AL11" s="1468"/>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8"/>
      <c r="BH11" s="1468"/>
      <c r="BI11" s="1468"/>
      <c r="BJ11" s="1468"/>
      <c r="BK11" s="1468"/>
      <c r="BL11" s="1468"/>
      <c r="BM11" s="1468"/>
      <c r="BN11" s="1468"/>
      <c r="BO11" s="1468"/>
      <c r="BP11" s="1468"/>
      <c r="BQ11" s="1468"/>
      <c r="BR11" s="1468"/>
      <c r="BS11" s="1468"/>
      <c r="BT11" s="1468"/>
      <c r="BU11" s="1468"/>
      <c r="BV11" s="1468"/>
      <c r="BW11" s="1468"/>
      <c r="BX11" s="1468"/>
      <c r="BY11" s="1468"/>
      <c r="BZ11" s="1468"/>
      <c r="CA11" s="1468"/>
      <c r="CB11" s="1468"/>
      <c r="CC11" s="1468"/>
      <c r="CD11" s="1468"/>
      <c r="CE11" s="1468"/>
      <c r="CF11" s="1468"/>
      <c r="CG11" s="1468"/>
      <c r="CH11" s="1468"/>
      <c r="CI11" s="1468"/>
      <c r="CJ11" s="1468"/>
      <c r="CK11" s="1468"/>
      <c r="CL11" s="1468"/>
      <c r="CM11" s="1468"/>
      <c r="CN11" s="1468"/>
      <c r="CO11" s="1468"/>
      <c r="CP11" s="1468"/>
      <c r="CQ11" s="1468"/>
      <c r="CR11" s="1468"/>
      <c r="CS11" s="1468"/>
      <c r="CT11" s="1468"/>
      <c r="CU11" s="1468"/>
      <c r="CV11" s="1468"/>
      <c r="CW11" s="1468"/>
      <c r="CX11" s="1468"/>
      <c r="CY11" s="1468"/>
      <c r="CZ11" s="1468"/>
      <c r="DA11" s="1468"/>
      <c r="DB11" s="1468"/>
      <c r="DC11" s="1468"/>
      <c r="DD11" s="1468"/>
      <c r="DE11" s="1468"/>
      <c r="DF11" s="1468"/>
      <c r="DG11" s="1468"/>
      <c r="DH11" s="1468"/>
      <c r="DI11" s="1468"/>
      <c r="DJ11" s="1468"/>
      <c r="DK11" s="1468"/>
      <c r="DL11" s="1468"/>
      <c r="DM11" s="1468"/>
      <c r="DN11" s="1468"/>
      <c r="DO11" s="1468"/>
      <c r="DP11" s="1468"/>
      <c r="DQ11" s="1468"/>
      <c r="DR11" s="1468"/>
      <c r="DS11" s="1468"/>
      <c r="DT11" s="1468"/>
      <c r="DU11" s="1468"/>
      <c r="DV11" s="1468"/>
      <c r="DW11" s="1468"/>
      <c r="DX11" s="1468"/>
      <c r="DY11" s="1468"/>
      <c r="DZ11" s="1468"/>
      <c r="EA11" s="1468"/>
      <c r="EB11" s="1468"/>
      <c r="EC11" s="1468"/>
      <c r="ED11" s="1468"/>
      <c r="EE11" s="1468"/>
      <c r="EF11" s="1468"/>
      <c r="EG11" s="1468"/>
      <c r="EH11" s="1468"/>
      <c r="EI11" s="1468"/>
      <c r="EJ11" s="1468"/>
      <c r="EK11" s="1468"/>
      <c r="EL11" s="1468"/>
      <c r="EM11" s="1468"/>
      <c r="EN11" s="1468"/>
      <c r="EO11" s="1468"/>
      <c r="EP11" s="1468"/>
      <c r="EQ11" s="1468"/>
      <c r="ER11" s="1468"/>
      <c r="ES11" s="1468"/>
      <c r="ET11" s="1468"/>
      <c r="EU11" s="1468"/>
      <c r="EV11" s="1468"/>
      <c r="EW11" s="1468"/>
      <c r="EX11" s="1468"/>
      <c r="EY11" s="1468"/>
      <c r="EZ11" s="1468"/>
      <c r="FA11" s="1468"/>
      <c r="FB11" s="1468"/>
      <c r="FC11" s="1468"/>
      <c r="FD11" s="1468"/>
      <c r="FE11" s="1468"/>
      <c r="FF11" s="1468"/>
    </row>
    <row r="12" spans="1:162">
      <c r="B12" s="1316">
        <v>1</v>
      </c>
      <c r="C12" s="1444" t="s">
        <v>1642</v>
      </c>
      <c r="D12" s="1444" t="s">
        <v>1643</v>
      </c>
      <c r="E12" s="1444" t="s">
        <v>1464</v>
      </c>
      <c r="F12" s="1658">
        <v>0</v>
      </c>
      <c r="G12" s="1659">
        <f t="shared" ref="G12:G70" si="0">F12*0.35</f>
        <v>0</v>
      </c>
      <c r="H12" s="1658">
        <v>561350.97</v>
      </c>
      <c r="I12" s="1659">
        <f t="shared" ref="I12:I70" si="1">-H12*0.35</f>
        <v>-196472.83949999997</v>
      </c>
      <c r="J12" s="1659">
        <f t="shared" ref="J12:J70" si="2">G12+H12+I12</f>
        <v>364878.13049999997</v>
      </c>
      <c r="K12" s="1660"/>
      <c r="L12" s="1658">
        <f t="shared" ref="L12:L69" si="3">F12</f>
        <v>0</v>
      </c>
      <c r="M12" s="1659">
        <f t="shared" ref="M12:M70" si="4">L12*0.21</f>
        <v>0</v>
      </c>
      <c r="N12" s="1658">
        <v>561350.97</v>
      </c>
      <c r="O12" s="1659">
        <f t="shared" ref="O12:O70" si="5">-N12*0.21</f>
        <v>-117883.70369999998</v>
      </c>
      <c r="P12" s="1659">
        <f t="shared" ref="P12:P70" si="6">M12+N12+O12</f>
        <v>443467.26630000002</v>
      </c>
      <c r="R12" s="1659">
        <f t="shared" ref="R12:R70" si="7">J12-P12</f>
        <v>-78589.135800000047</v>
      </c>
      <c r="S12" s="1660"/>
      <c r="T12" s="1658">
        <v>0</v>
      </c>
      <c r="U12" s="1660"/>
      <c r="V12" s="1658">
        <v>0</v>
      </c>
      <c r="W12" s="1660"/>
      <c r="X12" s="1659">
        <f t="shared" ref="X12:X70" si="8">R12-T12-V12</f>
        <v>-78589.135800000047</v>
      </c>
      <c r="Y12" s="1660"/>
      <c r="Z12" s="1453" t="s">
        <v>1478</v>
      </c>
      <c r="AA12" s="1661"/>
      <c r="AB12" s="1453" t="s">
        <v>22</v>
      </c>
      <c r="AC12" s="1661"/>
      <c r="AD12" s="1662">
        <v>0.33300000000000002</v>
      </c>
      <c r="AE12" s="1661"/>
      <c r="AF12" s="1659">
        <f t="shared" ref="AF12:AF70" si="9">X12*AD12</f>
        <v>-26170.182221400017</v>
      </c>
      <c r="AG12" s="1010"/>
      <c r="AH12" s="1316">
        <v>190</v>
      </c>
      <c r="AI12" s="1316"/>
    </row>
    <row r="13" spans="1:162">
      <c r="B13" s="1316">
        <v>2</v>
      </c>
      <c r="C13" s="1444" t="s">
        <v>1463</v>
      </c>
      <c r="D13" s="1444" t="s">
        <v>1644</v>
      </c>
      <c r="E13" s="1444" t="s">
        <v>1464</v>
      </c>
      <c r="F13" s="1663">
        <v>222051.82999999996</v>
      </c>
      <c r="G13" s="1664">
        <f t="shared" si="0"/>
        <v>77718.14049999998</v>
      </c>
      <c r="H13" s="1663">
        <v>19984.664699999994</v>
      </c>
      <c r="I13" s="1664">
        <f t="shared" si="1"/>
        <v>-6994.6326449999979</v>
      </c>
      <c r="J13" s="1664">
        <f t="shared" si="2"/>
        <v>90708.172554999968</v>
      </c>
      <c r="K13" s="1665"/>
      <c r="L13" s="1663">
        <f t="shared" si="3"/>
        <v>222051.82999999996</v>
      </c>
      <c r="M13" s="1664">
        <f t="shared" si="4"/>
        <v>46630.884299999991</v>
      </c>
      <c r="N13" s="1663">
        <v>19984.664699999994</v>
      </c>
      <c r="O13" s="1664">
        <f t="shared" si="5"/>
        <v>-4196.7795869999982</v>
      </c>
      <c r="P13" s="1664">
        <f t="shared" si="6"/>
        <v>62418.769412999987</v>
      </c>
      <c r="Q13" s="1664"/>
      <c r="R13" s="1664">
        <f t="shared" si="7"/>
        <v>28289.403141999981</v>
      </c>
      <c r="S13" s="1665"/>
      <c r="T13" s="1663">
        <v>0</v>
      </c>
      <c r="U13" s="1665"/>
      <c r="V13" s="1663">
        <v>0</v>
      </c>
      <c r="W13" s="1665"/>
      <c r="X13" s="1664">
        <f t="shared" si="8"/>
        <v>28289.403141999981</v>
      </c>
      <c r="Y13" s="1660"/>
      <c r="Z13" s="1453" t="s">
        <v>260</v>
      </c>
      <c r="AA13" s="1661"/>
      <c r="AB13" s="1453" t="s">
        <v>22</v>
      </c>
      <c r="AC13" s="1661"/>
      <c r="AD13" s="1662">
        <v>6.5299999999999997E-2</v>
      </c>
      <c r="AE13" s="1661"/>
      <c r="AF13" s="1664">
        <f t="shared" si="9"/>
        <v>1847.2980251725987</v>
      </c>
      <c r="AG13" s="1010"/>
      <c r="AH13" s="1316">
        <v>190</v>
      </c>
      <c r="AI13" s="1316"/>
    </row>
    <row r="14" spans="1:162">
      <c r="B14" s="1316">
        <v>3</v>
      </c>
      <c r="C14" s="1444" t="s">
        <v>1645</v>
      </c>
      <c r="D14" s="1444" t="s">
        <v>1644</v>
      </c>
      <c r="E14" s="1444" t="s">
        <v>1464</v>
      </c>
      <c r="F14" s="1663">
        <v>561535.93000000005</v>
      </c>
      <c r="G14" s="1664">
        <f t="shared" si="0"/>
        <v>196537.57550000001</v>
      </c>
      <c r="H14" s="1663">
        <v>50538.233700000004</v>
      </c>
      <c r="I14" s="1664">
        <f t="shared" si="1"/>
        <v>-17688.381795000001</v>
      </c>
      <c r="J14" s="1664">
        <f t="shared" si="2"/>
        <v>229387.42740500002</v>
      </c>
      <c r="K14" s="1665"/>
      <c r="L14" s="1663">
        <f t="shared" si="3"/>
        <v>561535.93000000005</v>
      </c>
      <c r="M14" s="1664">
        <f t="shared" si="4"/>
        <v>117922.54530000001</v>
      </c>
      <c r="N14" s="1663">
        <v>50538.233700000004</v>
      </c>
      <c r="O14" s="1664">
        <f t="shared" si="5"/>
        <v>-10613.029077000001</v>
      </c>
      <c r="P14" s="1664">
        <f t="shared" si="6"/>
        <v>157847.749923</v>
      </c>
      <c r="Q14" s="1664"/>
      <c r="R14" s="1664">
        <f t="shared" si="7"/>
        <v>71539.677482000028</v>
      </c>
      <c r="S14" s="1665"/>
      <c r="T14" s="1663">
        <v>0</v>
      </c>
      <c r="U14" s="1665"/>
      <c r="V14" s="1663">
        <v>0</v>
      </c>
      <c r="W14" s="1665"/>
      <c r="X14" s="1664">
        <f t="shared" si="8"/>
        <v>71539.677482000028</v>
      </c>
      <c r="Y14" s="1660"/>
      <c r="Z14" s="1453" t="s">
        <v>260</v>
      </c>
      <c r="AA14" s="1661"/>
      <c r="AB14" s="1453" t="s">
        <v>22</v>
      </c>
      <c r="AC14" s="1661"/>
      <c r="AD14" s="1662">
        <v>6.5299999999999997E-2</v>
      </c>
      <c r="AE14" s="1661"/>
      <c r="AF14" s="1664">
        <f t="shared" si="9"/>
        <v>4671.5409395746019</v>
      </c>
      <c r="AG14" s="1010"/>
      <c r="AH14" s="1316">
        <v>190</v>
      </c>
      <c r="AI14" s="1316"/>
    </row>
    <row r="15" spans="1:162">
      <c r="B15" s="1316">
        <v>4</v>
      </c>
      <c r="C15" s="1444" t="s">
        <v>1646</v>
      </c>
      <c r="D15" s="1444" t="s">
        <v>1644</v>
      </c>
      <c r="E15" s="1444" t="s">
        <v>1464</v>
      </c>
      <c r="F15" s="1663">
        <v>1350412</v>
      </c>
      <c r="G15" s="1664">
        <f t="shared" si="0"/>
        <v>472644.19999999995</v>
      </c>
      <c r="H15" s="1663">
        <v>121537.08</v>
      </c>
      <c r="I15" s="1664">
        <f t="shared" si="1"/>
        <v>-42537.977999999996</v>
      </c>
      <c r="J15" s="1664">
        <f t="shared" si="2"/>
        <v>551643.30199999991</v>
      </c>
      <c r="K15" s="1665"/>
      <c r="L15" s="1663">
        <f t="shared" si="3"/>
        <v>1350412</v>
      </c>
      <c r="M15" s="1664">
        <f t="shared" si="4"/>
        <v>283586.51999999996</v>
      </c>
      <c r="N15" s="1663">
        <v>121537.08</v>
      </c>
      <c r="O15" s="1664">
        <f t="shared" si="5"/>
        <v>-25522.786799999998</v>
      </c>
      <c r="P15" s="1664">
        <f t="shared" si="6"/>
        <v>379600.81319999998</v>
      </c>
      <c r="Q15" s="1664"/>
      <c r="R15" s="1664">
        <f t="shared" si="7"/>
        <v>172042.48879999993</v>
      </c>
      <c r="S15" s="1665"/>
      <c r="T15" s="1663">
        <v>0</v>
      </c>
      <c r="U15" s="1665"/>
      <c r="V15" s="1663">
        <v>0</v>
      </c>
      <c r="W15" s="1665"/>
      <c r="X15" s="1664">
        <f t="shared" si="8"/>
        <v>172042.48879999993</v>
      </c>
      <c r="Y15" s="1660"/>
      <c r="Z15" s="1453" t="s">
        <v>260</v>
      </c>
      <c r="AA15" s="1661"/>
      <c r="AB15" s="1453" t="s">
        <v>22</v>
      </c>
      <c r="AC15" s="1661"/>
      <c r="AD15" s="1662">
        <v>6.5299999999999997E-2</v>
      </c>
      <c r="AE15" s="1661"/>
      <c r="AF15" s="1664">
        <f t="shared" si="9"/>
        <v>11234.374518639996</v>
      </c>
      <c r="AG15" s="1010"/>
      <c r="AH15" s="1316">
        <v>190</v>
      </c>
      <c r="AI15" s="1316"/>
    </row>
    <row r="16" spans="1:162">
      <c r="B16" s="1316">
        <v>5</v>
      </c>
      <c r="C16" s="1444" t="s">
        <v>1647</v>
      </c>
      <c r="D16" s="1444" t="s">
        <v>1644</v>
      </c>
      <c r="E16" s="1444" t="s">
        <v>1464</v>
      </c>
      <c r="F16" s="1663">
        <v>156169.44</v>
      </c>
      <c r="G16" s="1664">
        <f t="shared" si="0"/>
        <v>54659.303999999996</v>
      </c>
      <c r="H16" s="1663">
        <v>14055.249599999999</v>
      </c>
      <c r="I16" s="1664">
        <f t="shared" si="1"/>
        <v>-4919.3373599999995</v>
      </c>
      <c r="J16" s="1664">
        <f t="shared" si="2"/>
        <v>63795.216240000002</v>
      </c>
      <c r="K16" s="1665"/>
      <c r="L16" s="1663">
        <f t="shared" si="3"/>
        <v>156169.44</v>
      </c>
      <c r="M16" s="1664">
        <f t="shared" si="4"/>
        <v>32795.582399999999</v>
      </c>
      <c r="N16" s="1663">
        <v>14055.249599999999</v>
      </c>
      <c r="O16" s="1664">
        <f t="shared" si="5"/>
        <v>-2951.6024159999997</v>
      </c>
      <c r="P16" s="1664">
        <f t="shared" si="6"/>
        <v>43899.229583999993</v>
      </c>
      <c r="Q16" s="1664"/>
      <c r="R16" s="1664">
        <f t="shared" si="7"/>
        <v>19895.986656000008</v>
      </c>
      <c r="S16" s="1665"/>
      <c r="T16" s="1663">
        <v>0</v>
      </c>
      <c r="U16" s="1665"/>
      <c r="V16" s="1663">
        <v>0</v>
      </c>
      <c r="W16" s="1665"/>
      <c r="X16" s="1664">
        <f t="shared" si="8"/>
        <v>19895.986656000008</v>
      </c>
      <c r="Y16" s="1660"/>
      <c r="Z16" s="1453" t="s">
        <v>260</v>
      </c>
      <c r="AA16" s="1661"/>
      <c r="AB16" s="1453" t="s">
        <v>22</v>
      </c>
      <c r="AC16" s="1661"/>
      <c r="AD16" s="1662">
        <v>6.5299999999999997E-2</v>
      </c>
      <c r="AE16" s="1661"/>
      <c r="AF16" s="1664">
        <f t="shared" si="9"/>
        <v>1299.2079286368005</v>
      </c>
      <c r="AG16" s="1010"/>
      <c r="AH16" s="1316">
        <v>190</v>
      </c>
      <c r="AI16" s="1316"/>
    </row>
    <row r="17" spans="2:35">
      <c r="B17" s="1316">
        <v>6</v>
      </c>
      <c r="C17" s="1444" t="s">
        <v>1468</v>
      </c>
      <c r="D17" s="1444" t="s">
        <v>1644</v>
      </c>
      <c r="E17" s="1444" t="s">
        <v>1464</v>
      </c>
      <c r="F17" s="1663">
        <v>3405703.67</v>
      </c>
      <c r="G17" s="1664">
        <f t="shared" si="0"/>
        <v>1191996.2844999998</v>
      </c>
      <c r="H17" s="1663">
        <v>306513.33029999997</v>
      </c>
      <c r="I17" s="1664">
        <f t="shared" si="1"/>
        <v>-107279.66560499999</v>
      </c>
      <c r="J17" s="1664">
        <f t="shared" si="2"/>
        <v>1391229.9491949999</v>
      </c>
      <c r="K17" s="1665"/>
      <c r="L17" s="1663">
        <f t="shared" si="3"/>
        <v>3405703.67</v>
      </c>
      <c r="M17" s="1664">
        <f t="shared" si="4"/>
        <v>715197.77069999999</v>
      </c>
      <c r="N17" s="1663">
        <v>306513.33029999997</v>
      </c>
      <c r="O17" s="1664">
        <f t="shared" si="5"/>
        <v>-64367.799362999991</v>
      </c>
      <c r="P17" s="1664">
        <f t="shared" si="6"/>
        <v>957343.30163700006</v>
      </c>
      <c r="Q17" s="1664"/>
      <c r="R17" s="1664">
        <f t="shared" si="7"/>
        <v>433886.64755799982</v>
      </c>
      <c r="S17" s="1665"/>
      <c r="T17" s="1663">
        <v>0</v>
      </c>
      <c r="U17" s="1665"/>
      <c r="V17" s="1663">
        <v>0</v>
      </c>
      <c r="W17" s="1665"/>
      <c r="X17" s="1664">
        <f t="shared" si="8"/>
        <v>433886.64755799982</v>
      </c>
      <c r="Y17" s="1660"/>
      <c r="Z17" s="1453" t="s">
        <v>260</v>
      </c>
      <c r="AA17" s="1661"/>
      <c r="AB17" s="1453" t="s">
        <v>22</v>
      </c>
      <c r="AC17" s="1661"/>
      <c r="AD17" s="1662">
        <v>6.5299999999999997E-2</v>
      </c>
      <c r="AE17" s="1661"/>
      <c r="AF17" s="1664">
        <f t="shared" si="9"/>
        <v>28332.798085537386</v>
      </c>
      <c r="AG17" s="1010"/>
      <c r="AH17" s="1316">
        <v>190</v>
      </c>
      <c r="AI17" s="1316"/>
    </row>
    <row r="18" spans="2:35">
      <c r="B18" s="1316">
        <v>7</v>
      </c>
      <c r="C18" s="1444" t="s">
        <v>1471</v>
      </c>
      <c r="D18" s="1444" t="s">
        <v>1644</v>
      </c>
      <c r="E18" s="1444" t="s">
        <v>1464</v>
      </c>
      <c r="F18" s="1663">
        <v>1776910.91</v>
      </c>
      <c r="G18" s="1664">
        <f t="shared" si="0"/>
        <v>621918.81849999994</v>
      </c>
      <c r="H18" s="1663">
        <v>159921.98189999998</v>
      </c>
      <c r="I18" s="1664">
        <f t="shared" si="1"/>
        <v>-55972.693664999992</v>
      </c>
      <c r="J18" s="1664">
        <f t="shared" si="2"/>
        <v>725868.10673499992</v>
      </c>
      <c r="K18" s="1665"/>
      <c r="L18" s="1663">
        <f t="shared" si="3"/>
        <v>1776910.91</v>
      </c>
      <c r="M18" s="1664">
        <f t="shared" si="4"/>
        <v>373151.29109999997</v>
      </c>
      <c r="N18" s="1663">
        <v>159921.98189999998</v>
      </c>
      <c r="O18" s="1664">
        <f t="shared" si="5"/>
        <v>-33583.616198999996</v>
      </c>
      <c r="P18" s="1664">
        <f t="shared" si="6"/>
        <v>499489.65680099995</v>
      </c>
      <c r="Q18" s="1664"/>
      <c r="R18" s="1664">
        <f t="shared" si="7"/>
        <v>226378.44993399997</v>
      </c>
      <c r="S18" s="1665"/>
      <c r="T18" s="1663">
        <v>0</v>
      </c>
      <c r="U18" s="1665"/>
      <c r="V18" s="1663">
        <v>0</v>
      </c>
      <c r="W18" s="1665"/>
      <c r="X18" s="1664">
        <f t="shared" si="8"/>
        <v>226378.44993399997</v>
      </c>
      <c r="Y18" s="1660"/>
      <c r="Z18" s="1453" t="s">
        <v>260</v>
      </c>
      <c r="AA18" s="1661"/>
      <c r="AB18" s="1453" t="s">
        <v>22</v>
      </c>
      <c r="AC18" s="1661"/>
      <c r="AD18" s="1662">
        <v>6.5299999999999997E-2</v>
      </c>
      <c r="AE18" s="1661"/>
      <c r="AF18" s="1664">
        <f t="shared" si="9"/>
        <v>14782.512780690198</v>
      </c>
      <c r="AG18" s="1010"/>
      <c r="AH18" s="1316">
        <v>190</v>
      </c>
      <c r="AI18" s="1316"/>
    </row>
    <row r="19" spans="2:35">
      <c r="B19" s="1316">
        <v>8</v>
      </c>
      <c r="C19" s="1444" t="s">
        <v>1472</v>
      </c>
      <c r="D19" s="1444" t="s">
        <v>1644</v>
      </c>
      <c r="E19" s="1444" t="s">
        <v>1464</v>
      </c>
      <c r="F19" s="1663">
        <v>2978952.3642689832</v>
      </c>
      <c r="G19" s="1664">
        <f t="shared" si="0"/>
        <v>1042633.3274941441</v>
      </c>
      <c r="H19" s="1663">
        <v>268105.71278420847</v>
      </c>
      <c r="I19" s="1664">
        <f t="shared" si="1"/>
        <v>-93836.999474472963</v>
      </c>
      <c r="J19" s="1664">
        <f t="shared" si="2"/>
        <v>1216902.0408038795</v>
      </c>
      <c r="K19" s="1665"/>
      <c r="L19" s="1663">
        <f t="shared" si="3"/>
        <v>2978952.3642689832</v>
      </c>
      <c r="M19" s="1664">
        <f t="shared" si="4"/>
        <v>625579.99649648648</v>
      </c>
      <c r="N19" s="1663">
        <v>268105.71278420847</v>
      </c>
      <c r="O19" s="1664">
        <f t="shared" si="5"/>
        <v>-56302.199684683779</v>
      </c>
      <c r="P19" s="1664">
        <f t="shared" si="6"/>
        <v>837383.50959601114</v>
      </c>
      <c r="Q19" s="1664"/>
      <c r="R19" s="1664">
        <f t="shared" si="7"/>
        <v>379518.53120786836</v>
      </c>
      <c r="S19" s="1665"/>
      <c r="T19" s="1663">
        <v>0</v>
      </c>
      <c r="U19" s="1665"/>
      <c r="V19" s="1663">
        <v>0</v>
      </c>
      <c r="W19" s="1665"/>
      <c r="X19" s="1664">
        <f t="shared" si="8"/>
        <v>379518.53120786836</v>
      </c>
      <c r="Y19" s="1660"/>
      <c r="Z19" s="1453" t="s">
        <v>260</v>
      </c>
      <c r="AA19" s="1661"/>
      <c r="AB19" s="1453" t="s">
        <v>22</v>
      </c>
      <c r="AC19" s="1661"/>
      <c r="AD19" s="1662">
        <v>6.5299999999999997E-2</v>
      </c>
      <c r="AE19" s="1661"/>
      <c r="AF19" s="1664">
        <f t="shared" si="9"/>
        <v>24782.560087873804</v>
      </c>
      <c r="AG19" s="1010"/>
      <c r="AH19" s="1316">
        <v>190</v>
      </c>
      <c r="AI19" s="1316"/>
    </row>
    <row r="20" spans="2:35">
      <c r="B20" s="1316">
        <v>9</v>
      </c>
      <c r="C20" s="1444" t="s">
        <v>1648</v>
      </c>
      <c r="D20" s="1444" t="s">
        <v>1644</v>
      </c>
      <c r="E20" s="1444" t="s">
        <v>1464</v>
      </c>
      <c r="F20" s="1663">
        <v>135000</v>
      </c>
      <c r="G20" s="1664">
        <f t="shared" si="0"/>
        <v>47250</v>
      </c>
      <c r="H20" s="1663">
        <v>12150</v>
      </c>
      <c r="I20" s="1664">
        <f t="shared" si="1"/>
        <v>-4252.5</v>
      </c>
      <c r="J20" s="1664">
        <f t="shared" si="2"/>
        <v>55147.5</v>
      </c>
      <c r="K20" s="1665"/>
      <c r="L20" s="1663">
        <f t="shared" si="3"/>
        <v>135000</v>
      </c>
      <c r="M20" s="1664">
        <f t="shared" si="4"/>
        <v>28350</v>
      </c>
      <c r="N20" s="1663">
        <v>12150</v>
      </c>
      <c r="O20" s="1664">
        <f t="shared" si="5"/>
        <v>-2551.5</v>
      </c>
      <c r="P20" s="1664">
        <f t="shared" si="6"/>
        <v>37948.5</v>
      </c>
      <c r="Q20" s="1664"/>
      <c r="R20" s="1664">
        <f t="shared" si="7"/>
        <v>17199</v>
      </c>
      <c r="S20" s="1665"/>
      <c r="T20" s="1663">
        <v>0</v>
      </c>
      <c r="U20" s="1665"/>
      <c r="V20" s="1663">
        <v>0</v>
      </c>
      <c r="W20" s="1665"/>
      <c r="X20" s="1664">
        <f t="shared" si="8"/>
        <v>17199</v>
      </c>
      <c r="Y20" s="1660"/>
      <c r="Z20" s="1453" t="s">
        <v>260</v>
      </c>
      <c r="AA20" s="1661"/>
      <c r="AB20" s="1453" t="s">
        <v>22</v>
      </c>
      <c r="AC20" s="1661"/>
      <c r="AD20" s="1662">
        <v>6.5299999999999997E-2</v>
      </c>
      <c r="AE20" s="1661"/>
      <c r="AF20" s="1664">
        <f t="shared" si="9"/>
        <v>1123.0946999999999</v>
      </c>
      <c r="AG20" s="1010"/>
      <c r="AH20" s="1316">
        <v>190</v>
      </c>
      <c r="AI20" s="1316"/>
    </row>
    <row r="21" spans="2:35">
      <c r="B21" s="1316">
        <v>10</v>
      </c>
      <c r="C21" s="1444" t="s">
        <v>1649</v>
      </c>
      <c r="D21" s="1444" t="s">
        <v>1644</v>
      </c>
      <c r="E21" s="1444" t="s">
        <v>1464</v>
      </c>
      <c r="F21" s="1663">
        <v>-156169.44</v>
      </c>
      <c r="G21" s="1664">
        <f t="shared" si="0"/>
        <v>-54659.303999999996</v>
      </c>
      <c r="H21" s="1663">
        <v>-14055.249599999999</v>
      </c>
      <c r="I21" s="1664">
        <f t="shared" si="1"/>
        <v>4919.3373599999995</v>
      </c>
      <c r="J21" s="1664">
        <f t="shared" si="2"/>
        <v>-63795.216240000002</v>
      </c>
      <c r="K21" s="1665"/>
      <c r="L21" s="1663">
        <f t="shared" si="3"/>
        <v>-156169.44</v>
      </c>
      <c r="M21" s="1664">
        <f t="shared" si="4"/>
        <v>-32795.582399999999</v>
      </c>
      <c r="N21" s="1663">
        <v>-14055.249599999999</v>
      </c>
      <c r="O21" s="1664">
        <f t="shared" si="5"/>
        <v>2951.6024159999997</v>
      </c>
      <c r="P21" s="1664">
        <f t="shared" si="6"/>
        <v>-43899.229583999993</v>
      </c>
      <c r="Q21" s="1664"/>
      <c r="R21" s="1664">
        <f t="shared" si="7"/>
        <v>-19895.986656000008</v>
      </c>
      <c r="S21" s="1665"/>
      <c r="T21" s="1663">
        <v>0</v>
      </c>
      <c r="U21" s="1665"/>
      <c r="V21" s="1663">
        <v>0</v>
      </c>
      <c r="W21" s="1665"/>
      <c r="X21" s="1664">
        <f t="shared" si="8"/>
        <v>-19895.986656000008</v>
      </c>
      <c r="Y21" s="1660"/>
      <c r="Z21" s="1453" t="s">
        <v>260</v>
      </c>
      <c r="AA21" s="1661"/>
      <c r="AB21" s="1453" t="s">
        <v>22</v>
      </c>
      <c r="AC21" s="1661"/>
      <c r="AD21" s="1662">
        <v>6.5299999999999997E-2</v>
      </c>
      <c r="AE21" s="1661"/>
      <c r="AF21" s="1664">
        <f t="shared" si="9"/>
        <v>-1299.2079286368005</v>
      </c>
      <c r="AG21" s="1010"/>
      <c r="AH21" s="1316">
        <v>190</v>
      </c>
      <c r="AI21" s="1316"/>
    </row>
    <row r="22" spans="2:35">
      <c r="B22" s="1316">
        <v>11</v>
      </c>
      <c r="C22" s="1444" t="s">
        <v>1650</v>
      </c>
      <c r="D22" s="1444" t="s">
        <v>1644</v>
      </c>
      <c r="E22" s="1444" t="s">
        <v>1464</v>
      </c>
      <c r="F22" s="1663">
        <v>-1350412</v>
      </c>
      <c r="G22" s="1664">
        <f t="shared" si="0"/>
        <v>-472644.19999999995</v>
      </c>
      <c r="H22" s="1663">
        <v>-121537.08</v>
      </c>
      <c r="I22" s="1664">
        <f t="shared" si="1"/>
        <v>42537.977999999996</v>
      </c>
      <c r="J22" s="1664">
        <f t="shared" si="2"/>
        <v>-551643.30199999991</v>
      </c>
      <c r="K22" s="1665"/>
      <c r="L22" s="1663">
        <f t="shared" si="3"/>
        <v>-1350412</v>
      </c>
      <c r="M22" s="1664">
        <f t="shared" si="4"/>
        <v>-283586.51999999996</v>
      </c>
      <c r="N22" s="1663">
        <v>-121537.08</v>
      </c>
      <c r="O22" s="1664">
        <f t="shared" si="5"/>
        <v>25522.786799999998</v>
      </c>
      <c r="P22" s="1664">
        <f t="shared" si="6"/>
        <v>-379600.81319999998</v>
      </c>
      <c r="Q22" s="1664"/>
      <c r="R22" s="1664">
        <f t="shared" si="7"/>
        <v>-172042.48879999993</v>
      </c>
      <c r="S22" s="1665"/>
      <c r="T22" s="1663">
        <v>0</v>
      </c>
      <c r="U22" s="1665"/>
      <c r="V22" s="1663">
        <v>0</v>
      </c>
      <c r="W22" s="1665"/>
      <c r="X22" s="1664">
        <f t="shared" si="8"/>
        <v>-172042.48879999993</v>
      </c>
      <c r="Y22" s="1660"/>
      <c r="Z22" s="1453" t="s">
        <v>260</v>
      </c>
      <c r="AA22" s="1661"/>
      <c r="AB22" s="1453" t="s">
        <v>22</v>
      </c>
      <c r="AC22" s="1661"/>
      <c r="AD22" s="1662">
        <v>6.5299999999999997E-2</v>
      </c>
      <c r="AE22" s="1661"/>
      <c r="AF22" s="1664">
        <f t="shared" si="9"/>
        <v>-11234.374518639996</v>
      </c>
      <c r="AG22" s="1010"/>
      <c r="AH22" s="1316">
        <v>190</v>
      </c>
      <c r="AI22" s="1316"/>
    </row>
    <row r="23" spans="2:35">
      <c r="B23" s="1316">
        <v>12</v>
      </c>
      <c r="C23" s="1444" t="s">
        <v>1651</v>
      </c>
      <c r="D23" s="1444" t="s">
        <v>1644</v>
      </c>
      <c r="E23" s="1444" t="s">
        <v>1464</v>
      </c>
      <c r="F23" s="1663">
        <v>8741596</v>
      </c>
      <c r="G23" s="1664">
        <f t="shared" si="0"/>
        <v>3059558.5999999996</v>
      </c>
      <c r="H23" s="1663">
        <v>786743.64</v>
      </c>
      <c r="I23" s="1664">
        <f t="shared" si="1"/>
        <v>-275360.27399999998</v>
      </c>
      <c r="J23" s="1664">
        <f t="shared" si="2"/>
        <v>3570941.966</v>
      </c>
      <c r="K23" s="1665"/>
      <c r="L23" s="1663">
        <f t="shared" si="3"/>
        <v>8741596</v>
      </c>
      <c r="M23" s="1664">
        <f t="shared" si="4"/>
        <v>1835735.16</v>
      </c>
      <c r="N23" s="1663">
        <v>786743.64</v>
      </c>
      <c r="O23" s="1664">
        <f t="shared" si="5"/>
        <v>-165216.16440000001</v>
      </c>
      <c r="P23" s="1664">
        <f t="shared" si="6"/>
        <v>2457262.6355999997</v>
      </c>
      <c r="Q23" s="1664"/>
      <c r="R23" s="1664">
        <f t="shared" si="7"/>
        <v>1113679.3304000003</v>
      </c>
      <c r="S23" s="1665"/>
      <c r="T23" s="1663">
        <v>0</v>
      </c>
      <c r="U23" s="1665"/>
      <c r="V23" s="1663">
        <v>0</v>
      </c>
      <c r="W23" s="1665"/>
      <c r="X23" s="1664">
        <f t="shared" si="8"/>
        <v>1113679.3304000003</v>
      </c>
      <c r="Y23" s="1660"/>
      <c r="Z23" s="1453" t="s">
        <v>260</v>
      </c>
      <c r="AA23" s="1661"/>
      <c r="AB23" s="1453" t="s">
        <v>22</v>
      </c>
      <c r="AC23" s="1661"/>
      <c r="AD23" s="1662">
        <v>6.5299999999999997E-2</v>
      </c>
      <c r="AE23" s="1661"/>
      <c r="AF23" s="1664">
        <f t="shared" si="9"/>
        <v>72723.260275120017</v>
      </c>
      <c r="AG23" s="1010"/>
      <c r="AH23" s="1316">
        <v>190</v>
      </c>
      <c r="AI23" s="1316"/>
    </row>
    <row r="24" spans="2:35">
      <c r="B24" s="1316">
        <v>13</v>
      </c>
      <c r="C24" s="1444" t="s">
        <v>1652</v>
      </c>
      <c r="D24" s="1444" t="s">
        <v>1644</v>
      </c>
      <c r="E24" s="1444" t="s">
        <v>1464</v>
      </c>
      <c r="F24" s="1663">
        <v>518589.12</v>
      </c>
      <c r="G24" s="1664">
        <f t="shared" si="0"/>
        <v>181506.19199999998</v>
      </c>
      <c r="H24" s="1663">
        <v>46673.020799999998</v>
      </c>
      <c r="I24" s="1664">
        <f t="shared" si="1"/>
        <v>-16335.557279999999</v>
      </c>
      <c r="J24" s="1664">
        <f t="shared" si="2"/>
        <v>211843.65551999997</v>
      </c>
      <c r="K24" s="1665"/>
      <c r="L24" s="1663">
        <f t="shared" si="3"/>
        <v>518589.12</v>
      </c>
      <c r="M24" s="1664">
        <f t="shared" si="4"/>
        <v>108903.71519999999</v>
      </c>
      <c r="N24" s="1663">
        <v>46673.020799999998</v>
      </c>
      <c r="O24" s="1664">
        <f t="shared" si="5"/>
        <v>-9801.3343679999998</v>
      </c>
      <c r="P24" s="1664">
        <f t="shared" si="6"/>
        <v>145775.40163199996</v>
      </c>
      <c r="Q24" s="1664"/>
      <c r="R24" s="1664">
        <f t="shared" si="7"/>
        <v>66068.253888000007</v>
      </c>
      <c r="S24" s="1665"/>
      <c r="T24" s="1663">
        <v>0</v>
      </c>
      <c r="U24" s="1665"/>
      <c r="V24" s="1663">
        <v>0</v>
      </c>
      <c r="W24" s="1665"/>
      <c r="X24" s="1664">
        <f t="shared" si="8"/>
        <v>66068.253888000007</v>
      </c>
      <c r="Y24" s="1660"/>
      <c r="Z24" s="1453" t="s">
        <v>260</v>
      </c>
      <c r="AA24" s="1661"/>
      <c r="AB24" s="1453" t="s">
        <v>22</v>
      </c>
      <c r="AC24" s="1661"/>
      <c r="AD24" s="1662">
        <v>6.5299999999999997E-2</v>
      </c>
      <c r="AE24" s="1661"/>
      <c r="AF24" s="1664">
        <f t="shared" si="9"/>
        <v>4314.2569788864002</v>
      </c>
      <c r="AG24" s="1010"/>
      <c r="AH24" s="1316">
        <v>190</v>
      </c>
      <c r="AI24" s="1316"/>
    </row>
    <row r="25" spans="2:35">
      <c r="B25" s="1316">
        <v>14</v>
      </c>
      <c r="C25" s="1444" t="s">
        <v>1653</v>
      </c>
      <c r="D25" s="1444" t="s">
        <v>1644</v>
      </c>
      <c r="E25" s="1444" t="s">
        <v>1464</v>
      </c>
      <c r="F25" s="1663">
        <v>-135000</v>
      </c>
      <c r="G25" s="1664">
        <f t="shared" si="0"/>
        <v>-47250</v>
      </c>
      <c r="H25" s="1663">
        <v>-12150</v>
      </c>
      <c r="I25" s="1664">
        <f t="shared" si="1"/>
        <v>4252.5</v>
      </c>
      <c r="J25" s="1664">
        <f t="shared" si="2"/>
        <v>-55147.5</v>
      </c>
      <c r="K25" s="1665"/>
      <c r="L25" s="1663">
        <f t="shared" si="3"/>
        <v>-135000</v>
      </c>
      <c r="M25" s="1664">
        <f t="shared" si="4"/>
        <v>-28350</v>
      </c>
      <c r="N25" s="1663">
        <v>-12150</v>
      </c>
      <c r="O25" s="1664">
        <f t="shared" si="5"/>
        <v>2551.5</v>
      </c>
      <c r="P25" s="1664">
        <f t="shared" si="6"/>
        <v>-37948.5</v>
      </c>
      <c r="Q25" s="1664"/>
      <c r="R25" s="1664">
        <f t="shared" si="7"/>
        <v>-17199</v>
      </c>
      <c r="S25" s="1665"/>
      <c r="T25" s="1663">
        <v>0</v>
      </c>
      <c r="U25" s="1665"/>
      <c r="V25" s="1663">
        <v>0</v>
      </c>
      <c r="W25" s="1665"/>
      <c r="X25" s="1664">
        <f t="shared" si="8"/>
        <v>-17199</v>
      </c>
      <c r="Y25" s="1660"/>
      <c r="Z25" s="1453" t="s">
        <v>260</v>
      </c>
      <c r="AA25" s="1661"/>
      <c r="AB25" s="1453" t="s">
        <v>22</v>
      </c>
      <c r="AC25" s="1661"/>
      <c r="AD25" s="1662">
        <v>6.5299999999999997E-2</v>
      </c>
      <c r="AE25" s="1661"/>
      <c r="AF25" s="1664">
        <f t="shared" si="9"/>
        <v>-1123.0946999999999</v>
      </c>
      <c r="AG25" s="1010"/>
      <c r="AH25" s="1316">
        <v>190</v>
      </c>
      <c r="AI25" s="1316"/>
    </row>
    <row r="26" spans="2:35">
      <c r="B26" s="1316">
        <v>15</v>
      </c>
      <c r="C26" s="1444" t="s">
        <v>1475</v>
      </c>
      <c r="D26" s="1444" t="s">
        <v>1644</v>
      </c>
      <c r="E26" s="1444" t="s">
        <v>1464</v>
      </c>
      <c r="F26" s="1663">
        <v>140236.19</v>
      </c>
      <c r="G26" s="1664">
        <f t="shared" si="0"/>
        <v>49082.666499999999</v>
      </c>
      <c r="H26" s="1663">
        <v>12621.257099999999</v>
      </c>
      <c r="I26" s="1664">
        <f t="shared" si="1"/>
        <v>-4417.4399849999991</v>
      </c>
      <c r="J26" s="1664">
        <f t="shared" si="2"/>
        <v>57286.483614999997</v>
      </c>
      <c r="K26" s="1665"/>
      <c r="L26" s="1663">
        <f t="shared" si="3"/>
        <v>140236.19</v>
      </c>
      <c r="M26" s="1664">
        <f t="shared" si="4"/>
        <v>29449.599900000001</v>
      </c>
      <c r="N26" s="1663">
        <v>12621.257099999999</v>
      </c>
      <c r="O26" s="1664">
        <f t="shared" si="5"/>
        <v>-2650.4639909999996</v>
      </c>
      <c r="P26" s="1664">
        <f t="shared" si="6"/>
        <v>39420.393009000007</v>
      </c>
      <c r="Q26" s="1664"/>
      <c r="R26" s="1664">
        <f t="shared" si="7"/>
        <v>17866.090605999991</v>
      </c>
      <c r="S26" s="1665"/>
      <c r="T26" s="1663">
        <v>0</v>
      </c>
      <c r="U26" s="1665"/>
      <c r="V26" s="1663">
        <v>0</v>
      </c>
      <c r="W26" s="1665"/>
      <c r="X26" s="1664">
        <f t="shared" si="8"/>
        <v>17866.090605999991</v>
      </c>
      <c r="Y26" s="1660"/>
      <c r="Z26" s="1453" t="s">
        <v>260</v>
      </c>
      <c r="AA26" s="1661"/>
      <c r="AB26" s="1453" t="s">
        <v>22</v>
      </c>
      <c r="AC26" s="1661"/>
      <c r="AD26" s="1662">
        <v>6.5299999999999997E-2</v>
      </c>
      <c r="AE26" s="1661"/>
      <c r="AF26" s="1664">
        <f t="shared" si="9"/>
        <v>1166.6557165717993</v>
      </c>
      <c r="AG26" s="1010"/>
      <c r="AH26" s="1316">
        <v>190</v>
      </c>
      <c r="AI26" s="1316"/>
    </row>
    <row r="27" spans="2:35">
      <c r="B27" s="1316">
        <v>16</v>
      </c>
      <c r="C27" s="1444" t="s">
        <v>1654</v>
      </c>
      <c r="D27" s="1444" t="s">
        <v>1644</v>
      </c>
      <c r="E27" s="1444" t="s">
        <v>1464</v>
      </c>
      <c r="F27" s="1663">
        <v>-122306.25</v>
      </c>
      <c r="G27" s="1664">
        <f t="shared" si="0"/>
        <v>-42807.1875</v>
      </c>
      <c r="H27" s="1663">
        <v>-11007.5625</v>
      </c>
      <c r="I27" s="1664">
        <f t="shared" si="1"/>
        <v>3852.6468749999999</v>
      </c>
      <c r="J27" s="1664">
        <f t="shared" si="2"/>
        <v>-49962.103125000001</v>
      </c>
      <c r="K27" s="1665"/>
      <c r="L27" s="1663">
        <f t="shared" si="3"/>
        <v>-122306.25</v>
      </c>
      <c r="M27" s="1664">
        <f t="shared" si="4"/>
        <v>-25684.3125</v>
      </c>
      <c r="N27" s="1663">
        <v>-11007.5625</v>
      </c>
      <c r="O27" s="1664">
        <f t="shared" si="5"/>
        <v>2311.5881249999998</v>
      </c>
      <c r="P27" s="1664">
        <f t="shared" si="6"/>
        <v>-34380.286874999998</v>
      </c>
      <c r="Q27" s="1664"/>
      <c r="R27" s="1664">
        <f t="shared" si="7"/>
        <v>-15581.816250000003</v>
      </c>
      <c r="S27" s="1665"/>
      <c r="T27" s="1663">
        <v>0</v>
      </c>
      <c r="U27" s="1665"/>
      <c r="V27" s="1663">
        <v>0</v>
      </c>
      <c r="W27" s="1665"/>
      <c r="X27" s="1664">
        <f t="shared" si="8"/>
        <v>-15581.816250000003</v>
      </c>
      <c r="Y27" s="1660"/>
      <c r="Z27" s="1453" t="s">
        <v>260</v>
      </c>
      <c r="AA27" s="1661"/>
      <c r="AB27" s="1453" t="s">
        <v>22</v>
      </c>
      <c r="AC27" s="1661"/>
      <c r="AD27" s="1662">
        <v>6.5299999999999997E-2</v>
      </c>
      <c r="AE27" s="1661"/>
      <c r="AF27" s="1664">
        <f t="shared" si="9"/>
        <v>-1017.4926011250002</v>
      </c>
      <c r="AG27" s="1010"/>
      <c r="AH27" s="1316">
        <v>190</v>
      </c>
      <c r="AI27" s="1316"/>
    </row>
    <row r="28" spans="2:35">
      <c r="B28" s="1316">
        <v>17</v>
      </c>
      <c r="C28" s="1444" t="s">
        <v>1466</v>
      </c>
      <c r="D28" s="1444" t="s">
        <v>1655</v>
      </c>
      <c r="E28" s="1444" t="s">
        <v>1464</v>
      </c>
      <c r="F28" s="1663">
        <v>249150</v>
      </c>
      <c r="G28" s="1664">
        <f t="shared" si="0"/>
        <v>87202.5</v>
      </c>
      <c r="H28" s="1663">
        <v>22423.5</v>
      </c>
      <c r="I28" s="1664">
        <f t="shared" si="1"/>
        <v>-7848.2249999999995</v>
      </c>
      <c r="J28" s="1664">
        <f t="shared" si="2"/>
        <v>101777.77499999999</v>
      </c>
      <c r="K28" s="1665"/>
      <c r="L28" s="1663">
        <f t="shared" si="3"/>
        <v>249150</v>
      </c>
      <c r="M28" s="1664">
        <f t="shared" si="4"/>
        <v>52321.5</v>
      </c>
      <c r="N28" s="1663">
        <v>22423.5</v>
      </c>
      <c r="O28" s="1664">
        <f t="shared" si="5"/>
        <v>-4708.9349999999995</v>
      </c>
      <c r="P28" s="1664">
        <f t="shared" si="6"/>
        <v>70036.065000000002</v>
      </c>
      <c r="Q28" s="1664"/>
      <c r="R28" s="1664">
        <f t="shared" si="7"/>
        <v>31741.709999999992</v>
      </c>
      <c r="S28" s="1665"/>
      <c r="T28" s="1663">
        <v>0</v>
      </c>
      <c r="U28" s="1665"/>
      <c r="V28" s="1663">
        <v>0</v>
      </c>
      <c r="W28" s="1665"/>
      <c r="X28" s="1664">
        <f t="shared" si="8"/>
        <v>31741.709999999992</v>
      </c>
      <c r="Y28" s="1660"/>
      <c r="Z28" s="1453" t="s">
        <v>260</v>
      </c>
      <c r="AA28" s="1661"/>
      <c r="AB28" s="1453" t="s">
        <v>22</v>
      </c>
      <c r="AC28" s="1661"/>
      <c r="AD28" s="1662">
        <v>6.5299999999999997E-2</v>
      </c>
      <c r="AE28" s="1661"/>
      <c r="AF28" s="1664">
        <f t="shared" si="9"/>
        <v>2072.7336629999995</v>
      </c>
      <c r="AG28" s="1010"/>
      <c r="AH28" s="1316">
        <v>190</v>
      </c>
      <c r="AI28" s="1316"/>
    </row>
    <row r="29" spans="2:35">
      <c r="B29" s="1316">
        <v>18</v>
      </c>
      <c r="C29" s="1444" t="s">
        <v>1465</v>
      </c>
      <c r="D29" s="1444" t="s">
        <v>1656</v>
      </c>
      <c r="E29" s="1444" t="s">
        <v>1464</v>
      </c>
      <c r="F29" s="1663">
        <v>2941546.13</v>
      </c>
      <c r="G29" s="1664">
        <f t="shared" si="0"/>
        <v>1029541.1454999999</v>
      </c>
      <c r="H29" s="1663">
        <v>264739.15169999999</v>
      </c>
      <c r="I29" s="1664">
        <f t="shared" si="1"/>
        <v>-92658.70309499999</v>
      </c>
      <c r="J29" s="1664">
        <f t="shared" si="2"/>
        <v>1201621.5941049999</v>
      </c>
      <c r="K29" s="1665"/>
      <c r="L29" s="1663">
        <f t="shared" si="3"/>
        <v>2941546.13</v>
      </c>
      <c r="M29" s="1664">
        <f t="shared" si="4"/>
        <v>617724.68729999999</v>
      </c>
      <c r="N29" s="1663">
        <v>264739.15169999999</v>
      </c>
      <c r="O29" s="1664">
        <f t="shared" si="5"/>
        <v>-55595.221856999997</v>
      </c>
      <c r="P29" s="1664">
        <f t="shared" si="6"/>
        <v>826868.61714299989</v>
      </c>
      <c r="Q29" s="1664"/>
      <c r="R29" s="1664">
        <f t="shared" si="7"/>
        <v>374752.97696200002</v>
      </c>
      <c r="S29" s="1665"/>
      <c r="T29" s="1663">
        <v>0</v>
      </c>
      <c r="U29" s="1665"/>
      <c r="V29" s="1663">
        <v>0</v>
      </c>
      <c r="W29" s="1665"/>
      <c r="X29" s="1664">
        <f t="shared" si="8"/>
        <v>374752.97696200002</v>
      </c>
      <c r="Y29" s="1660"/>
      <c r="Z29" s="1453" t="s">
        <v>1478</v>
      </c>
      <c r="AA29" s="1661"/>
      <c r="AB29" s="1453" t="s">
        <v>22</v>
      </c>
      <c r="AC29" s="1661"/>
      <c r="AD29" s="1662">
        <v>0.33300000000000002</v>
      </c>
      <c r="AE29" s="1661"/>
      <c r="AF29" s="1664">
        <f t="shared" si="9"/>
        <v>124792.74132834602</v>
      </c>
      <c r="AG29" s="1010"/>
      <c r="AH29" s="1316">
        <v>190</v>
      </c>
      <c r="AI29" s="1316"/>
    </row>
    <row r="30" spans="2:35">
      <c r="B30" s="1316">
        <v>19</v>
      </c>
      <c r="C30" s="1444" t="s">
        <v>1657</v>
      </c>
      <c r="D30" s="1444" t="s">
        <v>1656</v>
      </c>
      <c r="E30" s="1444" t="s">
        <v>1464</v>
      </c>
      <c r="F30" s="1663">
        <v>1093270.33</v>
      </c>
      <c r="G30" s="1664">
        <f t="shared" si="0"/>
        <v>382644.61550000001</v>
      </c>
      <c r="H30" s="1663">
        <v>98394.329700000002</v>
      </c>
      <c r="I30" s="1664">
        <f t="shared" si="1"/>
        <v>-34438.015394999995</v>
      </c>
      <c r="J30" s="1664">
        <f t="shared" si="2"/>
        <v>446600.92980500002</v>
      </c>
      <c r="K30" s="1665"/>
      <c r="L30" s="1663">
        <f t="shared" si="3"/>
        <v>1093270.33</v>
      </c>
      <c r="M30" s="1664">
        <f t="shared" si="4"/>
        <v>229586.76930000001</v>
      </c>
      <c r="N30" s="1663">
        <v>98394.329700000002</v>
      </c>
      <c r="O30" s="1664">
        <f t="shared" si="5"/>
        <v>-20662.809237000001</v>
      </c>
      <c r="P30" s="1664">
        <f t="shared" si="6"/>
        <v>307318.28976300004</v>
      </c>
      <c r="Q30" s="1664"/>
      <c r="R30" s="1664">
        <f t="shared" si="7"/>
        <v>139282.64004199998</v>
      </c>
      <c r="S30" s="1665"/>
      <c r="T30" s="1663">
        <v>0</v>
      </c>
      <c r="U30" s="1665"/>
      <c r="V30" s="1663">
        <v>0</v>
      </c>
      <c r="W30" s="1665"/>
      <c r="X30" s="1664">
        <f t="shared" si="8"/>
        <v>139282.64004199998</v>
      </c>
      <c r="Y30" s="1660"/>
      <c r="Z30" s="1453" t="s">
        <v>1478</v>
      </c>
      <c r="AA30" s="1661"/>
      <c r="AB30" s="1453" t="s">
        <v>22</v>
      </c>
      <c r="AC30" s="1661"/>
      <c r="AD30" s="1662">
        <v>0</v>
      </c>
      <c r="AE30" s="1661"/>
      <c r="AF30" s="1664">
        <f t="shared" si="9"/>
        <v>0</v>
      </c>
      <c r="AG30" s="1010"/>
      <c r="AH30" s="1316">
        <v>190</v>
      </c>
      <c r="AI30" s="1316"/>
    </row>
    <row r="31" spans="2:35">
      <c r="B31" s="1316">
        <v>20</v>
      </c>
      <c r="C31" s="1444" t="s">
        <v>1658</v>
      </c>
      <c r="D31" s="1444" t="s">
        <v>1656</v>
      </c>
      <c r="E31" s="1444" t="s">
        <v>1464</v>
      </c>
      <c r="F31" s="1663">
        <v>-10676347.949999999</v>
      </c>
      <c r="G31" s="1664">
        <f t="shared" si="0"/>
        <v>-3736721.7824999993</v>
      </c>
      <c r="H31" s="1663">
        <v>-960871.31549999991</v>
      </c>
      <c r="I31" s="1664">
        <f t="shared" si="1"/>
        <v>336304.96042499994</v>
      </c>
      <c r="J31" s="1664">
        <f t="shared" si="2"/>
        <v>-4361288.1375749996</v>
      </c>
      <c r="K31" s="1665"/>
      <c r="L31" s="1663">
        <f t="shared" si="3"/>
        <v>-10676347.949999999</v>
      </c>
      <c r="M31" s="1664">
        <f t="shared" si="4"/>
        <v>-2242033.0694999998</v>
      </c>
      <c r="N31" s="1663">
        <v>-960871.31549999991</v>
      </c>
      <c r="O31" s="1664">
        <f t="shared" si="5"/>
        <v>201782.97625499999</v>
      </c>
      <c r="P31" s="1664">
        <f t="shared" si="6"/>
        <v>-3001121.4087449997</v>
      </c>
      <c r="Q31" s="1664"/>
      <c r="R31" s="1664">
        <f t="shared" si="7"/>
        <v>-1360166.7288299999</v>
      </c>
      <c r="S31" s="1665"/>
      <c r="T31" s="1663">
        <v>0</v>
      </c>
      <c r="U31" s="1665"/>
      <c r="V31" s="1663">
        <v>0</v>
      </c>
      <c r="W31" s="1665"/>
      <c r="X31" s="1664">
        <f t="shared" si="8"/>
        <v>-1360166.7288299999</v>
      </c>
      <c r="Y31" s="1660"/>
      <c r="Z31" s="1453" t="s">
        <v>1478</v>
      </c>
      <c r="AA31" s="1661"/>
      <c r="AB31" s="1453" t="s">
        <v>22</v>
      </c>
      <c r="AC31" s="1661"/>
      <c r="AD31" s="1662">
        <v>0</v>
      </c>
      <c r="AE31" s="1661"/>
      <c r="AF31" s="1664">
        <f t="shared" si="9"/>
        <v>0</v>
      </c>
      <c r="AG31" s="1010"/>
      <c r="AH31" s="1316">
        <v>190</v>
      </c>
      <c r="AI31" s="1316"/>
    </row>
    <row r="32" spans="2:35">
      <c r="B32" s="1316">
        <v>21</v>
      </c>
      <c r="C32" s="1444" t="s">
        <v>1659</v>
      </c>
      <c r="D32" s="1444" t="s">
        <v>1656</v>
      </c>
      <c r="E32" s="1444" t="s">
        <v>1464</v>
      </c>
      <c r="F32" s="1663">
        <v>648724.67000000004</v>
      </c>
      <c r="G32" s="1664">
        <f t="shared" si="0"/>
        <v>227053.63450000001</v>
      </c>
      <c r="H32" s="1663">
        <v>58385.220300000001</v>
      </c>
      <c r="I32" s="1664">
        <f t="shared" si="1"/>
        <v>-20434.827105</v>
      </c>
      <c r="J32" s="1664">
        <f t="shared" si="2"/>
        <v>265004.02769500006</v>
      </c>
      <c r="K32" s="1665"/>
      <c r="L32" s="1663">
        <f t="shared" si="3"/>
        <v>648724.67000000004</v>
      </c>
      <c r="M32" s="1664">
        <f t="shared" si="4"/>
        <v>136232.1807</v>
      </c>
      <c r="N32" s="1663">
        <v>58385.220300000001</v>
      </c>
      <c r="O32" s="1664">
        <f t="shared" si="5"/>
        <v>-12260.896263000001</v>
      </c>
      <c r="P32" s="1664">
        <f t="shared" si="6"/>
        <v>182356.50473700001</v>
      </c>
      <c r="Q32" s="1664"/>
      <c r="R32" s="1664">
        <f t="shared" si="7"/>
        <v>82647.522958000045</v>
      </c>
      <c r="S32" s="1665"/>
      <c r="T32" s="1663">
        <v>0</v>
      </c>
      <c r="U32" s="1665"/>
      <c r="V32" s="1663">
        <v>0</v>
      </c>
      <c r="W32" s="1665"/>
      <c r="X32" s="1664">
        <f t="shared" si="8"/>
        <v>82647.522958000045</v>
      </c>
      <c r="Y32" s="1660"/>
      <c r="Z32" s="1453" t="s">
        <v>1478</v>
      </c>
      <c r="AA32" s="1661"/>
      <c r="AB32" s="1453" t="s">
        <v>22</v>
      </c>
      <c r="AC32" s="1661"/>
      <c r="AD32" s="1662">
        <v>0</v>
      </c>
      <c r="AE32" s="1661"/>
      <c r="AF32" s="1664">
        <f t="shared" si="9"/>
        <v>0</v>
      </c>
      <c r="AG32" s="1010"/>
      <c r="AH32" s="1316">
        <v>190</v>
      </c>
      <c r="AI32" s="1316"/>
    </row>
    <row r="33" spans="2:35">
      <c r="B33" s="1316">
        <v>22</v>
      </c>
      <c r="C33" s="1444" t="s">
        <v>1660</v>
      </c>
      <c r="D33" s="1444" t="s">
        <v>1656</v>
      </c>
      <c r="E33" s="1444" t="s">
        <v>1464</v>
      </c>
      <c r="F33" s="1663">
        <v>399147.01</v>
      </c>
      <c r="G33" s="1664">
        <f t="shared" si="0"/>
        <v>139701.4535</v>
      </c>
      <c r="H33" s="1663">
        <v>35923.230900000002</v>
      </c>
      <c r="I33" s="1664">
        <f t="shared" si="1"/>
        <v>-12573.130815</v>
      </c>
      <c r="J33" s="1664">
        <f t="shared" si="2"/>
        <v>163051.55358499999</v>
      </c>
      <c r="K33" s="1665"/>
      <c r="L33" s="1663">
        <f t="shared" si="3"/>
        <v>399147.01</v>
      </c>
      <c r="M33" s="1664">
        <f t="shared" si="4"/>
        <v>83820.872099999993</v>
      </c>
      <c r="N33" s="1663">
        <v>35923.230900000002</v>
      </c>
      <c r="O33" s="1664">
        <f t="shared" si="5"/>
        <v>-7543.8784890000006</v>
      </c>
      <c r="P33" s="1664">
        <f t="shared" si="6"/>
        <v>112200.22451100001</v>
      </c>
      <c r="Q33" s="1664"/>
      <c r="R33" s="1664">
        <f t="shared" si="7"/>
        <v>50851.329073999979</v>
      </c>
      <c r="S33" s="1665"/>
      <c r="T33" s="1663">
        <v>0</v>
      </c>
      <c r="U33" s="1665"/>
      <c r="V33" s="1663">
        <v>0</v>
      </c>
      <c r="W33" s="1665"/>
      <c r="X33" s="1664">
        <f t="shared" si="8"/>
        <v>50851.329073999979</v>
      </c>
      <c r="Y33" s="1660"/>
      <c r="Z33" s="1453" t="s">
        <v>1478</v>
      </c>
      <c r="AA33" s="1661"/>
      <c r="AB33" s="1453" t="s">
        <v>22</v>
      </c>
      <c r="AC33" s="1661"/>
      <c r="AD33" s="1662">
        <v>0</v>
      </c>
      <c r="AE33" s="1661"/>
      <c r="AF33" s="1664">
        <f t="shared" si="9"/>
        <v>0</v>
      </c>
      <c r="AG33" s="1010"/>
      <c r="AH33" s="1316">
        <v>190</v>
      </c>
      <c r="AI33" s="1316"/>
    </row>
    <row r="34" spans="2:35">
      <c r="B34" s="1316">
        <v>23</v>
      </c>
      <c r="C34" s="1444" t="s">
        <v>1661</v>
      </c>
      <c r="D34" s="1444" t="s">
        <v>1656</v>
      </c>
      <c r="E34" s="1444" t="s">
        <v>1464</v>
      </c>
      <c r="F34" s="1663">
        <v>890925.7</v>
      </c>
      <c r="G34" s="1664">
        <f t="shared" si="0"/>
        <v>311823.99499999994</v>
      </c>
      <c r="H34" s="1663">
        <v>80183.312999999995</v>
      </c>
      <c r="I34" s="1664">
        <f t="shared" si="1"/>
        <v>-28064.159549999997</v>
      </c>
      <c r="J34" s="1664">
        <f t="shared" si="2"/>
        <v>363943.14844999998</v>
      </c>
      <c r="K34" s="1665"/>
      <c r="L34" s="1663">
        <f t="shared" si="3"/>
        <v>890925.7</v>
      </c>
      <c r="M34" s="1664">
        <f t="shared" si="4"/>
        <v>187094.397</v>
      </c>
      <c r="N34" s="1663">
        <v>80183.312999999995</v>
      </c>
      <c r="O34" s="1664">
        <f t="shared" si="5"/>
        <v>-16838.495729999999</v>
      </c>
      <c r="P34" s="1664">
        <f t="shared" si="6"/>
        <v>250439.21426999997</v>
      </c>
      <c r="Q34" s="1664"/>
      <c r="R34" s="1664">
        <f t="shared" si="7"/>
        <v>113503.93418000001</v>
      </c>
      <c r="S34" s="1665"/>
      <c r="T34" s="1663">
        <v>0</v>
      </c>
      <c r="U34" s="1665"/>
      <c r="V34" s="1663">
        <v>0</v>
      </c>
      <c r="W34" s="1665"/>
      <c r="X34" s="1664">
        <f t="shared" si="8"/>
        <v>113503.93418000001</v>
      </c>
      <c r="Y34" s="1660"/>
      <c r="Z34" s="1453" t="s">
        <v>1478</v>
      </c>
      <c r="AA34" s="1661"/>
      <c r="AB34" s="1453" t="s">
        <v>22</v>
      </c>
      <c r="AC34" s="1661"/>
      <c r="AD34" s="1662">
        <v>0</v>
      </c>
      <c r="AE34" s="1661"/>
      <c r="AF34" s="1664">
        <f t="shared" si="9"/>
        <v>0</v>
      </c>
      <c r="AG34" s="1010"/>
      <c r="AH34" s="1316">
        <v>190</v>
      </c>
      <c r="AI34" s="1316"/>
    </row>
    <row r="35" spans="2:35">
      <c r="B35" s="1316">
        <v>24</v>
      </c>
      <c r="C35" s="1444" t="s">
        <v>1662</v>
      </c>
      <c r="D35" s="1444" t="s">
        <v>1656</v>
      </c>
      <c r="E35" s="1444" t="s">
        <v>1464</v>
      </c>
      <c r="F35" s="1663">
        <v>465468.46</v>
      </c>
      <c r="G35" s="1664">
        <f t="shared" si="0"/>
        <v>162913.96100000001</v>
      </c>
      <c r="H35" s="1663">
        <v>41892.161399999997</v>
      </c>
      <c r="I35" s="1664">
        <f t="shared" si="1"/>
        <v>-14662.256489999998</v>
      </c>
      <c r="J35" s="1664">
        <f t="shared" si="2"/>
        <v>190143.86590999999</v>
      </c>
      <c r="K35" s="1665"/>
      <c r="L35" s="1663">
        <f t="shared" si="3"/>
        <v>465468.46</v>
      </c>
      <c r="M35" s="1664">
        <f t="shared" si="4"/>
        <v>97748.376600000003</v>
      </c>
      <c r="N35" s="1663">
        <v>41892.161399999997</v>
      </c>
      <c r="O35" s="1664">
        <f t="shared" si="5"/>
        <v>-8797.3538939999999</v>
      </c>
      <c r="P35" s="1664">
        <f t="shared" si="6"/>
        <v>130843.184106</v>
      </c>
      <c r="Q35" s="1664"/>
      <c r="R35" s="1664">
        <f t="shared" si="7"/>
        <v>59300.681803999993</v>
      </c>
      <c r="S35" s="1665"/>
      <c r="T35" s="1663">
        <v>0</v>
      </c>
      <c r="U35" s="1665"/>
      <c r="V35" s="1663">
        <v>0</v>
      </c>
      <c r="W35" s="1665"/>
      <c r="X35" s="1664">
        <f t="shared" si="8"/>
        <v>59300.681803999993</v>
      </c>
      <c r="Y35" s="1660"/>
      <c r="Z35" s="1453" t="s">
        <v>1478</v>
      </c>
      <c r="AA35" s="1661"/>
      <c r="AB35" s="1453" t="s">
        <v>22</v>
      </c>
      <c r="AC35" s="1661"/>
      <c r="AD35" s="1662">
        <v>0</v>
      </c>
      <c r="AE35" s="1661"/>
      <c r="AF35" s="1664">
        <f t="shared" si="9"/>
        <v>0</v>
      </c>
      <c r="AG35" s="1010"/>
      <c r="AH35" s="1316">
        <v>190</v>
      </c>
      <c r="AI35" s="1316"/>
    </row>
    <row r="36" spans="2:35">
      <c r="B36" s="1316">
        <v>25</v>
      </c>
      <c r="C36" s="1444" t="s">
        <v>1663</v>
      </c>
      <c r="D36" s="1444" t="s">
        <v>1656</v>
      </c>
      <c r="E36" s="1444" t="s">
        <v>1464</v>
      </c>
      <c r="F36" s="1663">
        <v>11121010.91</v>
      </c>
      <c r="G36" s="1664">
        <f t="shared" si="0"/>
        <v>3892353.8184999996</v>
      </c>
      <c r="H36" s="1663">
        <v>1000890.9819</v>
      </c>
      <c r="I36" s="1664">
        <f t="shared" si="1"/>
        <v>-350311.84366499999</v>
      </c>
      <c r="J36" s="1664">
        <f t="shared" si="2"/>
        <v>4542932.956735</v>
      </c>
      <c r="K36" s="1665"/>
      <c r="L36" s="1663">
        <f t="shared" si="3"/>
        <v>11121010.91</v>
      </c>
      <c r="M36" s="1664">
        <f t="shared" si="4"/>
        <v>2335412.2911</v>
      </c>
      <c r="N36" s="1663">
        <v>1000890.9819</v>
      </c>
      <c r="O36" s="1664">
        <f t="shared" si="5"/>
        <v>-210187.106199</v>
      </c>
      <c r="P36" s="1664">
        <f t="shared" si="6"/>
        <v>3126116.166801</v>
      </c>
      <c r="Q36" s="1664"/>
      <c r="R36" s="1664">
        <f t="shared" si="7"/>
        <v>1416816.789934</v>
      </c>
      <c r="S36" s="1665"/>
      <c r="T36" s="1663">
        <v>0</v>
      </c>
      <c r="U36" s="1665"/>
      <c r="V36" s="1663">
        <v>0</v>
      </c>
      <c r="W36" s="1665"/>
      <c r="X36" s="1664">
        <f t="shared" si="8"/>
        <v>1416816.789934</v>
      </c>
      <c r="Y36" s="1660"/>
      <c r="Z36" s="1453" t="s">
        <v>1478</v>
      </c>
      <c r="AA36" s="1661"/>
      <c r="AB36" s="1453" t="s">
        <v>22</v>
      </c>
      <c r="AC36" s="1661"/>
      <c r="AD36" s="1662">
        <v>0</v>
      </c>
      <c r="AE36" s="1661"/>
      <c r="AF36" s="1664">
        <f t="shared" si="9"/>
        <v>0</v>
      </c>
      <c r="AG36" s="1010"/>
      <c r="AH36" s="1316">
        <v>190</v>
      </c>
      <c r="AI36" s="1316"/>
    </row>
    <row r="37" spans="2:35">
      <c r="B37" s="1316">
        <v>26</v>
      </c>
      <c r="C37" s="1444" t="s">
        <v>1664</v>
      </c>
      <c r="D37" s="1444" t="s">
        <v>1656</v>
      </c>
      <c r="E37" s="1444" t="s">
        <v>1464</v>
      </c>
      <c r="F37" s="1663">
        <v>2534005.9</v>
      </c>
      <c r="G37" s="1664">
        <f t="shared" si="0"/>
        <v>886902.06499999994</v>
      </c>
      <c r="H37" s="1663">
        <v>228060.53099999999</v>
      </c>
      <c r="I37" s="1664">
        <f t="shared" si="1"/>
        <v>-79821.185849999994</v>
      </c>
      <c r="J37" s="1664">
        <f t="shared" si="2"/>
        <v>1035141.4101499999</v>
      </c>
      <c r="K37" s="1665"/>
      <c r="L37" s="1663">
        <f t="shared" si="3"/>
        <v>2534005.9</v>
      </c>
      <c r="M37" s="1664">
        <f t="shared" si="4"/>
        <v>532141.23899999994</v>
      </c>
      <c r="N37" s="1663">
        <v>228060.53099999999</v>
      </c>
      <c r="O37" s="1664">
        <f t="shared" si="5"/>
        <v>-47892.711509999994</v>
      </c>
      <c r="P37" s="1664">
        <f t="shared" si="6"/>
        <v>712309.05848999997</v>
      </c>
      <c r="Q37" s="1664"/>
      <c r="R37" s="1664">
        <f t="shared" si="7"/>
        <v>322832.35165999993</v>
      </c>
      <c r="S37" s="1665"/>
      <c r="T37" s="1663">
        <v>0</v>
      </c>
      <c r="U37" s="1665"/>
      <c r="V37" s="1663">
        <v>0</v>
      </c>
      <c r="W37" s="1665"/>
      <c r="X37" s="1664">
        <f t="shared" si="8"/>
        <v>322832.35165999993</v>
      </c>
      <c r="Y37" s="1660"/>
      <c r="Z37" s="1453" t="s">
        <v>1478</v>
      </c>
      <c r="AA37" s="1661"/>
      <c r="AB37" s="1453" t="s">
        <v>22</v>
      </c>
      <c r="AC37" s="1661"/>
      <c r="AD37" s="1662">
        <v>0</v>
      </c>
      <c r="AE37" s="1661"/>
      <c r="AF37" s="1664">
        <f t="shared" si="9"/>
        <v>0</v>
      </c>
      <c r="AG37" s="1010"/>
      <c r="AH37" s="1316">
        <v>190</v>
      </c>
      <c r="AI37" s="1316"/>
    </row>
    <row r="38" spans="2:35">
      <c r="B38" s="1316">
        <v>27</v>
      </c>
      <c r="C38" s="1444" t="s">
        <v>1665</v>
      </c>
      <c r="D38" s="1444" t="s">
        <v>1656</v>
      </c>
      <c r="E38" s="1444" t="s">
        <v>1464</v>
      </c>
      <c r="F38" s="1663">
        <v>1371624.65</v>
      </c>
      <c r="G38" s="1664">
        <f t="shared" si="0"/>
        <v>480068.62749999994</v>
      </c>
      <c r="H38" s="1663">
        <v>123446.21849999999</v>
      </c>
      <c r="I38" s="1664">
        <f t="shared" si="1"/>
        <v>-43206.176474999993</v>
      </c>
      <c r="J38" s="1664">
        <f t="shared" si="2"/>
        <v>560308.66952499992</v>
      </c>
      <c r="K38" s="1665"/>
      <c r="L38" s="1663">
        <f t="shared" si="3"/>
        <v>1371624.65</v>
      </c>
      <c r="M38" s="1664">
        <f t="shared" si="4"/>
        <v>288041.17649999994</v>
      </c>
      <c r="N38" s="1663">
        <v>123446.21849999999</v>
      </c>
      <c r="O38" s="1664">
        <f t="shared" si="5"/>
        <v>-25923.705884999996</v>
      </c>
      <c r="P38" s="1664">
        <f t="shared" si="6"/>
        <v>385563.6891149999</v>
      </c>
      <c r="Q38" s="1664"/>
      <c r="R38" s="1664">
        <f t="shared" si="7"/>
        <v>174744.98041000002</v>
      </c>
      <c r="S38" s="1665"/>
      <c r="T38" s="1663">
        <v>0</v>
      </c>
      <c r="U38" s="1665"/>
      <c r="V38" s="1663">
        <v>0</v>
      </c>
      <c r="W38" s="1665"/>
      <c r="X38" s="1664">
        <f t="shared" si="8"/>
        <v>174744.98041000002</v>
      </c>
      <c r="Y38" s="1660"/>
      <c r="Z38" s="1453" t="s">
        <v>1078</v>
      </c>
      <c r="AA38" s="1661"/>
      <c r="AB38" s="1453" t="s">
        <v>22</v>
      </c>
      <c r="AC38" s="1661"/>
      <c r="AD38" s="1662">
        <v>0</v>
      </c>
      <c r="AE38" s="1661"/>
      <c r="AF38" s="1664">
        <f t="shared" si="9"/>
        <v>0</v>
      </c>
      <c r="AG38" s="1010"/>
      <c r="AH38" s="1316">
        <v>190</v>
      </c>
      <c r="AI38" s="1316"/>
    </row>
    <row r="39" spans="2:35">
      <c r="B39" s="1316">
        <v>28</v>
      </c>
      <c r="C39" s="1444" t="s">
        <v>1666</v>
      </c>
      <c r="D39" s="1444" t="s">
        <v>1656</v>
      </c>
      <c r="E39" s="1444" t="s">
        <v>1464</v>
      </c>
      <c r="F39" s="1663">
        <v>-1093270.33</v>
      </c>
      <c r="G39" s="1664">
        <f t="shared" si="0"/>
        <v>-382644.61550000001</v>
      </c>
      <c r="H39" s="1663">
        <v>-98394.329700000002</v>
      </c>
      <c r="I39" s="1664">
        <f t="shared" si="1"/>
        <v>34438.015394999995</v>
      </c>
      <c r="J39" s="1664">
        <f t="shared" si="2"/>
        <v>-446600.92980500002</v>
      </c>
      <c r="K39" s="1665"/>
      <c r="L39" s="1663">
        <f t="shared" si="3"/>
        <v>-1093270.33</v>
      </c>
      <c r="M39" s="1664">
        <f t="shared" si="4"/>
        <v>-229586.76930000001</v>
      </c>
      <c r="N39" s="1663">
        <v>-98394.329700000002</v>
      </c>
      <c r="O39" s="1664">
        <f t="shared" si="5"/>
        <v>20662.809237000001</v>
      </c>
      <c r="P39" s="1664">
        <f t="shared" si="6"/>
        <v>-307318.28976300004</v>
      </c>
      <c r="Q39" s="1664"/>
      <c r="R39" s="1664">
        <f t="shared" si="7"/>
        <v>-139282.64004199998</v>
      </c>
      <c r="S39" s="1665"/>
      <c r="T39" s="1663">
        <v>0</v>
      </c>
      <c r="U39" s="1665"/>
      <c r="V39" s="1663">
        <v>0</v>
      </c>
      <c r="W39" s="1665"/>
      <c r="X39" s="1664">
        <f t="shared" si="8"/>
        <v>-139282.64004199998</v>
      </c>
      <c r="Y39" s="1660"/>
      <c r="Z39" s="1453" t="s">
        <v>1478</v>
      </c>
      <c r="AA39" s="1661"/>
      <c r="AB39" s="1453" t="s">
        <v>22</v>
      </c>
      <c r="AC39" s="1661"/>
      <c r="AD39" s="1662">
        <v>0</v>
      </c>
      <c r="AE39" s="1661"/>
      <c r="AF39" s="1664">
        <f t="shared" si="9"/>
        <v>0</v>
      </c>
      <c r="AG39" s="1010"/>
      <c r="AH39" s="1316">
        <v>190</v>
      </c>
      <c r="AI39" s="1316"/>
    </row>
    <row r="40" spans="2:35">
      <c r="B40" s="1316">
        <v>29</v>
      </c>
      <c r="C40" s="1444" t="s">
        <v>1479</v>
      </c>
      <c r="D40" s="1444" t="s">
        <v>1656</v>
      </c>
      <c r="E40" s="1444" t="s">
        <v>1464</v>
      </c>
      <c r="F40" s="1663">
        <v>-25730</v>
      </c>
      <c r="G40" s="1664">
        <f t="shared" si="0"/>
        <v>-9005.5</v>
      </c>
      <c r="H40" s="1663">
        <v>-2315.6999999999998</v>
      </c>
      <c r="I40" s="1664">
        <f t="shared" si="1"/>
        <v>810.49499999999989</v>
      </c>
      <c r="J40" s="1664">
        <f t="shared" si="2"/>
        <v>-10510.705000000002</v>
      </c>
      <c r="K40" s="1665"/>
      <c r="L40" s="1663">
        <f t="shared" si="3"/>
        <v>-25730</v>
      </c>
      <c r="M40" s="1664">
        <f t="shared" si="4"/>
        <v>-5403.3</v>
      </c>
      <c r="N40" s="1663">
        <v>-2315.6999999999998</v>
      </c>
      <c r="O40" s="1664">
        <f t="shared" si="5"/>
        <v>486.29699999999997</v>
      </c>
      <c r="P40" s="1664">
        <f t="shared" si="6"/>
        <v>-7232.7030000000004</v>
      </c>
      <c r="Q40" s="1664"/>
      <c r="R40" s="1664">
        <f t="shared" si="7"/>
        <v>-3278.0020000000013</v>
      </c>
      <c r="S40" s="1665"/>
      <c r="T40" s="1663">
        <v>0</v>
      </c>
      <c r="U40" s="1665"/>
      <c r="V40" s="1663">
        <v>0</v>
      </c>
      <c r="W40" s="1665"/>
      <c r="X40" s="1664">
        <f t="shared" si="8"/>
        <v>-3278.0020000000013</v>
      </c>
      <c r="Y40" s="1660"/>
      <c r="Z40" s="1453" t="s">
        <v>1478</v>
      </c>
      <c r="AA40" s="1661"/>
      <c r="AB40" s="1453" t="s">
        <v>22</v>
      </c>
      <c r="AC40" s="1661"/>
      <c r="AD40" s="1662">
        <v>0</v>
      </c>
      <c r="AE40" s="1661"/>
      <c r="AF40" s="1664">
        <f t="shared" si="9"/>
        <v>0</v>
      </c>
      <c r="AG40" s="1010"/>
      <c r="AH40" s="1316">
        <v>190</v>
      </c>
      <c r="AI40" s="1316"/>
    </row>
    <row r="41" spans="2:35">
      <c r="B41" s="1316">
        <v>30</v>
      </c>
      <c r="C41" s="1444" t="s">
        <v>1667</v>
      </c>
      <c r="D41" s="1444" t="s">
        <v>1656</v>
      </c>
      <c r="E41" s="1444" t="s">
        <v>1464</v>
      </c>
      <c r="F41" s="1663">
        <v>-1450365.86</v>
      </c>
      <c r="G41" s="1664">
        <f t="shared" si="0"/>
        <v>-507628.05099999998</v>
      </c>
      <c r="H41" s="1663">
        <v>-130532.9274</v>
      </c>
      <c r="I41" s="1664">
        <f t="shared" si="1"/>
        <v>45686.524590000001</v>
      </c>
      <c r="J41" s="1664">
        <f t="shared" si="2"/>
        <v>-592474.45380999998</v>
      </c>
      <c r="K41" s="1665"/>
      <c r="L41" s="1663">
        <f t="shared" si="3"/>
        <v>-1450365.86</v>
      </c>
      <c r="M41" s="1664">
        <f t="shared" si="4"/>
        <v>-304576.83059999999</v>
      </c>
      <c r="N41" s="1663">
        <v>-130532.9274</v>
      </c>
      <c r="O41" s="1664">
        <f t="shared" si="5"/>
        <v>27411.914753999998</v>
      </c>
      <c r="P41" s="1664">
        <f t="shared" si="6"/>
        <v>-407697.843246</v>
      </c>
      <c r="Q41" s="1664"/>
      <c r="R41" s="1664">
        <f t="shared" si="7"/>
        <v>-184776.61056399997</v>
      </c>
      <c r="S41" s="1665"/>
      <c r="T41" s="1663">
        <v>0</v>
      </c>
      <c r="U41" s="1665"/>
      <c r="V41" s="1663">
        <v>0</v>
      </c>
      <c r="W41" s="1665"/>
      <c r="X41" s="1664">
        <f t="shared" si="8"/>
        <v>-184776.61056399997</v>
      </c>
      <c r="Y41" s="1660"/>
      <c r="Z41" s="1453" t="s">
        <v>1478</v>
      </c>
      <c r="AA41" s="1661"/>
      <c r="AB41" s="1453" t="s">
        <v>22</v>
      </c>
      <c r="AC41" s="1661"/>
      <c r="AD41" s="1662">
        <v>0</v>
      </c>
      <c r="AE41" s="1661"/>
      <c r="AF41" s="1664">
        <f t="shared" si="9"/>
        <v>0</v>
      </c>
      <c r="AG41" s="1010"/>
      <c r="AH41" s="1316">
        <v>190</v>
      </c>
      <c r="AI41" s="1316"/>
    </row>
    <row r="42" spans="2:35">
      <c r="B42" s="1316">
        <v>31</v>
      </c>
      <c r="C42" s="1444" t="s">
        <v>1668</v>
      </c>
      <c r="D42" s="1444" t="s">
        <v>1656</v>
      </c>
      <c r="E42" s="1444" t="s">
        <v>1464</v>
      </c>
      <c r="F42" s="1663">
        <v>2210220.04</v>
      </c>
      <c r="G42" s="1664">
        <f t="shared" si="0"/>
        <v>773577.01399999997</v>
      </c>
      <c r="H42" s="1663">
        <v>198919.80359999998</v>
      </c>
      <c r="I42" s="1664">
        <f t="shared" si="1"/>
        <v>-69621.931259999983</v>
      </c>
      <c r="J42" s="1664">
        <f t="shared" si="2"/>
        <v>902874.88633999997</v>
      </c>
      <c r="K42" s="1665"/>
      <c r="L42" s="1663">
        <f t="shared" si="3"/>
        <v>2210220.04</v>
      </c>
      <c r="M42" s="1664">
        <f t="shared" si="4"/>
        <v>464146.2084</v>
      </c>
      <c r="N42" s="1663">
        <v>198919.80359999998</v>
      </c>
      <c r="O42" s="1664">
        <f t="shared" si="5"/>
        <v>-41773.158755999997</v>
      </c>
      <c r="P42" s="1664">
        <f t="shared" si="6"/>
        <v>621292.853244</v>
      </c>
      <c r="Q42" s="1664"/>
      <c r="R42" s="1664">
        <f t="shared" si="7"/>
        <v>281582.03309599997</v>
      </c>
      <c r="S42" s="1665"/>
      <c r="T42" s="1663">
        <v>281582.03309600003</v>
      </c>
      <c r="U42" s="1665"/>
      <c r="V42" s="1663">
        <v>0</v>
      </c>
      <c r="W42" s="1665"/>
      <c r="X42" s="1664">
        <f t="shared" si="8"/>
        <v>-5.8207660913467407E-11</v>
      </c>
      <c r="Y42" s="1660"/>
      <c r="Z42" s="1453" t="s">
        <v>1478</v>
      </c>
      <c r="AA42" s="1661"/>
      <c r="AB42" s="1453" t="s">
        <v>23</v>
      </c>
      <c r="AC42" s="1661"/>
      <c r="AD42" s="1662">
        <v>0</v>
      </c>
      <c r="AE42" s="1661"/>
      <c r="AF42" s="1664">
        <f t="shared" si="9"/>
        <v>0</v>
      </c>
      <c r="AG42" s="1010"/>
      <c r="AH42" s="1316">
        <v>190</v>
      </c>
      <c r="AI42" s="1316"/>
    </row>
    <row r="43" spans="2:35">
      <c r="B43" s="1316">
        <v>32</v>
      </c>
      <c r="C43" s="1444" t="s">
        <v>1669</v>
      </c>
      <c r="D43" s="1444" t="s">
        <v>1656</v>
      </c>
      <c r="E43" s="1444" t="s">
        <v>1464</v>
      </c>
      <c r="F43" s="1663">
        <v>1450365.86</v>
      </c>
      <c r="G43" s="1664">
        <f t="shared" si="0"/>
        <v>507628.05099999998</v>
      </c>
      <c r="H43" s="1663">
        <v>130532.9274</v>
      </c>
      <c r="I43" s="1664">
        <f t="shared" si="1"/>
        <v>-45686.524590000001</v>
      </c>
      <c r="J43" s="1664">
        <f t="shared" si="2"/>
        <v>592474.45380999998</v>
      </c>
      <c r="K43" s="1665"/>
      <c r="L43" s="1663">
        <f t="shared" si="3"/>
        <v>1450365.86</v>
      </c>
      <c r="M43" s="1664">
        <f t="shared" si="4"/>
        <v>304576.83059999999</v>
      </c>
      <c r="N43" s="1663">
        <v>130532.9274</v>
      </c>
      <c r="O43" s="1664">
        <f t="shared" si="5"/>
        <v>-27411.914753999998</v>
      </c>
      <c r="P43" s="1664">
        <f t="shared" si="6"/>
        <v>407697.843246</v>
      </c>
      <c r="Q43" s="1664"/>
      <c r="R43" s="1664">
        <f t="shared" si="7"/>
        <v>184776.61056399997</v>
      </c>
      <c r="S43" s="1665"/>
      <c r="T43" s="1663">
        <v>0</v>
      </c>
      <c r="U43" s="1665"/>
      <c r="V43" s="1663">
        <v>0</v>
      </c>
      <c r="W43" s="1665"/>
      <c r="X43" s="1664">
        <f t="shared" si="8"/>
        <v>184776.61056399997</v>
      </c>
      <c r="Y43" s="1660"/>
      <c r="Z43" s="1453" t="s">
        <v>1478</v>
      </c>
      <c r="AA43" s="1661"/>
      <c r="AB43" s="1453" t="s">
        <v>22</v>
      </c>
      <c r="AC43" s="1661"/>
      <c r="AD43" s="1662">
        <v>0</v>
      </c>
      <c r="AE43" s="1661"/>
      <c r="AF43" s="1664">
        <f t="shared" si="9"/>
        <v>0</v>
      </c>
      <c r="AG43" s="1010"/>
      <c r="AH43" s="1316">
        <v>190</v>
      </c>
      <c r="AI43" s="1316"/>
    </row>
    <row r="44" spans="2:35">
      <c r="B44" s="1316">
        <v>33</v>
      </c>
      <c r="C44" s="1444" t="s">
        <v>1670</v>
      </c>
      <c r="D44" s="1444" t="s">
        <v>1671</v>
      </c>
      <c r="E44" s="1444" t="s">
        <v>1464</v>
      </c>
      <c r="F44" s="1663">
        <v>1898240.94</v>
      </c>
      <c r="G44" s="1664">
        <f t="shared" si="0"/>
        <v>664384.32899999991</v>
      </c>
      <c r="H44" s="1663">
        <v>170841.68459999998</v>
      </c>
      <c r="I44" s="1664">
        <f t="shared" si="1"/>
        <v>-59794.589609999988</v>
      </c>
      <c r="J44" s="1664">
        <f t="shared" si="2"/>
        <v>775431.42398999992</v>
      </c>
      <c r="K44" s="1665"/>
      <c r="L44" s="1663">
        <f t="shared" si="3"/>
        <v>1898240.94</v>
      </c>
      <c r="M44" s="1664">
        <f t="shared" si="4"/>
        <v>398630.59739999997</v>
      </c>
      <c r="N44" s="1663">
        <v>170841.68459999998</v>
      </c>
      <c r="O44" s="1664">
        <f t="shared" si="5"/>
        <v>-35876.753765999994</v>
      </c>
      <c r="P44" s="1664">
        <f t="shared" si="6"/>
        <v>533595.52823399985</v>
      </c>
      <c r="Q44" s="1664"/>
      <c r="R44" s="1664">
        <f t="shared" si="7"/>
        <v>241835.89575600007</v>
      </c>
      <c r="S44" s="1665"/>
      <c r="T44" s="1663">
        <v>0</v>
      </c>
      <c r="U44" s="1665"/>
      <c r="V44" s="1663">
        <v>0</v>
      </c>
      <c r="W44" s="1665"/>
      <c r="X44" s="1664">
        <f t="shared" si="8"/>
        <v>241835.89575600007</v>
      </c>
      <c r="Y44" s="1660"/>
      <c r="Z44" s="1453" t="s">
        <v>1478</v>
      </c>
      <c r="AA44" s="1661"/>
      <c r="AB44" s="1453" t="s">
        <v>22</v>
      </c>
      <c r="AC44" s="1661"/>
      <c r="AD44" s="1662">
        <v>0.33300000000000002</v>
      </c>
      <c r="AE44" s="1661"/>
      <c r="AF44" s="1664">
        <f t="shared" si="9"/>
        <v>80531.353286748024</v>
      </c>
      <c r="AG44" s="1010"/>
      <c r="AH44" s="1316">
        <v>190</v>
      </c>
      <c r="AI44" s="1316"/>
    </row>
    <row r="45" spans="2:35">
      <c r="B45" s="1316">
        <v>34</v>
      </c>
      <c r="C45" s="1444" t="s">
        <v>1672</v>
      </c>
      <c r="D45" s="1444" t="s">
        <v>1671</v>
      </c>
      <c r="E45" s="1444" t="s">
        <v>1464</v>
      </c>
      <c r="F45" s="1663">
        <v>1450365.86</v>
      </c>
      <c r="G45" s="1664">
        <f t="shared" si="0"/>
        <v>507628.05099999998</v>
      </c>
      <c r="H45" s="1663">
        <v>130532.9274</v>
      </c>
      <c r="I45" s="1664">
        <f t="shared" si="1"/>
        <v>-45686.524590000001</v>
      </c>
      <c r="J45" s="1664">
        <f t="shared" si="2"/>
        <v>592474.45380999998</v>
      </c>
      <c r="K45" s="1665"/>
      <c r="L45" s="1663">
        <f t="shared" si="3"/>
        <v>1450365.86</v>
      </c>
      <c r="M45" s="1664">
        <f t="shared" si="4"/>
        <v>304576.83059999999</v>
      </c>
      <c r="N45" s="1663">
        <v>130532.9274</v>
      </c>
      <c r="O45" s="1664">
        <f t="shared" si="5"/>
        <v>-27411.914753999998</v>
      </c>
      <c r="P45" s="1664">
        <f t="shared" si="6"/>
        <v>407697.843246</v>
      </c>
      <c r="Q45" s="1664"/>
      <c r="R45" s="1664">
        <f t="shared" si="7"/>
        <v>184776.61056399997</v>
      </c>
      <c r="S45" s="1665"/>
      <c r="T45" s="1663">
        <v>0</v>
      </c>
      <c r="U45" s="1665"/>
      <c r="V45" s="1663">
        <v>0</v>
      </c>
      <c r="W45" s="1665"/>
      <c r="X45" s="1664">
        <f t="shared" si="8"/>
        <v>184776.61056399997</v>
      </c>
      <c r="Y45" s="1660"/>
      <c r="Z45" s="1453" t="s">
        <v>1478</v>
      </c>
      <c r="AA45" s="1661"/>
      <c r="AB45" s="1453" t="s">
        <v>22</v>
      </c>
      <c r="AC45" s="1661"/>
      <c r="AD45" s="1662">
        <v>0</v>
      </c>
      <c r="AE45" s="1661"/>
      <c r="AF45" s="1664">
        <f t="shared" si="9"/>
        <v>0</v>
      </c>
      <c r="AG45" s="1010"/>
      <c r="AH45" s="1316">
        <v>190</v>
      </c>
      <c r="AI45" s="1316"/>
    </row>
    <row r="46" spans="2:35">
      <c r="B46" s="1316">
        <v>35</v>
      </c>
      <c r="C46" s="1444" t="s">
        <v>1477</v>
      </c>
      <c r="D46" s="1444" t="s">
        <v>1671</v>
      </c>
      <c r="E46" s="1444" t="s">
        <v>1464</v>
      </c>
      <c r="F46" s="1663">
        <v>0</v>
      </c>
      <c r="G46" s="1664">
        <f t="shared" si="0"/>
        <v>0</v>
      </c>
      <c r="H46" s="1663">
        <v>0</v>
      </c>
      <c r="I46" s="1664">
        <f t="shared" si="1"/>
        <v>0</v>
      </c>
      <c r="J46" s="1664">
        <f t="shared" si="2"/>
        <v>0</v>
      </c>
      <c r="K46" s="1665"/>
      <c r="L46" s="1663">
        <f t="shared" si="3"/>
        <v>0</v>
      </c>
      <c r="M46" s="1664">
        <f t="shared" si="4"/>
        <v>0</v>
      </c>
      <c r="N46" s="1663">
        <v>0</v>
      </c>
      <c r="O46" s="1664">
        <f t="shared" si="5"/>
        <v>0</v>
      </c>
      <c r="P46" s="1664">
        <f t="shared" si="6"/>
        <v>0</v>
      </c>
      <c r="Q46" s="1664"/>
      <c r="R46" s="1664">
        <f t="shared" si="7"/>
        <v>0</v>
      </c>
      <c r="S46" s="1665"/>
      <c r="T46" s="1663">
        <v>0</v>
      </c>
      <c r="U46" s="1665"/>
      <c r="V46" s="1663">
        <v>0</v>
      </c>
      <c r="W46" s="1665"/>
      <c r="X46" s="1664">
        <f t="shared" si="8"/>
        <v>0</v>
      </c>
      <c r="Y46" s="1660"/>
      <c r="Z46" s="1453" t="s">
        <v>1478</v>
      </c>
      <c r="AA46" s="1661"/>
      <c r="AB46" s="1453" t="s">
        <v>23</v>
      </c>
      <c r="AC46" s="1661"/>
      <c r="AD46" s="1662">
        <v>0</v>
      </c>
      <c r="AE46" s="1661"/>
      <c r="AF46" s="1664">
        <f t="shared" si="9"/>
        <v>0</v>
      </c>
      <c r="AG46" s="1010"/>
      <c r="AH46" s="1316">
        <v>190</v>
      </c>
      <c r="AI46" s="1316"/>
    </row>
    <row r="47" spans="2:35">
      <c r="B47" s="1316">
        <v>36</v>
      </c>
      <c r="C47" s="1444" t="s">
        <v>1673</v>
      </c>
      <c r="D47" s="1444" t="s">
        <v>1671</v>
      </c>
      <c r="E47" s="1444" t="s">
        <v>1464</v>
      </c>
      <c r="F47" s="1663">
        <v>968920</v>
      </c>
      <c r="G47" s="1664">
        <f t="shared" si="0"/>
        <v>339122</v>
      </c>
      <c r="H47" s="1663">
        <v>87202.8</v>
      </c>
      <c r="I47" s="1664">
        <f t="shared" si="1"/>
        <v>-30520.98</v>
      </c>
      <c r="J47" s="1664">
        <f t="shared" si="2"/>
        <v>395803.82</v>
      </c>
      <c r="K47" s="1665"/>
      <c r="L47" s="1663">
        <f t="shared" si="3"/>
        <v>968920</v>
      </c>
      <c r="M47" s="1664">
        <f t="shared" si="4"/>
        <v>203473.19999999998</v>
      </c>
      <c r="N47" s="1663">
        <v>87202.8</v>
      </c>
      <c r="O47" s="1664">
        <f t="shared" si="5"/>
        <v>-18312.588</v>
      </c>
      <c r="P47" s="1664">
        <f t="shared" si="6"/>
        <v>272363.41200000001</v>
      </c>
      <c r="Q47" s="1664"/>
      <c r="R47" s="1664">
        <f t="shared" si="7"/>
        <v>123440.408</v>
      </c>
      <c r="S47" s="1665"/>
      <c r="T47" s="1663">
        <v>123440.40800000001</v>
      </c>
      <c r="U47" s="1665"/>
      <c r="V47" s="1663">
        <v>0</v>
      </c>
      <c r="W47" s="1665"/>
      <c r="X47" s="1664">
        <f t="shared" si="8"/>
        <v>-1.4551915228366852E-11</v>
      </c>
      <c r="Y47" s="1660"/>
      <c r="Z47" s="1453" t="s">
        <v>1478</v>
      </c>
      <c r="AA47" s="1661"/>
      <c r="AB47" s="1453" t="s">
        <v>23</v>
      </c>
      <c r="AC47" s="1661"/>
      <c r="AD47" s="1662">
        <v>0</v>
      </c>
      <c r="AE47" s="1661"/>
      <c r="AF47" s="1664">
        <f t="shared" si="9"/>
        <v>0</v>
      </c>
      <c r="AG47" s="1010"/>
      <c r="AH47" s="1316">
        <v>190</v>
      </c>
      <c r="AI47" s="1316"/>
    </row>
    <row r="48" spans="2:35">
      <c r="B48" s="1316">
        <v>37</v>
      </c>
      <c r="C48" s="1444" t="s">
        <v>1674</v>
      </c>
      <c r="D48" s="1444" t="s">
        <v>1671</v>
      </c>
      <c r="E48" s="1444" t="s">
        <v>1464</v>
      </c>
      <c r="F48" s="1663">
        <v>6720799.4800000004</v>
      </c>
      <c r="G48" s="1664">
        <f t="shared" si="0"/>
        <v>2352279.818</v>
      </c>
      <c r="H48" s="1663">
        <v>604871.95319999999</v>
      </c>
      <c r="I48" s="1664">
        <f t="shared" si="1"/>
        <v>-211705.18362</v>
      </c>
      <c r="J48" s="1664">
        <f t="shared" si="2"/>
        <v>2745446.5875800001</v>
      </c>
      <c r="K48" s="1665"/>
      <c r="L48" s="1663">
        <f t="shared" si="3"/>
        <v>6720799.4800000004</v>
      </c>
      <c r="M48" s="1664">
        <f t="shared" si="4"/>
        <v>1411367.8907999999</v>
      </c>
      <c r="N48" s="1663">
        <v>604871.95319999999</v>
      </c>
      <c r="O48" s="1664">
        <f t="shared" si="5"/>
        <v>-127023.11017199999</v>
      </c>
      <c r="P48" s="1664">
        <f t="shared" si="6"/>
        <v>1889216.733828</v>
      </c>
      <c r="Q48" s="1664"/>
      <c r="R48" s="1664">
        <f t="shared" si="7"/>
        <v>856229.85375200002</v>
      </c>
      <c r="S48" s="1665"/>
      <c r="T48" s="1663">
        <v>856229.85375200014</v>
      </c>
      <c r="U48" s="1665"/>
      <c r="V48" s="1663">
        <v>0</v>
      </c>
      <c r="W48" s="1665"/>
      <c r="X48" s="1664">
        <f t="shared" si="8"/>
        <v>-1.1641532182693481E-10</v>
      </c>
      <c r="Y48" s="1660"/>
      <c r="Z48" s="1453" t="s">
        <v>1478</v>
      </c>
      <c r="AA48" s="1661"/>
      <c r="AB48" s="1453" t="s">
        <v>23</v>
      </c>
      <c r="AC48" s="1661"/>
      <c r="AD48" s="1662">
        <v>0</v>
      </c>
      <c r="AE48" s="1661"/>
      <c r="AF48" s="1664">
        <f t="shared" si="9"/>
        <v>0</v>
      </c>
      <c r="AG48" s="1010"/>
      <c r="AH48" s="1316">
        <v>190</v>
      </c>
      <c r="AI48" s="1316"/>
    </row>
    <row r="49" spans="2:35">
      <c r="B49" s="1316">
        <v>38</v>
      </c>
      <c r="C49" s="1444" t="s">
        <v>1675</v>
      </c>
      <c r="D49" s="1444" t="s">
        <v>1675</v>
      </c>
      <c r="E49" s="1444" t="s">
        <v>1405</v>
      </c>
      <c r="F49" s="1663">
        <v>3697280</v>
      </c>
      <c r="G49" s="1664">
        <f t="shared" si="0"/>
        <v>1294048</v>
      </c>
      <c r="H49" s="1663">
        <v>332755.20000000001</v>
      </c>
      <c r="I49" s="1664">
        <f t="shared" si="1"/>
        <v>-116464.31999999999</v>
      </c>
      <c r="J49" s="1664">
        <f t="shared" si="2"/>
        <v>1510338.88</v>
      </c>
      <c r="K49" s="1665"/>
      <c r="L49" s="1663">
        <f t="shared" si="3"/>
        <v>3697280</v>
      </c>
      <c r="M49" s="1664">
        <f t="shared" si="4"/>
        <v>776428.79999999993</v>
      </c>
      <c r="N49" s="1663">
        <v>332755.20000000001</v>
      </c>
      <c r="O49" s="1664">
        <f t="shared" si="5"/>
        <v>-69878.592000000004</v>
      </c>
      <c r="P49" s="1664">
        <f t="shared" si="6"/>
        <v>1039305.4080000001</v>
      </c>
      <c r="Q49" s="1664"/>
      <c r="R49" s="1664">
        <f t="shared" si="7"/>
        <v>471033.47199999983</v>
      </c>
      <c r="S49" s="1665"/>
      <c r="T49" s="1663">
        <v>0</v>
      </c>
      <c r="U49" s="1665"/>
      <c r="V49" s="1663">
        <v>0</v>
      </c>
      <c r="W49" s="1665"/>
      <c r="X49" s="1664">
        <f t="shared" si="8"/>
        <v>471033.47199999983</v>
      </c>
      <c r="Y49" s="1660"/>
      <c r="Z49" s="1453" t="s">
        <v>1478</v>
      </c>
      <c r="AA49" s="1661"/>
      <c r="AB49" s="1453" t="s">
        <v>22</v>
      </c>
      <c r="AC49" s="1661"/>
      <c r="AD49" s="1662">
        <v>0.33300000000000002</v>
      </c>
      <c r="AE49" s="1661"/>
      <c r="AF49" s="1664">
        <f t="shared" si="9"/>
        <v>156854.14617599995</v>
      </c>
      <c r="AG49" s="1010"/>
      <c r="AH49" s="1316">
        <v>190</v>
      </c>
      <c r="AI49" s="1316"/>
    </row>
    <row r="50" spans="2:35">
      <c r="B50" s="1316">
        <v>39</v>
      </c>
      <c r="C50" s="1444" t="s">
        <v>1676</v>
      </c>
      <c r="D50" s="1444" t="s">
        <v>1677</v>
      </c>
      <c r="E50" s="1444" t="s">
        <v>1464</v>
      </c>
      <c r="F50" s="1663">
        <v>1831322.27</v>
      </c>
      <c r="G50" s="1664">
        <f t="shared" si="0"/>
        <v>640962.79449999996</v>
      </c>
      <c r="H50" s="1663">
        <v>164819.0043</v>
      </c>
      <c r="I50" s="1664">
        <f t="shared" si="1"/>
        <v>-57686.651504999994</v>
      </c>
      <c r="J50" s="1664">
        <f t="shared" si="2"/>
        <v>748095.14729500003</v>
      </c>
      <c r="K50" s="1665"/>
      <c r="L50" s="1663">
        <f t="shared" si="3"/>
        <v>1831322.27</v>
      </c>
      <c r="M50" s="1664">
        <f t="shared" si="4"/>
        <v>384577.67670000001</v>
      </c>
      <c r="N50" s="1663">
        <v>164819.0043</v>
      </c>
      <c r="O50" s="1664">
        <f t="shared" si="5"/>
        <v>-34611.990902999998</v>
      </c>
      <c r="P50" s="1664">
        <f t="shared" si="6"/>
        <v>514784.69009699998</v>
      </c>
      <c r="Q50" s="1664"/>
      <c r="R50" s="1664">
        <f t="shared" si="7"/>
        <v>233310.45719800005</v>
      </c>
      <c r="S50" s="1665"/>
      <c r="T50" s="1663">
        <v>0</v>
      </c>
      <c r="U50" s="1665"/>
      <c r="V50" s="1663">
        <v>0</v>
      </c>
      <c r="W50" s="1665"/>
      <c r="X50" s="1664">
        <f t="shared" si="8"/>
        <v>233310.45719800005</v>
      </c>
      <c r="Y50" s="1660"/>
      <c r="Z50" s="1453" t="s">
        <v>1478</v>
      </c>
      <c r="AA50" s="1661"/>
      <c r="AB50" s="1453" t="s">
        <v>22</v>
      </c>
      <c r="AC50" s="1661"/>
      <c r="AD50" s="1662">
        <v>0</v>
      </c>
      <c r="AE50" s="1661"/>
      <c r="AF50" s="1664">
        <f t="shared" si="9"/>
        <v>0</v>
      </c>
      <c r="AG50" s="1010"/>
      <c r="AH50" s="1316">
        <v>190</v>
      </c>
      <c r="AI50" s="1316"/>
    </row>
    <row r="51" spans="2:35">
      <c r="B51" s="1316">
        <v>40</v>
      </c>
      <c r="C51" s="1444" t="s">
        <v>1678</v>
      </c>
      <c r="D51" s="1444" t="s">
        <v>1677</v>
      </c>
      <c r="E51" s="1444" t="s">
        <v>1464</v>
      </c>
      <c r="F51" s="1663">
        <v>15938799.439999999</v>
      </c>
      <c r="G51" s="1664">
        <f t="shared" si="0"/>
        <v>5578579.8039999995</v>
      </c>
      <c r="H51" s="1663">
        <v>1434491.9495999999</v>
      </c>
      <c r="I51" s="1664">
        <f t="shared" si="1"/>
        <v>-502072.18235999992</v>
      </c>
      <c r="J51" s="1664">
        <f t="shared" si="2"/>
        <v>6510999.5712399995</v>
      </c>
      <c r="K51" s="1665"/>
      <c r="L51" s="1663">
        <f t="shared" si="3"/>
        <v>15938799.439999999</v>
      </c>
      <c r="M51" s="1664">
        <f t="shared" si="4"/>
        <v>3347147.8823999995</v>
      </c>
      <c r="N51" s="1663">
        <v>1434491.9495999999</v>
      </c>
      <c r="O51" s="1664">
        <f t="shared" si="5"/>
        <v>-301243.30941599997</v>
      </c>
      <c r="P51" s="1664">
        <f t="shared" si="6"/>
        <v>4480396.5225839997</v>
      </c>
      <c r="Q51" s="1664"/>
      <c r="R51" s="1664">
        <f t="shared" si="7"/>
        <v>2030603.0486559998</v>
      </c>
      <c r="S51" s="1665"/>
      <c r="T51" s="1663">
        <v>0</v>
      </c>
      <c r="U51" s="1665"/>
      <c r="V51" s="1663">
        <v>0</v>
      </c>
      <c r="W51" s="1665"/>
      <c r="X51" s="1664">
        <f t="shared" si="8"/>
        <v>2030603.0486559998</v>
      </c>
      <c r="Y51" s="1660"/>
      <c r="Z51" s="1453" t="s">
        <v>1478</v>
      </c>
      <c r="AA51" s="1661"/>
      <c r="AB51" s="1453" t="s">
        <v>22</v>
      </c>
      <c r="AC51" s="1661"/>
      <c r="AD51" s="1662">
        <v>0</v>
      </c>
      <c r="AE51" s="1661"/>
      <c r="AF51" s="1664">
        <f t="shared" si="9"/>
        <v>0</v>
      </c>
      <c r="AG51" s="1010"/>
      <c r="AH51" s="1316">
        <v>190</v>
      </c>
      <c r="AI51" s="1316"/>
    </row>
    <row r="52" spans="2:35">
      <c r="B52" s="1316">
        <v>41</v>
      </c>
      <c r="C52" s="1444" t="s">
        <v>1679</v>
      </c>
      <c r="D52" s="1444" t="s">
        <v>1680</v>
      </c>
      <c r="E52" s="1444" t="s">
        <v>1464</v>
      </c>
      <c r="F52" s="1663">
        <v>2031657.71</v>
      </c>
      <c r="G52" s="1664">
        <f t="shared" si="0"/>
        <v>711080.19849999994</v>
      </c>
      <c r="H52" s="1663">
        <v>0</v>
      </c>
      <c r="I52" s="1664">
        <f t="shared" si="1"/>
        <v>0</v>
      </c>
      <c r="J52" s="1664">
        <f t="shared" si="2"/>
        <v>711080.19849999994</v>
      </c>
      <c r="K52" s="1665"/>
      <c r="L52" s="1663">
        <f t="shared" si="3"/>
        <v>2031657.71</v>
      </c>
      <c r="M52" s="1664">
        <f t="shared" si="4"/>
        <v>426648.11909999995</v>
      </c>
      <c r="N52" s="1663">
        <v>0</v>
      </c>
      <c r="O52" s="1664">
        <f t="shared" si="5"/>
        <v>0</v>
      </c>
      <c r="P52" s="1664">
        <f t="shared" si="6"/>
        <v>426648.11909999995</v>
      </c>
      <c r="Q52" s="1664"/>
      <c r="R52" s="1664">
        <f t="shared" si="7"/>
        <v>284432.07939999999</v>
      </c>
      <c r="S52" s="1665"/>
      <c r="T52" s="1663">
        <v>284432.07940000005</v>
      </c>
      <c r="U52" s="1665"/>
      <c r="V52" s="1663">
        <v>0</v>
      </c>
      <c r="W52" s="1665"/>
      <c r="X52" s="1664">
        <f t="shared" si="8"/>
        <v>-5.8207660913467407E-11</v>
      </c>
      <c r="Y52" s="1660"/>
      <c r="Z52" s="1453" t="s">
        <v>1478</v>
      </c>
      <c r="AA52" s="1661"/>
      <c r="AB52" s="1453" t="s">
        <v>23</v>
      </c>
      <c r="AC52" s="1661"/>
      <c r="AD52" s="1662">
        <v>0</v>
      </c>
      <c r="AE52" s="1661"/>
      <c r="AF52" s="1664">
        <f t="shared" si="9"/>
        <v>0</v>
      </c>
      <c r="AG52" s="1010"/>
      <c r="AH52" s="1316">
        <v>190</v>
      </c>
      <c r="AI52" s="1316"/>
    </row>
    <row r="53" spans="2:35">
      <c r="B53" s="1316">
        <v>42</v>
      </c>
      <c r="C53" s="1444" t="s">
        <v>1681</v>
      </c>
      <c r="D53" s="1444" t="s">
        <v>1680</v>
      </c>
      <c r="E53" s="1444" t="s">
        <v>1464</v>
      </c>
      <c r="F53" s="1663">
        <v>0</v>
      </c>
      <c r="G53" s="1664">
        <f t="shared" si="0"/>
        <v>0</v>
      </c>
      <c r="H53" s="1663">
        <v>196724.4057</v>
      </c>
      <c r="I53" s="1664">
        <f t="shared" si="1"/>
        <v>-68853.541994999992</v>
      </c>
      <c r="J53" s="1664">
        <f t="shared" si="2"/>
        <v>127870.86370500001</v>
      </c>
      <c r="K53" s="1665"/>
      <c r="L53" s="1663">
        <f t="shared" si="3"/>
        <v>0</v>
      </c>
      <c r="M53" s="1664">
        <f t="shared" si="4"/>
        <v>0</v>
      </c>
      <c r="N53" s="1663">
        <v>196724.4057</v>
      </c>
      <c r="O53" s="1664">
        <f t="shared" si="5"/>
        <v>-41312.125197000001</v>
      </c>
      <c r="P53" s="1664">
        <f t="shared" si="6"/>
        <v>155412.28050300002</v>
      </c>
      <c r="Q53" s="1664"/>
      <c r="R53" s="1664">
        <f t="shared" si="7"/>
        <v>-27541.416798000006</v>
      </c>
      <c r="S53" s="1665"/>
      <c r="T53" s="1663">
        <v>-27541.416798000002</v>
      </c>
      <c r="U53" s="1665"/>
      <c r="V53" s="1663">
        <v>0</v>
      </c>
      <c r="W53" s="1665"/>
      <c r="X53" s="1664">
        <f t="shared" si="8"/>
        <v>-3.637978807091713E-12</v>
      </c>
      <c r="Y53" s="1660"/>
      <c r="Z53" s="1453" t="s">
        <v>1478</v>
      </c>
      <c r="AA53" s="1661"/>
      <c r="AB53" s="1453" t="s">
        <v>23</v>
      </c>
      <c r="AC53" s="1661"/>
      <c r="AD53" s="1662">
        <v>0</v>
      </c>
      <c r="AE53" s="1661"/>
      <c r="AF53" s="1664">
        <f t="shared" si="9"/>
        <v>0</v>
      </c>
      <c r="AG53" s="1010"/>
      <c r="AH53" s="1316">
        <v>190</v>
      </c>
      <c r="AI53" s="1316"/>
    </row>
    <row r="54" spans="2:35">
      <c r="B54" s="1316">
        <v>43</v>
      </c>
      <c r="C54" s="1444" t="s">
        <v>1682</v>
      </c>
      <c r="D54" s="1444" t="s">
        <v>1683</v>
      </c>
      <c r="E54" s="1444" t="s">
        <v>1464</v>
      </c>
      <c r="F54" s="1663">
        <v>285000</v>
      </c>
      <c r="G54" s="1664">
        <f t="shared" si="0"/>
        <v>99750</v>
      </c>
      <c r="H54" s="1663">
        <v>25650</v>
      </c>
      <c r="I54" s="1664">
        <f t="shared" si="1"/>
        <v>-8977.5</v>
      </c>
      <c r="J54" s="1664">
        <f t="shared" si="2"/>
        <v>116422.5</v>
      </c>
      <c r="K54" s="1665"/>
      <c r="L54" s="1663">
        <f t="shared" si="3"/>
        <v>285000</v>
      </c>
      <c r="M54" s="1664">
        <f t="shared" si="4"/>
        <v>59850</v>
      </c>
      <c r="N54" s="1663">
        <v>25650</v>
      </c>
      <c r="O54" s="1664">
        <f t="shared" si="5"/>
        <v>-5386.5</v>
      </c>
      <c r="P54" s="1664">
        <f t="shared" si="6"/>
        <v>80113.5</v>
      </c>
      <c r="Q54" s="1664"/>
      <c r="R54" s="1664">
        <f t="shared" si="7"/>
        <v>36309</v>
      </c>
      <c r="S54" s="1665"/>
      <c r="T54" s="1663">
        <v>0</v>
      </c>
      <c r="U54" s="1665"/>
      <c r="V54" s="1663">
        <v>0</v>
      </c>
      <c r="W54" s="1665"/>
      <c r="X54" s="1664">
        <f t="shared" si="8"/>
        <v>36309</v>
      </c>
      <c r="Y54" s="1660"/>
      <c r="Z54" s="1453" t="s">
        <v>1478</v>
      </c>
      <c r="AA54" s="1661"/>
      <c r="AB54" s="1453" t="s">
        <v>22</v>
      </c>
      <c r="AC54" s="1661"/>
      <c r="AD54" s="1662">
        <v>0</v>
      </c>
      <c r="AE54" s="1661"/>
      <c r="AF54" s="1664">
        <f t="shared" si="9"/>
        <v>0</v>
      </c>
      <c r="AG54" s="1010"/>
      <c r="AH54" s="1316">
        <v>190</v>
      </c>
      <c r="AI54" s="1316"/>
    </row>
    <row r="55" spans="2:35">
      <c r="B55" s="1316">
        <v>44</v>
      </c>
      <c r="C55" s="1444" t="s">
        <v>1684</v>
      </c>
      <c r="D55" s="1444" t="s">
        <v>1683</v>
      </c>
      <c r="E55" s="1444" t="s">
        <v>1464</v>
      </c>
      <c r="F55" s="1663">
        <v>-285000</v>
      </c>
      <c r="G55" s="1664">
        <f t="shared" si="0"/>
        <v>-99750</v>
      </c>
      <c r="H55" s="1663">
        <v>-25650</v>
      </c>
      <c r="I55" s="1664">
        <f t="shared" si="1"/>
        <v>8977.5</v>
      </c>
      <c r="J55" s="1664">
        <f t="shared" si="2"/>
        <v>-116422.5</v>
      </c>
      <c r="K55" s="1665"/>
      <c r="L55" s="1663">
        <f t="shared" si="3"/>
        <v>-285000</v>
      </c>
      <c r="M55" s="1664">
        <f t="shared" si="4"/>
        <v>-59850</v>
      </c>
      <c r="N55" s="1663">
        <v>-25650</v>
      </c>
      <c r="O55" s="1664">
        <f t="shared" si="5"/>
        <v>5386.5</v>
      </c>
      <c r="P55" s="1664">
        <f t="shared" si="6"/>
        <v>-80113.5</v>
      </c>
      <c r="Q55" s="1664"/>
      <c r="R55" s="1664">
        <f t="shared" si="7"/>
        <v>-36309</v>
      </c>
      <c r="S55" s="1665"/>
      <c r="T55" s="1663">
        <v>0</v>
      </c>
      <c r="U55" s="1665"/>
      <c r="V55" s="1663">
        <v>0</v>
      </c>
      <c r="W55" s="1665"/>
      <c r="X55" s="1664">
        <f t="shared" si="8"/>
        <v>-36309</v>
      </c>
      <c r="Y55" s="1660"/>
      <c r="Z55" s="1453" t="s">
        <v>1478</v>
      </c>
      <c r="AA55" s="1661"/>
      <c r="AB55" s="1453" t="s">
        <v>22</v>
      </c>
      <c r="AC55" s="1661"/>
      <c r="AD55" s="1662">
        <v>0</v>
      </c>
      <c r="AE55" s="1661"/>
      <c r="AF55" s="1664">
        <f t="shared" si="9"/>
        <v>0</v>
      </c>
      <c r="AG55" s="1010"/>
      <c r="AH55" s="1316">
        <v>190</v>
      </c>
      <c r="AI55" s="1316"/>
    </row>
    <row r="56" spans="2:35">
      <c r="B56" s="1316">
        <v>45</v>
      </c>
      <c r="C56" s="1444" t="s">
        <v>1685</v>
      </c>
      <c r="D56" s="1444" t="s">
        <v>1683</v>
      </c>
      <c r="E56" s="1444" t="s">
        <v>1464</v>
      </c>
      <c r="F56" s="1663">
        <v>628942.43999999994</v>
      </c>
      <c r="G56" s="1664">
        <f t="shared" si="0"/>
        <v>220129.85399999996</v>
      </c>
      <c r="H56" s="1663">
        <v>56604.819599999995</v>
      </c>
      <c r="I56" s="1664">
        <f t="shared" si="1"/>
        <v>-19811.686859999998</v>
      </c>
      <c r="J56" s="1664">
        <f t="shared" si="2"/>
        <v>256922.98673999999</v>
      </c>
      <c r="K56" s="1665"/>
      <c r="L56" s="1663">
        <f t="shared" si="3"/>
        <v>628942.43999999994</v>
      </c>
      <c r="M56" s="1664">
        <f t="shared" si="4"/>
        <v>132077.91239999997</v>
      </c>
      <c r="N56" s="1663">
        <v>56604.819599999995</v>
      </c>
      <c r="O56" s="1664">
        <f t="shared" si="5"/>
        <v>-11887.012115999998</v>
      </c>
      <c r="P56" s="1664">
        <f t="shared" si="6"/>
        <v>176795.71988399996</v>
      </c>
      <c r="Q56" s="1664"/>
      <c r="R56" s="1664">
        <f t="shared" si="7"/>
        <v>80127.266856000031</v>
      </c>
      <c r="S56" s="1665"/>
      <c r="T56" s="1663">
        <v>0</v>
      </c>
      <c r="U56" s="1665"/>
      <c r="V56" s="1663">
        <v>0</v>
      </c>
      <c r="W56" s="1665"/>
      <c r="X56" s="1664">
        <f t="shared" si="8"/>
        <v>80127.266856000031</v>
      </c>
      <c r="Y56" s="1660"/>
      <c r="Z56" s="1453" t="s">
        <v>1478</v>
      </c>
      <c r="AA56" s="1661"/>
      <c r="AB56" s="1453" t="s">
        <v>22</v>
      </c>
      <c r="AC56" s="1661"/>
      <c r="AD56" s="1662">
        <v>0</v>
      </c>
      <c r="AE56" s="1661"/>
      <c r="AF56" s="1664">
        <f t="shared" si="9"/>
        <v>0</v>
      </c>
      <c r="AG56" s="1010"/>
      <c r="AH56" s="1316">
        <v>190</v>
      </c>
      <c r="AI56" s="1316"/>
    </row>
    <row r="57" spans="2:35">
      <c r="B57" s="1316">
        <v>46</v>
      </c>
      <c r="C57" s="1444" t="s">
        <v>1467</v>
      </c>
      <c r="D57" s="1444" t="s">
        <v>1686</v>
      </c>
      <c r="E57" s="1444" t="s">
        <v>1464</v>
      </c>
      <c r="F57" s="1663">
        <v>427575.23</v>
      </c>
      <c r="G57" s="1664">
        <f t="shared" si="0"/>
        <v>149651.33049999998</v>
      </c>
      <c r="H57" s="1663">
        <v>38481.770699999994</v>
      </c>
      <c r="I57" s="1664">
        <f t="shared" si="1"/>
        <v>-13468.619744999996</v>
      </c>
      <c r="J57" s="1664">
        <f t="shared" si="2"/>
        <v>174664.48145499997</v>
      </c>
      <c r="K57" s="1665"/>
      <c r="L57" s="1663">
        <f t="shared" si="3"/>
        <v>427575.23</v>
      </c>
      <c r="M57" s="1664">
        <f t="shared" si="4"/>
        <v>89790.798299999995</v>
      </c>
      <c r="N57" s="1663">
        <v>38481.770699999994</v>
      </c>
      <c r="O57" s="1664">
        <f t="shared" si="5"/>
        <v>-8081.1718469999987</v>
      </c>
      <c r="P57" s="1664">
        <f t="shared" si="6"/>
        <v>120191.39715299998</v>
      </c>
      <c r="Q57" s="1664"/>
      <c r="R57" s="1664">
        <f t="shared" si="7"/>
        <v>54473.084301999988</v>
      </c>
      <c r="S57" s="1665"/>
      <c r="T57" s="1663">
        <v>0</v>
      </c>
      <c r="U57" s="1665"/>
      <c r="V57" s="1663">
        <v>0</v>
      </c>
      <c r="W57" s="1665"/>
      <c r="X57" s="1664">
        <f t="shared" si="8"/>
        <v>54473.084301999988</v>
      </c>
      <c r="Y57" s="1660"/>
      <c r="Z57" s="1453" t="s">
        <v>260</v>
      </c>
      <c r="AA57" s="1661"/>
      <c r="AB57" s="1453" t="s">
        <v>22</v>
      </c>
      <c r="AC57" s="1661"/>
      <c r="AD57" s="1662">
        <v>6.5299999999999997E-2</v>
      </c>
      <c r="AE57" s="1661"/>
      <c r="AF57" s="1664">
        <f t="shared" si="9"/>
        <v>3557.0924049205992</v>
      </c>
      <c r="AG57" s="1010"/>
      <c r="AH57" s="1316">
        <v>190</v>
      </c>
      <c r="AI57" s="1316"/>
    </row>
    <row r="58" spans="2:35">
      <c r="B58" s="1316">
        <v>47</v>
      </c>
      <c r="C58" s="1444" t="s">
        <v>1476</v>
      </c>
      <c r="D58" s="1444" t="s">
        <v>1686</v>
      </c>
      <c r="E58" s="1444" t="s">
        <v>1464</v>
      </c>
      <c r="F58" s="1663">
        <v>16383105.710000001</v>
      </c>
      <c r="G58" s="1664">
        <f t="shared" si="0"/>
        <v>5734086.9984999998</v>
      </c>
      <c r="H58" s="1663">
        <v>1474479.5139000001</v>
      </c>
      <c r="I58" s="1664">
        <f t="shared" si="1"/>
        <v>-516067.82986500004</v>
      </c>
      <c r="J58" s="1664">
        <f t="shared" si="2"/>
        <v>6692498.6825349992</v>
      </c>
      <c r="K58" s="1665"/>
      <c r="L58" s="1663">
        <f t="shared" si="3"/>
        <v>16383105.710000001</v>
      </c>
      <c r="M58" s="1664">
        <f t="shared" si="4"/>
        <v>3440452.1990999999</v>
      </c>
      <c r="N58" s="1663">
        <v>1474479.5139000001</v>
      </c>
      <c r="O58" s="1664">
        <f t="shared" si="5"/>
        <v>-309640.697919</v>
      </c>
      <c r="P58" s="1664">
        <f t="shared" si="6"/>
        <v>4605291.0150809996</v>
      </c>
      <c r="Q58" s="1664"/>
      <c r="R58" s="1664">
        <f t="shared" si="7"/>
        <v>2087207.6674539996</v>
      </c>
      <c r="S58" s="1665"/>
      <c r="T58" s="1663">
        <v>0</v>
      </c>
      <c r="U58" s="1665"/>
      <c r="V58" s="1663">
        <v>0</v>
      </c>
      <c r="W58" s="1665"/>
      <c r="X58" s="1664">
        <f t="shared" si="8"/>
        <v>2087207.6674539996</v>
      </c>
      <c r="Y58" s="1660"/>
      <c r="Z58" s="1453" t="s">
        <v>260</v>
      </c>
      <c r="AA58" s="1661"/>
      <c r="AB58" s="1453" t="s">
        <v>22</v>
      </c>
      <c r="AC58" s="1661"/>
      <c r="AD58" s="1662">
        <v>6.5299999999999997E-2</v>
      </c>
      <c r="AE58" s="1661"/>
      <c r="AF58" s="1664">
        <f t="shared" si="9"/>
        <v>136294.66068474617</v>
      </c>
      <c r="AG58" s="1010"/>
      <c r="AH58" s="1316">
        <v>190</v>
      </c>
      <c r="AI58" s="1316"/>
    </row>
    <row r="59" spans="2:35">
      <c r="B59" s="1316">
        <v>48</v>
      </c>
      <c r="C59" s="1444" t="s">
        <v>1687</v>
      </c>
      <c r="D59" s="1444" t="s">
        <v>1686</v>
      </c>
      <c r="E59" s="1444" t="s">
        <v>1464</v>
      </c>
      <c r="F59" s="1663">
        <v>130121.22</v>
      </c>
      <c r="G59" s="1664">
        <f t="shared" si="0"/>
        <v>45542.426999999996</v>
      </c>
      <c r="H59" s="1663">
        <v>11710.909799999999</v>
      </c>
      <c r="I59" s="1664">
        <f t="shared" si="1"/>
        <v>-4098.8184299999994</v>
      </c>
      <c r="J59" s="1664">
        <f t="shared" si="2"/>
        <v>53154.518369999998</v>
      </c>
      <c r="K59" s="1665"/>
      <c r="L59" s="1663">
        <f t="shared" si="3"/>
        <v>130121.22</v>
      </c>
      <c r="M59" s="1664">
        <f t="shared" si="4"/>
        <v>27325.456200000001</v>
      </c>
      <c r="N59" s="1663">
        <v>11710.909799999999</v>
      </c>
      <c r="O59" s="1664">
        <f t="shared" si="5"/>
        <v>-2459.2910579999998</v>
      </c>
      <c r="P59" s="1664">
        <f t="shared" si="6"/>
        <v>36577.074941999999</v>
      </c>
      <c r="Q59" s="1664"/>
      <c r="R59" s="1664">
        <f t="shared" si="7"/>
        <v>16577.443427999999</v>
      </c>
      <c r="S59" s="1665"/>
      <c r="T59" s="1663">
        <v>0</v>
      </c>
      <c r="U59" s="1665"/>
      <c r="V59" s="1663">
        <v>0</v>
      </c>
      <c r="W59" s="1665"/>
      <c r="X59" s="1664">
        <f t="shared" si="8"/>
        <v>16577.443427999999</v>
      </c>
      <c r="Y59" s="1660"/>
      <c r="Z59" s="1453" t="s">
        <v>1478</v>
      </c>
      <c r="AA59" s="1661"/>
      <c r="AB59" s="1453" t="s">
        <v>22</v>
      </c>
      <c r="AC59" s="1661"/>
      <c r="AD59" s="1662">
        <v>6.5299999999999997E-2</v>
      </c>
      <c r="AE59" s="1661"/>
      <c r="AF59" s="1664">
        <f t="shared" si="9"/>
        <v>1082.5070558483999</v>
      </c>
      <c r="AG59" s="1010"/>
      <c r="AH59" s="1316">
        <v>190</v>
      </c>
      <c r="AI59" s="1316"/>
    </row>
    <row r="60" spans="2:35">
      <c r="B60" s="1316">
        <v>49</v>
      </c>
      <c r="C60" s="1444" t="s">
        <v>1688</v>
      </c>
      <c r="D60" s="1444" t="s">
        <v>1689</v>
      </c>
      <c r="E60" s="1444" t="s">
        <v>1464</v>
      </c>
      <c r="F60" s="1663">
        <v>881501.32</v>
      </c>
      <c r="G60" s="1664">
        <f t="shared" si="0"/>
        <v>308525.46199999994</v>
      </c>
      <c r="H60" s="1663">
        <v>79335.118799999997</v>
      </c>
      <c r="I60" s="1664">
        <f t="shared" si="1"/>
        <v>-27767.291579999997</v>
      </c>
      <c r="J60" s="1664">
        <f t="shared" si="2"/>
        <v>360093.28921999992</v>
      </c>
      <c r="K60" s="1665"/>
      <c r="L60" s="1663">
        <f t="shared" si="3"/>
        <v>881501.32</v>
      </c>
      <c r="M60" s="1664">
        <f t="shared" si="4"/>
        <v>185115.27719999998</v>
      </c>
      <c r="N60" s="1663">
        <v>79335.118799999997</v>
      </c>
      <c r="O60" s="1664">
        <f t="shared" si="5"/>
        <v>-16660.374947999997</v>
      </c>
      <c r="P60" s="1664">
        <f t="shared" si="6"/>
        <v>247790.02105199994</v>
      </c>
      <c r="Q60" s="1664"/>
      <c r="R60" s="1664">
        <f t="shared" si="7"/>
        <v>112303.26816799998</v>
      </c>
      <c r="S60" s="1665"/>
      <c r="T60" s="1663">
        <v>104969.86475662961</v>
      </c>
      <c r="U60" s="1665"/>
      <c r="V60" s="1663">
        <v>0</v>
      </c>
      <c r="W60" s="1665"/>
      <c r="X60" s="1664">
        <f t="shared" si="8"/>
        <v>7333.4034113703674</v>
      </c>
      <c r="Y60" s="1660"/>
      <c r="Z60" s="1453" t="s">
        <v>260</v>
      </c>
      <c r="AA60" s="1661"/>
      <c r="AB60" s="1453" t="s">
        <v>22</v>
      </c>
      <c r="AC60" s="1661"/>
      <c r="AD60" s="1662">
        <v>0</v>
      </c>
      <c r="AE60" s="1661"/>
      <c r="AF60" s="1664">
        <f t="shared" si="9"/>
        <v>0</v>
      </c>
      <c r="AG60" s="1010"/>
      <c r="AH60" s="1316">
        <v>190</v>
      </c>
      <c r="AI60" s="1316"/>
    </row>
    <row r="61" spans="2:35">
      <c r="B61" s="1316">
        <v>50</v>
      </c>
      <c r="C61" s="1444" t="s">
        <v>1690</v>
      </c>
      <c r="D61" s="1444" t="s">
        <v>1689</v>
      </c>
      <c r="E61" s="1444" t="s">
        <v>1464</v>
      </c>
      <c r="F61" s="1663">
        <v>-881501.32</v>
      </c>
      <c r="G61" s="1664">
        <f t="shared" si="0"/>
        <v>-308525.46199999994</v>
      </c>
      <c r="H61" s="1663">
        <v>-79335.118799999997</v>
      </c>
      <c r="I61" s="1664">
        <f t="shared" si="1"/>
        <v>27767.291579999997</v>
      </c>
      <c r="J61" s="1664">
        <f t="shared" si="2"/>
        <v>-360093.28921999992</v>
      </c>
      <c r="K61" s="1665"/>
      <c r="L61" s="1663">
        <f t="shared" si="3"/>
        <v>-881501.32</v>
      </c>
      <c r="M61" s="1664">
        <f t="shared" si="4"/>
        <v>-185115.27719999998</v>
      </c>
      <c r="N61" s="1663">
        <v>-79335.118799999997</v>
      </c>
      <c r="O61" s="1664">
        <f t="shared" si="5"/>
        <v>16660.374947999997</v>
      </c>
      <c r="P61" s="1664">
        <f t="shared" si="6"/>
        <v>-247790.02105199994</v>
      </c>
      <c r="Q61" s="1664"/>
      <c r="R61" s="1664">
        <f t="shared" si="7"/>
        <v>-112303.26816799998</v>
      </c>
      <c r="S61" s="1665"/>
      <c r="T61" s="1663">
        <v>-104969.86475662961</v>
      </c>
      <c r="U61" s="1665"/>
      <c r="V61" s="1663">
        <v>0</v>
      </c>
      <c r="W61" s="1665"/>
      <c r="X61" s="1664">
        <f t="shared" si="8"/>
        <v>-7333.4034113703674</v>
      </c>
      <c r="Y61" s="1660"/>
      <c r="Z61" s="1453" t="s">
        <v>260</v>
      </c>
      <c r="AA61" s="1661"/>
      <c r="AB61" s="1453" t="s">
        <v>22</v>
      </c>
      <c r="AC61" s="1661"/>
      <c r="AD61" s="1662">
        <v>0</v>
      </c>
      <c r="AE61" s="1661"/>
      <c r="AF61" s="1664">
        <f t="shared" si="9"/>
        <v>0</v>
      </c>
      <c r="AG61" s="1010"/>
      <c r="AH61" s="1316">
        <v>190</v>
      </c>
      <c r="AI61" s="1316"/>
    </row>
    <row r="62" spans="2:35">
      <c r="B62" s="1316">
        <v>51</v>
      </c>
      <c r="C62" s="1444" t="s">
        <v>1470</v>
      </c>
      <c r="D62" s="1444" t="s">
        <v>1689</v>
      </c>
      <c r="E62" s="1444" t="s">
        <v>1464</v>
      </c>
      <c r="F62" s="1663">
        <v>881501.32</v>
      </c>
      <c r="G62" s="1664">
        <f t="shared" si="0"/>
        <v>308525.46199999994</v>
      </c>
      <c r="H62" s="1663">
        <v>79335.118799999997</v>
      </c>
      <c r="I62" s="1664">
        <f t="shared" si="1"/>
        <v>-27767.291579999997</v>
      </c>
      <c r="J62" s="1664">
        <f t="shared" si="2"/>
        <v>360093.28921999992</v>
      </c>
      <c r="K62" s="1665"/>
      <c r="L62" s="1663">
        <f t="shared" si="3"/>
        <v>881501.32</v>
      </c>
      <c r="M62" s="1664">
        <f t="shared" si="4"/>
        <v>185115.27719999998</v>
      </c>
      <c r="N62" s="1663">
        <v>79335.118799999997</v>
      </c>
      <c r="O62" s="1664">
        <f t="shared" si="5"/>
        <v>-16660.374947999997</v>
      </c>
      <c r="P62" s="1664">
        <f t="shared" si="6"/>
        <v>247790.02105199994</v>
      </c>
      <c r="Q62" s="1664"/>
      <c r="R62" s="1664">
        <f t="shared" si="7"/>
        <v>112303.26816799998</v>
      </c>
      <c r="S62" s="1665"/>
      <c r="T62" s="1663">
        <v>0</v>
      </c>
      <c r="U62" s="1665"/>
      <c r="V62" s="1663">
        <v>0</v>
      </c>
      <c r="W62" s="1665"/>
      <c r="X62" s="1664">
        <f t="shared" si="8"/>
        <v>112303.26816799998</v>
      </c>
      <c r="Y62" s="1660"/>
      <c r="Z62" s="1453" t="s">
        <v>260</v>
      </c>
      <c r="AA62" s="1661"/>
      <c r="AB62" s="1453" t="s">
        <v>22</v>
      </c>
      <c r="AC62" s="1661"/>
      <c r="AD62" s="1662">
        <v>6.5299999999999997E-2</v>
      </c>
      <c r="AE62" s="1661"/>
      <c r="AF62" s="1664">
        <f t="shared" si="9"/>
        <v>7333.4034113703983</v>
      </c>
      <c r="AG62" s="1010"/>
      <c r="AH62" s="1316">
        <v>190</v>
      </c>
      <c r="AI62" s="1316"/>
    </row>
    <row r="63" spans="2:35">
      <c r="B63" s="1316">
        <v>52</v>
      </c>
      <c r="C63" s="1444" t="s">
        <v>1691</v>
      </c>
      <c r="D63" s="1444" t="s">
        <v>1692</v>
      </c>
      <c r="E63" s="1444" t="s">
        <v>1464</v>
      </c>
      <c r="F63" s="1663">
        <v>3889954.1</v>
      </c>
      <c r="G63" s="1664">
        <f t="shared" si="0"/>
        <v>1361483.9350000001</v>
      </c>
      <c r="H63" s="1663">
        <v>350095.86900000001</v>
      </c>
      <c r="I63" s="1664">
        <f t="shared" si="1"/>
        <v>-122533.55415</v>
      </c>
      <c r="J63" s="1664">
        <f t="shared" si="2"/>
        <v>1589046.24985</v>
      </c>
      <c r="K63" s="1665"/>
      <c r="L63" s="1663">
        <f t="shared" si="3"/>
        <v>3889954.1</v>
      </c>
      <c r="M63" s="1664">
        <f t="shared" si="4"/>
        <v>816890.36100000003</v>
      </c>
      <c r="N63" s="1663">
        <v>350095.86900000001</v>
      </c>
      <c r="O63" s="1664">
        <f t="shared" si="5"/>
        <v>-73520.132490000004</v>
      </c>
      <c r="P63" s="1664">
        <f t="shared" si="6"/>
        <v>1093466.09751</v>
      </c>
      <c r="Q63" s="1664"/>
      <c r="R63" s="1664">
        <f t="shared" si="7"/>
        <v>495580.15234000003</v>
      </c>
      <c r="S63" s="1665"/>
      <c r="T63" s="1663">
        <v>0</v>
      </c>
      <c r="U63" s="1665"/>
      <c r="V63" s="1663">
        <v>0</v>
      </c>
      <c r="W63" s="1665"/>
      <c r="X63" s="1664">
        <f t="shared" si="8"/>
        <v>495580.15234000003</v>
      </c>
      <c r="Y63" s="1660"/>
      <c r="Z63" s="1453" t="s">
        <v>1478</v>
      </c>
      <c r="AA63" s="1661"/>
      <c r="AB63" s="1453" t="s">
        <v>22</v>
      </c>
      <c r="AC63" s="1661"/>
      <c r="AD63" s="1662">
        <v>0</v>
      </c>
      <c r="AE63" s="1661"/>
      <c r="AF63" s="1664">
        <f t="shared" si="9"/>
        <v>0</v>
      </c>
      <c r="AG63" s="1010"/>
      <c r="AH63" s="1316">
        <v>190</v>
      </c>
      <c r="AI63" s="1316"/>
    </row>
    <row r="64" spans="2:35">
      <c r="B64" s="1316">
        <v>53</v>
      </c>
      <c r="C64" s="1444" t="s">
        <v>1693</v>
      </c>
      <c r="D64" s="1444" t="s">
        <v>1692</v>
      </c>
      <c r="E64" s="1444" t="s">
        <v>1464</v>
      </c>
      <c r="F64" s="1663">
        <v>444545.66</v>
      </c>
      <c r="G64" s="1664">
        <f t="shared" si="0"/>
        <v>155590.98099999997</v>
      </c>
      <c r="H64" s="1663">
        <v>40009.109399999994</v>
      </c>
      <c r="I64" s="1664">
        <f t="shared" si="1"/>
        <v>-14003.188289999996</v>
      </c>
      <c r="J64" s="1664">
        <f t="shared" si="2"/>
        <v>181596.90210999997</v>
      </c>
      <c r="K64" s="1665"/>
      <c r="L64" s="1663">
        <f t="shared" si="3"/>
        <v>444545.66</v>
      </c>
      <c r="M64" s="1664">
        <f t="shared" si="4"/>
        <v>93354.588599999988</v>
      </c>
      <c r="N64" s="1663">
        <v>40009.109399999994</v>
      </c>
      <c r="O64" s="1664">
        <f t="shared" si="5"/>
        <v>-8401.9129739999989</v>
      </c>
      <c r="P64" s="1664">
        <f t="shared" si="6"/>
        <v>124961.78502599997</v>
      </c>
      <c r="Q64" s="1664"/>
      <c r="R64" s="1664">
        <f t="shared" si="7"/>
        <v>56635.117083999998</v>
      </c>
      <c r="S64" s="1665"/>
      <c r="T64" s="1663">
        <v>0</v>
      </c>
      <c r="U64" s="1665"/>
      <c r="V64" s="1663">
        <v>0</v>
      </c>
      <c r="W64" s="1665"/>
      <c r="X64" s="1664">
        <f t="shared" si="8"/>
        <v>56635.117083999998</v>
      </c>
      <c r="Y64" s="1660"/>
      <c r="Z64" s="1453" t="s">
        <v>1478</v>
      </c>
      <c r="AA64" s="1661"/>
      <c r="AB64" s="1453" t="s">
        <v>22</v>
      </c>
      <c r="AC64" s="1661"/>
      <c r="AD64" s="1662">
        <v>0</v>
      </c>
      <c r="AE64" s="1661"/>
      <c r="AF64" s="1664">
        <f t="shared" si="9"/>
        <v>0</v>
      </c>
      <c r="AG64" s="1010"/>
      <c r="AH64" s="1316">
        <v>190</v>
      </c>
      <c r="AI64" s="1316"/>
    </row>
    <row r="65" spans="2:35">
      <c r="B65" s="1316">
        <v>54</v>
      </c>
      <c r="C65" s="1444" t="s">
        <v>1694</v>
      </c>
      <c r="D65" s="1444" t="s">
        <v>1695</v>
      </c>
      <c r="E65" s="1444" t="s">
        <v>1464</v>
      </c>
      <c r="F65" s="1663">
        <v>2791067</v>
      </c>
      <c r="G65" s="1664">
        <f t="shared" si="0"/>
        <v>976873.45</v>
      </c>
      <c r="H65" s="1663">
        <v>251196.03</v>
      </c>
      <c r="I65" s="1664">
        <f t="shared" si="1"/>
        <v>-87918.610499999995</v>
      </c>
      <c r="J65" s="1664">
        <f t="shared" si="2"/>
        <v>1140150.8695</v>
      </c>
      <c r="K65" s="1665"/>
      <c r="L65" s="1663">
        <f t="shared" si="3"/>
        <v>2791067</v>
      </c>
      <c r="M65" s="1664">
        <f t="shared" si="4"/>
        <v>586124.06999999995</v>
      </c>
      <c r="N65" s="1663">
        <v>251196.03</v>
      </c>
      <c r="O65" s="1664">
        <f t="shared" si="5"/>
        <v>-52751.166299999997</v>
      </c>
      <c r="P65" s="1664">
        <f t="shared" si="6"/>
        <v>784568.93369999994</v>
      </c>
      <c r="Q65" s="1664"/>
      <c r="R65" s="1664">
        <f t="shared" si="7"/>
        <v>355581.93580000009</v>
      </c>
      <c r="S65" s="1665"/>
      <c r="T65" s="1663">
        <v>0</v>
      </c>
      <c r="U65" s="1665"/>
      <c r="V65" s="1663">
        <v>0</v>
      </c>
      <c r="W65" s="1665"/>
      <c r="X65" s="1664">
        <f t="shared" si="8"/>
        <v>355581.93580000009</v>
      </c>
      <c r="Y65" s="1660"/>
      <c r="Z65" s="1453" t="s">
        <v>1478</v>
      </c>
      <c r="AA65" s="1661"/>
      <c r="AB65" s="1453" t="s">
        <v>22</v>
      </c>
      <c r="AC65" s="1661"/>
      <c r="AD65" s="1662">
        <v>0</v>
      </c>
      <c r="AE65" s="1661"/>
      <c r="AF65" s="1664">
        <f t="shared" si="9"/>
        <v>0</v>
      </c>
      <c r="AG65" s="1010"/>
      <c r="AH65" s="1316">
        <v>190</v>
      </c>
      <c r="AI65" s="1316"/>
    </row>
    <row r="66" spans="2:35">
      <c r="B66" s="1316">
        <v>55</v>
      </c>
      <c r="C66" s="1444" t="s">
        <v>1481</v>
      </c>
      <c r="D66" s="1444" t="s">
        <v>1481</v>
      </c>
      <c r="E66" s="1444" t="s">
        <v>1405</v>
      </c>
      <c r="F66" s="1663">
        <v>73232517.023589402</v>
      </c>
      <c r="G66" s="1664">
        <f t="shared" si="0"/>
        <v>25631380.958256289</v>
      </c>
      <c r="H66" s="1663">
        <v>0</v>
      </c>
      <c r="I66" s="1664">
        <f t="shared" si="1"/>
        <v>0</v>
      </c>
      <c r="J66" s="1664">
        <f t="shared" si="2"/>
        <v>25631380.958256289</v>
      </c>
      <c r="K66" s="1665"/>
      <c r="L66" s="1663">
        <f t="shared" si="3"/>
        <v>73232517.023589402</v>
      </c>
      <c r="M66" s="1664">
        <f t="shared" si="4"/>
        <v>15378828.574953774</v>
      </c>
      <c r="N66" s="1663">
        <v>0</v>
      </c>
      <c r="O66" s="1664">
        <f t="shared" si="5"/>
        <v>0</v>
      </c>
      <c r="P66" s="1664">
        <f t="shared" si="6"/>
        <v>15378828.574953774</v>
      </c>
      <c r="Q66" s="1664"/>
      <c r="R66" s="1664">
        <f t="shared" si="7"/>
        <v>10252552.383302515</v>
      </c>
      <c r="S66" s="1665"/>
      <c r="T66" s="1663">
        <v>0</v>
      </c>
      <c r="U66" s="1665"/>
      <c r="V66" s="1663">
        <v>0</v>
      </c>
      <c r="W66" s="1665"/>
      <c r="X66" s="1664">
        <f t="shared" si="8"/>
        <v>10252552.383302515</v>
      </c>
      <c r="Y66" s="1660"/>
      <c r="Z66" s="1453" t="s">
        <v>1478</v>
      </c>
      <c r="AA66" s="1661"/>
      <c r="AB66" s="1453" t="s">
        <v>22</v>
      </c>
      <c r="AC66" s="1661"/>
      <c r="AD66" s="1662">
        <v>0.33300000000000002</v>
      </c>
      <c r="AE66" s="1661"/>
      <c r="AF66" s="1664">
        <f t="shared" si="9"/>
        <v>3414099.943639738</v>
      </c>
      <c r="AG66" s="1010"/>
      <c r="AH66" s="1316">
        <v>190</v>
      </c>
      <c r="AI66" s="1316"/>
    </row>
    <row r="67" spans="2:35">
      <c r="B67" s="1316">
        <v>56</v>
      </c>
      <c r="C67" s="1444" t="s">
        <v>1696</v>
      </c>
      <c r="D67" s="1444" t="s">
        <v>1480</v>
      </c>
      <c r="E67" s="1444" t="s">
        <v>1464</v>
      </c>
      <c r="F67" s="1663">
        <v>0</v>
      </c>
      <c r="G67" s="1664">
        <f t="shared" si="0"/>
        <v>0</v>
      </c>
      <c r="H67" s="1663">
        <v>28158806.712484095</v>
      </c>
      <c r="I67" s="1664">
        <f t="shared" si="1"/>
        <v>-9855582.3493694328</v>
      </c>
      <c r="J67" s="1664">
        <f t="shared" si="2"/>
        <v>18303224.363114662</v>
      </c>
      <c r="K67" s="1665"/>
      <c r="L67" s="1663">
        <f t="shared" si="3"/>
        <v>0</v>
      </c>
      <c r="M67" s="1664">
        <f t="shared" si="4"/>
        <v>0</v>
      </c>
      <c r="N67" s="1663">
        <v>28158806.712484095</v>
      </c>
      <c r="O67" s="1664">
        <f t="shared" si="5"/>
        <v>-5913349.4096216597</v>
      </c>
      <c r="P67" s="1664">
        <f t="shared" si="6"/>
        <v>22245457.302862436</v>
      </c>
      <c r="Q67" s="1664"/>
      <c r="R67" s="1664">
        <f t="shared" si="7"/>
        <v>-3942232.9397477731</v>
      </c>
      <c r="S67" s="1665"/>
      <c r="T67" s="1663">
        <v>0</v>
      </c>
      <c r="U67" s="1665"/>
      <c r="V67" s="1663">
        <v>0</v>
      </c>
      <c r="W67" s="1665"/>
      <c r="X67" s="1664">
        <f t="shared" si="8"/>
        <v>-3942232.9397477731</v>
      </c>
      <c r="Y67" s="1660"/>
      <c r="Z67" s="1453" t="s">
        <v>1478</v>
      </c>
      <c r="AA67" s="1661"/>
      <c r="AB67" s="1453" t="s">
        <v>22</v>
      </c>
      <c r="AC67" s="1661"/>
      <c r="AD67" s="1662">
        <v>0.33300000000000002</v>
      </c>
      <c r="AE67" s="1661"/>
      <c r="AF67" s="1664">
        <f t="shared" si="9"/>
        <v>-1312763.5689360085</v>
      </c>
      <c r="AG67" s="1010"/>
      <c r="AH67" s="1316">
        <v>190</v>
      </c>
      <c r="AI67" s="1316"/>
    </row>
    <row r="68" spans="2:35">
      <c r="B68" s="1316">
        <v>57</v>
      </c>
      <c r="C68" s="1444" t="s">
        <v>1485</v>
      </c>
      <c r="D68" s="1444" t="s">
        <v>1482</v>
      </c>
      <c r="E68" s="1444" t="s">
        <v>1483</v>
      </c>
      <c r="F68" s="1663">
        <v>2553399</v>
      </c>
      <c r="G68" s="1664">
        <f t="shared" si="0"/>
        <v>893689.64999999991</v>
      </c>
      <c r="H68" s="1663">
        <v>229805.91</v>
      </c>
      <c r="I68" s="1664">
        <f t="shared" si="1"/>
        <v>-80432.068499999994</v>
      </c>
      <c r="J68" s="1664">
        <f t="shared" si="2"/>
        <v>1043063.4914999998</v>
      </c>
      <c r="K68" s="1665"/>
      <c r="L68" s="1663">
        <f t="shared" si="3"/>
        <v>2553399</v>
      </c>
      <c r="M68" s="1664">
        <f t="shared" si="4"/>
        <v>536213.79</v>
      </c>
      <c r="N68" s="1663">
        <v>229805.91</v>
      </c>
      <c r="O68" s="1664">
        <f t="shared" si="5"/>
        <v>-48259.241099999999</v>
      </c>
      <c r="P68" s="1664">
        <f t="shared" si="6"/>
        <v>717760.45890000009</v>
      </c>
      <c r="Q68" s="1664"/>
      <c r="R68" s="1664">
        <f t="shared" si="7"/>
        <v>325303.03259999969</v>
      </c>
      <c r="S68" s="1665"/>
      <c r="T68" s="1663">
        <v>0</v>
      </c>
      <c r="U68" s="1665"/>
      <c r="V68" s="1663">
        <f>R68</f>
        <v>325303.03259999969</v>
      </c>
      <c r="W68" s="1665"/>
      <c r="X68" s="1664">
        <f t="shared" si="8"/>
        <v>0</v>
      </c>
      <c r="Y68" s="1660"/>
      <c r="Z68" s="1453" t="s">
        <v>1483</v>
      </c>
      <c r="AA68" s="1661"/>
      <c r="AB68" s="1453" t="s">
        <v>23</v>
      </c>
      <c r="AC68" s="1661"/>
      <c r="AD68" s="1662">
        <v>0</v>
      </c>
      <c r="AE68" s="1661"/>
      <c r="AF68" s="1664">
        <f t="shared" si="9"/>
        <v>0</v>
      </c>
      <c r="AG68" s="1010"/>
      <c r="AH68" s="1316">
        <v>190</v>
      </c>
      <c r="AI68" s="1316"/>
    </row>
    <row r="69" spans="2:35">
      <c r="B69" s="1316">
        <v>58</v>
      </c>
      <c r="C69" s="1444" t="s">
        <v>1484</v>
      </c>
      <c r="D69" s="1444" t="s">
        <v>1482</v>
      </c>
      <c r="E69" s="1444" t="s">
        <v>1483</v>
      </c>
      <c r="F69" s="1663">
        <v>-48928893.997211538</v>
      </c>
      <c r="G69" s="1664">
        <f t="shared" si="0"/>
        <v>-17125112.899024036</v>
      </c>
      <c r="H69" s="1663">
        <v>-4403600.4597490383</v>
      </c>
      <c r="I69" s="1664">
        <f t="shared" si="1"/>
        <v>1541260.1609121633</v>
      </c>
      <c r="J69" s="1664">
        <f t="shared" si="2"/>
        <v>-19987453.197860911</v>
      </c>
      <c r="K69" s="1665"/>
      <c r="L69" s="1663">
        <f t="shared" si="3"/>
        <v>-48928893.997211538</v>
      </c>
      <c r="M69" s="1664">
        <f t="shared" si="4"/>
        <v>-10275067.739414422</v>
      </c>
      <c r="N69" s="1663">
        <v>-4403600.4597490383</v>
      </c>
      <c r="O69" s="1664">
        <f t="shared" si="5"/>
        <v>924756.09654729802</v>
      </c>
      <c r="P69" s="1664">
        <f t="shared" si="6"/>
        <v>-13753912.102616161</v>
      </c>
      <c r="Q69" s="1664"/>
      <c r="R69" s="1664">
        <f t="shared" si="7"/>
        <v>-6233541.0952447504</v>
      </c>
      <c r="S69" s="1665"/>
      <c r="T69" s="1663">
        <v>0</v>
      </c>
      <c r="U69" s="1665"/>
      <c r="V69" s="1663">
        <f>R69</f>
        <v>-6233541.0952447504</v>
      </c>
      <c r="W69" s="1665"/>
      <c r="X69" s="1664">
        <f t="shared" si="8"/>
        <v>0</v>
      </c>
      <c r="Y69" s="1660"/>
      <c r="Z69" s="1453" t="s">
        <v>1483</v>
      </c>
      <c r="AA69" s="1661"/>
      <c r="AB69" s="1453" t="s">
        <v>23</v>
      </c>
      <c r="AC69" s="1661"/>
      <c r="AD69" s="1662">
        <v>0</v>
      </c>
      <c r="AE69" s="1661"/>
      <c r="AF69" s="1664">
        <f t="shared" si="9"/>
        <v>0</v>
      </c>
      <c r="AG69" s="1010"/>
      <c r="AH69" s="1316">
        <v>190</v>
      </c>
      <c r="AI69" s="1316"/>
    </row>
    <row r="70" spans="2:35">
      <c r="B70" s="1316">
        <v>59</v>
      </c>
      <c r="C70" s="1444" t="s">
        <v>1485</v>
      </c>
      <c r="D70" s="1444" t="s">
        <v>1697</v>
      </c>
      <c r="E70" s="1444" t="s">
        <v>1483</v>
      </c>
      <c r="F70" s="1663">
        <v>0</v>
      </c>
      <c r="G70" s="1664">
        <f t="shared" si="0"/>
        <v>0</v>
      </c>
      <c r="H70" s="1663">
        <v>0</v>
      </c>
      <c r="I70" s="1664">
        <f t="shared" si="1"/>
        <v>0</v>
      </c>
      <c r="J70" s="1664">
        <f t="shared" si="2"/>
        <v>0</v>
      </c>
      <c r="K70" s="1665"/>
      <c r="L70" s="1663">
        <v>458773845.7547785</v>
      </c>
      <c r="M70" s="1664">
        <f t="shared" si="4"/>
        <v>96342507.608503476</v>
      </c>
      <c r="N70" s="1663">
        <v>41289646.117930062</v>
      </c>
      <c r="O70" s="1664">
        <f t="shared" si="5"/>
        <v>-8670825.6847653128</v>
      </c>
      <c r="P70" s="1664">
        <f t="shared" si="6"/>
        <v>128961328.04166824</v>
      </c>
      <c r="Q70" s="1664"/>
      <c r="R70" s="1664">
        <f t="shared" si="7"/>
        <v>-128961328.04166824</v>
      </c>
      <c r="S70" s="1665"/>
      <c r="T70" s="1663">
        <v>0</v>
      </c>
      <c r="U70" s="1665"/>
      <c r="V70" s="1663">
        <f>R70</f>
        <v>-128961328.04166824</v>
      </c>
      <c r="W70" s="1665"/>
      <c r="X70" s="1664">
        <f t="shared" si="8"/>
        <v>0</v>
      </c>
      <c r="Y70" s="1660"/>
      <c r="Z70" s="1453" t="s">
        <v>1483</v>
      </c>
      <c r="AA70" s="1661"/>
      <c r="AB70" s="1453" t="s">
        <v>23</v>
      </c>
      <c r="AC70" s="1661"/>
      <c r="AD70" s="1662">
        <v>0</v>
      </c>
      <c r="AE70" s="1661"/>
      <c r="AF70" s="1664">
        <f t="shared" si="9"/>
        <v>0</v>
      </c>
      <c r="AG70" s="1010"/>
      <c r="AH70" s="1316">
        <v>190</v>
      </c>
      <c r="AI70" s="1316"/>
    </row>
    <row r="71" spans="2:35" ht="13">
      <c r="B71" s="1316">
        <v>60</v>
      </c>
      <c r="C71" s="1666" t="s">
        <v>1486</v>
      </c>
      <c r="D71" s="1453"/>
      <c r="E71" s="1453"/>
      <c r="F71" s="1667">
        <f>SUM(F12:F70)</f>
        <v>117324235.69064683</v>
      </c>
      <c r="G71" s="1667">
        <f>SUM(G12:G70)</f>
        <v>41063482.491726398</v>
      </c>
      <c r="H71" s="1667">
        <f>SUM(H12:H70)</f>
        <v>32702287.574319262</v>
      </c>
      <c r="I71" s="1667">
        <f>SUM(I12:I70)</f>
        <v>-11445800.651011741</v>
      </c>
      <c r="J71" s="1667">
        <f>SUM(J12:J70)</f>
        <v>62319969.415033937</v>
      </c>
      <c r="K71" s="1668"/>
      <c r="L71" s="1667">
        <f>SUM(L12:L70)</f>
        <v>576098081.44542527</v>
      </c>
      <c r="M71" s="1667">
        <f>SUM(M12:M70)</f>
        <v>120980597.10353932</v>
      </c>
      <c r="N71" s="1667">
        <f>SUM(N12:N70)</f>
        <v>73991933.692249328</v>
      </c>
      <c r="O71" s="1667">
        <f>SUM(O12:O70)</f>
        <v>-15538306.075372359</v>
      </c>
      <c r="P71" s="1667">
        <f>SUM(P12:P70)</f>
        <v>179434224.72041631</v>
      </c>
      <c r="R71" s="1667">
        <f>SUM(R12:R70)</f>
        <v>-117114255.30538237</v>
      </c>
      <c r="S71" s="1668"/>
      <c r="T71" s="1667">
        <f>SUM(T12:T70)</f>
        <v>1518142.9574500003</v>
      </c>
      <c r="U71" s="1668"/>
      <c r="V71" s="1667">
        <f>SUM(V12:V70)</f>
        <v>-134869566.10431299</v>
      </c>
      <c r="W71" s="1668"/>
      <c r="X71" s="1667">
        <f>SUM(X12:X70)</f>
        <v>16237167.841480613</v>
      </c>
      <c r="Y71" s="1668"/>
      <c r="Z71" s="1453"/>
      <c r="AA71" s="1669"/>
      <c r="AB71" s="1453"/>
      <c r="AC71" s="1669"/>
      <c r="AD71" s="1670"/>
      <c r="AE71" s="1669"/>
      <c r="AF71" s="1667">
        <f>SUM(AF12:AF70)</f>
        <v>2739288.2207816108</v>
      </c>
      <c r="AG71" s="1669"/>
      <c r="AH71" s="1316"/>
      <c r="AI71" s="1316"/>
    </row>
    <row r="72" spans="2:35" ht="13">
      <c r="B72" s="1453"/>
      <c r="C72" s="1453"/>
      <c r="D72" s="1453"/>
      <c r="E72" s="1453"/>
      <c r="F72" s="1671"/>
      <c r="G72" s="1671"/>
      <c r="H72" s="1671"/>
      <c r="I72" s="1671"/>
      <c r="J72" s="1671"/>
      <c r="K72" s="1668"/>
      <c r="L72" s="1671"/>
      <c r="M72" s="1671"/>
      <c r="N72" s="1671"/>
      <c r="O72" s="1671"/>
      <c r="P72" s="1671"/>
      <c r="R72" s="1671"/>
      <c r="S72" s="1668"/>
      <c r="T72" s="1671"/>
      <c r="U72" s="1668"/>
      <c r="V72" s="1671"/>
      <c r="W72" s="1668"/>
      <c r="X72" s="1671"/>
      <c r="Y72" s="1668"/>
      <c r="Z72" s="1453"/>
      <c r="AA72" s="1669"/>
      <c r="AB72" s="1453"/>
      <c r="AC72" s="1669"/>
      <c r="AD72" s="1670"/>
      <c r="AE72" s="1669"/>
      <c r="AF72" s="1671"/>
      <c r="AG72" s="1669"/>
      <c r="AH72" s="1316"/>
      <c r="AI72" s="1316"/>
    </row>
    <row r="73" spans="2:35" ht="13">
      <c r="B73" s="1453"/>
      <c r="C73" s="1453"/>
      <c r="D73" s="1453"/>
      <c r="E73" s="1453"/>
      <c r="F73" s="1671"/>
      <c r="G73" s="1671"/>
      <c r="H73" s="1671"/>
      <c r="I73" s="1671"/>
      <c r="J73" s="1671"/>
      <c r="K73" s="1668"/>
      <c r="L73" s="1671"/>
      <c r="M73" s="1671"/>
      <c r="N73" s="1671"/>
      <c r="O73" s="1671"/>
      <c r="P73" s="1671"/>
      <c r="R73" s="1671"/>
      <c r="S73" s="1668"/>
      <c r="T73" s="1671"/>
      <c r="U73" s="1668"/>
      <c r="V73" s="1671"/>
      <c r="W73" s="1668"/>
      <c r="X73" s="1671"/>
      <c r="Y73" s="1668"/>
      <c r="Z73" s="1453"/>
      <c r="AA73" s="1669"/>
      <c r="AB73" s="1453"/>
      <c r="AC73" s="1669"/>
      <c r="AD73" s="1670"/>
      <c r="AE73" s="1669"/>
      <c r="AF73" s="1671"/>
      <c r="AG73" s="1669"/>
      <c r="AH73" s="1316"/>
      <c r="AI73" s="1316"/>
    </row>
    <row r="74" spans="2:35" ht="13">
      <c r="B74" s="1453"/>
      <c r="C74" s="1657" t="s">
        <v>1698</v>
      </c>
      <c r="D74" s="1453"/>
      <c r="E74" s="1453"/>
      <c r="F74" s="1671"/>
      <c r="G74" s="1671"/>
      <c r="H74" s="1671"/>
      <c r="I74" s="1671"/>
      <c r="J74" s="1671"/>
      <c r="K74" s="1668"/>
      <c r="L74" s="1671"/>
      <c r="M74" s="1671"/>
      <c r="N74" s="1671"/>
      <c r="O74" s="1671"/>
      <c r="P74" s="1671"/>
      <c r="R74" s="1671"/>
      <c r="S74" s="1668"/>
      <c r="T74" s="1671"/>
      <c r="U74" s="1668"/>
      <c r="V74" s="1671"/>
      <c r="W74" s="1668"/>
      <c r="X74" s="1671"/>
      <c r="Y74" s="1668"/>
      <c r="Z74" s="1453"/>
      <c r="AA74" s="1669"/>
      <c r="AB74" s="1453"/>
      <c r="AC74" s="1669"/>
      <c r="AD74" s="1670"/>
      <c r="AE74" s="1669"/>
      <c r="AF74" s="1671"/>
      <c r="AG74" s="1669"/>
      <c r="AH74" s="1316"/>
      <c r="AI74" s="1316"/>
    </row>
    <row r="75" spans="2:35">
      <c r="B75" s="1316">
        <v>61</v>
      </c>
      <c r="C75" s="1444" t="s">
        <v>1699</v>
      </c>
      <c r="D75" s="1444" t="s">
        <v>1487</v>
      </c>
      <c r="E75" s="1444" t="s">
        <v>1405</v>
      </c>
      <c r="F75" s="1658">
        <v>-1102869694.0899999</v>
      </c>
      <c r="G75" s="1659">
        <f t="shared" ref="G75:G85" si="10">F75*0.35</f>
        <v>-386004392.93149996</v>
      </c>
      <c r="H75" s="1658">
        <v>0</v>
      </c>
      <c r="I75" s="1659">
        <f t="shared" ref="I75:I85" si="11">-H75*0.35</f>
        <v>0</v>
      </c>
      <c r="J75" s="1659">
        <f t="shared" ref="J75:J85" si="12">G75+H75+I75</f>
        <v>-386004392.93149996</v>
      </c>
      <c r="K75" s="1660"/>
      <c r="L75" s="1658">
        <f t="shared" ref="L75:L85" si="13">F75</f>
        <v>-1102869694.0899999</v>
      </c>
      <c r="M75" s="1659">
        <f t="shared" ref="M75:M85" si="14">L75*0.21</f>
        <v>-231602635.75889999</v>
      </c>
      <c r="N75" s="1658">
        <v>0</v>
      </c>
      <c r="O75" s="1659">
        <f t="shared" ref="O75:O85" si="15">-N75*0.21</f>
        <v>0</v>
      </c>
      <c r="P75" s="1659">
        <f t="shared" ref="P75:P85" si="16">M75+N75+O75</f>
        <v>-231602635.75889999</v>
      </c>
      <c r="R75" s="1659">
        <f t="shared" ref="R75:R85" si="17">J75-P75</f>
        <v>-154401757.17259997</v>
      </c>
      <c r="S75" s="1660"/>
      <c r="T75" s="1658">
        <v>0</v>
      </c>
      <c r="U75" s="1660"/>
      <c r="V75" s="1658">
        <v>0</v>
      </c>
      <c r="W75" s="1660"/>
      <c r="X75" s="1659">
        <f t="shared" ref="X75:X85" si="18">R75-T75-V75</f>
        <v>-154401757.17259997</v>
      </c>
      <c r="Y75" s="1660"/>
      <c r="Z75" s="1453" t="s">
        <v>1478</v>
      </c>
      <c r="AA75" s="1661"/>
      <c r="AB75" s="1453" t="s">
        <v>22</v>
      </c>
      <c r="AC75" s="1661"/>
      <c r="AD75" s="1662">
        <v>0.33300000000000002</v>
      </c>
      <c r="AE75" s="1661"/>
      <c r="AF75" s="1659">
        <f t="shared" ref="AF75:AF85" si="19">X75*AD75</f>
        <v>-51415785.138475791</v>
      </c>
      <c r="AG75" s="1010"/>
      <c r="AH75" s="1316">
        <v>282</v>
      </c>
      <c r="AI75" s="1316"/>
    </row>
    <row r="76" spans="2:35">
      <c r="B76" s="1316">
        <v>62</v>
      </c>
      <c r="C76" s="1444" t="s">
        <v>1488</v>
      </c>
      <c r="D76" s="1444" t="s">
        <v>1489</v>
      </c>
      <c r="E76" s="1444" t="s">
        <v>1403</v>
      </c>
      <c r="F76" s="1663">
        <v>-1313024378.9947503</v>
      </c>
      <c r="G76" s="1664">
        <f t="shared" si="10"/>
        <v>-459558532.64816254</v>
      </c>
      <c r="H76" s="1663">
        <v>0</v>
      </c>
      <c r="I76" s="1664">
        <f t="shared" si="11"/>
        <v>0</v>
      </c>
      <c r="J76" s="1664">
        <f t="shared" si="12"/>
        <v>-459558532.64816254</v>
      </c>
      <c r="K76" s="1665"/>
      <c r="L76" s="1663">
        <f t="shared" si="13"/>
        <v>-1313024378.9947503</v>
      </c>
      <c r="M76" s="1664">
        <f t="shared" si="14"/>
        <v>-275735119.58889753</v>
      </c>
      <c r="N76" s="1663">
        <v>0</v>
      </c>
      <c r="O76" s="1664">
        <f t="shared" si="15"/>
        <v>0</v>
      </c>
      <c r="P76" s="1664">
        <f t="shared" si="16"/>
        <v>-275735119.58889753</v>
      </c>
      <c r="Q76" s="1664"/>
      <c r="R76" s="1664">
        <f>J76-P76</f>
        <v>-183823413.05926502</v>
      </c>
      <c r="S76" s="1665"/>
      <c r="T76" s="1663">
        <v>0</v>
      </c>
      <c r="U76" s="1665"/>
      <c r="V76" s="1663">
        <v>-10247068.463183939</v>
      </c>
      <c r="W76" s="1665"/>
      <c r="X76" s="1664">
        <f t="shared" si="18"/>
        <v>-173576344.59608108</v>
      </c>
      <c r="Y76" s="1660"/>
      <c r="Z76" s="1453" t="s">
        <v>1478</v>
      </c>
      <c r="AA76" s="1661"/>
      <c r="AB76" s="1453" t="s">
        <v>22</v>
      </c>
      <c r="AC76" s="1661"/>
      <c r="AD76" s="1662">
        <v>0.33300000000000002</v>
      </c>
      <c r="AE76" s="1661"/>
      <c r="AF76" s="1664">
        <f t="shared" si="19"/>
        <v>-57800922.750495002</v>
      </c>
      <c r="AG76" s="1010"/>
      <c r="AH76" s="1316">
        <v>282</v>
      </c>
      <c r="AI76" s="1316"/>
    </row>
    <row r="77" spans="2:35">
      <c r="B77" s="1316">
        <v>63</v>
      </c>
      <c r="C77" s="1444" t="s">
        <v>1490</v>
      </c>
      <c r="D77" s="1444" t="s">
        <v>1489</v>
      </c>
      <c r="E77" s="1444" t="s">
        <v>1403</v>
      </c>
      <c r="F77" s="1663">
        <v>119800702.8</v>
      </c>
      <c r="G77" s="1664">
        <f t="shared" si="10"/>
        <v>41930245.979999997</v>
      </c>
      <c r="H77" s="1663">
        <v>0</v>
      </c>
      <c r="I77" s="1664">
        <f t="shared" si="11"/>
        <v>0</v>
      </c>
      <c r="J77" s="1664">
        <f t="shared" si="12"/>
        <v>41930245.979999997</v>
      </c>
      <c r="K77" s="1665"/>
      <c r="L77" s="1663">
        <f t="shared" si="13"/>
        <v>119800702.8</v>
      </c>
      <c r="M77" s="1664">
        <f t="shared" si="14"/>
        <v>25158147.588</v>
      </c>
      <c r="N77" s="1663">
        <v>0</v>
      </c>
      <c r="O77" s="1664">
        <f t="shared" si="15"/>
        <v>0</v>
      </c>
      <c r="P77" s="1664">
        <f t="shared" si="16"/>
        <v>25158147.588</v>
      </c>
      <c r="Q77" s="1664"/>
      <c r="R77" s="1664">
        <f t="shared" si="17"/>
        <v>16772098.391999997</v>
      </c>
      <c r="S77" s="1665"/>
      <c r="T77" s="1663">
        <v>0</v>
      </c>
      <c r="U77" s="1665"/>
      <c r="V77" s="1663">
        <v>0</v>
      </c>
      <c r="W77" s="1665"/>
      <c r="X77" s="1664">
        <f t="shared" si="18"/>
        <v>16772098.391999997</v>
      </c>
      <c r="Y77" s="1660"/>
      <c r="Z77" s="1453" t="s">
        <v>1700</v>
      </c>
      <c r="AA77" s="1661"/>
      <c r="AB77" s="1453" t="s">
        <v>23</v>
      </c>
      <c r="AC77" s="1661"/>
      <c r="AD77" s="1662">
        <v>0</v>
      </c>
      <c r="AE77" s="1661"/>
      <c r="AF77" s="1664">
        <f t="shared" si="19"/>
        <v>0</v>
      </c>
      <c r="AG77" s="1010"/>
      <c r="AH77" s="1316">
        <v>282</v>
      </c>
      <c r="AI77" s="1316"/>
    </row>
    <row r="78" spans="2:35">
      <c r="B78" s="1316">
        <v>64</v>
      </c>
      <c r="C78" s="1444" t="s">
        <v>1491</v>
      </c>
      <c r="D78" s="1444" t="s">
        <v>1489</v>
      </c>
      <c r="E78" s="1444" t="s">
        <v>1403</v>
      </c>
      <c r="F78" s="1663">
        <v>-74991897.359999999</v>
      </c>
      <c r="G78" s="1664">
        <f t="shared" si="10"/>
        <v>-26247164.075999998</v>
      </c>
      <c r="H78" s="1663">
        <v>0</v>
      </c>
      <c r="I78" s="1664">
        <f t="shared" si="11"/>
        <v>0</v>
      </c>
      <c r="J78" s="1664">
        <f t="shared" si="12"/>
        <v>-26247164.075999998</v>
      </c>
      <c r="K78" s="1665"/>
      <c r="L78" s="1663">
        <f t="shared" si="13"/>
        <v>-74991897.359999999</v>
      </c>
      <c r="M78" s="1664">
        <f t="shared" si="14"/>
        <v>-15748298.445599999</v>
      </c>
      <c r="N78" s="1663">
        <v>0</v>
      </c>
      <c r="O78" s="1664">
        <f t="shared" si="15"/>
        <v>0</v>
      </c>
      <c r="P78" s="1664">
        <f t="shared" si="16"/>
        <v>-15748298.445599999</v>
      </c>
      <c r="Q78" s="1664"/>
      <c r="R78" s="1664">
        <f t="shared" si="17"/>
        <v>-10498865.630399998</v>
      </c>
      <c r="S78" s="1665"/>
      <c r="T78" s="1663">
        <v>0</v>
      </c>
      <c r="U78" s="1665"/>
      <c r="V78" s="1663">
        <v>0</v>
      </c>
      <c r="W78" s="1665"/>
      <c r="X78" s="1664">
        <f t="shared" si="18"/>
        <v>-10498865.630399998</v>
      </c>
      <c r="Y78" s="1660"/>
      <c r="Z78" s="1453" t="s">
        <v>1478</v>
      </c>
      <c r="AA78" s="1661"/>
      <c r="AB78" s="1453" t="s">
        <v>22</v>
      </c>
      <c r="AC78" s="1661"/>
      <c r="AD78" s="1662">
        <v>0.33300000000000002</v>
      </c>
      <c r="AE78" s="1661"/>
      <c r="AF78" s="1664">
        <f t="shared" si="19"/>
        <v>-3496122.2549231998</v>
      </c>
      <c r="AG78" s="1010"/>
      <c r="AH78" s="1316">
        <v>282</v>
      </c>
      <c r="AI78" s="1316"/>
    </row>
    <row r="79" spans="2:35">
      <c r="B79" s="1316">
        <v>65</v>
      </c>
      <c r="C79" s="1444" t="s">
        <v>1701</v>
      </c>
      <c r="D79" s="1444" t="s">
        <v>1489</v>
      </c>
      <c r="E79" s="1444" t="s">
        <v>1403</v>
      </c>
      <c r="F79" s="1663">
        <v>0</v>
      </c>
      <c r="G79" s="1664">
        <f t="shared" si="10"/>
        <v>0</v>
      </c>
      <c r="H79" s="1663">
        <v>-149120469.71079749</v>
      </c>
      <c r="I79" s="1664">
        <f t="shared" si="11"/>
        <v>52192164.398779117</v>
      </c>
      <c r="J79" s="1664">
        <f t="shared" si="12"/>
        <v>-96928305.312018365</v>
      </c>
      <c r="K79" s="1665"/>
      <c r="L79" s="1663">
        <f t="shared" si="13"/>
        <v>0</v>
      </c>
      <c r="M79" s="1664">
        <f t="shared" si="14"/>
        <v>0</v>
      </c>
      <c r="N79" s="1663">
        <v>-149120469.71079749</v>
      </c>
      <c r="O79" s="1664">
        <f t="shared" si="15"/>
        <v>31315298.639267471</v>
      </c>
      <c r="P79" s="1664">
        <f t="shared" si="16"/>
        <v>-117805171.07153001</v>
      </c>
      <c r="Q79" s="1664"/>
      <c r="R79" s="1664">
        <f t="shared" si="17"/>
        <v>20876865.75951165</v>
      </c>
      <c r="S79" s="1665"/>
      <c r="T79" s="1663">
        <v>0</v>
      </c>
      <c r="U79" s="1665"/>
      <c r="V79" s="1663">
        <v>0</v>
      </c>
      <c r="W79" s="1665"/>
      <c r="X79" s="1664">
        <f t="shared" si="18"/>
        <v>20876865.75951165</v>
      </c>
      <c r="Y79" s="1660"/>
      <c r="Z79" s="1453" t="s">
        <v>1478</v>
      </c>
      <c r="AA79" s="1661"/>
      <c r="AB79" s="1453" t="s">
        <v>22</v>
      </c>
      <c r="AC79" s="1661"/>
      <c r="AD79" s="1662">
        <v>0.33300000000000002</v>
      </c>
      <c r="AE79" s="1661"/>
      <c r="AF79" s="1664">
        <f t="shared" si="19"/>
        <v>6951996.29791738</v>
      </c>
      <c r="AG79" s="1010"/>
      <c r="AH79" s="1316">
        <v>282</v>
      </c>
      <c r="AI79" s="1316"/>
    </row>
    <row r="80" spans="2:35">
      <c r="B80" s="1316">
        <v>66</v>
      </c>
      <c r="C80" s="1444" t="s">
        <v>1702</v>
      </c>
      <c r="D80" s="1444" t="s">
        <v>1489</v>
      </c>
      <c r="E80" s="1444" t="s">
        <v>1403</v>
      </c>
      <c r="F80" s="1663">
        <v>0</v>
      </c>
      <c r="G80" s="1664">
        <f t="shared" si="10"/>
        <v>0</v>
      </c>
      <c r="H80" s="1663">
        <v>10782063.251999998</v>
      </c>
      <c r="I80" s="1664">
        <f t="shared" si="11"/>
        <v>-3773722.138199999</v>
      </c>
      <c r="J80" s="1664">
        <f t="shared" si="12"/>
        <v>7008341.1137999995</v>
      </c>
      <c r="K80" s="1665"/>
      <c r="L80" s="1663">
        <f t="shared" si="13"/>
        <v>0</v>
      </c>
      <c r="M80" s="1664">
        <f t="shared" si="14"/>
        <v>0</v>
      </c>
      <c r="N80" s="1663">
        <v>10782063.251999998</v>
      </c>
      <c r="O80" s="1664">
        <f t="shared" si="15"/>
        <v>-2264233.2829199997</v>
      </c>
      <c r="P80" s="1664">
        <f t="shared" si="16"/>
        <v>8517829.9690799993</v>
      </c>
      <c r="Q80" s="1664"/>
      <c r="R80" s="1664">
        <f t="shared" si="17"/>
        <v>-1509488.8552799998</v>
      </c>
      <c r="S80" s="1665"/>
      <c r="T80" s="1663">
        <v>0</v>
      </c>
      <c r="U80" s="1665"/>
      <c r="V80" s="1663">
        <v>0</v>
      </c>
      <c r="W80" s="1665"/>
      <c r="X80" s="1664">
        <f t="shared" si="18"/>
        <v>-1509488.8552799998</v>
      </c>
      <c r="Y80" s="1660"/>
      <c r="Z80" s="1453" t="s">
        <v>1700</v>
      </c>
      <c r="AA80" s="1661"/>
      <c r="AB80" s="1453" t="s">
        <v>23</v>
      </c>
      <c r="AC80" s="1661"/>
      <c r="AD80" s="1662">
        <v>0</v>
      </c>
      <c r="AE80" s="1661"/>
      <c r="AF80" s="1664">
        <f t="shared" si="19"/>
        <v>0</v>
      </c>
      <c r="AG80" s="1010"/>
      <c r="AH80" s="1316">
        <v>282</v>
      </c>
      <c r="AI80" s="1316"/>
    </row>
    <row r="81" spans="2:35">
      <c r="B81" s="1316">
        <v>67</v>
      </c>
      <c r="C81" s="1444" t="s">
        <v>1703</v>
      </c>
      <c r="D81" s="1444" t="s">
        <v>1489</v>
      </c>
      <c r="E81" s="1444" t="s">
        <v>1403</v>
      </c>
      <c r="F81" s="1663">
        <v>0</v>
      </c>
      <c r="G81" s="1664">
        <f t="shared" si="10"/>
        <v>0</v>
      </c>
      <c r="H81" s="1663">
        <v>-1798551.1943999999</v>
      </c>
      <c r="I81" s="1664">
        <f t="shared" si="11"/>
        <v>629492.9180399999</v>
      </c>
      <c r="J81" s="1664">
        <f t="shared" si="12"/>
        <v>-1169058.27636</v>
      </c>
      <c r="K81" s="1665"/>
      <c r="L81" s="1663">
        <f t="shared" si="13"/>
        <v>0</v>
      </c>
      <c r="M81" s="1664">
        <f t="shared" si="14"/>
        <v>0</v>
      </c>
      <c r="N81" s="1663">
        <v>-1798551.1943999999</v>
      </c>
      <c r="O81" s="1664">
        <f t="shared" si="15"/>
        <v>377695.75082399999</v>
      </c>
      <c r="P81" s="1664">
        <f t="shared" si="16"/>
        <v>-1420855.4435759999</v>
      </c>
      <c r="Q81" s="1664"/>
      <c r="R81" s="1664">
        <f t="shared" si="17"/>
        <v>251797.16721599991</v>
      </c>
      <c r="S81" s="1665"/>
      <c r="T81" s="1663">
        <v>0</v>
      </c>
      <c r="U81" s="1665"/>
      <c r="V81" s="1663">
        <v>0</v>
      </c>
      <c r="W81" s="1665"/>
      <c r="X81" s="1664">
        <f t="shared" si="18"/>
        <v>251797.16721599991</v>
      </c>
      <c r="Y81" s="1660"/>
      <c r="Z81" s="1453" t="s">
        <v>1478</v>
      </c>
      <c r="AA81" s="1661"/>
      <c r="AB81" s="1453" t="s">
        <v>22</v>
      </c>
      <c r="AC81" s="1661"/>
      <c r="AD81" s="1662">
        <v>0.33300000000000002</v>
      </c>
      <c r="AE81" s="1661"/>
      <c r="AF81" s="1664">
        <f t="shared" si="19"/>
        <v>83848.456682927979</v>
      </c>
      <c r="AG81" s="1010"/>
      <c r="AH81" s="1316">
        <v>282</v>
      </c>
      <c r="AI81" s="1316"/>
    </row>
    <row r="82" spans="2:35">
      <c r="B82" s="1316">
        <v>68</v>
      </c>
      <c r="C82" s="1444" t="s">
        <v>1493</v>
      </c>
      <c r="D82" s="1444" t="s">
        <v>1492</v>
      </c>
      <c r="E82" s="1444" t="s">
        <v>1403</v>
      </c>
      <c r="F82" s="1663">
        <v>-4165822.4899999984</v>
      </c>
      <c r="G82" s="1664">
        <f t="shared" si="10"/>
        <v>-1458037.8714999994</v>
      </c>
      <c r="H82" s="1663">
        <v>0</v>
      </c>
      <c r="I82" s="1664">
        <f t="shared" si="11"/>
        <v>0</v>
      </c>
      <c r="J82" s="1664">
        <f t="shared" si="12"/>
        <v>-1458037.8714999994</v>
      </c>
      <c r="K82" s="1665"/>
      <c r="L82" s="1663">
        <f t="shared" si="13"/>
        <v>-4165822.4899999984</v>
      </c>
      <c r="M82" s="1664">
        <f t="shared" si="14"/>
        <v>-874822.72289999959</v>
      </c>
      <c r="N82" s="1663">
        <v>0</v>
      </c>
      <c r="O82" s="1664">
        <f t="shared" si="15"/>
        <v>0</v>
      </c>
      <c r="P82" s="1664">
        <f t="shared" si="16"/>
        <v>-874822.72289999959</v>
      </c>
      <c r="Q82" s="1664"/>
      <c r="R82" s="1664">
        <f t="shared" si="17"/>
        <v>-583215.14859999984</v>
      </c>
      <c r="S82" s="1665"/>
      <c r="T82" s="1663">
        <v>0</v>
      </c>
      <c r="U82" s="1665"/>
      <c r="V82" s="1663">
        <v>0</v>
      </c>
      <c r="W82" s="1665"/>
      <c r="X82" s="1664">
        <f t="shared" si="18"/>
        <v>-583215.14859999984</v>
      </c>
      <c r="Y82" s="1660"/>
      <c r="Z82" s="1453" t="s">
        <v>1478</v>
      </c>
      <c r="AA82" s="1661"/>
      <c r="AB82" s="1453" t="s">
        <v>22</v>
      </c>
      <c r="AC82" s="1661"/>
      <c r="AD82" s="1662">
        <v>0.33300000000000002</v>
      </c>
      <c r="AE82" s="1661"/>
      <c r="AF82" s="1664">
        <f t="shared" si="19"/>
        <v>-194210.64448379996</v>
      </c>
      <c r="AG82" s="1010"/>
      <c r="AH82" s="1316">
        <v>282</v>
      </c>
      <c r="AI82" s="1316"/>
    </row>
    <row r="83" spans="2:35">
      <c r="B83" s="1316">
        <v>69</v>
      </c>
      <c r="C83" s="1444" t="s">
        <v>1494</v>
      </c>
      <c r="D83" s="1444" t="s">
        <v>1492</v>
      </c>
      <c r="E83" s="1444" t="s">
        <v>1403</v>
      </c>
      <c r="F83" s="1663">
        <v>13291550.949999999</v>
      </c>
      <c r="G83" s="1664">
        <f t="shared" si="10"/>
        <v>4652042.8324999996</v>
      </c>
      <c r="H83" s="1663">
        <v>0</v>
      </c>
      <c r="I83" s="1664">
        <f t="shared" si="11"/>
        <v>0</v>
      </c>
      <c r="J83" s="1664">
        <f t="shared" si="12"/>
        <v>4652042.8324999996</v>
      </c>
      <c r="K83" s="1665"/>
      <c r="L83" s="1663">
        <f t="shared" si="13"/>
        <v>13291550.949999999</v>
      </c>
      <c r="M83" s="1664">
        <f t="shared" si="14"/>
        <v>2791225.6994999996</v>
      </c>
      <c r="N83" s="1663">
        <v>0</v>
      </c>
      <c r="O83" s="1664">
        <f t="shared" si="15"/>
        <v>0</v>
      </c>
      <c r="P83" s="1664">
        <f t="shared" si="16"/>
        <v>2791225.6994999996</v>
      </c>
      <c r="Q83" s="1664"/>
      <c r="R83" s="1664">
        <f t="shared" si="17"/>
        <v>1860817.1329999999</v>
      </c>
      <c r="S83" s="1665"/>
      <c r="T83" s="1663">
        <v>0</v>
      </c>
      <c r="U83" s="1665"/>
      <c r="V83" s="1663">
        <v>0</v>
      </c>
      <c r="W83" s="1665"/>
      <c r="X83" s="1664">
        <f t="shared" si="18"/>
        <v>1860817.1329999999</v>
      </c>
      <c r="Y83" s="1660"/>
      <c r="Z83" s="1453" t="s">
        <v>1700</v>
      </c>
      <c r="AA83" s="1661"/>
      <c r="AB83" s="1453" t="s">
        <v>23</v>
      </c>
      <c r="AC83" s="1661"/>
      <c r="AD83" s="1662">
        <v>0</v>
      </c>
      <c r="AE83" s="1661"/>
      <c r="AF83" s="1664">
        <f t="shared" si="19"/>
        <v>0</v>
      </c>
      <c r="AG83" s="1010"/>
      <c r="AH83" s="1316">
        <v>282</v>
      </c>
      <c r="AI83" s="1316"/>
    </row>
    <row r="84" spans="2:35">
      <c r="B84" s="1316">
        <v>70</v>
      </c>
      <c r="C84" s="1444" t="s">
        <v>1704</v>
      </c>
      <c r="D84" s="1444" t="s">
        <v>1492</v>
      </c>
      <c r="E84" s="1444" t="s">
        <v>1403</v>
      </c>
      <c r="F84" s="1663">
        <v>0</v>
      </c>
      <c r="G84" s="1664">
        <f t="shared" si="10"/>
        <v>0</v>
      </c>
      <c r="H84" s="1663">
        <v>-374924.02409999986</v>
      </c>
      <c r="I84" s="1664">
        <f t="shared" si="11"/>
        <v>131223.40843499993</v>
      </c>
      <c r="J84" s="1664">
        <f t="shared" si="12"/>
        <v>-243700.61566499993</v>
      </c>
      <c r="K84" s="1665"/>
      <c r="L84" s="1663">
        <f t="shared" si="13"/>
        <v>0</v>
      </c>
      <c r="M84" s="1664">
        <f t="shared" si="14"/>
        <v>0</v>
      </c>
      <c r="N84" s="1663">
        <v>-374924.02409999986</v>
      </c>
      <c r="O84" s="1664">
        <f t="shared" si="15"/>
        <v>78734.045060999968</v>
      </c>
      <c r="P84" s="1664">
        <f t="shared" si="16"/>
        <v>-296189.97903899988</v>
      </c>
      <c r="Q84" s="1664"/>
      <c r="R84" s="1664">
        <f t="shared" si="17"/>
        <v>52489.36337399995</v>
      </c>
      <c r="S84" s="1665"/>
      <c r="T84" s="1663">
        <v>0</v>
      </c>
      <c r="U84" s="1665"/>
      <c r="V84" s="1663">
        <v>0</v>
      </c>
      <c r="W84" s="1665"/>
      <c r="X84" s="1664">
        <f t="shared" si="18"/>
        <v>52489.36337399995</v>
      </c>
      <c r="Y84" s="1660"/>
      <c r="Z84" s="1453" t="s">
        <v>1478</v>
      </c>
      <c r="AA84" s="1661"/>
      <c r="AB84" s="1453" t="s">
        <v>22</v>
      </c>
      <c r="AC84" s="1661"/>
      <c r="AD84" s="1662">
        <v>0.33300000000000002</v>
      </c>
      <c r="AE84" s="1661"/>
      <c r="AF84" s="1664">
        <f t="shared" si="19"/>
        <v>17478.958003541986</v>
      </c>
      <c r="AG84" s="1010"/>
      <c r="AH84" s="1316">
        <v>282</v>
      </c>
      <c r="AI84" s="1316"/>
    </row>
    <row r="85" spans="2:35">
      <c r="B85" s="1316">
        <v>71</v>
      </c>
      <c r="C85" s="1444" t="s">
        <v>1705</v>
      </c>
      <c r="D85" s="1444" t="s">
        <v>1492</v>
      </c>
      <c r="E85" s="1444" t="s">
        <v>1403</v>
      </c>
      <c r="F85" s="1663">
        <v>0</v>
      </c>
      <c r="G85" s="1664">
        <f t="shared" si="10"/>
        <v>0</v>
      </c>
      <c r="H85" s="1663">
        <v>1196239.5854999998</v>
      </c>
      <c r="I85" s="1664">
        <f t="shared" si="11"/>
        <v>-418683.85492499993</v>
      </c>
      <c r="J85" s="1664">
        <f t="shared" si="12"/>
        <v>777555.73057499994</v>
      </c>
      <c r="K85" s="1665"/>
      <c r="L85" s="1663">
        <f t="shared" si="13"/>
        <v>0</v>
      </c>
      <c r="M85" s="1664">
        <f t="shared" si="14"/>
        <v>0</v>
      </c>
      <c r="N85" s="1663">
        <v>1196239.5854999998</v>
      </c>
      <c r="O85" s="1664">
        <f t="shared" si="15"/>
        <v>-251210.31295499994</v>
      </c>
      <c r="P85" s="1664">
        <f t="shared" si="16"/>
        <v>945029.27254499984</v>
      </c>
      <c r="Q85" s="1664"/>
      <c r="R85" s="1664">
        <f t="shared" si="17"/>
        <v>-167473.5419699999</v>
      </c>
      <c r="S85" s="1665"/>
      <c r="T85" s="1663">
        <v>0</v>
      </c>
      <c r="U85" s="1665"/>
      <c r="V85" s="1663">
        <v>0</v>
      </c>
      <c r="W85" s="1665"/>
      <c r="X85" s="1664">
        <f t="shared" si="18"/>
        <v>-167473.5419699999</v>
      </c>
      <c r="Y85" s="1660"/>
      <c r="Z85" s="1453" t="s">
        <v>1700</v>
      </c>
      <c r="AA85" s="1661"/>
      <c r="AB85" s="1453" t="s">
        <v>23</v>
      </c>
      <c r="AC85" s="1661"/>
      <c r="AD85" s="1662">
        <v>0</v>
      </c>
      <c r="AE85" s="1661"/>
      <c r="AF85" s="1664">
        <f t="shared" si="19"/>
        <v>0</v>
      </c>
      <c r="AG85" s="1010"/>
      <c r="AH85" s="1316">
        <v>282</v>
      </c>
      <c r="AI85" s="1316"/>
    </row>
    <row r="86" spans="2:35" ht="13">
      <c r="B86" s="1316">
        <v>72</v>
      </c>
      <c r="C86" s="1666" t="s">
        <v>1495</v>
      </c>
      <c r="D86" s="1453"/>
      <c r="E86" s="1453"/>
      <c r="F86" s="1667">
        <f>SUM(F75:F85)</f>
        <v>-2361959539.1847501</v>
      </c>
      <c r="G86" s="1667">
        <f>SUM(G75:G85)</f>
        <v>-826685838.71466255</v>
      </c>
      <c r="H86" s="1667">
        <f>SUM(H75:H85)</f>
        <v>-139315642.0917975</v>
      </c>
      <c r="I86" s="1667">
        <f>SUM(I75:I85)</f>
        <v>48760474.732129119</v>
      </c>
      <c r="J86" s="1667">
        <f>SUM(J75:J85)</f>
        <v>-917241006.07433093</v>
      </c>
      <c r="K86" s="1668"/>
      <c r="L86" s="1667">
        <f>SUM(L75:L85)</f>
        <v>-2361959539.1847501</v>
      </c>
      <c r="M86" s="1667">
        <f>SUM(M75:M85)</f>
        <v>-496011503.22879744</v>
      </c>
      <c r="N86" s="1667">
        <f>SUM(N75:N85)</f>
        <v>-139315642.0917975</v>
      </c>
      <c r="O86" s="1667">
        <f>SUM(O75:O85)</f>
        <v>29256284.839277472</v>
      </c>
      <c r="P86" s="1667">
        <f>SUM(P75:P85)</f>
        <v>-606070860.48131752</v>
      </c>
      <c r="R86" s="1667">
        <f>SUM(R75:R85)</f>
        <v>-311170145.59301329</v>
      </c>
      <c r="S86" s="1668"/>
      <c r="T86" s="1667">
        <f>SUM(T75:T85)</f>
        <v>0</v>
      </c>
      <c r="U86" s="1668"/>
      <c r="V86" s="1667">
        <f>SUM(V75:V85)</f>
        <v>-10247068.463183939</v>
      </c>
      <c r="W86" s="1668"/>
      <c r="X86" s="1667">
        <f>SUM(X75:X85)</f>
        <v>-300923077.12982935</v>
      </c>
      <c r="Y86" s="1668"/>
      <c r="Z86" s="1453"/>
      <c r="AA86" s="1669"/>
      <c r="AB86" s="1453"/>
      <c r="AC86" s="1669"/>
      <c r="AD86" s="1670"/>
      <c r="AE86" s="1669"/>
      <c r="AF86" s="1667"/>
      <c r="AG86" s="1669"/>
      <c r="AH86" s="1316"/>
      <c r="AI86" s="1316"/>
    </row>
    <row r="87" spans="2:35" ht="13">
      <c r="B87" s="1316"/>
      <c r="C87" s="1453"/>
      <c r="D87" s="1453"/>
      <c r="E87" s="1453"/>
      <c r="F87" s="1671"/>
      <c r="G87" s="1671"/>
      <c r="H87" s="1671"/>
      <c r="I87" s="1671"/>
      <c r="J87" s="1671"/>
      <c r="K87" s="1668"/>
      <c r="L87" s="1671"/>
      <c r="M87" s="1671"/>
      <c r="N87" s="1671"/>
      <c r="O87" s="1671"/>
      <c r="P87" s="1671"/>
      <c r="R87" s="1671"/>
      <c r="S87" s="1668"/>
      <c r="T87" s="1671"/>
      <c r="U87" s="1668"/>
      <c r="V87" s="1671"/>
      <c r="W87" s="1668"/>
      <c r="X87" s="1671"/>
      <c r="Y87" s="1668"/>
      <c r="Z87" s="1453"/>
      <c r="AA87" s="1669"/>
      <c r="AB87" s="1453"/>
      <c r="AC87" s="1669"/>
      <c r="AD87" s="1670"/>
      <c r="AE87" s="1669"/>
      <c r="AF87" s="1671"/>
      <c r="AG87" s="1669"/>
      <c r="AH87" s="1316"/>
      <c r="AI87" s="1316"/>
    </row>
    <row r="88" spans="2:35" ht="13">
      <c r="B88" s="1316"/>
      <c r="C88" s="1657" t="s">
        <v>1706</v>
      </c>
      <c r="D88" s="1453"/>
      <c r="E88" s="1453"/>
      <c r="F88" s="1671"/>
      <c r="G88" s="1671"/>
      <c r="H88" s="1671"/>
      <c r="I88" s="1671"/>
      <c r="J88" s="1671"/>
      <c r="K88" s="1668"/>
      <c r="L88" s="1671"/>
      <c r="M88" s="1671"/>
      <c r="N88" s="1671"/>
      <c r="O88" s="1671"/>
      <c r="P88" s="1671"/>
      <c r="R88" s="1671"/>
      <c r="S88" s="1668"/>
      <c r="T88" s="1671"/>
      <c r="U88" s="1668"/>
      <c r="V88" s="1671"/>
      <c r="W88" s="1668"/>
      <c r="X88" s="1671"/>
      <c r="Y88" s="1668"/>
      <c r="Z88" s="1453"/>
      <c r="AA88" s="1669"/>
      <c r="AB88" s="1453"/>
      <c r="AC88" s="1669"/>
      <c r="AD88" s="1670"/>
      <c r="AE88" s="1669"/>
      <c r="AF88" s="1671"/>
      <c r="AG88" s="1669"/>
      <c r="AH88" s="1316"/>
      <c r="AI88" s="1316"/>
    </row>
    <row r="89" spans="2:35">
      <c r="B89" s="1316">
        <v>73</v>
      </c>
      <c r="C89" s="1444" t="s">
        <v>1707</v>
      </c>
      <c r="D89" s="1444" t="s">
        <v>1644</v>
      </c>
      <c r="E89" s="1444" t="s">
        <v>1464</v>
      </c>
      <c r="F89" s="1658">
        <v>-5186943.16</v>
      </c>
      <c r="G89" s="1659">
        <f t="shared" ref="G89:G120" si="20">F89*0.35</f>
        <v>-1815430.1059999999</v>
      </c>
      <c r="H89" s="1658">
        <v>-466824.88439999998</v>
      </c>
      <c r="I89" s="1659">
        <f t="shared" ref="I89:I120" si="21">-H89*0.35</f>
        <v>163388.70953999998</v>
      </c>
      <c r="J89" s="1659">
        <f t="shared" ref="J89:J120" si="22">G89+H89+I89</f>
        <v>-2118866.2808599998</v>
      </c>
      <c r="K89" s="1660"/>
      <c r="L89" s="1658">
        <f t="shared" ref="L89:L120" si="23">F89</f>
        <v>-5186943.16</v>
      </c>
      <c r="M89" s="1659">
        <f t="shared" ref="M89:M120" si="24">L89*0.21</f>
        <v>-1089258.0636</v>
      </c>
      <c r="N89" s="1658">
        <v>-466824.88439999998</v>
      </c>
      <c r="O89" s="1659">
        <f t="shared" ref="O89:O120" si="25">-N89*0.21</f>
        <v>98033.225723999989</v>
      </c>
      <c r="P89" s="1659">
        <f t="shared" ref="P89:P120" si="26">M89+N89+O89</f>
        <v>-1458049.7222759998</v>
      </c>
      <c r="R89" s="1659">
        <f t="shared" ref="R89:R120" si="27">J89-P89</f>
        <v>-660816.55858399998</v>
      </c>
      <c r="S89" s="1660"/>
      <c r="T89" s="1658">
        <v>0</v>
      </c>
      <c r="U89" s="1660"/>
      <c r="V89" s="1658">
        <v>0</v>
      </c>
      <c r="W89" s="1660"/>
      <c r="X89" s="1659">
        <f t="shared" ref="X89:X120" si="28">R89-T89-V89</f>
        <v>-660816.55858399998</v>
      </c>
      <c r="Y89" s="1660"/>
      <c r="Z89" s="1453" t="s">
        <v>260</v>
      </c>
      <c r="AA89" s="1661"/>
      <c r="AB89" s="1453" t="s">
        <v>22</v>
      </c>
      <c r="AC89" s="1661"/>
      <c r="AD89" s="1662">
        <v>6.5299999999999997E-2</v>
      </c>
      <c r="AE89" s="1661"/>
      <c r="AF89" s="1659">
        <f t="shared" ref="AF89:AF120" si="29">X89*AD89</f>
        <v>-43151.3212755352</v>
      </c>
      <c r="AG89" s="1010"/>
      <c r="AH89" s="1316">
        <v>283</v>
      </c>
      <c r="AI89" s="1316"/>
    </row>
    <row r="90" spans="2:35">
      <c r="B90" s="1316">
        <v>74</v>
      </c>
      <c r="C90" s="1444" t="s">
        <v>1708</v>
      </c>
      <c r="D90" s="1444" t="s">
        <v>1709</v>
      </c>
      <c r="E90" s="1444" t="s">
        <v>1464</v>
      </c>
      <c r="F90" s="1663">
        <v>-4574837.6100000003</v>
      </c>
      <c r="G90" s="1664">
        <f t="shared" si="20"/>
        <v>-1601193.1635</v>
      </c>
      <c r="H90" s="1663">
        <v>-411735.3849</v>
      </c>
      <c r="I90" s="1664">
        <f t="shared" si="21"/>
        <v>144107.38471499999</v>
      </c>
      <c r="J90" s="1664">
        <f t="shared" si="22"/>
        <v>-1868821.163685</v>
      </c>
      <c r="K90" s="1665"/>
      <c r="L90" s="1663">
        <f t="shared" si="23"/>
        <v>-4574837.6100000003</v>
      </c>
      <c r="M90" s="1664">
        <f t="shared" si="24"/>
        <v>-960715.89809999999</v>
      </c>
      <c r="N90" s="1663">
        <v>-411735.3849</v>
      </c>
      <c r="O90" s="1664">
        <f t="shared" si="25"/>
        <v>86464.430829000004</v>
      </c>
      <c r="P90" s="1664">
        <f t="shared" si="26"/>
        <v>-1285986.8521710001</v>
      </c>
      <c r="Q90" s="1664"/>
      <c r="R90" s="1664">
        <f t="shared" si="27"/>
        <v>-582834.31151399994</v>
      </c>
      <c r="S90" s="1665"/>
      <c r="T90" s="1663">
        <v>0</v>
      </c>
      <c r="U90" s="1665"/>
      <c r="V90" s="1663">
        <v>0</v>
      </c>
      <c r="W90" s="1665"/>
      <c r="X90" s="1664">
        <f t="shared" si="28"/>
        <v>-582834.31151399994</v>
      </c>
      <c r="Y90" s="1660"/>
      <c r="Z90" s="1453" t="s">
        <v>1478</v>
      </c>
      <c r="AA90" s="1661"/>
      <c r="AB90" s="1453" t="s">
        <v>22</v>
      </c>
      <c r="AC90" s="1661"/>
      <c r="AD90" s="1662">
        <v>0.33300000000000002</v>
      </c>
      <c r="AE90" s="1661"/>
      <c r="AF90" s="1659">
        <f t="shared" si="29"/>
        <v>-194083.825734162</v>
      </c>
      <c r="AG90" s="1010"/>
      <c r="AH90" s="1316">
        <v>283</v>
      </c>
      <c r="AI90" s="1316"/>
    </row>
    <row r="91" spans="2:35">
      <c r="B91" s="1316">
        <v>75</v>
      </c>
      <c r="C91" s="1444" t="s">
        <v>1710</v>
      </c>
      <c r="D91" s="1444" t="s">
        <v>1709</v>
      </c>
      <c r="E91" s="1444" t="s">
        <v>1464</v>
      </c>
      <c r="F91" s="1663">
        <v>-4729885.6900000004</v>
      </c>
      <c r="G91" s="1664">
        <f t="shared" si="20"/>
        <v>-1655459.9915</v>
      </c>
      <c r="H91" s="1663">
        <v>-425689.7121</v>
      </c>
      <c r="I91" s="1664">
        <f t="shared" si="21"/>
        <v>148991.39923499999</v>
      </c>
      <c r="J91" s="1664">
        <f t="shared" si="22"/>
        <v>-1932158.3043650002</v>
      </c>
      <c r="K91" s="1665"/>
      <c r="L91" s="1663">
        <f t="shared" si="23"/>
        <v>-4729885.6900000004</v>
      </c>
      <c r="M91" s="1664">
        <f t="shared" si="24"/>
        <v>-993275.99490000005</v>
      </c>
      <c r="N91" s="1663">
        <v>-425689.7121</v>
      </c>
      <c r="O91" s="1664">
        <f t="shared" si="25"/>
        <v>89394.839540999994</v>
      </c>
      <c r="P91" s="1664">
        <f t="shared" si="26"/>
        <v>-1329570.8674589999</v>
      </c>
      <c r="Q91" s="1664"/>
      <c r="R91" s="1664">
        <f t="shared" si="27"/>
        <v>-602587.43690600037</v>
      </c>
      <c r="S91" s="1665"/>
      <c r="T91" s="1663">
        <v>0</v>
      </c>
      <c r="U91" s="1665"/>
      <c r="V91" s="1663">
        <v>0</v>
      </c>
      <c r="W91" s="1665"/>
      <c r="X91" s="1664">
        <f t="shared" si="28"/>
        <v>-602587.43690600037</v>
      </c>
      <c r="Y91" s="1660"/>
      <c r="Z91" s="1453" t="s">
        <v>1478</v>
      </c>
      <c r="AA91" s="1661"/>
      <c r="AB91" s="1453" t="s">
        <v>22</v>
      </c>
      <c r="AC91" s="1661"/>
      <c r="AD91" s="1662">
        <v>0.33300000000000002</v>
      </c>
      <c r="AE91" s="1661"/>
      <c r="AF91" s="1659">
        <f t="shared" si="29"/>
        <v>-200661.61648969812</v>
      </c>
      <c r="AG91" s="1010"/>
      <c r="AH91" s="1316">
        <v>283</v>
      </c>
      <c r="AI91" s="1316"/>
    </row>
    <row r="92" spans="2:35">
      <c r="B92" s="1316">
        <v>76</v>
      </c>
      <c r="C92" s="1444" t="s">
        <v>1473</v>
      </c>
      <c r="D92" s="1444" t="s">
        <v>268</v>
      </c>
      <c r="E92" s="1444" t="s">
        <v>1464</v>
      </c>
      <c r="F92" s="1663">
        <v>171752.99</v>
      </c>
      <c r="G92" s="1664">
        <f t="shared" si="20"/>
        <v>60113.546499999989</v>
      </c>
      <c r="H92" s="1663">
        <v>15457.769099999998</v>
      </c>
      <c r="I92" s="1664">
        <f t="shared" si="21"/>
        <v>-5410.219184999999</v>
      </c>
      <c r="J92" s="1664">
        <f t="shared" si="22"/>
        <v>70161.096414999993</v>
      </c>
      <c r="K92" s="1665"/>
      <c r="L92" s="1663">
        <f t="shared" si="23"/>
        <v>171752.99</v>
      </c>
      <c r="M92" s="1664">
        <f t="shared" si="24"/>
        <v>36068.127899999999</v>
      </c>
      <c r="N92" s="1663">
        <v>15457.769099999998</v>
      </c>
      <c r="O92" s="1664">
        <f t="shared" si="25"/>
        <v>-3246.1315109999996</v>
      </c>
      <c r="P92" s="1664">
        <f t="shared" si="26"/>
        <v>48279.765488999998</v>
      </c>
      <c r="Q92" s="1664"/>
      <c r="R92" s="1664">
        <f t="shared" si="27"/>
        <v>21881.330925999995</v>
      </c>
      <c r="S92" s="1665"/>
      <c r="T92" s="1663">
        <v>21881.330925999999</v>
      </c>
      <c r="U92" s="1665"/>
      <c r="V92" s="1663">
        <v>0</v>
      </c>
      <c r="W92" s="1665"/>
      <c r="X92" s="1664">
        <f t="shared" si="28"/>
        <v>-3.637978807091713E-12</v>
      </c>
      <c r="Y92" s="1660"/>
      <c r="Z92" s="1453" t="s">
        <v>1478</v>
      </c>
      <c r="AA92" s="1661"/>
      <c r="AB92" s="1453" t="s">
        <v>23</v>
      </c>
      <c r="AC92" s="1661"/>
      <c r="AD92" s="1662">
        <v>0</v>
      </c>
      <c r="AE92" s="1661"/>
      <c r="AF92" s="1659">
        <f t="shared" si="29"/>
        <v>0</v>
      </c>
      <c r="AG92" s="1010"/>
      <c r="AH92" s="1316">
        <v>283</v>
      </c>
      <c r="AI92" s="1316"/>
    </row>
    <row r="93" spans="2:35">
      <c r="B93" s="1316">
        <v>77</v>
      </c>
      <c r="C93" s="1444" t="s">
        <v>1533</v>
      </c>
      <c r="D93" s="1444" t="s">
        <v>1711</v>
      </c>
      <c r="E93" s="1444" t="s">
        <v>1464</v>
      </c>
      <c r="F93" s="1663">
        <v>-5278948.45</v>
      </c>
      <c r="G93" s="1664">
        <f t="shared" si="20"/>
        <v>-1847631.9575</v>
      </c>
      <c r="H93" s="1663">
        <v>-475105.36050000001</v>
      </c>
      <c r="I93" s="1664">
        <f t="shared" si="21"/>
        <v>166286.87617499998</v>
      </c>
      <c r="J93" s="1664">
        <f t="shared" si="22"/>
        <v>-2156450.4418250001</v>
      </c>
      <c r="K93" s="1665"/>
      <c r="L93" s="1663">
        <f t="shared" si="23"/>
        <v>-5278948.45</v>
      </c>
      <c r="M93" s="1664">
        <f t="shared" si="24"/>
        <v>-1108579.1745</v>
      </c>
      <c r="N93" s="1663">
        <v>-475105.36050000001</v>
      </c>
      <c r="O93" s="1664">
        <f t="shared" si="25"/>
        <v>99772.125704999999</v>
      </c>
      <c r="P93" s="1664">
        <f t="shared" si="26"/>
        <v>-1483912.4092949999</v>
      </c>
      <c r="Q93" s="1664"/>
      <c r="R93" s="1664">
        <f t="shared" si="27"/>
        <v>-672538.0325300002</v>
      </c>
      <c r="S93" s="1665"/>
      <c r="T93" s="1663">
        <v>0</v>
      </c>
      <c r="U93" s="1665"/>
      <c r="V93" s="1663">
        <v>0</v>
      </c>
      <c r="W93" s="1665"/>
      <c r="X93" s="1664">
        <f t="shared" si="28"/>
        <v>-672538.0325300002</v>
      </c>
      <c r="Y93" s="1660"/>
      <c r="Z93" s="1453" t="s">
        <v>1478</v>
      </c>
      <c r="AA93" s="1661"/>
      <c r="AB93" s="1453" t="s">
        <v>22</v>
      </c>
      <c r="AC93" s="1661"/>
      <c r="AD93" s="1662">
        <v>0.33300000000000002</v>
      </c>
      <c r="AE93" s="1661"/>
      <c r="AF93" s="1659">
        <f t="shared" si="29"/>
        <v>-223955.16483249009</v>
      </c>
      <c r="AG93" s="1010"/>
      <c r="AH93" s="1316">
        <v>283</v>
      </c>
      <c r="AI93" s="1316"/>
    </row>
    <row r="94" spans="2:35">
      <c r="B94" s="1316">
        <v>78</v>
      </c>
      <c r="C94" s="1444" t="s">
        <v>1712</v>
      </c>
      <c r="D94" s="1444" t="s">
        <v>1713</v>
      </c>
      <c r="E94" s="1444" t="s">
        <v>1464</v>
      </c>
      <c r="F94" s="1663">
        <v>-1723744.42</v>
      </c>
      <c r="G94" s="1664">
        <f t="shared" si="20"/>
        <v>-603310.5469999999</v>
      </c>
      <c r="H94" s="1663">
        <v>-155136.99779999998</v>
      </c>
      <c r="I94" s="1664">
        <f t="shared" si="21"/>
        <v>54297.949229999991</v>
      </c>
      <c r="J94" s="1664">
        <f t="shared" si="22"/>
        <v>-704149.59556999989</v>
      </c>
      <c r="K94" s="1665"/>
      <c r="L94" s="1663">
        <f t="shared" si="23"/>
        <v>-1723744.42</v>
      </c>
      <c r="M94" s="1664">
        <f t="shared" si="24"/>
        <v>-361986.32819999999</v>
      </c>
      <c r="N94" s="1663">
        <v>-155136.99779999998</v>
      </c>
      <c r="O94" s="1664">
        <f t="shared" si="25"/>
        <v>32578.769537999997</v>
      </c>
      <c r="P94" s="1664">
        <f t="shared" si="26"/>
        <v>-484544.55646200001</v>
      </c>
      <c r="Q94" s="1664"/>
      <c r="R94" s="1664">
        <f t="shared" si="27"/>
        <v>-219605.03910799988</v>
      </c>
      <c r="S94" s="1665"/>
      <c r="T94" s="1663">
        <v>0</v>
      </c>
      <c r="U94" s="1665"/>
      <c r="V94" s="1663">
        <v>0</v>
      </c>
      <c r="W94" s="1665"/>
      <c r="X94" s="1664">
        <f t="shared" si="28"/>
        <v>-219605.03910799988</v>
      </c>
      <c r="Y94" s="1660"/>
      <c r="Z94" s="1453" t="s">
        <v>1478</v>
      </c>
      <c r="AA94" s="1661"/>
      <c r="AB94" s="1453" t="s">
        <v>22</v>
      </c>
      <c r="AC94" s="1661"/>
      <c r="AD94" s="1662">
        <v>0.33300000000000002</v>
      </c>
      <c r="AE94" s="1661"/>
      <c r="AF94" s="1659">
        <f t="shared" si="29"/>
        <v>-73128.478022963958</v>
      </c>
      <c r="AG94" s="1010"/>
      <c r="AH94" s="1316">
        <v>283</v>
      </c>
      <c r="AI94" s="1316"/>
    </row>
    <row r="95" spans="2:35">
      <c r="B95" s="1316">
        <v>79</v>
      </c>
      <c r="C95" s="1444" t="s">
        <v>1714</v>
      </c>
      <c r="D95" s="1444" t="s">
        <v>1715</v>
      </c>
      <c r="E95" s="1444" t="s">
        <v>1464</v>
      </c>
      <c r="F95" s="1663">
        <v>-23578420.859999999</v>
      </c>
      <c r="G95" s="1664">
        <f t="shared" si="20"/>
        <v>-8252447.300999999</v>
      </c>
      <c r="H95" s="1663">
        <v>-2122057.8773999996</v>
      </c>
      <c r="I95" s="1664">
        <f t="shared" si="21"/>
        <v>742720.25708999985</v>
      </c>
      <c r="J95" s="1664">
        <f t="shared" si="22"/>
        <v>-9631784.9213099983</v>
      </c>
      <c r="K95" s="1665"/>
      <c r="L95" s="1663">
        <f t="shared" si="23"/>
        <v>-23578420.859999999</v>
      </c>
      <c r="M95" s="1664">
        <f t="shared" si="24"/>
        <v>-4951468.3805999998</v>
      </c>
      <c r="N95" s="1663">
        <v>-2122057.8773999996</v>
      </c>
      <c r="O95" s="1664">
        <f t="shared" si="25"/>
        <v>445632.15425399994</v>
      </c>
      <c r="P95" s="1664">
        <f t="shared" si="26"/>
        <v>-6627894.1037459997</v>
      </c>
      <c r="Q95" s="1664"/>
      <c r="R95" s="1664">
        <f t="shared" si="27"/>
        <v>-3003890.8175639985</v>
      </c>
      <c r="S95" s="1665"/>
      <c r="T95" s="1663">
        <v>0</v>
      </c>
      <c r="U95" s="1665"/>
      <c r="V95" s="1663">
        <v>0</v>
      </c>
      <c r="W95" s="1665"/>
      <c r="X95" s="1664">
        <f t="shared" si="28"/>
        <v>-3003890.8175639985</v>
      </c>
      <c r="Y95" s="1660"/>
      <c r="Z95" s="1453" t="s">
        <v>1478</v>
      </c>
      <c r="AA95" s="1661"/>
      <c r="AB95" s="1453" t="s">
        <v>22</v>
      </c>
      <c r="AC95" s="1661"/>
      <c r="AD95" s="1662">
        <v>0.33300000000000002</v>
      </c>
      <c r="AE95" s="1661"/>
      <c r="AF95" s="1659">
        <f t="shared" si="29"/>
        <v>-1000295.6422488115</v>
      </c>
      <c r="AG95" s="1010"/>
      <c r="AH95" s="1316">
        <v>283</v>
      </c>
      <c r="AI95" s="1316"/>
    </row>
    <row r="96" spans="2:35">
      <c r="B96" s="1316">
        <v>80</v>
      </c>
      <c r="C96" s="1444" t="s">
        <v>1716</v>
      </c>
      <c r="D96" s="1444" t="s">
        <v>1717</v>
      </c>
      <c r="E96" s="1444" t="s">
        <v>1464</v>
      </c>
      <c r="F96" s="1663">
        <v>-1249134.8</v>
      </c>
      <c r="G96" s="1664">
        <f t="shared" si="20"/>
        <v>-437197.18</v>
      </c>
      <c r="H96" s="1663">
        <v>-112422.132</v>
      </c>
      <c r="I96" s="1664">
        <f t="shared" si="21"/>
        <v>39347.746199999994</v>
      </c>
      <c r="J96" s="1664">
        <f t="shared" si="22"/>
        <v>-510271.56580000004</v>
      </c>
      <c r="K96" s="1665"/>
      <c r="L96" s="1663">
        <f t="shared" si="23"/>
        <v>-1249134.8</v>
      </c>
      <c r="M96" s="1664">
        <f t="shared" si="24"/>
        <v>-262318.30800000002</v>
      </c>
      <c r="N96" s="1663">
        <v>-112422.132</v>
      </c>
      <c r="O96" s="1664">
        <f t="shared" si="25"/>
        <v>23608.647719999997</v>
      </c>
      <c r="P96" s="1664">
        <f t="shared" si="26"/>
        <v>-351131.79227999999</v>
      </c>
      <c r="Q96" s="1664"/>
      <c r="R96" s="1664">
        <f t="shared" si="27"/>
        <v>-159139.77352000005</v>
      </c>
      <c r="S96" s="1665"/>
      <c r="T96" s="1663">
        <v>0</v>
      </c>
      <c r="U96" s="1665"/>
      <c r="V96" s="1663">
        <v>0</v>
      </c>
      <c r="W96" s="1665"/>
      <c r="X96" s="1664">
        <f t="shared" si="28"/>
        <v>-159139.77352000005</v>
      </c>
      <c r="Y96" s="1660"/>
      <c r="Z96" s="1453" t="s">
        <v>1478</v>
      </c>
      <c r="AA96" s="1661"/>
      <c r="AB96" s="1453" t="s">
        <v>22</v>
      </c>
      <c r="AC96" s="1661"/>
      <c r="AD96" s="1662">
        <v>0.33300000000000002</v>
      </c>
      <c r="AE96" s="1661"/>
      <c r="AF96" s="1659">
        <f t="shared" si="29"/>
        <v>-52993.544582160015</v>
      </c>
      <c r="AG96" s="1010"/>
      <c r="AH96" s="1316">
        <v>283</v>
      </c>
      <c r="AI96" s="1316"/>
    </row>
    <row r="97" spans="2:35">
      <c r="B97" s="1316">
        <v>81</v>
      </c>
      <c r="C97" s="1444" t="s">
        <v>1718</v>
      </c>
      <c r="D97" s="1444" t="s">
        <v>1717</v>
      </c>
      <c r="E97" s="1444" t="s">
        <v>1464</v>
      </c>
      <c r="F97" s="1663">
        <v>548390.72</v>
      </c>
      <c r="G97" s="1664">
        <f t="shared" si="20"/>
        <v>191936.75199999998</v>
      </c>
      <c r="H97" s="1663">
        <v>49355.164799999999</v>
      </c>
      <c r="I97" s="1664">
        <f t="shared" si="21"/>
        <v>-17274.307679999998</v>
      </c>
      <c r="J97" s="1664">
        <f t="shared" si="22"/>
        <v>224017.60911999998</v>
      </c>
      <c r="K97" s="1665"/>
      <c r="L97" s="1663">
        <f t="shared" si="23"/>
        <v>548390.72</v>
      </c>
      <c r="M97" s="1664">
        <f t="shared" si="24"/>
        <v>115162.05119999999</v>
      </c>
      <c r="N97" s="1663">
        <v>49355.164799999999</v>
      </c>
      <c r="O97" s="1664">
        <f t="shared" si="25"/>
        <v>-10364.584607999999</v>
      </c>
      <c r="P97" s="1664">
        <f t="shared" si="26"/>
        <v>154152.63139199998</v>
      </c>
      <c r="Q97" s="1664"/>
      <c r="R97" s="1664">
        <f t="shared" si="27"/>
        <v>69864.977727999998</v>
      </c>
      <c r="S97" s="1665"/>
      <c r="T97" s="1663">
        <v>0</v>
      </c>
      <c r="U97" s="1665"/>
      <c r="V97" s="1663">
        <v>0</v>
      </c>
      <c r="W97" s="1665"/>
      <c r="X97" s="1664">
        <f t="shared" si="28"/>
        <v>69864.977727999998</v>
      </c>
      <c r="Y97" s="1660"/>
      <c r="Z97" s="1453" t="s">
        <v>1478</v>
      </c>
      <c r="AA97" s="1661"/>
      <c r="AB97" s="1453" t="s">
        <v>22</v>
      </c>
      <c r="AC97" s="1661"/>
      <c r="AD97" s="1662">
        <v>0.33300000000000002</v>
      </c>
      <c r="AE97" s="1661"/>
      <c r="AF97" s="1659">
        <f t="shared" si="29"/>
        <v>23265.037583424</v>
      </c>
      <c r="AG97" s="1010"/>
      <c r="AH97" s="1316">
        <v>283</v>
      </c>
      <c r="AI97" s="1316"/>
    </row>
    <row r="98" spans="2:35">
      <c r="B98" s="1316">
        <v>82</v>
      </c>
      <c r="C98" s="1444" t="s">
        <v>1469</v>
      </c>
      <c r="D98" s="1444" t="s">
        <v>1717</v>
      </c>
      <c r="E98" s="1444" t="s">
        <v>1464</v>
      </c>
      <c r="F98" s="1663">
        <v>69901.08</v>
      </c>
      <c r="G98" s="1664">
        <f t="shared" si="20"/>
        <v>24465.378000000001</v>
      </c>
      <c r="H98" s="1663">
        <v>6291.0972000000002</v>
      </c>
      <c r="I98" s="1664">
        <f t="shared" si="21"/>
        <v>-2201.88402</v>
      </c>
      <c r="J98" s="1664">
        <f t="shared" si="22"/>
        <v>28554.591179999999</v>
      </c>
      <c r="K98" s="1665"/>
      <c r="L98" s="1663">
        <f t="shared" si="23"/>
        <v>69901.08</v>
      </c>
      <c r="M98" s="1664">
        <f t="shared" si="24"/>
        <v>14679.2268</v>
      </c>
      <c r="N98" s="1663">
        <v>6291.0972000000002</v>
      </c>
      <c r="O98" s="1664">
        <f t="shared" si="25"/>
        <v>-1321.130412</v>
      </c>
      <c r="P98" s="1664">
        <f t="shared" si="26"/>
        <v>19649.193588000002</v>
      </c>
      <c r="Q98" s="1664"/>
      <c r="R98" s="1664">
        <f t="shared" si="27"/>
        <v>8905.3975919999975</v>
      </c>
      <c r="S98" s="1665"/>
      <c r="T98" s="1663">
        <v>0</v>
      </c>
      <c r="U98" s="1665"/>
      <c r="V98" s="1663">
        <v>0</v>
      </c>
      <c r="W98" s="1665"/>
      <c r="X98" s="1664">
        <f t="shared" si="28"/>
        <v>8905.3975919999975</v>
      </c>
      <c r="Y98" s="1660"/>
      <c r="Z98" s="1453" t="s">
        <v>1478</v>
      </c>
      <c r="AA98" s="1661"/>
      <c r="AB98" s="1453" t="s">
        <v>22</v>
      </c>
      <c r="AC98" s="1661"/>
      <c r="AD98" s="1662">
        <v>0.33300000000000002</v>
      </c>
      <c r="AE98" s="1661"/>
      <c r="AF98" s="1659">
        <f t="shared" si="29"/>
        <v>2965.4973981359994</v>
      </c>
      <c r="AG98" s="1010"/>
      <c r="AH98" s="1316">
        <v>283</v>
      </c>
      <c r="AI98" s="1316"/>
    </row>
    <row r="99" spans="2:35">
      <c r="B99" s="1316">
        <v>83</v>
      </c>
      <c r="C99" s="1444" t="s">
        <v>1719</v>
      </c>
      <c r="D99" s="1444" t="s">
        <v>1717</v>
      </c>
      <c r="E99" s="1444" t="s">
        <v>1464</v>
      </c>
      <c r="F99" s="1663">
        <v>-1479389.3</v>
      </c>
      <c r="G99" s="1664">
        <f t="shared" si="20"/>
        <v>-517786.255</v>
      </c>
      <c r="H99" s="1663">
        <v>-133145.03700000001</v>
      </c>
      <c r="I99" s="1664">
        <f t="shared" si="21"/>
        <v>46600.762950000004</v>
      </c>
      <c r="J99" s="1664">
        <f t="shared" si="22"/>
        <v>-604330.52905000001</v>
      </c>
      <c r="K99" s="1665"/>
      <c r="L99" s="1663">
        <f t="shared" si="23"/>
        <v>-1479389.3</v>
      </c>
      <c r="M99" s="1664">
        <f t="shared" si="24"/>
        <v>-310671.75300000003</v>
      </c>
      <c r="N99" s="1663">
        <v>-133145.03700000001</v>
      </c>
      <c r="O99" s="1664">
        <f t="shared" si="25"/>
        <v>27960.457770000001</v>
      </c>
      <c r="P99" s="1664">
        <f t="shared" si="26"/>
        <v>-415856.33223000006</v>
      </c>
      <c r="Q99" s="1664"/>
      <c r="R99" s="1664">
        <f t="shared" si="27"/>
        <v>-188474.19681999995</v>
      </c>
      <c r="S99" s="1665"/>
      <c r="T99" s="1663">
        <v>0</v>
      </c>
      <c r="U99" s="1665"/>
      <c r="V99" s="1663">
        <v>0</v>
      </c>
      <c r="W99" s="1665"/>
      <c r="X99" s="1664">
        <f t="shared" si="28"/>
        <v>-188474.19681999995</v>
      </c>
      <c r="Y99" s="1660"/>
      <c r="Z99" s="1453" t="s">
        <v>1478</v>
      </c>
      <c r="AA99" s="1661"/>
      <c r="AB99" s="1453" t="s">
        <v>22</v>
      </c>
      <c r="AC99" s="1661"/>
      <c r="AD99" s="1662">
        <v>0.33300000000000002</v>
      </c>
      <c r="AE99" s="1661"/>
      <c r="AF99" s="1659">
        <f t="shared" si="29"/>
        <v>-62761.907541059991</v>
      </c>
      <c r="AG99" s="1010"/>
      <c r="AH99" s="1316">
        <v>283</v>
      </c>
      <c r="AI99" s="1316"/>
    </row>
    <row r="100" spans="2:35">
      <c r="B100" s="1316">
        <v>84</v>
      </c>
      <c r="C100" s="1444" t="s">
        <v>1497</v>
      </c>
      <c r="D100" s="1444" t="s">
        <v>1720</v>
      </c>
      <c r="E100" s="1444" t="s">
        <v>1464</v>
      </c>
      <c r="F100" s="1663">
        <v>-79930586.430000007</v>
      </c>
      <c r="G100" s="1664">
        <f t="shared" si="20"/>
        <v>-27975705.250500001</v>
      </c>
      <c r="H100" s="1663">
        <v>-7193752.7787000006</v>
      </c>
      <c r="I100" s="1664">
        <f t="shared" si="21"/>
        <v>2517813.4725450003</v>
      </c>
      <c r="J100" s="1664">
        <f t="shared" si="22"/>
        <v>-32651644.556655001</v>
      </c>
      <c r="K100" s="1665"/>
      <c r="L100" s="1663">
        <f t="shared" si="23"/>
        <v>-79930586.430000007</v>
      </c>
      <c r="M100" s="1664">
        <f t="shared" si="24"/>
        <v>-16785423.1503</v>
      </c>
      <c r="N100" s="1663">
        <v>-7193752.7787000006</v>
      </c>
      <c r="O100" s="1664">
        <f t="shared" si="25"/>
        <v>1510688.0835270002</v>
      </c>
      <c r="P100" s="1664">
        <f t="shared" si="26"/>
        <v>-22468487.845473003</v>
      </c>
      <c r="Q100" s="1664"/>
      <c r="R100" s="1664">
        <f t="shared" si="27"/>
        <v>-10183156.711181998</v>
      </c>
      <c r="S100" s="1665"/>
      <c r="T100" s="1663">
        <v>0</v>
      </c>
      <c r="U100" s="1665"/>
      <c r="V100" s="1663">
        <v>0</v>
      </c>
      <c r="W100" s="1665"/>
      <c r="X100" s="1664">
        <f t="shared" si="28"/>
        <v>-10183156.711181998</v>
      </c>
      <c r="Y100" s="1660"/>
      <c r="Z100" s="1453" t="s">
        <v>260</v>
      </c>
      <c r="AA100" s="1661"/>
      <c r="AB100" s="1453" t="s">
        <v>22</v>
      </c>
      <c r="AC100" s="1661"/>
      <c r="AD100" s="1662">
        <v>6.5299999999999997E-2</v>
      </c>
      <c r="AE100" s="1661"/>
      <c r="AF100" s="1659">
        <f t="shared" si="29"/>
        <v>-664960.1332401844</v>
      </c>
      <c r="AG100" s="1010"/>
      <c r="AH100" s="1316">
        <v>283</v>
      </c>
      <c r="AI100" s="1316"/>
    </row>
    <row r="101" spans="2:35">
      <c r="B101" s="1316">
        <v>85</v>
      </c>
      <c r="C101" s="1444" t="s">
        <v>1721</v>
      </c>
      <c r="D101" s="1444" t="s">
        <v>1722</v>
      </c>
      <c r="E101" s="1444" t="s">
        <v>1464</v>
      </c>
      <c r="F101" s="1663">
        <v>-10602815</v>
      </c>
      <c r="G101" s="1664">
        <f t="shared" si="20"/>
        <v>-3710985.2499999995</v>
      </c>
      <c r="H101" s="1663">
        <v>-954253.35</v>
      </c>
      <c r="I101" s="1664">
        <f t="shared" si="21"/>
        <v>333988.67249999999</v>
      </c>
      <c r="J101" s="1664">
        <f t="shared" si="22"/>
        <v>-4331249.9274999993</v>
      </c>
      <c r="K101" s="1665"/>
      <c r="L101" s="1663">
        <f t="shared" si="23"/>
        <v>-10602815</v>
      </c>
      <c r="M101" s="1664">
        <f t="shared" si="24"/>
        <v>-2226591.15</v>
      </c>
      <c r="N101" s="1663">
        <v>-954253.35</v>
      </c>
      <c r="O101" s="1664">
        <f t="shared" si="25"/>
        <v>200393.20349999997</v>
      </c>
      <c r="P101" s="1664">
        <f t="shared" si="26"/>
        <v>-2980451.2965000002</v>
      </c>
      <c r="Q101" s="1664"/>
      <c r="R101" s="1664">
        <f t="shared" si="27"/>
        <v>-1350798.6309999991</v>
      </c>
      <c r="S101" s="1665"/>
      <c r="T101" s="1663">
        <v>0</v>
      </c>
      <c r="U101" s="1665"/>
      <c r="V101" s="1663">
        <v>0</v>
      </c>
      <c r="W101" s="1665"/>
      <c r="X101" s="1664">
        <f t="shared" si="28"/>
        <v>-1350798.6309999991</v>
      </c>
      <c r="Y101" s="1660"/>
      <c r="Z101" s="1453" t="s">
        <v>1078</v>
      </c>
      <c r="AA101" s="1661"/>
      <c r="AB101" s="1453" t="s">
        <v>22</v>
      </c>
      <c r="AC101" s="1661"/>
      <c r="AD101" s="1662">
        <v>1</v>
      </c>
      <c r="AE101" s="1661"/>
      <c r="AF101" s="1659">
        <f t="shared" si="29"/>
        <v>-1350798.6309999991</v>
      </c>
      <c r="AG101" s="1010"/>
      <c r="AH101" s="1316">
        <v>283</v>
      </c>
      <c r="AI101" s="1316"/>
    </row>
    <row r="102" spans="2:35">
      <c r="B102" s="1316">
        <v>86</v>
      </c>
      <c r="C102" s="1444" t="s">
        <v>1723</v>
      </c>
      <c r="D102" s="1444" t="s">
        <v>1724</v>
      </c>
      <c r="E102" s="1444" t="s">
        <v>1464</v>
      </c>
      <c r="F102" s="1663">
        <v>-18516982.73</v>
      </c>
      <c r="G102" s="1664">
        <f t="shared" si="20"/>
        <v>-6480943.9555000002</v>
      </c>
      <c r="H102" s="1663">
        <v>-1666528.4457</v>
      </c>
      <c r="I102" s="1664">
        <f t="shared" si="21"/>
        <v>583284.95599499997</v>
      </c>
      <c r="J102" s="1664">
        <f t="shared" si="22"/>
        <v>-7564187.4452050002</v>
      </c>
      <c r="K102" s="1665"/>
      <c r="L102" s="1663">
        <f t="shared" si="23"/>
        <v>-18516982.73</v>
      </c>
      <c r="M102" s="1664">
        <f t="shared" si="24"/>
        <v>-3888566.3733000001</v>
      </c>
      <c r="N102" s="1663">
        <v>-1666528.4457</v>
      </c>
      <c r="O102" s="1664">
        <f t="shared" si="25"/>
        <v>349970.973597</v>
      </c>
      <c r="P102" s="1664">
        <f t="shared" si="26"/>
        <v>-5205123.8454029998</v>
      </c>
      <c r="Q102" s="1664"/>
      <c r="R102" s="1664">
        <f t="shared" si="27"/>
        <v>-2359063.5998020004</v>
      </c>
      <c r="S102" s="1665"/>
      <c r="T102" s="1663">
        <v>0</v>
      </c>
      <c r="U102" s="1665"/>
      <c r="V102" s="1663">
        <v>0</v>
      </c>
      <c r="W102" s="1665"/>
      <c r="X102" s="1664">
        <f t="shared" si="28"/>
        <v>-2359063.5998020004</v>
      </c>
      <c r="Y102" s="1660"/>
      <c r="Z102" s="1453" t="s">
        <v>1478</v>
      </c>
      <c r="AA102" s="1661"/>
      <c r="AB102" s="1453" t="s">
        <v>22</v>
      </c>
      <c r="AC102" s="1661"/>
      <c r="AD102" s="1662">
        <v>0.33300000000000002</v>
      </c>
      <c r="AE102" s="1661"/>
      <c r="AF102" s="1659">
        <f t="shared" si="29"/>
        <v>-785568.1787340662</v>
      </c>
      <c r="AG102" s="1010"/>
      <c r="AH102" s="1316">
        <v>283</v>
      </c>
      <c r="AI102" s="1316"/>
    </row>
    <row r="103" spans="2:35">
      <c r="B103" s="1316">
        <v>87</v>
      </c>
      <c r="C103" s="1444" t="s">
        <v>1725</v>
      </c>
      <c r="D103" s="1444" t="s">
        <v>1724</v>
      </c>
      <c r="E103" s="1444" t="s">
        <v>1464</v>
      </c>
      <c r="F103" s="1663">
        <v>-9126247.2300000004</v>
      </c>
      <c r="G103" s="1664">
        <f t="shared" si="20"/>
        <v>-3194186.5304999999</v>
      </c>
      <c r="H103" s="1663">
        <v>-821362.25069999998</v>
      </c>
      <c r="I103" s="1664">
        <f t="shared" si="21"/>
        <v>287476.78774499998</v>
      </c>
      <c r="J103" s="1664">
        <f t="shared" si="22"/>
        <v>-3728071.9934550002</v>
      </c>
      <c r="K103" s="1665"/>
      <c r="L103" s="1663">
        <f t="shared" si="23"/>
        <v>-9126247.2300000004</v>
      </c>
      <c r="M103" s="1664">
        <f t="shared" si="24"/>
        <v>-1916511.9183</v>
      </c>
      <c r="N103" s="1663">
        <v>-821362.25069999998</v>
      </c>
      <c r="O103" s="1664">
        <f t="shared" si="25"/>
        <v>172486.07264699999</v>
      </c>
      <c r="P103" s="1664">
        <f t="shared" si="26"/>
        <v>-2565388.0963529996</v>
      </c>
      <c r="Q103" s="1664"/>
      <c r="R103" s="1664">
        <f t="shared" si="27"/>
        <v>-1162683.8971020007</v>
      </c>
      <c r="S103" s="1665"/>
      <c r="T103" s="1663">
        <v>0</v>
      </c>
      <c r="U103" s="1665"/>
      <c r="V103" s="1663">
        <v>0</v>
      </c>
      <c r="W103" s="1665"/>
      <c r="X103" s="1664">
        <f t="shared" si="28"/>
        <v>-1162683.8971020007</v>
      </c>
      <c r="Y103" s="1660"/>
      <c r="Z103" s="1453" t="s">
        <v>1478</v>
      </c>
      <c r="AA103" s="1661"/>
      <c r="AB103" s="1453" t="s">
        <v>22</v>
      </c>
      <c r="AC103" s="1661"/>
      <c r="AD103" s="1662">
        <v>0.33300000000000002</v>
      </c>
      <c r="AE103" s="1661"/>
      <c r="AF103" s="1659">
        <f t="shared" si="29"/>
        <v>-387173.73773496621</v>
      </c>
      <c r="AG103" s="1010"/>
      <c r="AH103" s="1316">
        <v>283</v>
      </c>
      <c r="AI103" s="1316"/>
    </row>
    <row r="104" spans="2:35">
      <c r="B104" s="1316">
        <v>88</v>
      </c>
      <c r="C104" s="1444" t="s">
        <v>1726</v>
      </c>
      <c r="D104" s="1444" t="s">
        <v>1727</v>
      </c>
      <c r="E104" s="1444" t="s">
        <v>1464</v>
      </c>
      <c r="F104" s="1663">
        <v>-24618339.359999999</v>
      </c>
      <c r="G104" s="1664">
        <f t="shared" si="20"/>
        <v>-8616418.7759999987</v>
      </c>
      <c r="H104" s="1663">
        <v>-2215650.5423999997</v>
      </c>
      <c r="I104" s="1664">
        <f t="shared" si="21"/>
        <v>775477.68983999989</v>
      </c>
      <c r="J104" s="1664">
        <f t="shared" si="22"/>
        <v>-10056591.628559999</v>
      </c>
      <c r="K104" s="1665"/>
      <c r="L104" s="1663">
        <f t="shared" si="23"/>
        <v>-24618339.359999999</v>
      </c>
      <c r="M104" s="1664">
        <f t="shared" si="24"/>
        <v>-5169851.2655999996</v>
      </c>
      <c r="N104" s="1663">
        <v>-2215650.5423999997</v>
      </c>
      <c r="O104" s="1664">
        <f t="shared" si="25"/>
        <v>465286.61390399991</v>
      </c>
      <c r="P104" s="1664">
        <f t="shared" si="26"/>
        <v>-6920215.194095999</v>
      </c>
      <c r="Q104" s="1664"/>
      <c r="R104" s="1664">
        <f t="shared" si="27"/>
        <v>-3136376.4344640002</v>
      </c>
      <c r="S104" s="1665"/>
      <c r="T104" s="1663">
        <v>0</v>
      </c>
      <c r="U104" s="1665"/>
      <c r="V104" s="1663">
        <v>0</v>
      </c>
      <c r="W104" s="1665"/>
      <c r="X104" s="1664">
        <f t="shared" si="28"/>
        <v>-3136376.4344640002</v>
      </c>
      <c r="Y104" s="1660"/>
      <c r="Z104" s="1453" t="s">
        <v>1478</v>
      </c>
      <c r="AA104" s="1661"/>
      <c r="AB104" s="1453" t="s">
        <v>22</v>
      </c>
      <c r="AC104" s="1661"/>
      <c r="AD104" s="1662">
        <v>0</v>
      </c>
      <c r="AE104" s="1661"/>
      <c r="AF104" s="1659">
        <f t="shared" si="29"/>
        <v>0</v>
      </c>
      <c r="AG104" s="1010"/>
      <c r="AH104" s="1316">
        <v>283</v>
      </c>
      <c r="AI104" s="1316"/>
    </row>
    <row r="105" spans="2:35">
      <c r="B105" s="1316">
        <v>89</v>
      </c>
      <c r="C105" s="1444" t="s">
        <v>1728</v>
      </c>
      <c r="D105" s="1444" t="s">
        <v>1727</v>
      </c>
      <c r="E105" s="1444" t="s">
        <v>1464</v>
      </c>
      <c r="F105" s="1663">
        <v>-28268277.120000001</v>
      </c>
      <c r="G105" s="1664">
        <f t="shared" si="20"/>
        <v>-9893896.9920000006</v>
      </c>
      <c r="H105" s="1663">
        <v>-2544144.9408</v>
      </c>
      <c r="I105" s="1664">
        <f t="shared" si="21"/>
        <v>890450.72927999997</v>
      </c>
      <c r="J105" s="1664">
        <f t="shared" si="22"/>
        <v>-11547591.20352</v>
      </c>
      <c r="K105" s="1665"/>
      <c r="L105" s="1663">
        <f t="shared" si="23"/>
        <v>-28268277.120000001</v>
      </c>
      <c r="M105" s="1664">
        <f t="shared" si="24"/>
        <v>-5936338.1952</v>
      </c>
      <c r="N105" s="1663">
        <v>-2544144.9408</v>
      </c>
      <c r="O105" s="1664">
        <f t="shared" si="25"/>
        <v>534270.43756799994</v>
      </c>
      <c r="P105" s="1664">
        <f t="shared" si="26"/>
        <v>-7946212.6984320004</v>
      </c>
      <c r="Q105" s="1664"/>
      <c r="R105" s="1664">
        <f t="shared" si="27"/>
        <v>-3601378.5050879996</v>
      </c>
      <c r="S105" s="1665"/>
      <c r="T105" s="1663">
        <v>0</v>
      </c>
      <c r="U105" s="1665"/>
      <c r="V105" s="1663">
        <v>0</v>
      </c>
      <c r="W105" s="1665"/>
      <c r="X105" s="1664">
        <f t="shared" si="28"/>
        <v>-3601378.5050879996</v>
      </c>
      <c r="Y105" s="1660"/>
      <c r="Z105" s="1453" t="s">
        <v>1478</v>
      </c>
      <c r="AA105" s="1661"/>
      <c r="AB105" s="1453" t="s">
        <v>22</v>
      </c>
      <c r="AC105" s="1661"/>
      <c r="AD105" s="1662">
        <v>0</v>
      </c>
      <c r="AE105" s="1661"/>
      <c r="AF105" s="1659">
        <f t="shared" si="29"/>
        <v>0</v>
      </c>
      <c r="AG105" s="1010"/>
      <c r="AH105" s="1316">
        <v>283</v>
      </c>
      <c r="AI105" s="1316"/>
    </row>
    <row r="106" spans="2:35">
      <c r="B106" s="1316">
        <v>90</v>
      </c>
      <c r="C106" s="1444" t="s">
        <v>1729</v>
      </c>
      <c r="D106" s="1444" t="s">
        <v>1727</v>
      </c>
      <c r="E106" s="1444" t="s">
        <v>1464</v>
      </c>
      <c r="F106" s="1663">
        <v>10676347.949999999</v>
      </c>
      <c r="G106" s="1664">
        <f t="shared" si="20"/>
        <v>3736721.7824999993</v>
      </c>
      <c r="H106" s="1663">
        <v>960871.31549999991</v>
      </c>
      <c r="I106" s="1664">
        <f t="shared" si="21"/>
        <v>-336304.96042499994</v>
      </c>
      <c r="J106" s="1664">
        <f t="shared" si="22"/>
        <v>4361288.1375749996</v>
      </c>
      <c r="K106" s="1665"/>
      <c r="L106" s="1663">
        <f t="shared" si="23"/>
        <v>10676347.949999999</v>
      </c>
      <c r="M106" s="1664">
        <f t="shared" si="24"/>
        <v>2242033.0694999998</v>
      </c>
      <c r="N106" s="1663">
        <v>960871.31549999991</v>
      </c>
      <c r="O106" s="1664">
        <f t="shared" si="25"/>
        <v>-201782.97625499999</v>
      </c>
      <c r="P106" s="1664">
        <f t="shared" si="26"/>
        <v>3001121.4087449997</v>
      </c>
      <c r="Q106" s="1664"/>
      <c r="R106" s="1664">
        <f t="shared" si="27"/>
        <v>1360166.7288299999</v>
      </c>
      <c r="S106" s="1665"/>
      <c r="T106" s="1663">
        <v>0</v>
      </c>
      <c r="U106" s="1665"/>
      <c r="V106" s="1663">
        <v>0</v>
      </c>
      <c r="W106" s="1665"/>
      <c r="X106" s="1664">
        <f t="shared" si="28"/>
        <v>1360166.7288299999</v>
      </c>
      <c r="Y106" s="1660"/>
      <c r="Z106" s="1453" t="s">
        <v>1478</v>
      </c>
      <c r="AA106" s="1661"/>
      <c r="AB106" s="1453" t="s">
        <v>22</v>
      </c>
      <c r="AC106" s="1661"/>
      <c r="AD106" s="1662">
        <v>0</v>
      </c>
      <c r="AE106" s="1661"/>
      <c r="AF106" s="1659">
        <f t="shared" si="29"/>
        <v>0</v>
      </c>
      <c r="AG106" s="1010"/>
      <c r="AH106" s="1316">
        <v>283</v>
      </c>
      <c r="AI106" s="1316"/>
    </row>
    <row r="107" spans="2:35">
      <c r="B107" s="1316">
        <v>91</v>
      </c>
      <c r="C107" s="1444" t="s">
        <v>1730</v>
      </c>
      <c r="D107" s="1444" t="s">
        <v>1727</v>
      </c>
      <c r="E107" s="1444" t="s">
        <v>1464</v>
      </c>
      <c r="F107" s="1663">
        <v>-156579</v>
      </c>
      <c r="G107" s="1664">
        <f t="shared" si="20"/>
        <v>-54802.649999999994</v>
      </c>
      <c r="H107" s="1663">
        <v>-14092.109999999999</v>
      </c>
      <c r="I107" s="1664">
        <f t="shared" si="21"/>
        <v>4932.2384999999995</v>
      </c>
      <c r="J107" s="1664">
        <f t="shared" si="22"/>
        <v>-63962.521499999995</v>
      </c>
      <c r="K107" s="1665"/>
      <c r="L107" s="1663">
        <f t="shared" si="23"/>
        <v>-156579</v>
      </c>
      <c r="M107" s="1664">
        <f t="shared" si="24"/>
        <v>-32881.589999999997</v>
      </c>
      <c r="N107" s="1663">
        <v>-14092.109999999999</v>
      </c>
      <c r="O107" s="1664">
        <f t="shared" si="25"/>
        <v>2959.3430999999996</v>
      </c>
      <c r="P107" s="1664">
        <f t="shared" si="26"/>
        <v>-44014.356899999999</v>
      </c>
      <c r="Q107" s="1664"/>
      <c r="R107" s="1664">
        <f t="shared" si="27"/>
        <v>-19948.164599999996</v>
      </c>
      <c r="S107" s="1665"/>
      <c r="T107" s="1663">
        <v>0</v>
      </c>
      <c r="U107" s="1665"/>
      <c r="V107" s="1663">
        <v>0</v>
      </c>
      <c r="W107" s="1665"/>
      <c r="X107" s="1664">
        <f t="shared" si="28"/>
        <v>-19948.164599999996</v>
      </c>
      <c r="Y107" s="1660"/>
      <c r="Z107" s="1453" t="s">
        <v>1478</v>
      </c>
      <c r="AA107" s="1661"/>
      <c r="AB107" s="1453" t="s">
        <v>22</v>
      </c>
      <c r="AC107" s="1661"/>
      <c r="AD107" s="1662">
        <v>0</v>
      </c>
      <c r="AE107" s="1661"/>
      <c r="AF107" s="1659">
        <f t="shared" si="29"/>
        <v>0</v>
      </c>
      <c r="AG107" s="1010"/>
      <c r="AH107" s="1316">
        <v>283</v>
      </c>
      <c r="AI107" s="1316"/>
    </row>
    <row r="108" spans="2:35">
      <c r="B108" s="1316">
        <v>92</v>
      </c>
      <c r="C108" s="1444" t="s">
        <v>1731</v>
      </c>
      <c r="D108" s="1444" t="s">
        <v>1727</v>
      </c>
      <c r="E108" s="1444" t="s">
        <v>1464</v>
      </c>
      <c r="F108" s="1663">
        <v>24618339.359999999</v>
      </c>
      <c r="G108" s="1664">
        <f t="shared" si="20"/>
        <v>8616418.7759999987</v>
      </c>
      <c r="H108" s="1663">
        <v>2215650.5423999997</v>
      </c>
      <c r="I108" s="1664">
        <f t="shared" si="21"/>
        <v>-775477.68983999989</v>
      </c>
      <c r="J108" s="1664">
        <f t="shared" si="22"/>
        <v>10056591.628559999</v>
      </c>
      <c r="K108" s="1665"/>
      <c r="L108" s="1663">
        <f t="shared" si="23"/>
        <v>24618339.359999999</v>
      </c>
      <c r="M108" s="1664">
        <f t="shared" si="24"/>
        <v>5169851.2655999996</v>
      </c>
      <c r="N108" s="1663">
        <v>2215650.5423999997</v>
      </c>
      <c r="O108" s="1664">
        <f t="shared" si="25"/>
        <v>-465286.61390399991</v>
      </c>
      <c r="P108" s="1664">
        <f t="shared" si="26"/>
        <v>6920215.194095999</v>
      </c>
      <c r="Q108" s="1664"/>
      <c r="R108" s="1664">
        <f t="shared" si="27"/>
        <v>3136376.4344640002</v>
      </c>
      <c r="S108" s="1665"/>
      <c r="T108" s="1663">
        <v>0</v>
      </c>
      <c r="U108" s="1665"/>
      <c r="V108" s="1663">
        <v>0</v>
      </c>
      <c r="W108" s="1665"/>
      <c r="X108" s="1664">
        <f t="shared" si="28"/>
        <v>3136376.4344640002</v>
      </c>
      <c r="Y108" s="1660"/>
      <c r="Z108" s="1453" t="s">
        <v>1478</v>
      </c>
      <c r="AA108" s="1661"/>
      <c r="AB108" s="1453" t="s">
        <v>22</v>
      </c>
      <c r="AC108" s="1661"/>
      <c r="AD108" s="1662">
        <v>0</v>
      </c>
      <c r="AE108" s="1661"/>
      <c r="AF108" s="1659">
        <f t="shared" si="29"/>
        <v>0</v>
      </c>
      <c r="AG108" s="1010"/>
      <c r="AH108" s="1316">
        <v>283</v>
      </c>
      <c r="AI108" s="1316"/>
    </row>
    <row r="109" spans="2:35">
      <c r="B109" s="1316">
        <v>93</v>
      </c>
      <c r="C109" s="1444" t="s">
        <v>1732</v>
      </c>
      <c r="D109" s="1444" t="s">
        <v>1727</v>
      </c>
      <c r="E109" s="1444" t="s">
        <v>1464</v>
      </c>
      <c r="F109" s="1663">
        <v>28268277.120000001</v>
      </c>
      <c r="G109" s="1664">
        <f t="shared" si="20"/>
        <v>9893896.9920000006</v>
      </c>
      <c r="H109" s="1663">
        <v>2544144.9408</v>
      </c>
      <c r="I109" s="1664">
        <f t="shared" si="21"/>
        <v>-890450.72927999997</v>
      </c>
      <c r="J109" s="1664">
        <f t="shared" si="22"/>
        <v>11547591.20352</v>
      </c>
      <c r="K109" s="1665"/>
      <c r="L109" s="1663">
        <f t="shared" si="23"/>
        <v>28268277.120000001</v>
      </c>
      <c r="M109" s="1664">
        <f t="shared" si="24"/>
        <v>5936338.1952</v>
      </c>
      <c r="N109" s="1663">
        <v>2544144.9408</v>
      </c>
      <c r="O109" s="1664">
        <f t="shared" si="25"/>
        <v>-534270.43756799994</v>
      </c>
      <c r="P109" s="1664">
        <f t="shared" si="26"/>
        <v>7946212.6984320004</v>
      </c>
      <c r="Q109" s="1664"/>
      <c r="R109" s="1664">
        <f t="shared" si="27"/>
        <v>3601378.5050879996</v>
      </c>
      <c r="S109" s="1665"/>
      <c r="T109" s="1663">
        <v>0</v>
      </c>
      <c r="U109" s="1665"/>
      <c r="V109" s="1663">
        <v>0</v>
      </c>
      <c r="W109" s="1665"/>
      <c r="X109" s="1664">
        <f t="shared" si="28"/>
        <v>3601378.5050879996</v>
      </c>
      <c r="Y109" s="1660"/>
      <c r="Z109" s="1453" t="s">
        <v>1478</v>
      </c>
      <c r="AA109" s="1661"/>
      <c r="AB109" s="1453" t="s">
        <v>22</v>
      </c>
      <c r="AC109" s="1661"/>
      <c r="AD109" s="1662">
        <v>0</v>
      </c>
      <c r="AE109" s="1661"/>
      <c r="AF109" s="1659">
        <f t="shared" si="29"/>
        <v>0</v>
      </c>
      <c r="AG109" s="1010"/>
      <c r="AH109" s="1316">
        <v>283</v>
      </c>
      <c r="AI109" s="1316"/>
    </row>
    <row r="110" spans="2:35">
      <c r="B110" s="1316">
        <v>94</v>
      </c>
      <c r="C110" s="1444" t="s">
        <v>1496</v>
      </c>
      <c r="D110" s="1444" t="s">
        <v>1727</v>
      </c>
      <c r="E110" s="1444" t="s">
        <v>1464</v>
      </c>
      <c r="F110" s="1663">
        <v>-181590.12</v>
      </c>
      <c r="G110" s="1664">
        <f t="shared" si="20"/>
        <v>-63556.541999999994</v>
      </c>
      <c r="H110" s="1663">
        <v>-16343.110799999999</v>
      </c>
      <c r="I110" s="1664">
        <f t="shared" si="21"/>
        <v>5720.0887799999991</v>
      </c>
      <c r="J110" s="1664">
        <f t="shared" si="22"/>
        <v>-74179.564019999991</v>
      </c>
      <c r="K110" s="1665"/>
      <c r="L110" s="1663">
        <f t="shared" si="23"/>
        <v>-181590.12</v>
      </c>
      <c r="M110" s="1664">
        <f t="shared" si="24"/>
        <v>-38133.925199999998</v>
      </c>
      <c r="N110" s="1663">
        <v>-16343.110799999999</v>
      </c>
      <c r="O110" s="1664">
        <f t="shared" si="25"/>
        <v>3432.0532679999997</v>
      </c>
      <c r="P110" s="1664">
        <f t="shared" si="26"/>
        <v>-51044.982731999989</v>
      </c>
      <c r="Q110" s="1664"/>
      <c r="R110" s="1664">
        <f t="shared" si="27"/>
        <v>-23134.581288000001</v>
      </c>
      <c r="S110" s="1665"/>
      <c r="T110" s="1663">
        <v>0</v>
      </c>
      <c r="U110" s="1665"/>
      <c r="V110" s="1663">
        <v>0</v>
      </c>
      <c r="W110" s="1665"/>
      <c r="X110" s="1664">
        <f t="shared" si="28"/>
        <v>-23134.581288000001</v>
      </c>
      <c r="Y110" s="1660"/>
      <c r="Z110" s="1453" t="s">
        <v>1478</v>
      </c>
      <c r="AA110" s="1661"/>
      <c r="AB110" s="1453" t="s">
        <v>22</v>
      </c>
      <c r="AC110" s="1661"/>
      <c r="AD110" s="1662">
        <v>0</v>
      </c>
      <c r="AE110" s="1661"/>
      <c r="AF110" s="1659">
        <f t="shared" si="29"/>
        <v>0</v>
      </c>
      <c r="AG110" s="1010"/>
      <c r="AH110" s="1316">
        <v>283</v>
      </c>
      <c r="AI110" s="1316"/>
    </row>
    <row r="111" spans="2:35">
      <c r="B111" s="1316">
        <v>95</v>
      </c>
      <c r="C111" s="1444" t="s">
        <v>1733</v>
      </c>
      <c r="D111" s="1444" t="s">
        <v>1727</v>
      </c>
      <c r="E111" s="1444" t="s">
        <v>1464</v>
      </c>
      <c r="F111" s="1663">
        <v>156579</v>
      </c>
      <c r="G111" s="1664">
        <f t="shared" si="20"/>
        <v>54802.649999999994</v>
      </c>
      <c r="H111" s="1663">
        <v>14092.109999999999</v>
      </c>
      <c r="I111" s="1664">
        <f t="shared" si="21"/>
        <v>-4932.2384999999995</v>
      </c>
      <c r="J111" s="1664">
        <f t="shared" si="22"/>
        <v>63962.521499999995</v>
      </c>
      <c r="K111" s="1665"/>
      <c r="L111" s="1663">
        <f t="shared" si="23"/>
        <v>156579</v>
      </c>
      <c r="M111" s="1664">
        <f t="shared" si="24"/>
        <v>32881.589999999997</v>
      </c>
      <c r="N111" s="1663">
        <v>14092.109999999999</v>
      </c>
      <c r="O111" s="1664">
        <f t="shared" si="25"/>
        <v>-2959.3430999999996</v>
      </c>
      <c r="P111" s="1664">
        <f t="shared" si="26"/>
        <v>44014.356899999999</v>
      </c>
      <c r="Q111" s="1664"/>
      <c r="R111" s="1664">
        <f t="shared" si="27"/>
        <v>19948.164599999996</v>
      </c>
      <c r="S111" s="1665"/>
      <c r="T111" s="1663">
        <v>0</v>
      </c>
      <c r="U111" s="1665"/>
      <c r="V111" s="1663">
        <v>0</v>
      </c>
      <c r="W111" s="1665"/>
      <c r="X111" s="1664">
        <f t="shared" si="28"/>
        <v>19948.164599999996</v>
      </c>
      <c r="Y111" s="1660"/>
      <c r="Z111" s="1453" t="s">
        <v>1478</v>
      </c>
      <c r="AA111" s="1661"/>
      <c r="AB111" s="1453" t="s">
        <v>22</v>
      </c>
      <c r="AC111" s="1661"/>
      <c r="AD111" s="1662">
        <v>0</v>
      </c>
      <c r="AE111" s="1661"/>
      <c r="AF111" s="1659">
        <f t="shared" si="29"/>
        <v>0</v>
      </c>
      <c r="AG111" s="1010"/>
      <c r="AH111" s="1316">
        <v>283</v>
      </c>
      <c r="AI111" s="1316"/>
    </row>
    <row r="112" spans="2:35">
      <c r="B112" s="1316">
        <v>96</v>
      </c>
      <c r="C112" s="1444" t="s">
        <v>1734</v>
      </c>
      <c r="D112" s="1444" t="s">
        <v>1727</v>
      </c>
      <c r="E112" s="1444" t="s">
        <v>1464</v>
      </c>
      <c r="F112" s="1663">
        <v>-483907.73</v>
      </c>
      <c r="G112" s="1664">
        <f t="shared" si="20"/>
        <v>-169367.70549999998</v>
      </c>
      <c r="H112" s="1663">
        <v>-43551.695699999997</v>
      </c>
      <c r="I112" s="1664">
        <f t="shared" si="21"/>
        <v>15243.093494999997</v>
      </c>
      <c r="J112" s="1664">
        <f t="shared" si="22"/>
        <v>-197676.30770499996</v>
      </c>
      <c r="K112" s="1665"/>
      <c r="L112" s="1663">
        <f t="shared" si="23"/>
        <v>-483907.73</v>
      </c>
      <c r="M112" s="1664">
        <f t="shared" si="24"/>
        <v>-101620.62329999999</v>
      </c>
      <c r="N112" s="1663">
        <v>-43551.695699999997</v>
      </c>
      <c r="O112" s="1664">
        <f t="shared" si="25"/>
        <v>9145.856096999998</v>
      </c>
      <c r="P112" s="1664">
        <f t="shared" si="26"/>
        <v>-136026.46290299998</v>
      </c>
      <c r="Q112" s="1664"/>
      <c r="R112" s="1664">
        <f t="shared" si="27"/>
        <v>-61649.844801999978</v>
      </c>
      <c r="S112" s="1665"/>
      <c r="T112" s="1663">
        <v>0</v>
      </c>
      <c r="U112" s="1665"/>
      <c r="V112" s="1663">
        <v>0</v>
      </c>
      <c r="W112" s="1665"/>
      <c r="X112" s="1664">
        <f t="shared" si="28"/>
        <v>-61649.844801999978</v>
      </c>
      <c r="Y112" s="1660"/>
      <c r="Z112" s="1453" t="s">
        <v>1478</v>
      </c>
      <c r="AA112" s="1661"/>
      <c r="AB112" s="1453" t="s">
        <v>22</v>
      </c>
      <c r="AC112" s="1661"/>
      <c r="AD112" s="1662">
        <v>0</v>
      </c>
      <c r="AE112" s="1661"/>
      <c r="AF112" s="1659">
        <f t="shared" si="29"/>
        <v>0</v>
      </c>
      <c r="AG112" s="1010"/>
      <c r="AH112" s="1316">
        <v>283</v>
      </c>
      <c r="AI112" s="1316"/>
    </row>
    <row r="113" spans="2:35">
      <c r="B113" s="1316">
        <v>97</v>
      </c>
      <c r="C113" s="1444" t="s">
        <v>1735</v>
      </c>
      <c r="D113" s="1444" t="s">
        <v>1736</v>
      </c>
      <c r="E113" s="1444" t="s">
        <v>1464</v>
      </c>
      <c r="F113" s="1663">
        <v>-634877.64</v>
      </c>
      <c r="G113" s="1664">
        <f t="shared" si="20"/>
        <v>-222207.174</v>
      </c>
      <c r="H113" s="1663">
        <v>-57138.9876</v>
      </c>
      <c r="I113" s="1664">
        <f t="shared" si="21"/>
        <v>19998.645659999998</v>
      </c>
      <c r="J113" s="1664">
        <f t="shared" si="22"/>
        <v>-259347.51593999998</v>
      </c>
      <c r="K113" s="1665"/>
      <c r="L113" s="1663">
        <f t="shared" si="23"/>
        <v>-634877.64</v>
      </c>
      <c r="M113" s="1664">
        <f t="shared" si="24"/>
        <v>-133324.30439999999</v>
      </c>
      <c r="N113" s="1663">
        <v>-57138.9876</v>
      </c>
      <c r="O113" s="1664">
        <f t="shared" si="25"/>
        <v>11999.187395999999</v>
      </c>
      <c r="P113" s="1664">
        <f t="shared" si="26"/>
        <v>-178464.10460399999</v>
      </c>
      <c r="Q113" s="1664"/>
      <c r="R113" s="1664">
        <f t="shared" si="27"/>
        <v>-80883.41133599999</v>
      </c>
      <c r="S113" s="1665"/>
      <c r="T113" s="1663">
        <v>0</v>
      </c>
      <c r="U113" s="1665"/>
      <c r="V113" s="1663">
        <v>0</v>
      </c>
      <c r="W113" s="1665"/>
      <c r="X113" s="1664">
        <f t="shared" si="28"/>
        <v>-80883.41133599999</v>
      </c>
      <c r="Y113" s="1660"/>
      <c r="Z113" s="1453" t="s">
        <v>1478</v>
      </c>
      <c r="AA113" s="1661"/>
      <c r="AB113" s="1453" t="s">
        <v>22</v>
      </c>
      <c r="AC113" s="1661"/>
      <c r="AD113" s="1662">
        <v>0</v>
      </c>
      <c r="AE113" s="1661"/>
      <c r="AF113" s="1659">
        <f t="shared" si="29"/>
        <v>0</v>
      </c>
      <c r="AG113" s="1010"/>
      <c r="AH113" s="1316">
        <v>283</v>
      </c>
      <c r="AI113" s="1316"/>
    </row>
    <row r="114" spans="2:35">
      <c r="B114" s="1316">
        <v>98</v>
      </c>
      <c r="C114" s="1444" t="s">
        <v>1737</v>
      </c>
      <c r="D114" s="1444" t="s">
        <v>1692</v>
      </c>
      <c r="E114" s="1444" t="s">
        <v>1464</v>
      </c>
      <c r="F114" s="1663">
        <v>-5905594.9199999999</v>
      </c>
      <c r="G114" s="1664">
        <f t="shared" si="20"/>
        <v>-2066958.2219999998</v>
      </c>
      <c r="H114" s="1663">
        <v>-531503.54279999994</v>
      </c>
      <c r="I114" s="1664">
        <f t="shared" si="21"/>
        <v>186026.23997999995</v>
      </c>
      <c r="J114" s="1664">
        <f t="shared" si="22"/>
        <v>-2412435.5248199999</v>
      </c>
      <c r="K114" s="1665"/>
      <c r="L114" s="1663">
        <f t="shared" si="23"/>
        <v>-5905594.9199999999</v>
      </c>
      <c r="M114" s="1664">
        <f t="shared" si="24"/>
        <v>-1240174.9331999999</v>
      </c>
      <c r="N114" s="1663">
        <v>-531503.54279999994</v>
      </c>
      <c r="O114" s="1664">
        <f t="shared" si="25"/>
        <v>111615.74398799999</v>
      </c>
      <c r="P114" s="1664">
        <f t="shared" si="26"/>
        <v>-1660062.7320119997</v>
      </c>
      <c r="Q114" s="1664"/>
      <c r="R114" s="1664">
        <f t="shared" si="27"/>
        <v>-752372.79280800023</v>
      </c>
      <c r="S114" s="1665"/>
      <c r="T114" s="1663">
        <v>0</v>
      </c>
      <c r="U114" s="1665"/>
      <c r="V114" s="1663">
        <v>0</v>
      </c>
      <c r="W114" s="1665"/>
      <c r="X114" s="1664">
        <f t="shared" si="28"/>
        <v>-752372.79280800023</v>
      </c>
      <c r="Y114" s="1660"/>
      <c r="Z114" s="1453" t="s">
        <v>1478</v>
      </c>
      <c r="AA114" s="1661"/>
      <c r="AB114" s="1453" t="s">
        <v>22</v>
      </c>
      <c r="AC114" s="1661"/>
      <c r="AD114" s="1662">
        <v>0</v>
      </c>
      <c r="AE114" s="1661"/>
      <c r="AF114" s="1659">
        <f t="shared" si="29"/>
        <v>0</v>
      </c>
      <c r="AG114" s="1010"/>
      <c r="AH114" s="1316">
        <v>283</v>
      </c>
      <c r="AI114" s="1316"/>
    </row>
    <row r="115" spans="2:35">
      <c r="B115" s="1316">
        <v>99</v>
      </c>
      <c r="C115" s="1444" t="s">
        <v>1738</v>
      </c>
      <c r="D115" s="1444" t="s">
        <v>1692</v>
      </c>
      <c r="E115" s="1444" t="s">
        <v>1464</v>
      </c>
      <c r="F115" s="1663">
        <v>-649767.01</v>
      </c>
      <c r="G115" s="1664">
        <f t="shared" si="20"/>
        <v>-227418.4535</v>
      </c>
      <c r="H115" s="1663">
        <v>-58479.030899999998</v>
      </c>
      <c r="I115" s="1664">
        <f t="shared" si="21"/>
        <v>20467.660814999999</v>
      </c>
      <c r="J115" s="1664">
        <f t="shared" si="22"/>
        <v>-265429.82358500001</v>
      </c>
      <c r="K115" s="1665"/>
      <c r="L115" s="1663">
        <f t="shared" si="23"/>
        <v>-649767.01</v>
      </c>
      <c r="M115" s="1664">
        <f t="shared" si="24"/>
        <v>-136451.07209999999</v>
      </c>
      <c r="N115" s="1663">
        <v>-58479.030899999998</v>
      </c>
      <c r="O115" s="1664">
        <f t="shared" si="25"/>
        <v>12280.596489</v>
      </c>
      <c r="P115" s="1664">
        <f t="shared" si="26"/>
        <v>-182649.50651100001</v>
      </c>
      <c r="Q115" s="1664"/>
      <c r="R115" s="1664">
        <f t="shared" si="27"/>
        <v>-82780.317073999991</v>
      </c>
      <c r="S115" s="1665"/>
      <c r="T115" s="1663">
        <v>0</v>
      </c>
      <c r="U115" s="1665"/>
      <c r="V115" s="1663">
        <v>0</v>
      </c>
      <c r="W115" s="1665"/>
      <c r="X115" s="1664">
        <f t="shared" si="28"/>
        <v>-82780.317073999991</v>
      </c>
      <c r="Y115" s="1660"/>
      <c r="Z115" s="1453" t="s">
        <v>1478</v>
      </c>
      <c r="AA115" s="1661"/>
      <c r="AB115" s="1453" t="s">
        <v>22</v>
      </c>
      <c r="AC115" s="1661"/>
      <c r="AD115" s="1662">
        <v>0</v>
      </c>
      <c r="AE115" s="1661"/>
      <c r="AF115" s="1659">
        <f t="shared" si="29"/>
        <v>0</v>
      </c>
      <c r="AG115" s="1010"/>
      <c r="AH115" s="1316">
        <v>283</v>
      </c>
      <c r="AI115" s="1316"/>
    </row>
    <row r="116" spans="2:35">
      <c r="B116" s="1316">
        <v>100</v>
      </c>
      <c r="C116" s="1444" t="s">
        <v>1739</v>
      </c>
      <c r="D116" s="1444" t="s">
        <v>1692</v>
      </c>
      <c r="E116" s="1444" t="s">
        <v>1464</v>
      </c>
      <c r="F116" s="1663">
        <v>-16325388.67</v>
      </c>
      <c r="G116" s="1664">
        <f t="shared" si="20"/>
        <v>-5713886.0345000001</v>
      </c>
      <c r="H116" s="1663">
        <v>-1469284.9802999999</v>
      </c>
      <c r="I116" s="1664">
        <f t="shared" si="21"/>
        <v>514249.74310499994</v>
      </c>
      <c r="J116" s="1664">
        <f t="shared" si="22"/>
        <v>-6668921.2716950001</v>
      </c>
      <c r="K116" s="1665"/>
      <c r="L116" s="1663">
        <f t="shared" si="23"/>
        <v>-16325388.67</v>
      </c>
      <c r="M116" s="1664">
        <f t="shared" si="24"/>
        <v>-3428331.6206999999</v>
      </c>
      <c r="N116" s="1663">
        <v>-1469284.9802999999</v>
      </c>
      <c r="O116" s="1664">
        <f t="shared" si="25"/>
        <v>308549.84586299997</v>
      </c>
      <c r="P116" s="1664">
        <f t="shared" si="26"/>
        <v>-4589066.7551370002</v>
      </c>
      <c r="Q116" s="1664"/>
      <c r="R116" s="1664">
        <f t="shared" si="27"/>
        <v>-2079854.5165579999</v>
      </c>
      <c r="S116" s="1665"/>
      <c r="T116" s="1663">
        <v>0</v>
      </c>
      <c r="U116" s="1665"/>
      <c r="V116" s="1663">
        <v>0</v>
      </c>
      <c r="W116" s="1665"/>
      <c r="X116" s="1664">
        <f t="shared" si="28"/>
        <v>-2079854.5165579999</v>
      </c>
      <c r="Y116" s="1660"/>
      <c r="Z116" s="1453" t="s">
        <v>1478</v>
      </c>
      <c r="AA116" s="1661"/>
      <c r="AB116" s="1453" t="s">
        <v>22</v>
      </c>
      <c r="AC116" s="1661"/>
      <c r="AD116" s="1662">
        <v>0</v>
      </c>
      <c r="AE116" s="1661"/>
      <c r="AF116" s="1659">
        <f t="shared" si="29"/>
        <v>0</v>
      </c>
      <c r="AG116" s="1010"/>
      <c r="AH116" s="1316">
        <v>283</v>
      </c>
      <c r="AI116" s="1316"/>
    </row>
    <row r="117" spans="2:35">
      <c r="B117" s="1316">
        <v>101</v>
      </c>
      <c r="C117" s="1444" t="s">
        <v>1740</v>
      </c>
      <c r="D117" s="1444" t="s">
        <v>1692</v>
      </c>
      <c r="E117" s="1444" t="s">
        <v>1464</v>
      </c>
      <c r="F117" s="1663">
        <v>-9967332.7200000007</v>
      </c>
      <c r="G117" s="1664">
        <f t="shared" si="20"/>
        <v>-3488566.452</v>
      </c>
      <c r="H117" s="1663">
        <v>-897059.94480000006</v>
      </c>
      <c r="I117" s="1664">
        <f t="shared" si="21"/>
        <v>313970.98067999998</v>
      </c>
      <c r="J117" s="1664">
        <f t="shared" si="22"/>
        <v>-4071655.4161200002</v>
      </c>
      <c r="K117" s="1665"/>
      <c r="L117" s="1663">
        <f t="shared" si="23"/>
        <v>-9967332.7200000007</v>
      </c>
      <c r="M117" s="1664">
        <f t="shared" si="24"/>
        <v>-2093139.8712000002</v>
      </c>
      <c r="N117" s="1663">
        <v>-897059.94480000006</v>
      </c>
      <c r="O117" s="1664">
        <f t="shared" si="25"/>
        <v>188382.58840800001</v>
      </c>
      <c r="P117" s="1664">
        <f t="shared" si="26"/>
        <v>-2801817.2275920003</v>
      </c>
      <c r="Q117" s="1664"/>
      <c r="R117" s="1664">
        <f t="shared" si="27"/>
        <v>-1269838.1885279999</v>
      </c>
      <c r="S117" s="1665"/>
      <c r="T117" s="1663">
        <v>0</v>
      </c>
      <c r="U117" s="1665"/>
      <c r="V117" s="1663">
        <v>0</v>
      </c>
      <c r="W117" s="1665"/>
      <c r="X117" s="1664">
        <f t="shared" si="28"/>
        <v>-1269838.1885279999</v>
      </c>
      <c r="Y117" s="1660"/>
      <c r="Z117" s="1453" t="s">
        <v>1478</v>
      </c>
      <c r="AA117" s="1661"/>
      <c r="AB117" s="1453" t="s">
        <v>22</v>
      </c>
      <c r="AC117" s="1661"/>
      <c r="AD117" s="1662">
        <v>0</v>
      </c>
      <c r="AE117" s="1661"/>
      <c r="AF117" s="1659">
        <f t="shared" si="29"/>
        <v>0</v>
      </c>
      <c r="AG117" s="1010"/>
      <c r="AH117" s="1316">
        <v>283</v>
      </c>
      <c r="AI117" s="1316"/>
    </row>
    <row r="118" spans="2:35">
      <c r="B118" s="1316">
        <v>102</v>
      </c>
      <c r="C118" s="1444" t="s">
        <v>1741</v>
      </c>
      <c r="D118" s="1444" t="s">
        <v>1692</v>
      </c>
      <c r="E118" s="1444" t="s">
        <v>1464</v>
      </c>
      <c r="F118" s="1663">
        <v>-34756750</v>
      </c>
      <c r="G118" s="1664">
        <f t="shared" si="20"/>
        <v>-12164862.5</v>
      </c>
      <c r="H118" s="1663">
        <v>-3128107.5</v>
      </c>
      <c r="I118" s="1664">
        <f t="shared" si="21"/>
        <v>1094837.625</v>
      </c>
      <c r="J118" s="1664">
        <f t="shared" si="22"/>
        <v>-14198132.375</v>
      </c>
      <c r="K118" s="1665"/>
      <c r="L118" s="1663">
        <f t="shared" si="23"/>
        <v>-34756750</v>
      </c>
      <c r="M118" s="1664">
        <f t="shared" si="24"/>
        <v>-7298917.5</v>
      </c>
      <c r="N118" s="1663">
        <v>-3128107.5</v>
      </c>
      <c r="O118" s="1664">
        <f t="shared" si="25"/>
        <v>656902.57499999995</v>
      </c>
      <c r="P118" s="1664">
        <f t="shared" si="26"/>
        <v>-9770122.4250000007</v>
      </c>
      <c r="Q118" s="1664"/>
      <c r="R118" s="1664">
        <f t="shared" si="27"/>
        <v>-4428009.9499999993</v>
      </c>
      <c r="S118" s="1665"/>
      <c r="T118" s="1663">
        <v>0</v>
      </c>
      <c r="U118" s="1665"/>
      <c r="V118" s="1663">
        <v>0</v>
      </c>
      <c r="W118" s="1665"/>
      <c r="X118" s="1664">
        <f t="shared" si="28"/>
        <v>-4428009.9499999993</v>
      </c>
      <c r="Y118" s="1660"/>
      <c r="Z118" s="1453" t="s">
        <v>1478</v>
      </c>
      <c r="AA118" s="1661"/>
      <c r="AB118" s="1453" t="s">
        <v>22</v>
      </c>
      <c r="AC118" s="1661"/>
      <c r="AD118" s="1662">
        <v>0</v>
      </c>
      <c r="AE118" s="1661"/>
      <c r="AF118" s="1659">
        <f t="shared" si="29"/>
        <v>0</v>
      </c>
      <c r="AG118" s="1010"/>
      <c r="AH118" s="1316">
        <v>283</v>
      </c>
      <c r="AI118" s="1316"/>
    </row>
    <row r="119" spans="2:35">
      <c r="B119" s="1316">
        <v>103</v>
      </c>
      <c r="C119" s="1444" t="s">
        <v>1742</v>
      </c>
      <c r="D119" s="1444" t="s">
        <v>1692</v>
      </c>
      <c r="E119" s="1444" t="s">
        <v>1464</v>
      </c>
      <c r="F119" s="1663">
        <v>-965000</v>
      </c>
      <c r="G119" s="1664">
        <f t="shared" si="20"/>
        <v>-337750</v>
      </c>
      <c r="H119" s="1663">
        <v>-86850</v>
      </c>
      <c r="I119" s="1664">
        <f t="shared" si="21"/>
        <v>30397.499999999996</v>
      </c>
      <c r="J119" s="1664">
        <f t="shared" si="22"/>
        <v>-394202.5</v>
      </c>
      <c r="K119" s="1665"/>
      <c r="L119" s="1663">
        <f t="shared" si="23"/>
        <v>-965000</v>
      </c>
      <c r="M119" s="1664">
        <f t="shared" si="24"/>
        <v>-202650</v>
      </c>
      <c r="N119" s="1663">
        <v>-86850</v>
      </c>
      <c r="O119" s="1664">
        <f t="shared" si="25"/>
        <v>18238.5</v>
      </c>
      <c r="P119" s="1664">
        <f t="shared" si="26"/>
        <v>-271261.5</v>
      </c>
      <c r="Q119" s="1664"/>
      <c r="R119" s="1664">
        <f t="shared" si="27"/>
        <v>-122941</v>
      </c>
      <c r="S119" s="1665"/>
      <c r="T119" s="1663">
        <v>0</v>
      </c>
      <c r="U119" s="1665"/>
      <c r="V119" s="1663">
        <v>0</v>
      </c>
      <c r="W119" s="1665"/>
      <c r="X119" s="1664">
        <f t="shared" si="28"/>
        <v>-122941</v>
      </c>
      <c r="Y119" s="1660"/>
      <c r="Z119" s="1453" t="s">
        <v>1478</v>
      </c>
      <c r="AA119" s="1661"/>
      <c r="AB119" s="1453" t="s">
        <v>22</v>
      </c>
      <c r="AC119" s="1661"/>
      <c r="AD119" s="1662">
        <v>0</v>
      </c>
      <c r="AE119" s="1661"/>
      <c r="AF119" s="1659">
        <f t="shared" si="29"/>
        <v>0</v>
      </c>
      <c r="AG119" s="1010"/>
      <c r="AH119" s="1316">
        <v>283</v>
      </c>
      <c r="AI119" s="1316"/>
    </row>
    <row r="120" spans="2:35">
      <c r="B120" s="1316">
        <v>104</v>
      </c>
      <c r="C120" s="1444" t="s">
        <v>1743</v>
      </c>
      <c r="D120" s="1444" t="s">
        <v>1692</v>
      </c>
      <c r="E120" s="1444" t="s">
        <v>1464</v>
      </c>
      <c r="F120" s="1663">
        <v>-2026809.5</v>
      </c>
      <c r="G120" s="1664">
        <f t="shared" si="20"/>
        <v>-709383.32499999995</v>
      </c>
      <c r="H120" s="1663">
        <v>-182412.85499999998</v>
      </c>
      <c r="I120" s="1664">
        <f t="shared" si="21"/>
        <v>63844.499249999986</v>
      </c>
      <c r="J120" s="1664">
        <f t="shared" si="22"/>
        <v>-827951.68074999994</v>
      </c>
      <c r="K120" s="1665"/>
      <c r="L120" s="1663">
        <f t="shared" si="23"/>
        <v>-2026809.5</v>
      </c>
      <c r="M120" s="1664">
        <f t="shared" si="24"/>
        <v>-425629.995</v>
      </c>
      <c r="N120" s="1663">
        <v>-182412.85499999998</v>
      </c>
      <c r="O120" s="1664">
        <f t="shared" si="25"/>
        <v>38306.699549999998</v>
      </c>
      <c r="P120" s="1664">
        <f t="shared" si="26"/>
        <v>-569736.15044999996</v>
      </c>
      <c r="Q120" s="1664"/>
      <c r="R120" s="1664">
        <f t="shared" si="27"/>
        <v>-258215.53029999998</v>
      </c>
      <c r="S120" s="1665"/>
      <c r="T120" s="1663">
        <v>0</v>
      </c>
      <c r="U120" s="1665"/>
      <c r="V120" s="1663">
        <v>0</v>
      </c>
      <c r="W120" s="1665"/>
      <c r="X120" s="1664">
        <f t="shared" si="28"/>
        <v>-258215.53029999998</v>
      </c>
      <c r="Y120" s="1660"/>
      <c r="Z120" s="1453" t="s">
        <v>1478</v>
      </c>
      <c r="AA120" s="1661"/>
      <c r="AB120" s="1453" t="s">
        <v>22</v>
      </c>
      <c r="AC120" s="1661"/>
      <c r="AD120" s="1662">
        <v>0</v>
      </c>
      <c r="AE120" s="1661"/>
      <c r="AF120" s="1659">
        <f t="shared" si="29"/>
        <v>0</v>
      </c>
      <c r="AG120" s="1010"/>
      <c r="AH120" s="1316">
        <v>283</v>
      </c>
      <c r="AI120" s="1316"/>
    </row>
    <row r="121" spans="2:35" ht="13">
      <c r="B121" s="1316">
        <v>105</v>
      </c>
      <c r="C121" s="1666" t="s">
        <v>1498</v>
      </c>
      <c r="D121" s="1453"/>
      <c r="E121" s="1453"/>
      <c r="F121" s="1667">
        <f>SUM(F89:F120)</f>
        <v>-226408561.24999994</v>
      </c>
      <c r="G121" s="1667">
        <f>SUM(G89:G120)</f>
        <v>-79242996.43750003</v>
      </c>
      <c r="H121" s="1667">
        <f>SUM(H89:H120)</f>
        <v>-20376770.512500003</v>
      </c>
      <c r="I121" s="1667">
        <f>SUM(I89:I120)</f>
        <v>7131869.6793750003</v>
      </c>
      <c r="J121" s="1667">
        <f>SUM(J89:J120)</f>
        <v>-92487897.27062501</v>
      </c>
      <c r="K121" s="1668"/>
      <c r="L121" s="1667">
        <f>SUM(L89:L120)</f>
        <v>-226408561.24999994</v>
      </c>
      <c r="M121" s="1667">
        <f>SUM(M89:M120)</f>
        <v>-47545797.862500012</v>
      </c>
      <c r="N121" s="1667">
        <f>SUM(N89:N120)</f>
        <v>-20376770.512500003</v>
      </c>
      <c r="O121" s="1667">
        <f>SUM(O89:O120)</f>
        <v>4279121.8076250004</v>
      </c>
      <c r="P121" s="1667">
        <f>SUM(P89:P120)</f>
        <v>-63643446.567374997</v>
      </c>
      <c r="R121" s="1667">
        <f>SUM(R89:R120)</f>
        <v>-28844450.703249998</v>
      </c>
      <c r="S121" s="1668"/>
      <c r="T121" s="1667">
        <f>SUM(T89:T120)</f>
        <v>21881.330925999999</v>
      </c>
      <c r="U121" s="1668"/>
      <c r="V121" s="1667">
        <f>SUM(V89:V120)</f>
        <v>0</v>
      </c>
      <c r="W121" s="1668"/>
      <c r="X121" s="1667">
        <f>SUM(X89:X120)</f>
        <v>-28866332.034175999</v>
      </c>
      <c r="Y121" s="1668"/>
      <c r="Z121" s="1453"/>
      <c r="AA121" s="1669"/>
      <c r="AB121" s="1453"/>
      <c r="AC121" s="1669"/>
      <c r="AD121" s="1669"/>
      <c r="AE121" s="1669"/>
      <c r="AF121" s="1667">
        <f>SUM(AF89:AF120)</f>
        <v>-5013301.6464545364</v>
      </c>
      <c r="AG121" s="1669"/>
      <c r="AH121" s="1316"/>
      <c r="AI121" s="1316"/>
    </row>
    <row r="122" spans="2:35" ht="13">
      <c r="B122" s="1316"/>
      <c r="D122" s="1475"/>
      <c r="F122" s="1671"/>
      <c r="G122" s="1671"/>
      <c r="H122" s="1671"/>
      <c r="I122" s="1671"/>
      <c r="J122" s="1671"/>
      <c r="K122" s="1669"/>
      <c r="P122" s="1671"/>
      <c r="R122" s="1671"/>
      <c r="S122" s="1669"/>
      <c r="T122" s="1671"/>
      <c r="U122" s="1669"/>
      <c r="V122" s="1671"/>
      <c r="W122" s="1669"/>
      <c r="X122" s="1671"/>
      <c r="Y122" s="1669"/>
      <c r="AA122" s="1669"/>
      <c r="AC122" s="1669"/>
      <c r="AD122" s="1669"/>
      <c r="AE122" s="1669"/>
      <c r="AF122" s="1671"/>
      <c r="AG122" s="1669"/>
      <c r="AH122" s="1476"/>
      <c r="AI122" s="1476"/>
    </row>
    <row r="123" spans="2:35" ht="13.5" thickBot="1">
      <c r="B123" s="1316">
        <v>106</v>
      </c>
      <c r="C123" s="1666" t="s">
        <v>1499</v>
      </c>
      <c r="D123" s="1475"/>
      <c r="E123" s="1477"/>
      <c r="F123" s="1672">
        <f>F71+F86+F121</f>
        <v>-2471043864.7441034</v>
      </c>
      <c r="G123" s="1672">
        <f>G71+G86+G121</f>
        <v>-864865352.66043615</v>
      </c>
      <c r="H123" s="1672">
        <f>H71+H86+H121</f>
        <v>-126990125.02997825</v>
      </c>
      <c r="I123" s="1672">
        <f>I71+I86+I121</f>
        <v>44446543.760492377</v>
      </c>
      <c r="J123" s="1672">
        <f>J71+J86+J121</f>
        <v>-947408933.92992198</v>
      </c>
      <c r="K123" s="1669"/>
      <c r="L123" s="1672">
        <f>L71+L86+L121</f>
        <v>-2012270018.9893248</v>
      </c>
      <c r="M123" s="1672">
        <f>M71+M86+M121</f>
        <v>-422576703.9877581</v>
      </c>
      <c r="N123" s="1672">
        <f>N71+N86+N121</f>
        <v>-85700478.912048176</v>
      </c>
      <c r="O123" s="1672">
        <f>O71+O86+O121</f>
        <v>17997100.571530115</v>
      </c>
      <c r="P123" s="1672">
        <f>P71+P86+P121</f>
        <v>-490280082.32827622</v>
      </c>
      <c r="R123" s="1672">
        <f>R71+R86+R121</f>
        <v>-457128851.60164565</v>
      </c>
      <c r="S123" s="1669"/>
      <c r="T123" s="1672">
        <f>T71+T86+T121</f>
        <v>1540024.2883760002</v>
      </c>
      <c r="U123" s="1669"/>
      <c r="V123" s="1672">
        <f>V71+V86+V121</f>
        <v>-145116634.56749693</v>
      </c>
      <c r="W123" s="1669"/>
      <c r="X123" s="1672">
        <f>X71+X86+X121</f>
        <v>-313552241.32252473</v>
      </c>
      <c r="Y123" s="1669"/>
      <c r="Z123" s="1477"/>
      <c r="AA123" s="1669"/>
      <c r="AB123" s="1477"/>
      <c r="AC123" s="1669"/>
      <c r="AD123" s="1669"/>
      <c r="AE123" s="1669"/>
      <c r="AF123" s="1672">
        <f>AF71+AF86+AF121</f>
        <v>-2274013.4256729255</v>
      </c>
      <c r="AG123" s="1669"/>
      <c r="AH123" s="1476"/>
      <c r="AI123" s="1476"/>
    </row>
    <row r="124" spans="2:35" ht="15.75" customHeight="1" thickTop="1">
      <c r="F124" s="1671"/>
      <c r="G124" s="1671"/>
      <c r="H124" s="1671"/>
      <c r="I124" s="1671"/>
    </row>
    <row r="125" spans="2:35">
      <c r="F125" s="1671"/>
      <c r="G125" s="1671"/>
      <c r="H125" s="1671"/>
      <c r="I125" s="1671"/>
      <c r="V125" s="1478" t="s">
        <v>1405</v>
      </c>
      <c r="X125" s="1442">
        <f>SUMIF($E:$E,$V$125,X:X)</f>
        <v>-143678171.31729746</v>
      </c>
      <c r="AF125" s="1442">
        <f>SUMIF($E:$E,$V$125,AF:AF)</f>
        <v>-47844831.048660055</v>
      </c>
    </row>
    <row r="126" spans="2:35" ht="15.75" customHeight="1">
      <c r="B126" s="1477"/>
      <c r="V126" s="1479"/>
      <c r="X126" s="1650"/>
      <c r="AF126" s="1650"/>
    </row>
    <row r="127" spans="2:35">
      <c r="V127" s="1478" t="s">
        <v>1403</v>
      </c>
      <c r="X127" s="1650">
        <f>SUMIF($E:$E,$V$127,X:X)</f>
        <v>-146521319.9572295</v>
      </c>
      <c r="AF127" s="1650">
        <f>SUMIF($E:$E,$V$127,AF:AF)</f>
        <v>-54437931.937298149</v>
      </c>
    </row>
    <row r="128" spans="2:35" ht="15.75" customHeight="1">
      <c r="V128" s="1478" t="s">
        <v>1464</v>
      </c>
      <c r="X128" s="1650">
        <f>SUMIF($E:$E,$V$128,X:X)</f>
        <v>-23352750.047997907</v>
      </c>
      <c r="AF128" s="1650">
        <f>SUMIF($E:$E,$V$128,AF:AF)</f>
        <v>-5844967.5154886637</v>
      </c>
    </row>
    <row r="129" spans="1:35" ht="5.15" customHeight="1">
      <c r="V129" s="1010"/>
      <c r="X129" s="1650"/>
      <c r="AF129" s="1650"/>
    </row>
    <row r="130" spans="1:35" ht="15.75" customHeight="1">
      <c r="V130" s="1480" t="s">
        <v>1500</v>
      </c>
      <c r="X130" s="1673">
        <f>SUM(X127:X129)</f>
        <v>-169874070.00522739</v>
      </c>
      <c r="AF130" s="1673">
        <f>SUM(AF127:AF129)</f>
        <v>-60282899.452786811</v>
      </c>
    </row>
    <row r="131" spans="1:35">
      <c r="V131" s="1479"/>
      <c r="X131" s="1650"/>
      <c r="AF131" s="1650"/>
    </row>
    <row r="132" spans="1:35" ht="15.75" customHeight="1" thickBot="1">
      <c r="B132" s="1481"/>
      <c r="V132" s="1480" t="s">
        <v>1501</v>
      </c>
      <c r="X132" s="1674">
        <f>X125+X130</f>
        <v>-313552241.32252485</v>
      </c>
      <c r="AF132" s="1674">
        <f>AF125+AF130</f>
        <v>-108127730.50144687</v>
      </c>
    </row>
    <row r="133" spans="1:35" ht="15.75" customHeight="1" thickTop="1">
      <c r="B133" s="1481"/>
      <c r="V133" s="1480"/>
      <c r="X133" s="1675"/>
      <c r="AF133" s="1675"/>
    </row>
    <row r="134" spans="1:35" ht="15.75" customHeight="1">
      <c r="A134" s="1348"/>
      <c r="B134" s="918" t="s">
        <v>1422</v>
      </c>
      <c r="C134" s="1348"/>
      <c r="D134" s="1348"/>
      <c r="E134" s="1348"/>
      <c r="F134" s="1348"/>
      <c r="G134" s="1348"/>
      <c r="H134" s="1348"/>
      <c r="I134" s="1348"/>
      <c r="J134" s="1348"/>
      <c r="K134" s="1348"/>
      <c r="L134" s="1348"/>
      <c r="M134" s="1348"/>
      <c r="N134" s="1348"/>
      <c r="O134" s="1348"/>
      <c r="P134" s="1348"/>
      <c r="Q134" s="1348"/>
      <c r="R134" s="1348"/>
      <c r="S134" s="1348"/>
      <c r="T134" s="1348"/>
      <c r="U134" s="1348"/>
      <c r="V134" s="1348"/>
      <c r="W134" s="1348"/>
      <c r="X134" s="1348"/>
      <c r="Y134" s="1348"/>
      <c r="Z134" s="1348"/>
      <c r="AA134" s="1348"/>
      <c r="AB134" s="1348"/>
      <c r="AC134" s="1348"/>
      <c r="AD134" s="1348"/>
      <c r="AE134" s="1348"/>
      <c r="AF134" s="1348"/>
      <c r="AG134" s="1348"/>
      <c r="AH134" s="1348"/>
      <c r="AI134" s="1348"/>
    </row>
    <row r="135" spans="1:35">
      <c r="B135" s="1482"/>
      <c r="C135" s="1482"/>
      <c r="D135" s="1482"/>
      <c r="Z135" s="1468"/>
      <c r="AB135" s="1468"/>
      <c r="AH135" s="1468"/>
      <c r="AI135" s="1468"/>
    </row>
    <row r="136" spans="1:35" ht="15.75" customHeight="1">
      <c r="B136" s="1771" t="s">
        <v>1502</v>
      </c>
      <c r="C136" s="1771"/>
      <c r="D136" s="1771"/>
      <c r="V136" s="1483"/>
      <c r="X136" s="1484"/>
      <c r="AF136" s="1484"/>
      <c r="AH136" s="1468"/>
      <c r="AI136" s="1470"/>
    </row>
    <row r="137" spans="1:35" ht="15.75" customHeight="1">
      <c r="B137" s="1771"/>
      <c r="C137" s="1771"/>
      <c r="D137" s="1771"/>
      <c r="V137" s="1483"/>
      <c r="X137" s="1484"/>
      <c r="AF137" s="1484"/>
      <c r="AH137" s="1468"/>
      <c r="AI137" s="1470"/>
    </row>
    <row r="138" spans="1:35" ht="15.75" customHeight="1">
      <c r="B138" s="1771"/>
      <c r="C138" s="1771"/>
      <c r="D138" s="1771"/>
      <c r="V138" s="1483"/>
      <c r="X138" s="1484"/>
      <c r="AF138" s="1484"/>
      <c r="AH138" s="1468"/>
      <c r="AI138" s="1470"/>
    </row>
    <row r="139" spans="1:35" ht="15.75" customHeight="1">
      <c r="B139" s="1771"/>
      <c r="C139" s="1771"/>
      <c r="D139" s="1771"/>
      <c r="V139" s="1483"/>
      <c r="X139" s="1484"/>
      <c r="AF139" s="1484"/>
      <c r="AH139" s="1468"/>
      <c r="AI139" s="1470"/>
    </row>
    <row r="140" spans="1:35" ht="15.75" customHeight="1">
      <c r="B140" s="1771"/>
      <c r="C140" s="1771"/>
      <c r="D140" s="1771"/>
      <c r="V140" s="1483"/>
      <c r="X140" s="1484"/>
      <c r="AF140" s="1484"/>
      <c r="AH140" s="1468"/>
      <c r="AI140" s="1470"/>
    </row>
    <row r="141" spans="1:35" ht="15.75" customHeight="1">
      <c r="B141" s="1771"/>
      <c r="C141" s="1771"/>
      <c r="D141" s="1771"/>
      <c r="V141" s="1483"/>
      <c r="X141" s="1484"/>
      <c r="AF141" s="1484"/>
      <c r="AH141" s="1468"/>
      <c r="AI141" s="1470"/>
    </row>
    <row r="142" spans="1:35" ht="15.75" customHeight="1">
      <c r="B142" s="1771"/>
      <c r="C142" s="1771"/>
      <c r="D142" s="1771"/>
      <c r="V142" s="1483"/>
      <c r="X142" s="1484"/>
      <c r="AF142" s="1484"/>
      <c r="AH142" s="1468"/>
      <c r="AI142" s="1470"/>
    </row>
    <row r="143" spans="1:35" ht="15.75" customHeight="1">
      <c r="B143" s="1771"/>
      <c r="C143" s="1771"/>
      <c r="D143" s="1771"/>
      <c r="V143" s="1483"/>
      <c r="X143" s="1484"/>
      <c r="AF143" s="1484"/>
      <c r="AH143" s="1468"/>
      <c r="AI143" s="1470"/>
    </row>
    <row r="144" spans="1:35" ht="15.75" customHeight="1">
      <c r="B144" s="1771"/>
      <c r="C144" s="1771"/>
      <c r="D144" s="1771"/>
      <c r="V144" s="1483"/>
      <c r="X144" s="1484"/>
      <c r="AF144" s="1484"/>
      <c r="AH144" s="1468"/>
      <c r="AI144" s="1470"/>
    </row>
    <row r="145" spans="1:35" ht="15.75" customHeight="1">
      <c r="B145" s="1771"/>
      <c r="C145" s="1771"/>
      <c r="D145" s="1771"/>
      <c r="V145" s="1483"/>
      <c r="X145" s="1484"/>
      <c r="AF145" s="1484"/>
      <c r="AH145" s="1468"/>
      <c r="AI145" s="1470"/>
    </row>
    <row r="146" spans="1:35" ht="15.75" customHeight="1">
      <c r="B146" s="1771"/>
      <c r="C146" s="1771"/>
      <c r="D146" s="1771"/>
      <c r="V146" s="1483"/>
      <c r="X146" s="1484"/>
      <c r="AF146" s="1484"/>
      <c r="AH146" s="1468"/>
      <c r="AI146" s="1470"/>
    </row>
    <row r="147" spans="1:35" ht="12.75" customHeight="1">
      <c r="B147" s="1769" t="s">
        <v>1503</v>
      </c>
      <c r="C147" s="1769"/>
      <c r="D147" s="1769"/>
      <c r="E147" s="1485"/>
      <c r="F147" s="1485"/>
      <c r="G147" s="1485"/>
      <c r="H147" s="1485"/>
      <c r="I147" s="1485"/>
      <c r="J147" s="1485"/>
      <c r="K147" s="1485"/>
      <c r="L147" s="1485"/>
      <c r="M147" s="1485"/>
      <c r="N147" s="1485"/>
      <c r="O147" s="1485"/>
      <c r="Z147" s="1468"/>
      <c r="AB147" s="1468"/>
      <c r="AH147" s="1468"/>
      <c r="AI147" s="1468"/>
    </row>
    <row r="148" spans="1:35">
      <c r="B148" s="1769"/>
      <c r="C148" s="1769"/>
      <c r="D148" s="1769"/>
      <c r="E148" s="1485"/>
      <c r="F148" s="1485"/>
      <c r="G148" s="1485"/>
      <c r="H148" s="1485"/>
      <c r="I148" s="1485"/>
      <c r="J148" s="1485"/>
      <c r="K148" s="1485"/>
      <c r="L148" s="1485"/>
      <c r="M148" s="1485"/>
      <c r="N148" s="1485"/>
      <c r="O148" s="1485"/>
    </row>
    <row r="149" spans="1:35">
      <c r="B149" s="1769"/>
      <c r="C149" s="1769"/>
      <c r="D149" s="1769"/>
      <c r="E149" s="1485"/>
      <c r="F149" s="1485"/>
      <c r="G149" s="1485"/>
      <c r="H149" s="1485"/>
      <c r="I149" s="1485"/>
      <c r="J149" s="1485"/>
      <c r="K149" s="1485"/>
      <c r="L149" s="1485"/>
      <c r="M149" s="1485"/>
      <c r="N149" s="1485"/>
      <c r="O149" s="1485"/>
    </row>
    <row r="150" spans="1:35" ht="12.75" customHeight="1">
      <c r="B150" s="1769" t="s">
        <v>1504</v>
      </c>
      <c r="C150" s="1769"/>
      <c r="D150" s="1769"/>
      <c r="E150" s="1485"/>
      <c r="F150" s="1485"/>
      <c r="G150" s="1485"/>
      <c r="H150" s="1485"/>
      <c r="I150" s="1485"/>
      <c r="J150" s="1485"/>
      <c r="K150" s="1485"/>
      <c r="L150" s="1485"/>
      <c r="M150" s="1485"/>
      <c r="N150" s="1485"/>
      <c r="O150" s="1485"/>
    </row>
    <row r="151" spans="1:35">
      <c r="B151" s="1769"/>
      <c r="C151" s="1769"/>
      <c r="D151" s="1769"/>
      <c r="E151" s="1485"/>
      <c r="F151" s="1485"/>
      <c r="G151" s="1485"/>
      <c r="H151" s="1485"/>
      <c r="I151" s="1485"/>
      <c r="J151" s="1485"/>
      <c r="K151" s="1485"/>
      <c r="L151" s="1485"/>
      <c r="M151" s="1485"/>
      <c r="N151" s="1485"/>
      <c r="O151" s="1485"/>
    </row>
    <row r="152" spans="1:35">
      <c r="B152" s="1482"/>
      <c r="C152" s="1482"/>
      <c r="D152" s="1482"/>
    </row>
    <row r="153" spans="1:35" ht="15.75" customHeight="1">
      <c r="A153" s="1348"/>
      <c r="B153" s="1683" t="s">
        <v>925</v>
      </c>
      <c r="C153" s="1348"/>
      <c r="D153" s="1348"/>
      <c r="E153" s="1348"/>
      <c r="F153" s="1348"/>
      <c r="G153" s="1348"/>
      <c r="H153" s="1348"/>
      <c r="I153" s="1348"/>
      <c r="J153" s="1348"/>
      <c r="K153" s="1348"/>
      <c r="L153" s="1348"/>
      <c r="M153" s="1348"/>
      <c r="N153" s="1348"/>
      <c r="O153" s="1348"/>
      <c r="P153" s="1348"/>
      <c r="Q153" s="1348"/>
      <c r="R153" s="1348"/>
      <c r="S153" s="1348"/>
      <c r="T153" s="1348"/>
      <c r="U153" s="1348"/>
      <c r="V153" s="1348"/>
      <c r="W153" s="1348"/>
      <c r="X153" s="1348"/>
      <c r="Y153" s="1348"/>
      <c r="Z153" s="1348"/>
      <c r="AA153" s="1348"/>
      <c r="AB153" s="1348"/>
      <c r="AC153" s="1348"/>
      <c r="AD153" s="1348"/>
      <c r="AE153" s="1348"/>
      <c r="AF153" s="1348"/>
      <c r="AG153" s="1348"/>
      <c r="AH153" s="1348"/>
      <c r="AI153" s="1348"/>
    </row>
    <row r="154" spans="1:35">
      <c r="B154" s="1482"/>
      <c r="C154" s="1482"/>
      <c r="D154" s="1482"/>
    </row>
    <row r="155" spans="1:35" ht="15.75" customHeight="1">
      <c r="B155" s="1486" t="s">
        <v>9</v>
      </c>
      <c r="C155" s="1770" t="s">
        <v>1505</v>
      </c>
      <c r="D155" s="1770"/>
      <c r="X155" s="1487"/>
    </row>
    <row r="156" spans="1:35" ht="15.75" customHeight="1">
      <c r="B156" s="1486"/>
      <c r="C156" s="1770"/>
      <c r="D156" s="1770"/>
      <c r="X156" s="1487"/>
    </row>
    <row r="157" spans="1:35" ht="15.75" customHeight="1">
      <c r="B157" s="1486"/>
      <c r="C157" s="1770"/>
      <c r="D157" s="1770"/>
      <c r="X157" s="1487"/>
    </row>
    <row r="158" spans="1:35">
      <c r="B158" s="1482"/>
      <c r="C158" s="1770"/>
      <c r="D158" s="1770"/>
    </row>
    <row r="159" spans="1:35" ht="15.75" customHeight="1">
      <c r="B159" s="1488" t="s">
        <v>10</v>
      </c>
      <c r="C159" s="1771" t="s">
        <v>1506</v>
      </c>
      <c r="D159" s="1771"/>
    </row>
    <row r="160" spans="1:35">
      <c r="C160" s="1771"/>
      <c r="D160" s="1771"/>
    </row>
    <row r="161" spans="1:162" ht="15.75" customHeight="1">
      <c r="C161" s="1470" t="s">
        <v>86</v>
      </c>
    </row>
    <row r="163" spans="1:162" ht="15.75" customHeight="1">
      <c r="A163" s="1676" t="s">
        <v>489</v>
      </c>
      <c r="B163" s="1676"/>
      <c r="C163" s="1677"/>
      <c r="D163" s="1678"/>
      <c r="E163" s="1678"/>
      <c r="F163" s="1679"/>
      <c r="G163" s="1678"/>
      <c r="H163" s="1678"/>
      <c r="I163" s="1678"/>
      <c r="J163" s="1678"/>
      <c r="K163" s="1678"/>
      <c r="L163" s="1678"/>
      <c r="M163" s="1678"/>
      <c r="N163" s="1678"/>
      <c r="O163" s="1678"/>
      <c r="P163" s="1678"/>
      <c r="Q163" s="1678"/>
      <c r="R163" s="1678"/>
      <c r="S163" s="1678"/>
      <c r="T163" s="1678"/>
      <c r="U163" s="1678"/>
      <c r="V163" s="1678"/>
      <c r="W163" s="1678"/>
      <c r="X163" s="1678"/>
      <c r="Y163" s="1678"/>
      <c r="Z163" s="1678"/>
      <c r="AA163" s="1678"/>
      <c r="AB163" s="1678"/>
      <c r="AC163" s="1678"/>
      <c r="AD163" s="1678"/>
      <c r="AE163" s="1678"/>
      <c r="AF163" s="1678"/>
      <c r="AG163" s="1678"/>
      <c r="AH163" s="1678"/>
      <c r="AI163" s="1678"/>
    </row>
    <row r="165" spans="1:162" ht="15.75" customHeight="1"/>
    <row r="167" spans="1:162" ht="15.75" customHeight="1"/>
    <row r="169" spans="1:162" ht="15.75" customHeight="1"/>
    <row r="171" spans="1:162" s="1470" customFormat="1" ht="15.75" customHeight="1">
      <c r="F171" s="1468"/>
      <c r="G171" s="1468"/>
      <c r="H171" s="1468"/>
      <c r="I171" s="1468"/>
      <c r="J171" s="1468"/>
      <c r="K171" s="1468"/>
      <c r="L171" s="1468"/>
      <c r="M171" s="1468"/>
      <c r="N171" s="1468"/>
      <c r="O171" s="1468"/>
      <c r="P171" s="1468"/>
      <c r="Q171" s="1468"/>
      <c r="R171" s="1468"/>
      <c r="S171" s="1468"/>
      <c r="T171" s="1468"/>
      <c r="U171" s="1468"/>
      <c r="V171" s="1468"/>
      <c r="W171" s="1468"/>
      <c r="X171" s="1468"/>
      <c r="Y171" s="1468"/>
      <c r="AA171" s="1468"/>
      <c r="AC171" s="1468"/>
      <c r="AD171" s="1468"/>
      <c r="AE171" s="1468"/>
      <c r="AF171" s="1468"/>
      <c r="AG171" s="1468"/>
      <c r="AH171" s="1469"/>
      <c r="AI171" s="1469"/>
      <c r="AJ171" s="1468"/>
      <c r="AK171" s="1468"/>
      <c r="AL171" s="1468"/>
      <c r="AM171" s="1468"/>
      <c r="AN171" s="1468"/>
      <c r="AO171" s="1468"/>
      <c r="AP171" s="1468"/>
      <c r="AQ171" s="1468"/>
      <c r="AR171" s="1468"/>
      <c r="AS171" s="1468"/>
      <c r="AT171" s="1468"/>
      <c r="AU171" s="1468"/>
      <c r="AV171" s="1468"/>
      <c r="AW171" s="1468"/>
      <c r="AX171" s="1468"/>
      <c r="AY171" s="1468"/>
      <c r="AZ171" s="1468"/>
      <c r="BA171" s="1468"/>
      <c r="BB171" s="1468"/>
      <c r="BC171" s="1468"/>
      <c r="BD171" s="1468"/>
      <c r="BE171" s="1468"/>
      <c r="BF171" s="1468"/>
      <c r="BG171" s="1468"/>
      <c r="BH171" s="1468"/>
      <c r="BI171" s="1468"/>
      <c r="BJ171" s="1468"/>
      <c r="BK171" s="1468"/>
      <c r="BL171" s="1468"/>
      <c r="BM171" s="1468"/>
      <c r="BN171" s="1468"/>
      <c r="BO171" s="1468"/>
      <c r="BP171" s="1468"/>
      <c r="BQ171" s="1468"/>
      <c r="BR171" s="1468"/>
      <c r="BS171" s="1468"/>
      <c r="BT171" s="1468"/>
      <c r="BU171" s="1468"/>
      <c r="BV171" s="1468"/>
      <c r="BW171" s="1468"/>
      <c r="BX171" s="1468"/>
      <c r="BY171" s="1468"/>
      <c r="BZ171" s="1468"/>
      <c r="CA171" s="1468"/>
      <c r="CB171" s="1468"/>
      <c r="CC171" s="1468"/>
      <c r="CD171" s="1468"/>
      <c r="CE171" s="1468"/>
      <c r="CF171" s="1468"/>
      <c r="CG171" s="1468"/>
      <c r="CH171" s="1468"/>
      <c r="CI171" s="1468"/>
      <c r="CJ171" s="1468"/>
      <c r="CK171" s="1468"/>
      <c r="CL171" s="1468"/>
      <c r="CM171" s="1468"/>
      <c r="CN171" s="1468"/>
      <c r="CO171" s="1468"/>
      <c r="CP171" s="1468"/>
      <c r="CQ171" s="1468"/>
      <c r="CR171" s="1468"/>
      <c r="CS171" s="1468"/>
      <c r="CT171" s="1468"/>
      <c r="CU171" s="1468"/>
      <c r="CV171" s="1468"/>
      <c r="CW171" s="1468"/>
      <c r="CX171" s="1468"/>
      <c r="CY171" s="1468"/>
      <c r="CZ171" s="1468"/>
      <c r="DA171" s="1468"/>
      <c r="DB171" s="1468"/>
      <c r="DC171" s="1468"/>
      <c r="DD171" s="1468"/>
      <c r="DE171" s="1468"/>
      <c r="DF171" s="1468"/>
      <c r="DG171" s="1468"/>
      <c r="DH171" s="1468"/>
      <c r="DI171" s="1468"/>
      <c r="DJ171" s="1468"/>
      <c r="DK171" s="1468"/>
      <c r="DL171" s="1468"/>
      <c r="DM171" s="1468"/>
      <c r="DN171" s="1468"/>
      <c r="DO171" s="1468"/>
      <c r="DP171" s="1468"/>
      <c r="DQ171" s="1468"/>
      <c r="DR171" s="1468"/>
      <c r="DS171" s="1468"/>
      <c r="DT171" s="1468"/>
      <c r="DU171" s="1468"/>
      <c r="DV171" s="1468"/>
      <c r="DW171" s="1468"/>
      <c r="DX171" s="1468"/>
      <c r="DY171" s="1468"/>
      <c r="DZ171" s="1468"/>
      <c r="EA171" s="1468"/>
      <c r="EB171" s="1468"/>
      <c r="EC171" s="1468"/>
      <c r="ED171" s="1468"/>
      <c r="EE171" s="1468"/>
      <c r="EF171" s="1468"/>
      <c r="EG171" s="1468"/>
      <c r="EH171" s="1468"/>
      <c r="EI171" s="1468"/>
      <c r="EJ171" s="1468"/>
      <c r="EK171" s="1468"/>
      <c r="EL171" s="1468"/>
      <c r="EM171" s="1468"/>
      <c r="EN171" s="1468"/>
      <c r="EO171" s="1468"/>
      <c r="EP171" s="1468"/>
      <c r="EQ171" s="1468"/>
      <c r="ER171" s="1468"/>
      <c r="ES171" s="1468"/>
      <c r="ET171" s="1468"/>
      <c r="EU171" s="1468"/>
      <c r="EV171" s="1468"/>
      <c r="EW171" s="1468"/>
      <c r="EX171" s="1468"/>
      <c r="EY171" s="1468"/>
      <c r="EZ171" s="1468"/>
      <c r="FA171" s="1468"/>
      <c r="FB171" s="1468"/>
      <c r="FC171" s="1468"/>
      <c r="FD171" s="1468"/>
      <c r="FE171" s="1468"/>
      <c r="FF171" s="1468"/>
    </row>
    <row r="173" spans="1:162" s="1470" customFormat="1" ht="15.75" customHeight="1">
      <c r="F173" s="1468"/>
      <c r="G173" s="1468"/>
      <c r="H173" s="1468"/>
      <c r="I173" s="1468"/>
      <c r="J173" s="1468"/>
      <c r="K173" s="1468"/>
      <c r="L173" s="1468"/>
      <c r="M173" s="1468"/>
      <c r="N173" s="1468"/>
      <c r="O173" s="1468"/>
      <c r="P173" s="1468"/>
      <c r="Q173" s="1468"/>
      <c r="R173" s="1468"/>
      <c r="S173" s="1468"/>
      <c r="T173" s="1468"/>
      <c r="U173" s="1468"/>
      <c r="V173" s="1468"/>
      <c r="W173" s="1468"/>
      <c r="X173" s="1468"/>
      <c r="Y173" s="1468"/>
      <c r="AA173" s="1468"/>
      <c r="AC173" s="1468"/>
      <c r="AD173" s="1468"/>
      <c r="AE173" s="1468"/>
      <c r="AF173" s="1468"/>
      <c r="AG173" s="1468"/>
      <c r="AH173" s="1469"/>
      <c r="AI173" s="1469"/>
      <c r="AJ173" s="1468"/>
      <c r="AK173" s="1468"/>
      <c r="AL173" s="1468"/>
      <c r="AM173" s="1468"/>
      <c r="AN173" s="1468"/>
      <c r="AO173" s="1468"/>
      <c r="AP173" s="1468"/>
      <c r="AQ173" s="1468"/>
      <c r="AR173" s="1468"/>
      <c r="AS173" s="1468"/>
      <c r="AT173" s="1468"/>
      <c r="AU173" s="1468"/>
      <c r="AV173" s="1468"/>
      <c r="AW173" s="1468"/>
      <c r="AX173" s="1468"/>
      <c r="AY173" s="1468"/>
      <c r="AZ173" s="1468"/>
      <c r="BA173" s="1468"/>
      <c r="BB173" s="1468"/>
      <c r="BC173" s="1468"/>
      <c r="BD173" s="1468"/>
      <c r="BE173" s="1468"/>
      <c r="BF173" s="1468"/>
      <c r="BG173" s="1468"/>
      <c r="BH173" s="1468"/>
      <c r="BI173" s="1468"/>
      <c r="BJ173" s="1468"/>
      <c r="BK173" s="1468"/>
      <c r="BL173" s="1468"/>
      <c r="BM173" s="1468"/>
      <c r="BN173" s="1468"/>
      <c r="BO173" s="1468"/>
      <c r="BP173" s="1468"/>
      <c r="BQ173" s="1468"/>
      <c r="BR173" s="1468"/>
      <c r="BS173" s="1468"/>
      <c r="BT173" s="1468"/>
      <c r="BU173" s="1468"/>
      <c r="BV173" s="1468"/>
      <c r="BW173" s="1468"/>
      <c r="BX173" s="1468"/>
      <c r="BY173" s="1468"/>
      <c r="BZ173" s="1468"/>
      <c r="CA173" s="1468"/>
      <c r="CB173" s="1468"/>
      <c r="CC173" s="1468"/>
      <c r="CD173" s="1468"/>
      <c r="CE173" s="1468"/>
      <c r="CF173" s="1468"/>
      <c r="CG173" s="1468"/>
      <c r="CH173" s="1468"/>
      <c r="CI173" s="1468"/>
      <c r="CJ173" s="1468"/>
      <c r="CK173" s="1468"/>
      <c r="CL173" s="1468"/>
      <c r="CM173" s="1468"/>
      <c r="CN173" s="1468"/>
      <c r="CO173" s="1468"/>
      <c r="CP173" s="1468"/>
      <c r="CQ173" s="1468"/>
      <c r="CR173" s="1468"/>
      <c r="CS173" s="1468"/>
      <c r="CT173" s="1468"/>
      <c r="CU173" s="1468"/>
      <c r="CV173" s="1468"/>
      <c r="CW173" s="1468"/>
      <c r="CX173" s="1468"/>
      <c r="CY173" s="1468"/>
      <c r="CZ173" s="1468"/>
      <c r="DA173" s="1468"/>
      <c r="DB173" s="1468"/>
      <c r="DC173" s="1468"/>
      <c r="DD173" s="1468"/>
      <c r="DE173" s="1468"/>
      <c r="DF173" s="1468"/>
      <c r="DG173" s="1468"/>
      <c r="DH173" s="1468"/>
      <c r="DI173" s="1468"/>
      <c r="DJ173" s="1468"/>
      <c r="DK173" s="1468"/>
      <c r="DL173" s="1468"/>
      <c r="DM173" s="1468"/>
      <c r="DN173" s="1468"/>
      <c r="DO173" s="1468"/>
      <c r="DP173" s="1468"/>
      <c r="DQ173" s="1468"/>
      <c r="DR173" s="1468"/>
      <c r="DS173" s="1468"/>
      <c r="DT173" s="1468"/>
      <c r="DU173" s="1468"/>
      <c r="DV173" s="1468"/>
      <c r="DW173" s="1468"/>
      <c r="DX173" s="1468"/>
      <c r="DY173" s="1468"/>
      <c r="DZ173" s="1468"/>
      <c r="EA173" s="1468"/>
      <c r="EB173" s="1468"/>
      <c r="EC173" s="1468"/>
      <c r="ED173" s="1468"/>
      <c r="EE173" s="1468"/>
      <c r="EF173" s="1468"/>
      <c r="EG173" s="1468"/>
      <c r="EH173" s="1468"/>
      <c r="EI173" s="1468"/>
      <c r="EJ173" s="1468"/>
      <c r="EK173" s="1468"/>
      <c r="EL173" s="1468"/>
      <c r="EM173" s="1468"/>
      <c r="EN173" s="1468"/>
      <c r="EO173" s="1468"/>
      <c r="EP173" s="1468"/>
      <c r="EQ173" s="1468"/>
      <c r="ER173" s="1468"/>
      <c r="ES173" s="1468"/>
      <c r="ET173" s="1468"/>
      <c r="EU173" s="1468"/>
      <c r="EV173" s="1468"/>
      <c r="EW173" s="1468"/>
      <c r="EX173" s="1468"/>
      <c r="EY173" s="1468"/>
      <c r="EZ173" s="1468"/>
      <c r="FA173" s="1468"/>
      <c r="FB173" s="1468"/>
      <c r="FC173" s="1468"/>
      <c r="FD173" s="1468"/>
      <c r="FE173" s="1468"/>
      <c r="FF173" s="1468"/>
    </row>
    <row r="175" spans="1:162" s="1470" customFormat="1" ht="15.75" customHeight="1">
      <c r="F175" s="1468"/>
      <c r="G175" s="1468"/>
      <c r="H175" s="1468"/>
      <c r="I175" s="1468"/>
      <c r="J175" s="1468"/>
      <c r="K175" s="1468"/>
      <c r="L175" s="1468"/>
      <c r="M175" s="1468"/>
      <c r="N175" s="1468"/>
      <c r="O175" s="1468"/>
      <c r="P175" s="1468"/>
      <c r="Q175" s="1468"/>
      <c r="R175" s="1468"/>
      <c r="S175" s="1468"/>
      <c r="T175" s="1468"/>
      <c r="U175" s="1468"/>
      <c r="V175" s="1468"/>
      <c r="W175" s="1468"/>
      <c r="X175" s="1468"/>
      <c r="Y175" s="1468"/>
      <c r="AA175" s="1468"/>
      <c r="AC175" s="1468"/>
      <c r="AD175" s="1468"/>
      <c r="AE175" s="1468"/>
      <c r="AF175" s="1468"/>
      <c r="AG175" s="1468"/>
      <c r="AH175" s="1469"/>
      <c r="AI175" s="1469"/>
      <c r="AJ175" s="1468"/>
      <c r="AK175" s="1468"/>
      <c r="AL175" s="1468"/>
      <c r="AM175" s="1468"/>
      <c r="AN175" s="1468"/>
      <c r="AO175" s="1468"/>
      <c r="AP175" s="1468"/>
      <c r="AQ175" s="1468"/>
      <c r="AR175" s="1468"/>
      <c r="AS175" s="1468"/>
      <c r="AT175" s="1468"/>
      <c r="AU175" s="1468"/>
      <c r="AV175" s="1468"/>
      <c r="AW175" s="1468"/>
      <c r="AX175" s="1468"/>
      <c r="AY175" s="1468"/>
      <c r="AZ175" s="1468"/>
      <c r="BA175" s="1468"/>
      <c r="BB175" s="1468"/>
      <c r="BC175" s="1468"/>
      <c r="BD175" s="1468"/>
      <c r="BE175" s="1468"/>
      <c r="BF175" s="1468"/>
      <c r="BG175" s="1468"/>
      <c r="BH175" s="1468"/>
      <c r="BI175" s="1468"/>
      <c r="BJ175" s="1468"/>
      <c r="BK175" s="1468"/>
      <c r="BL175" s="1468"/>
      <c r="BM175" s="1468"/>
      <c r="BN175" s="1468"/>
      <c r="BO175" s="1468"/>
      <c r="BP175" s="1468"/>
      <c r="BQ175" s="1468"/>
      <c r="BR175" s="1468"/>
      <c r="BS175" s="1468"/>
      <c r="BT175" s="1468"/>
      <c r="BU175" s="1468"/>
      <c r="BV175" s="1468"/>
      <c r="BW175" s="1468"/>
      <c r="BX175" s="1468"/>
      <c r="BY175" s="1468"/>
      <c r="BZ175" s="1468"/>
      <c r="CA175" s="1468"/>
      <c r="CB175" s="1468"/>
      <c r="CC175" s="1468"/>
      <c r="CD175" s="1468"/>
      <c r="CE175" s="1468"/>
      <c r="CF175" s="1468"/>
      <c r="CG175" s="1468"/>
      <c r="CH175" s="1468"/>
      <c r="CI175" s="1468"/>
      <c r="CJ175" s="1468"/>
      <c r="CK175" s="1468"/>
      <c r="CL175" s="1468"/>
      <c r="CM175" s="1468"/>
      <c r="CN175" s="1468"/>
      <c r="CO175" s="1468"/>
      <c r="CP175" s="1468"/>
      <c r="CQ175" s="1468"/>
      <c r="CR175" s="1468"/>
      <c r="CS175" s="1468"/>
      <c r="CT175" s="1468"/>
      <c r="CU175" s="1468"/>
      <c r="CV175" s="1468"/>
      <c r="CW175" s="1468"/>
      <c r="CX175" s="1468"/>
      <c r="CY175" s="1468"/>
      <c r="CZ175" s="1468"/>
      <c r="DA175" s="1468"/>
      <c r="DB175" s="1468"/>
      <c r="DC175" s="1468"/>
      <c r="DD175" s="1468"/>
      <c r="DE175" s="1468"/>
      <c r="DF175" s="1468"/>
      <c r="DG175" s="1468"/>
      <c r="DH175" s="1468"/>
      <c r="DI175" s="1468"/>
      <c r="DJ175" s="1468"/>
      <c r="DK175" s="1468"/>
      <c r="DL175" s="1468"/>
      <c r="DM175" s="1468"/>
      <c r="DN175" s="1468"/>
      <c r="DO175" s="1468"/>
      <c r="DP175" s="1468"/>
      <c r="DQ175" s="1468"/>
      <c r="DR175" s="1468"/>
      <c r="DS175" s="1468"/>
      <c r="DT175" s="1468"/>
      <c r="DU175" s="1468"/>
      <c r="DV175" s="1468"/>
      <c r="DW175" s="1468"/>
      <c r="DX175" s="1468"/>
      <c r="DY175" s="1468"/>
      <c r="DZ175" s="1468"/>
      <c r="EA175" s="1468"/>
      <c r="EB175" s="1468"/>
      <c r="EC175" s="1468"/>
      <c r="ED175" s="1468"/>
      <c r="EE175" s="1468"/>
      <c r="EF175" s="1468"/>
      <c r="EG175" s="1468"/>
      <c r="EH175" s="1468"/>
      <c r="EI175" s="1468"/>
      <c r="EJ175" s="1468"/>
      <c r="EK175" s="1468"/>
      <c r="EL175" s="1468"/>
      <c r="EM175" s="1468"/>
      <c r="EN175" s="1468"/>
      <c r="EO175" s="1468"/>
      <c r="EP175" s="1468"/>
      <c r="EQ175" s="1468"/>
      <c r="ER175" s="1468"/>
      <c r="ES175" s="1468"/>
      <c r="ET175" s="1468"/>
      <c r="EU175" s="1468"/>
      <c r="EV175" s="1468"/>
      <c r="EW175" s="1468"/>
      <c r="EX175" s="1468"/>
      <c r="EY175" s="1468"/>
      <c r="EZ175" s="1468"/>
      <c r="FA175" s="1468"/>
      <c r="FB175" s="1468"/>
      <c r="FC175" s="1468"/>
      <c r="FD175" s="1468"/>
      <c r="FE175" s="1468"/>
      <c r="FF175" s="1468"/>
    </row>
    <row r="177" spans="6:162" s="1470" customFormat="1" ht="15.75" customHeight="1">
      <c r="F177" s="1468"/>
      <c r="G177" s="1468"/>
      <c r="H177" s="1468"/>
      <c r="I177" s="1468"/>
      <c r="J177" s="1468"/>
      <c r="K177" s="1468"/>
      <c r="L177" s="1468"/>
      <c r="M177" s="1468"/>
      <c r="N177" s="1468"/>
      <c r="O177" s="1468"/>
      <c r="P177" s="1468"/>
      <c r="Q177" s="1468"/>
      <c r="R177" s="1468"/>
      <c r="S177" s="1468"/>
      <c r="T177" s="1468"/>
      <c r="U177" s="1468"/>
      <c r="V177" s="1468"/>
      <c r="W177" s="1468"/>
      <c r="X177" s="1468"/>
      <c r="Y177" s="1468"/>
      <c r="AA177" s="1468"/>
      <c r="AC177" s="1468"/>
      <c r="AD177" s="1468"/>
      <c r="AE177" s="1468"/>
      <c r="AF177" s="1468"/>
      <c r="AG177" s="1468"/>
      <c r="AH177" s="1469"/>
      <c r="AI177" s="1469"/>
      <c r="AJ177" s="1468"/>
      <c r="AK177" s="1468"/>
      <c r="AL177" s="1468"/>
      <c r="AM177" s="1468"/>
      <c r="AN177" s="1468"/>
      <c r="AO177" s="1468"/>
      <c r="AP177" s="1468"/>
      <c r="AQ177" s="1468"/>
      <c r="AR177" s="1468"/>
      <c r="AS177" s="1468"/>
      <c r="AT177" s="1468"/>
      <c r="AU177" s="1468"/>
      <c r="AV177" s="1468"/>
      <c r="AW177" s="1468"/>
      <c r="AX177" s="1468"/>
      <c r="AY177" s="1468"/>
      <c r="AZ177" s="1468"/>
      <c r="BA177" s="1468"/>
      <c r="BB177" s="1468"/>
      <c r="BC177" s="1468"/>
      <c r="BD177" s="1468"/>
      <c r="BE177" s="1468"/>
      <c r="BF177" s="1468"/>
      <c r="BG177" s="1468"/>
      <c r="BH177" s="1468"/>
      <c r="BI177" s="1468"/>
      <c r="BJ177" s="1468"/>
      <c r="BK177" s="1468"/>
      <c r="BL177" s="1468"/>
      <c r="BM177" s="1468"/>
      <c r="BN177" s="1468"/>
      <c r="BO177" s="1468"/>
      <c r="BP177" s="1468"/>
      <c r="BQ177" s="1468"/>
      <c r="BR177" s="1468"/>
      <c r="BS177" s="1468"/>
      <c r="BT177" s="1468"/>
      <c r="BU177" s="1468"/>
      <c r="BV177" s="1468"/>
      <c r="BW177" s="1468"/>
      <c r="BX177" s="1468"/>
      <c r="BY177" s="1468"/>
      <c r="BZ177" s="1468"/>
      <c r="CA177" s="1468"/>
      <c r="CB177" s="1468"/>
      <c r="CC177" s="1468"/>
      <c r="CD177" s="1468"/>
      <c r="CE177" s="1468"/>
      <c r="CF177" s="1468"/>
      <c r="CG177" s="1468"/>
      <c r="CH177" s="1468"/>
      <c r="CI177" s="1468"/>
      <c r="CJ177" s="1468"/>
      <c r="CK177" s="1468"/>
      <c r="CL177" s="1468"/>
      <c r="CM177" s="1468"/>
      <c r="CN177" s="1468"/>
      <c r="CO177" s="1468"/>
      <c r="CP177" s="1468"/>
      <c r="CQ177" s="1468"/>
      <c r="CR177" s="1468"/>
      <c r="CS177" s="1468"/>
      <c r="CT177" s="1468"/>
      <c r="CU177" s="1468"/>
      <c r="CV177" s="1468"/>
      <c r="CW177" s="1468"/>
      <c r="CX177" s="1468"/>
      <c r="CY177" s="1468"/>
      <c r="CZ177" s="1468"/>
      <c r="DA177" s="1468"/>
      <c r="DB177" s="1468"/>
      <c r="DC177" s="1468"/>
      <c r="DD177" s="1468"/>
      <c r="DE177" s="1468"/>
      <c r="DF177" s="1468"/>
      <c r="DG177" s="1468"/>
      <c r="DH177" s="1468"/>
      <c r="DI177" s="1468"/>
      <c r="DJ177" s="1468"/>
      <c r="DK177" s="1468"/>
      <c r="DL177" s="1468"/>
      <c r="DM177" s="1468"/>
      <c r="DN177" s="1468"/>
      <c r="DO177" s="1468"/>
      <c r="DP177" s="1468"/>
      <c r="DQ177" s="1468"/>
      <c r="DR177" s="1468"/>
      <c r="DS177" s="1468"/>
      <c r="DT177" s="1468"/>
      <c r="DU177" s="1468"/>
      <c r="DV177" s="1468"/>
      <c r="DW177" s="1468"/>
      <c r="DX177" s="1468"/>
      <c r="DY177" s="1468"/>
      <c r="DZ177" s="1468"/>
      <c r="EA177" s="1468"/>
      <c r="EB177" s="1468"/>
      <c r="EC177" s="1468"/>
      <c r="ED177" s="1468"/>
      <c r="EE177" s="1468"/>
      <c r="EF177" s="1468"/>
      <c r="EG177" s="1468"/>
      <c r="EH177" s="1468"/>
      <c r="EI177" s="1468"/>
      <c r="EJ177" s="1468"/>
      <c r="EK177" s="1468"/>
      <c r="EL177" s="1468"/>
      <c r="EM177" s="1468"/>
      <c r="EN177" s="1468"/>
      <c r="EO177" s="1468"/>
      <c r="EP177" s="1468"/>
      <c r="EQ177" s="1468"/>
      <c r="ER177" s="1468"/>
      <c r="ES177" s="1468"/>
      <c r="ET177" s="1468"/>
      <c r="EU177" s="1468"/>
      <c r="EV177" s="1468"/>
      <c r="EW177" s="1468"/>
      <c r="EX177" s="1468"/>
      <c r="EY177" s="1468"/>
      <c r="EZ177" s="1468"/>
      <c r="FA177" s="1468"/>
      <c r="FB177" s="1468"/>
      <c r="FC177" s="1468"/>
      <c r="FD177" s="1468"/>
      <c r="FE177" s="1468"/>
      <c r="FF177" s="1468"/>
    </row>
    <row r="179" spans="6:162" s="1470" customFormat="1" ht="15.75" customHeight="1">
      <c r="F179" s="1468"/>
      <c r="G179" s="1468"/>
      <c r="H179" s="1468"/>
      <c r="I179" s="1468"/>
      <c r="J179" s="1468"/>
      <c r="K179" s="1468"/>
      <c r="L179" s="1468"/>
      <c r="M179" s="1468"/>
      <c r="N179" s="1468"/>
      <c r="O179" s="1468"/>
      <c r="P179" s="1468"/>
      <c r="Q179" s="1468"/>
      <c r="R179" s="1468"/>
      <c r="S179" s="1468"/>
      <c r="T179" s="1468"/>
      <c r="U179" s="1468"/>
      <c r="V179" s="1468"/>
      <c r="W179" s="1468"/>
      <c r="X179" s="1468"/>
      <c r="Y179" s="1468"/>
      <c r="AA179" s="1468"/>
      <c r="AC179" s="1468"/>
      <c r="AD179" s="1468"/>
      <c r="AE179" s="1468"/>
      <c r="AF179" s="1468"/>
      <c r="AG179" s="1468"/>
      <c r="AH179" s="1469"/>
      <c r="AI179" s="1469"/>
      <c r="AJ179" s="1468"/>
      <c r="AK179" s="1468"/>
      <c r="AL179" s="1468"/>
      <c r="AM179" s="1468"/>
      <c r="AN179" s="1468"/>
      <c r="AO179" s="1468"/>
      <c r="AP179" s="1468"/>
      <c r="AQ179" s="1468"/>
      <c r="AR179" s="1468"/>
      <c r="AS179" s="1468"/>
      <c r="AT179" s="1468"/>
      <c r="AU179" s="1468"/>
      <c r="AV179" s="1468"/>
      <c r="AW179" s="1468"/>
      <c r="AX179" s="1468"/>
      <c r="AY179" s="1468"/>
      <c r="AZ179" s="1468"/>
      <c r="BA179" s="1468"/>
      <c r="BB179" s="1468"/>
      <c r="BC179" s="1468"/>
      <c r="BD179" s="1468"/>
      <c r="BE179" s="1468"/>
      <c r="BF179" s="1468"/>
      <c r="BG179" s="1468"/>
      <c r="BH179" s="1468"/>
      <c r="BI179" s="1468"/>
      <c r="BJ179" s="1468"/>
      <c r="BK179" s="1468"/>
      <c r="BL179" s="1468"/>
      <c r="BM179" s="1468"/>
      <c r="BN179" s="1468"/>
      <c r="BO179" s="1468"/>
      <c r="BP179" s="1468"/>
      <c r="BQ179" s="1468"/>
      <c r="BR179" s="1468"/>
      <c r="BS179" s="1468"/>
      <c r="BT179" s="1468"/>
      <c r="BU179" s="1468"/>
      <c r="BV179" s="1468"/>
      <c r="BW179" s="1468"/>
      <c r="BX179" s="1468"/>
      <c r="BY179" s="1468"/>
      <c r="BZ179" s="1468"/>
      <c r="CA179" s="1468"/>
      <c r="CB179" s="1468"/>
      <c r="CC179" s="1468"/>
      <c r="CD179" s="1468"/>
      <c r="CE179" s="1468"/>
      <c r="CF179" s="1468"/>
      <c r="CG179" s="1468"/>
      <c r="CH179" s="1468"/>
      <c r="CI179" s="1468"/>
      <c r="CJ179" s="1468"/>
      <c r="CK179" s="1468"/>
      <c r="CL179" s="1468"/>
      <c r="CM179" s="1468"/>
      <c r="CN179" s="1468"/>
      <c r="CO179" s="1468"/>
      <c r="CP179" s="1468"/>
      <c r="CQ179" s="1468"/>
      <c r="CR179" s="1468"/>
      <c r="CS179" s="1468"/>
      <c r="CT179" s="1468"/>
      <c r="CU179" s="1468"/>
      <c r="CV179" s="1468"/>
      <c r="CW179" s="1468"/>
      <c r="CX179" s="1468"/>
      <c r="CY179" s="1468"/>
      <c r="CZ179" s="1468"/>
      <c r="DA179" s="1468"/>
      <c r="DB179" s="1468"/>
      <c r="DC179" s="1468"/>
      <c r="DD179" s="1468"/>
      <c r="DE179" s="1468"/>
      <c r="DF179" s="1468"/>
      <c r="DG179" s="1468"/>
      <c r="DH179" s="1468"/>
      <c r="DI179" s="1468"/>
      <c r="DJ179" s="1468"/>
      <c r="DK179" s="1468"/>
      <c r="DL179" s="1468"/>
      <c r="DM179" s="1468"/>
      <c r="DN179" s="1468"/>
      <c r="DO179" s="1468"/>
      <c r="DP179" s="1468"/>
      <c r="DQ179" s="1468"/>
      <c r="DR179" s="1468"/>
      <c r="DS179" s="1468"/>
      <c r="DT179" s="1468"/>
      <c r="DU179" s="1468"/>
      <c r="DV179" s="1468"/>
      <c r="DW179" s="1468"/>
      <c r="DX179" s="1468"/>
      <c r="DY179" s="1468"/>
      <c r="DZ179" s="1468"/>
      <c r="EA179" s="1468"/>
      <c r="EB179" s="1468"/>
      <c r="EC179" s="1468"/>
      <c r="ED179" s="1468"/>
      <c r="EE179" s="1468"/>
      <c r="EF179" s="1468"/>
      <c r="EG179" s="1468"/>
      <c r="EH179" s="1468"/>
      <c r="EI179" s="1468"/>
      <c r="EJ179" s="1468"/>
      <c r="EK179" s="1468"/>
      <c r="EL179" s="1468"/>
      <c r="EM179" s="1468"/>
      <c r="EN179" s="1468"/>
      <c r="EO179" s="1468"/>
      <c r="EP179" s="1468"/>
      <c r="EQ179" s="1468"/>
      <c r="ER179" s="1468"/>
      <c r="ES179" s="1468"/>
      <c r="ET179" s="1468"/>
      <c r="EU179" s="1468"/>
      <c r="EV179" s="1468"/>
      <c r="EW179" s="1468"/>
      <c r="EX179" s="1468"/>
      <c r="EY179" s="1468"/>
      <c r="EZ179" s="1468"/>
      <c r="FA179" s="1468"/>
      <c r="FB179" s="1468"/>
      <c r="FC179" s="1468"/>
      <c r="FD179" s="1468"/>
      <c r="FE179" s="1468"/>
      <c r="FF179" s="1468"/>
    </row>
    <row r="181" spans="6:162" s="1470" customFormat="1" ht="15.75" customHeight="1">
      <c r="F181" s="1468"/>
      <c r="G181" s="1468"/>
      <c r="H181" s="1468"/>
      <c r="I181" s="1468"/>
      <c r="J181" s="1468"/>
      <c r="K181" s="1468"/>
      <c r="L181" s="1468"/>
      <c r="M181" s="1468"/>
      <c r="N181" s="1468"/>
      <c r="O181" s="1468"/>
      <c r="P181" s="1468"/>
      <c r="Q181" s="1468"/>
      <c r="R181" s="1468"/>
      <c r="S181" s="1468"/>
      <c r="T181" s="1468"/>
      <c r="U181" s="1468"/>
      <c r="V181" s="1468"/>
      <c r="W181" s="1468"/>
      <c r="X181" s="1468"/>
      <c r="Y181" s="1468"/>
      <c r="AA181" s="1468"/>
      <c r="AC181" s="1468"/>
      <c r="AD181" s="1468"/>
      <c r="AE181" s="1468"/>
      <c r="AF181" s="1468"/>
      <c r="AG181" s="1468"/>
      <c r="AH181" s="1469"/>
      <c r="AI181" s="1469"/>
      <c r="AJ181" s="1468"/>
      <c r="AK181" s="1468"/>
      <c r="AL181" s="1468"/>
      <c r="AM181" s="1468"/>
      <c r="AN181" s="1468"/>
      <c r="AO181" s="1468"/>
      <c r="AP181" s="1468"/>
      <c r="AQ181" s="1468"/>
      <c r="AR181" s="1468"/>
      <c r="AS181" s="1468"/>
      <c r="AT181" s="1468"/>
      <c r="AU181" s="1468"/>
      <c r="AV181" s="1468"/>
      <c r="AW181" s="1468"/>
      <c r="AX181" s="1468"/>
      <c r="AY181" s="1468"/>
      <c r="AZ181" s="1468"/>
      <c r="BA181" s="1468"/>
      <c r="BB181" s="1468"/>
      <c r="BC181" s="1468"/>
      <c r="BD181" s="1468"/>
      <c r="BE181" s="1468"/>
      <c r="BF181" s="1468"/>
      <c r="BG181" s="1468"/>
      <c r="BH181" s="1468"/>
      <c r="BI181" s="1468"/>
      <c r="BJ181" s="1468"/>
      <c r="BK181" s="1468"/>
      <c r="BL181" s="1468"/>
      <c r="BM181" s="1468"/>
      <c r="BN181" s="1468"/>
      <c r="BO181" s="1468"/>
      <c r="BP181" s="1468"/>
      <c r="BQ181" s="1468"/>
      <c r="BR181" s="1468"/>
      <c r="BS181" s="1468"/>
      <c r="BT181" s="1468"/>
      <c r="BU181" s="1468"/>
      <c r="BV181" s="1468"/>
      <c r="BW181" s="1468"/>
      <c r="BX181" s="1468"/>
      <c r="BY181" s="1468"/>
      <c r="BZ181" s="1468"/>
      <c r="CA181" s="1468"/>
      <c r="CB181" s="1468"/>
      <c r="CC181" s="1468"/>
      <c r="CD181" s="1468"/>
      <c r="CE181" s="1468"/>
      <c r="CF181" s="1468"/>
      <c r="CG181" s="1468"/>
      <c r="CH181" s="1468"/>
      <c r="CI181" s="1468"/>
      <c r="CJ181" s="1468"/>
      <c r="CK181" s="1468"/>
      <c r="CL181" s="1468"/>
      <c r="CM181" s="1468"/>
      <c r="CN181" s="1468"/>
      <c r="CO181" s="1468"/>
      <c r="CP181" s="1468"/>
      <c r="CQ181" s="1468"/>
      <c r="CR181" s="1468"/>
      <c r="CS181" s="1468"/>
      <c r="CT181" s="1468"/>
      <c r="CU181" s="1468"/>
      <c r="CV181" s="1468"/>
      <c r="CW181" s="1468"/>
      <c r="CX181" s="1468"/>
      <c r="CY181" s="1468"/>
      <c r="CZ181" s="1468"/>
      <c r="DA181" s="1468"/>
      <c r="DB181" s="1468"/>
      <c r="DC181" s="1468"/>
      <c r="DD181" s="1468"/>
      <c r="DE181" s="1468"/>
      <c r="DF181" s="1468"/>
      <c r="DG181" s="1468"/>
      <c r="DH181" s="1468"/>
      <c r="DI181" s="1468"/>
      <c r="DJ181" s="1468"/>
      <c r="DK181" s="1468"/>
      <c r="DL181" s="1468"/>
      <c r="DM181" s="1468"/>
      <c r="DN181" s="1468"/>
      <c r="DO181" s="1468"/>
      <c r="DP181" s="1468"/>
      <c r="DQ181" s="1468"/>
      <c r="DR181" s="1468"/>
      <c r="DS181" s="1468"/>
      <c r="DT181" s="1468"/>
      <c r="DU181" s="1468"/>
      <c r="DV181" s="1468"/>
      <c r="DW181" s="1468"/>
      <c r="DX181" s="1468"/>
      <c r="DY181" s="1468"/>
      <c r="DZ181" s="1468"/>
      <c r="EA181" s="1468"/>
      <c r="EB181" s="1468"/>
      <c r="EC181" s="1468"/>
      <c r="ED181" s="1468"/>
      <c r="EE181" s="1468"/>
      <c r="EF181" s="1468"/>
      <c r="EG181" s="1468"/>
      <c r="EH181" s="1468"/>
      <c r="EI181" s="1468"/>
      <c r="EJ181" s="1468"/>
      <c r="EK181" s="1468"/>
      <c r="EL181" s="1468"/>
      <c r="EM181" s="1468"/>
      <c r="EN181" s="1468"/>
      <c r="EO181" s="1468"/>
      <c r="EP181" s="1468"/>
      <c r="EQ181" s="1468"/>
      <c r="ER181" s="1468"/>
      <c r="ES181" s="1468"/>
      <c r="ET181" s="1468"/>
      <c r="EU181" s="1468"/>
      <c r="EV181" s="1468"/>
      <c r="EW181" s="1468"/>
      <c r="EX181" s="1468"/>
      <c r="EY181" s="1468"/>
      <c r="EZ181" s="1468"/>
      <c r="FA181" s="1468"/>
      <c r="FB181" s="1468"/>
      <c r="FC181" s="1468"/>
      <c r="FD181" s="1468"/>
      <c r="FE181" s="1468"/>
      <c r="FF181" s="1468"/>
    </row>
    <row r="183" spans="6:162" s="1470" customFormat="1" ht="15.75" customHeight="1">
      <c r="F183" s="1468"/>
      <c r="G183" s="1468"/>
      <c r="H183" s="1468"/>
      <c r="I183" s="1468"/>
      <c r="J183" s="1468"/>
      <c r="K183" s="1468"/>
      <c r="L183" s="1468"/>
      <c r="M183" s="1468"/>
      <c r="N183" s="1468"/>
      <c r="O183" s="1468"/>
      <c r="P183" s="1468"/>
      <c r="Q183" s="1468"/>
      <c r="R183" s="1468"/>
      <c r="S183" s="1468"/>
      <c r="T183" s="1468"/>
      <c r="U183" s="1468"/>
      <c r="V183" s="1468"/>
      <c r="W183" s="1468"/>
      <c r="X183" s="1468"/>
      <c r="Y183" s="1468"/>
      <c r="AA183" s="1468"/>
      <c r="AC183" s="1468"/>
      <c r="AD183" s="1468"/>
      <c r="AE183" s="1468"/>
      <c r="AF183" s="1468"/>
      <c r="AG183" s="1468"/>
      <c r="AH183" s="1469"/>
      <c r="AI183" s="1469"/>
      <c r="AJ183" s="1468"/>
      <c r="AK183" s="1468"/>
      <c r="AL183" s="1468"/>
      <c r="AM183" s="1468"/>
      <c r="AN183" s="1468"/>
      <c r="AO183" s="1468"/>
      <c r="AP183" s="1468"/>
      <c r="AQ183" s="1468"/>
      <c r="AR183" s="1468"/>
      <c r="AS183" s="1468"/>
      <c r="AT183" s="1468"/>
      <c r="AU183" s="1468"/>
      <c r="AV183" s="1468"/>
      <c r="AW183" s="1468"/>
      <c r="AX183" s="1468"/>
      <c r="AY183" s="1468"/>
      <c r="AZ183" s="1468"/>
      <c r="BA183" s="1468"/>
      <c r="BB183" s="1468"/>
      <c r="BC183" s="1468"/>
      <c r="BD183" s="1468"/>
      <c r="BE183" s="1468"/>
      <c r="BF183" s="1468"/>
      <c r="BG183" s="1468"/>
      <c r="BH183" s="1468"/>
      <c r="BI183" s="1468"/>
      <c r="BJ183" s="1468"/>
      <c r="BK183" s="1468"/>
      <c r="BL183" s="1468"/>
      <c r="BM183" s="1468"/>
      <c r="BN183" s="1468"/>
      <c r="BO183" s="1468"/>
      <c r="BP183" s="1468"/>
      <c r="BQ183" s="1468"/>
      <c r="BR183" s="1468"/>
      <c r="BS183" s="1468"/>
      <c r="BT183" s="1468"/>
      <c r="BU183" s="1468"/>
      <c r="BV183" s="1468"/>
      <c r="BW183" s="1468"/>
      <c r="BX183" s="1468"/>
      <c r="BY183" s="1468"/>
      <c r="BZ183" s="1468"/>
      <c r="CA183" s="1468"/>
      <c r="CB183" s="1468"/>
      <c r="CC183" s="1468"/>
      <c r="CD183" s="1468"/>
      <c r="CE183" s="1468"/>
      <c r="CF183" s="1468"/>
      <c r="CG183" s="1468"/>
      <c r="CH183" s="1468"/>
      <c r="CI183" s="1468"/>
      <c r="CJ183" s="1468"/>
      <c r="CK183" s="1468"/>
      <c r="CL183" s="1468"/>
      <c r="CM183" s="1468"/>
      <c r="CN183" s="1468"/>
      <c r="CO183" s="1468"/>
      <c r="CP183" s="1468"/>
      <c r="CQ183" s="1468"/>
      <c r="CR183" s="1468"/>
      <c r="CS183" s="1468"/>
      <c r="CT183" s="1468"/>
      <c r="CU183" s="1468"/>
      <c r="CV183" s="1468"/>
      <c r="CW183" s="1468"/>
      <c r="CX183" s="1468"/>
      <c r="CY183" s="1468"/>
      <c r="CZ183" s="1468"/>
      <c r="DA183" s="1468"/>
      <c r="DB183" s="1468"/>
      <c r="DC183" s="1468"/>
      <c r="DD183" s="1468"/>
      <c r="DE183" s="1468"/>
      <c r="DF183" s="1468"/>
      <c r="DG183" s="1468"/>
      <c r="DH183" s="1468"/>
      <c r="DI183" s="1468"/>
      <c r="DJ183" s="1468"/>
      <c r="DK183" s="1468"/>
      <c r="DL183" s="1468"/>
      <c r="DM183" s="1468"/>
      <c r="DN183" s="1468"/>
      <c r="DO183" s="1468"/>
      <c r="DP183" s="1468"/>
      <c r="DQ183" s="1468"/>
      <c r="DR183" s="1468"/>
      <c r="DS183" s="1468"/>
      <c r="DT183" s="1468"/>
      <c r="DU183" s="1468"/>
      <c r="DV183" s="1468"/>
      <c r="DW183" s="1468"/>
      <c r="DX183" s="1468"/>
      <c r="DY183" s="1468"/>
      <c r="DZ183" s="1468"/>
      <c r="EA183" s="1468"/>
      <c r="EB183" s="1468"/>
      <c r="EC183" s="1468"/>
      <c r="ED183" s="1468"/>
      <c r="EE183" s="1468"/>
      <c r="EF183" s="1468"/>
      <c r="EG183" s="1468"/>
      <c r="EH183" s="1468"/>
      <c r="EI183" s="1468"/>
      <c r="EJ183" s="1468"/>
      <c r="EK183" s="1468"/>
      <c r="EL183" s="1468"/>
      <c r="EM183" s="1468"/>
      <c r="EN183" s="1468"/>
      <c r="EO183" s="1468"/>
      <c r="EP183" s="1468"/>
      <c r="EQ183" s="1468"/>
      <c r="ER183" s="1468"/>
      <c r="ES183" s="1468"/>
      <c r="ET183" s="1468"/>
      <c r="EU183" s="1468"/>
      <c r="EV183" s="1468"/>
      <c r="EW183" s="1468"/>
      <c r="EX183" s="1468"/>
      <c r="EY183" s="1468"/>
      <c r="EZ183" s="1468"/>
      <c r="FA183" s="1468"/>
      <c r="FB183" s="1468"/>
      <c r="FC183" s="1468"/>
      <c r="FD183" s="1468"/>
      <c r="FE183" s="1468"/>
      <c r="FF183" s="1468"/>
    </row>
    <row r="185" spans="6:162" s="1470" customFormat="1" ht="15.75" customHeight="1">
      <c r="F185" s="1468"/>
      <c r="G185" s="1468"/>
      <c r="H185" s="1468"/>
      <c r="I185" s="1468"/>
      <c r="J185" s="1468"/>
      <c r="K185" s="1468"/>
      <c r="L185" s="1468"/>
      <c r="M185" s="1468"/>
      <c r="N185" s="1468"/>
      <c r="O185" s="1468"/>
      <c r="P185" s="1468"/>
      <c r="Q185" s="1468"/>
      <c r="R185" s="1468"/>
      <c r="S185" s="1468"/>
      <c r="T185" s="1468"/>
      <c r="U185" s="1468"/>
      <c r="V185" s="1468"/>
      <c r="W185" s="1468"/>
      <c r="X185" s="1468"/>
      <c r="Y185" s="1468"/>
      <c r="AA185" s="1468"/>
      <c r="AC185" s="1468"/>
      <c r="AD185" s="1468"/>
      <c r="AE185" s="1468"/>
      <c r="AF185" s="1468"/>
      <c r="AG185" s="1468"/>
      <c r="AH185" s="1469"/>
      <c r="AI185" s="1469"/>
      <c r="AJ185" s="1468"/>
      <c r="AK185" s="1468"/>
      <c r="AL185" s="1468"/>
      <c r="AM185" s="1468"/>
      <c r="AN185" s="1468"/>
      <c r="AO185" s="1468"/>
      <c r="AP185" s="1468"/>
      <c r="AQ185" s="1468"/>
      <c r="AR185" s="1468"/>
      <c r="AS185" s="1468"/>
      <c r="AT185" s="1468"/>
      <c r="AU185" s="1468"/>
      <c r="AV185" s="1468"/>
      <c r="AW185" s="1468"/>
      <c r="AX185" s="1468"/>
      <c r="AY185" s="1468"/>
      <c r="AZ185" s="1468"/>
      <c r="BA185" s="1468"/>
      <c r="BB185" s="1468"/>
      <c r="BC185" s="1468"/>
      <c r="BD185" s="1468"/>
      <c r="BE185" s="1468"/>
      <c r="BF185" s="1468"/>
      <c r="BG185" s="1468"/>
      <c r="BH185" s="1468"/>
      <c r="BI185" s="1468"/>
      <c r="BJ185" s="1468"/>
      <c r="BK185" s="1468"/>
      <c r="BL185" s="1468"/>
      <c r="BM185" s="1468"/>
      <c r="BN185" s="1468"/>
      <c r="BO185" s="1468"/>
      <c r="BP185" s="1468"/>
      <c r="BQ185" s="1468"/>
      <c r="BR185" s="1468"/>
      <c r="BS185" s="1468"/>
      <c r="BT185" s="1468"/>
      <c r="BU185" s="1468"/>
      <c r="BV185" s="1468"/>
      <c r="BW185" s="1468"/>
      <c r="BX185" s="1468"/>
      <c r="BY185" s="1468"/>
      <c r="BZ185" s="1468"/>
      <c r="CA185" s="1468"/>
      <c r="CB185" s="1468"/>
      <c r="CC185" s="1468"/>
      <c r="CD185" s="1468"/>
      <c r="CE185" s="1468"/>
      <c r="CF185" s="1468"/>
      <c r="CG185" s="1468"/>
      <c r="CH185" s="1468"/>
      <c r="CI185" s="1468"/>
      <c r="CJ185" s="1468"/>
      <c r="CK185" s="1468"/>
      <c r="CL185" s="1468"/>
      <c r="CM185" s="1468"/>
      <c r="CN185" s="1468"/>
      <c r="CO185" s="1468"/>
      <c r="CP185" s="1468"/>
      <c r="CQ185" s="1468"/>
      <c r="CR185" s="1468"/>
      <c r="CS185" s="1468"/>
      <c r="CT185" s="1468"/>
      <c r="CU185" s="1468"/>
      <c r="CV185" s="1468"/>
      <c r="CW185" s="1468"/>
      <c r="CX185" s="1468"/>
      <c r="CY185" s="1468"/>
      <c r="CZ185" s="1468"/>
      <c r="DA185" s="1468"/>
      <c r="DB185" s="1468"/>
      <c r="DC185" s="1468"/>
      <c r="DD185" s="1468"/>
      <c r="DE185" s="1468"/>
      <c r="DF185" s="1468"/>
      <c r="DG185" s="1468"/>
      <c r="DH185" s="1468"/>
      <c r="DI185" s="1468"/>
      <c r="DJ185" s="1468"/>
      <c r="DK185" s="1468"/>
      <c r="DL185" s="1468"/>
      <c r="DM185" s="1468"/>
      <c r="DN185" s="1468"/>
      <c r="DO185" s="1468"/>
      <c r="DP185" s="1468"/>
      <c r="DQ185" s="1468"/>
      <c r="DR185" s="1468"/>
      <c r="DS185" s="1468"/>
      <c r="DT185" s="1468"/>
      <c r="DU185" s="1468"/>
      <c r="DV185" s="1468"/>
      <c r="DW185" s="1468"/>
      <c r="DX185" s="1468"/>
      <c r="DY185" s="1468"/>
      <c r="DZ185" s="1468"/>
      <c r="EA185" s="1468"/>
      <c r="EB185" s="1468"/>
      <c r="EC185" s="1468"/>
      <c r="ED185" s="1468"/>
      <c r="EE185" s="1468"/>
      <c r="EF185" s="1468"/>
      <c r="EG185" s="1468"/>
      <c r="EH185" s="1468"/>
      <c r="EI185" s="1468"/>
      <c r="EJ185" s="1468"/>
      <c r="EK185" s="1468"/>
      <c r="EL185" s="1468"/>
      <c r="EM185" s="1468"/>
      <c r="EN185" s="1468"/>
      <c r="EO185" s="1468"/>
      <c r="EP185" s="1468"/>
      <c r="EQ185" s="1468"/>
      <c r="ER185" s="1468"/>
      <c r="ES185" s="1468"/>
      <c r="ET185" s="1468"/>
      <c r="EU185" s="1468"/>
      <c r="EV185" s="1468"/>
      <c r="EW185" s="1468"/>
      <c r="EX185" s="1468"/>
      <c r="EY185" s="1468"/>
      <c r="EZ185" s="1468"/>
      <c r="FA185" s="1468"/>
      <c r="FB185" s="1468"/>
      <c r="FC185" s="1468"/>
      <c r="FD185" s="1468"/>
      <c r="FE185" s="1468"/>
      <c r="FF185" s="1468"/>
    </row>
    <row r="187" spans="6:162" s="1470" customFormat="1" ht="15.75" customHeight="1">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AA187" s="1468"/>
      <c r="AC187" s="1468"/>
      <c r="AD187" s="1468"/>
      <c r="AE187" s="1468"/>
      <c r="AF187" s="1468"/>
      <c r="AG187" s="1468"/>
      <c r="AH187" s="1469"/>
      <c r="AI187" s="1469"/>
      <c r="AJ187" s="1468"/>
      <c r="AK187" s="1468"/>
      <c r="AL187" s="1468"/>
      <c r="AM187" s="1468"/>
      <c r="AN187" s="1468"/>
      <c r="AO187" s="1468"/>
      <c r="AP187" s="1468"/>
      <c r="AQ187" s="1468"/>
      <c r="AR187" s="1468"/>
      <c r="AS187" s="1468"/>
      <c r="AT187" s="1468"/>
      <c r="AU187" s="1468"/>
      <c r="AV187" s="1468"/>
      <c r="AW187" s="1468"/>
      <c r="AX187" s="1468"/>
      <c r="AY187" s="1468"/>
      <c r="AZ187" s="1468"/>
      <c r="BA187" s="1468"/>
      <c r="BB187" s="1468"/>
      <c r="BC187" s="1468"/>
      <c r="BD187" s="1468"/>
      <c r="BE187" s="1468"/>
      <c r="BF187" s="1468"/>
      <c r="BG187" s="1468"/>
      <c r="BH187" s="1468"/>
      <c r="BI187" s="1468"/>
      <c r="BJ187" s="1468"/>
      <c r="BK187" s="1468"/>
      <c r="BL187" s="1468"/>
      <c r="BM187" s="1468"/>
      <c r="BN187" s="1468"/>
      <c r="BO187" s="1468"/>
      <c r="BP187" s="1468"/>
      <c r="BQ187" s="1468"/>
      <c r="BR187" s="1468"/>
      <c r="BS187" s="1468"/>
      <c r="BT187" s="1468"/>
      <c r="BU187" s="1468"/>
      <c r="BV187" s="1468"/>
      <c r="BW187" s="1468"/>
      <c r="BX187" s="1468"/>
      <c r="BY187" s="1468"/>
      <c r="BZ187" s="1468"/>
      <c r="CA187" s="1468"/>
      <c r="CB187" s="1468"/>
      <c r="CC187" s="1468"/>
      <c r="CD187" s="1468"/>
      <c r="CE187" s="1468"/>
      <c r="CF187" s="1468"/>
      <c r="CG187" s="1468"/>
      <c r="CH187" s="1468"/>
      <c r="CI187" s="1468"/>
      <c r="CJ187" s="1468"/>
      <c r="CK187" s="1468"/>
      <c r="CL187" s="1468"/>
      <c r="CM187" s="1468"/>
      <c r="CN187" s="1468"/>
      <c r="CO187" s="1468"/>
      <c r="CP187" s="1468"/>
      <c r="CQ187" s="1468"/>
      <c r="CR187" s="1468"/>
      <c r="CS187" s="1468"/>
      <c r="CT187" s="1468"/>
      <c r="CU187" s="1468"/>
      <c r="CV187" s="1468"/>
      <c r="CW187" s="1468"/>
      <c r="CX187" s="1468"/>
      <c r="CY187" s="1468"/>
      <c r="CZ187" s="1468"/>
      <c r="DA187" s="1468"/>
      <c r="DB187" s="1468"/>
      <c r="DC187" s="1468"/>
      <c r="DD187" s="1468"/>
      <c r="DE187" s="1468"/>
      <c r="DF187" s="1468"/>
      <c r="DG187" s="1468"/>
      <c r="DH187" s="1468"/>
      <c r="DI187" s="1468"/>
      <c r="DJ187" s="1468"/>
      <c r="DK187" s="1468"/>
      <c r="DL187" s="1468"/>
      <c r="DM187" s="1468"/>
      <c r="DN187" s="1468"/>
      <c r="DO187" s="1468"/>
      <c r="DP187" s="1468"/>
      <c r="DQ187" s="1468"/>
      <c r="DR187" s="1468"/>
      <c r="DS187" s="1468"/>
      <c r="DT187" s="1468"/>
      <c r="DU187" s="1468"/>
      <c r="DV187" s="1468"/>
      <c r="DW187" s="1468"/>
      <c r="DX187" s="1468"/>
      <c r="DY187" s="1468"/>
      <c r="DZ187" s="1468"/>
      <c r="EA187" s="1468"/>
      <c r="EB187" s="1468"/>
      <c r="EC187" s="1468"/>
      <c r="ED187" s="1468"/>
      <c r="EE187" s="1468"/>
      <c r="EF187" s="1468"/>
      <c r="EG187" s="1468"/>
      <c r="EH187" s="1468"/>
      <c r="EI187" s="1468"/>
      <c r="EJ187" s="1468"/>
      <c r="EK187" s="1468"/>
      <c r="EL187" s="1468"/>
      <c r="EM187" s="1468"/>
      <c r="EN187" s="1468"/>
      <c r="EO187" s="1468"/>
      <c r="EP187" s="1468"/>
      <c r="EQ187" s="1468"/>
      <c r="ER187" s="1468"/>
      <c r="ES187" s="1468"/>
      <c r="ET187" s="1468"/>
      <c r="EU187" s="1468"/>
      <c r="EV187" s="1468"/>
      <c r="EW187" s="1468"/>
      <c r="EX187" s="1468"/>
      <c r="EY187" s="1468"/>
      <c r="EZ187" s="1468"/>
      <c r="FA187" s="1468"/>
      <c r="FB187" s="1468"/>
      <c r="FC187" s="1468"/>
      <c r="FD187" s="1468"/>
      <c r="FE187" s="1468"/>
      <c r="FF187" s="1468"/>
    </row>
    <row r="189" spans="6:162" s="1470" customFormat="1" ht="15.75" customHeight="1">
      <c r="F189" s="1468"/>
      <c r="G189" s="1468"/>
      <c r="H189" s="1468"/>
      <c r="I189" s="1468"/>
      <c r="J189" s="1468"/>
      <c r="K189" s="1468"/>
      <c r="L189" s="1468"/>
      <c r="M189" s="1468"/>
      <c r="N189" s="1468"/>
      <c r="O189" s="1468"/>
      <c r="P189" s="1468"/>
      <c r="Q189" s="1468"/>
      <c r="R189" s="1468"/>
      <c r="S189" s="1468"/>
      <c r="T189" s="1468"/>
      <c r="U189" s="1468"/>
      <c r="V189" s="1468"/>
      <c r="W189" s="1468"/>
      <c r="X189" s="1468"/>
      <c r="Y189" s="1468"/>
      <c r="AA189" s="1468"/>
      <c r="AC189" s="1468"/>
      <c r="AD189" s="1468"/>
      <c r="AE189" s="1468"/>
      <c r="AF189" s="1468"/>
      <c r="AG189" s="1468"/>
      <c r="AH189" s="1469"/>
      <c r="AI189" s="1469"/>
      <c r="AJ189" s="1468"/>
      <c r="AK189" s="1468"/>
      <c r="AL189" s="1468"/>
      <c r="AM189" s="1468"/>
      <c r="AN189" s="1468"/>
      <c r="AO189" s="1468"/>
      <c r="AP189" s="1468"/>
      <c r="AQ189" s="1468"/>
      <c r="AR189" s="1468"/>
      <c r="AS189" s="1468"/>
      <c r="AT189" s="1468"/>
      <c r="AU189" s="1468"/>
      <c r="AV189" s="1468"/>
      <c r="AW189" s="1468"/>
      <c r="AX189" s="1468"/>
      <c r="AY189" s="1468"/>
      <c r="AZ189" s="1468"/>
      <c r="BA189" s="1468"/>
      <c r="BB189" s="1468"/>
      <c r="BC189" s="1468"/>
      <c r="BD189" s="1468"/>
      <c r="BE189" s="1468"/>
      <c r="BF189" s="1468"/>
      <c r="BG189" s="1468"/>
      <c r="BH189" s="1468"/>
      <c r="BI189" s="1468"/>
      <c r="BJ189" s="1468"/>
      <c r="BK189" s="1468"/>
      <c r="BL189" s="1468"/>
      <c r="BM189" s="1468"/>
      <c r="BN189" s="1468"/>
      <c r="BO189" s="1468"/>
      <c r="BP189" s="1468"/>
      <c r="BQ189" s="1468"/>
      <c r="BR189" s="1468"/>
      <c r="BS189" s="1468"/>
      <c r="BT189" s="1468"/>
      <c r="BU189" s="1468"/>
      <c r="BV189" s="1468"/>
      <c r="BW189" s="1468"/>
      <c r="BX189" s="1468"/>
      <c r="BY189" s="1468"/>
      <c r="BZ189" s="1468"/>
      <c r="CA189" s="1468"/>
      <c r="CB189" s="1468"/>
      <c r="CC189" s="1468"/>
      <c r="CD189" s="1468"/>
      <c r="CE189" s="1468"/>
      <c r="CF189" s="1468"/>
      <c r="CG189" s="1468"/>
      <c r="CH189" s="1468"/>
      <c r="CI189" s="1468"/>
      <c r="CJ189" s="1468"/>
      <c r="CK189" s="1468"/>
      <c r="CL189" s="1468"/>
      <c r="CM189" s="1468"/>
      <c r="CN189" s="1468"/>
      <c r="CO189" s="1468"/>
      <c r="CP189" s="1468"/>
      <c r="CQ189" s="1468"/>
      <c r="CR189" s="1468"/>
      <c r="CS189" s="1468"/>
      <c r="CT189" s="1468"/>
      <c r="CU189" s="1468"/>
      <c r="CV189" s="1468"/>
      <c r="CW189" s="1468"/>
      <c r="CX189" s="1468"/>
      <c r="CY189" s="1468"/>
      <c r="CZ189" s="1468"/>
      <c r="DA189" s="1468"/>
      <c r="DB189" s="1468"/>
      <c r="DC189" s="1468"/>
      <c r="DD189" s="1468"/>
      <c r="DE189" s="1468"/>
      <c r="DF189" s="1468"/>
      <c r="DG189" s="1468"/>
      <c r="DH189" s="1468"/>
      <c r="DI189" s="1468"/>
      <c r="DJ189" s="1468"/>
      <c r="DK189" s="1468"/>
      <c r="DL189" s="1468"/>
      <c r="DM189" s="1468"/>
      <c r="DN189" s="1468"/>
      <c r="DO189" s="1468"/>
      <c r="DP189" s="1468"/>
      <c r="DQ189" s="1468"/>
      <c r="DR189" s="1468"/>
      <c r="DS189" s="1468"/>
      <c r="DT189" s="1468"/>
      <c r="DU189" s="1468"/>
      <c r="DV189" s="1468"/>
      <c r="DW189" s="1468"/>
      <c r="DX189" s="1468"/>
      <c r="DY189" s="1468"/>
      <c r="DZ189" s="1468"/>
      <c r="EA189" s="1468"/>
      <c r="EB189" s="1468"/>
      <c r="EC189" s="1468"/>
      <c r="ED189" s="1468"/>
      <c r="EE189" s="1468"/>
      <c r="EF189" s="1468"/>
      <c r="EG189" s="1468"/>
      <c r="EH189" s="1468"/>
      <c r="EI189" s="1468"/>
      <c r="EJ189" s="1468"/>
      <c r="EK189" s="1468"/>
      <c r="EL189" s="1468"/>
      <c r="EM189" s="1468"/>
      <c r="EN189" s="1468"/>
      <c r="EO189" s="1468"/>
      <c r="EP189" s="1468"/>
      <c r="EQ189" s="1468"/>
      <c r="ER189" s="1468"/>
      <c r="ES189" s="1468"/>
      <c r="ET189" s="1468"/>
      <c r="EU189" s="1468"/>
      <c r="EV189" s="1468"/>
      <c r="EW189" s="1468"/>
      <c r="EX189" s="1468"/>
      <c r="EY189" s="1468"/>
      <c r="EZ189" s="1468"/>
      <c r="FA189" s="1468"/>
      <c r="FB189" s="1468"/>
      <c r="FC189" s="1468"/>
      <c r="FD189" s="1468"/>
      <c r="FE189" s="1468"/>
      <c r="FF189" s="1468"/>
    </row>
    <row r="191" spans="6:162" s="1470" customFormat="1" ht="15.75" customHeight="1">
      <c r="F191" s="1468"/>
      <c r="G191" s="1468"/>
      <c r="H191" s="1468"/>
      <c r="I191" s="1468"/>
      <c r="J191" s="1468"/>
      <c r="K191" s="1468"/>
      <c r="L191" s="1468"/>
      <c r="M191" s="1468"/>
      <c r="N191" s="1468"/>
      <c r="O191" s="1468"/>
      <c r="P191" s="1468"/>
      <c r="Q191" s="1468"/>
      <c r="R191" s="1468"/>
      <c r="S191" s="1468"/>
      <c r="T191" s="1468"/>
      <c r="U191" s="1468"/>
      <c r="V191" s="1468"/>
      <c r="W191" s="1468"/>
      <c r="X191" s="1468"/>
      <c r="Y191" s="1468"/>
      <c r="AA191" s="1468"/>
      <c r="AC191" s="1468"/>
      <c r="AD191" s="1468"/>
      <c r="AE191" s="1468"/>
      <c r="AF191" s="1468"/>
      <c r="AG191" s="1468"/>
      <c r="AH191" s="1469"/>
      <c r="AI191" s="1469"/>
      <c r="AJ191" s="1468"/>
      <c r="AK191" s="1468"/>
      <c r="AL191" s="1468"/>
      <c r="AM191" s="1468"/>
      <c r="AN191" s="1468"/>
      <c r="AO191" s="1468"/>
      <c r="AP191" s="1468"/>
      <c r="AQ191" s="1468"/>
      <c r="AR191" s="1468"/>
      <c r="AS191" s="1468"/>
      <c r="AT191" s="1468"/>
      <c r="AU191" s="1468"/>
      <c r="AV191" s="1468"/>
      <c r="AW191" s="1468"/>
      <c r="AX191" s="1468"/>
      <c r="AY191" s="1468"/>
      <c r="AZ191" s="1468"/>
      <c r="BA191" s="1468"/>
      <c r="BB191" s="1468"/>
      <c r="BC191" s="1468"/>
      <c r="BD191" s="1468"/>
      <c r="BE191" s="1468"/>
      <c r="BF191" s="1468"/>
      <c r="BG191" s="1468"/>
      <c r="BH191" s="1468"/>
      <c r="BI191" s="1468"/>
      <c r="BJ191" s="1468"/>
      <c r="BK191" s="1468"/>
      <c r="BL191" s="1468"/>
      <c r="BM191" s="1468"/>
      <c r="BN191" s="1468"/>
      <c r="BO191" s="1468"/>
      <c r="BP191" s="1468"/>
      <c r="BQ191" s="1468"/>
      <c r="BR191" s="1468"/>
      <c r="BS191" s="1468"/>
      <c r="BT191" s="1468"/>
      <c r="BU191" s="1468"/>
      <c r="BV191" s="1468"/>
      <c r="BW191" s="1468"/>
      <c r="BX191" s="1468"/>
      <c r="BY191" s="1468"/>
      <c r="BZ191" s="1468"/>
      <c r="CA191" s="1468"/>
      <c r="CB191" s="1468"/>
      <c r="CC191" s="1468"/>
      <c r="CD191" s="1468"/>
      <c r="CE191" s="1468"/>
      <c r="CF191" s="1468"/>
      <c r="CG191" s="1468"/>
      <c r="CH191" s="1468"/>
      <c r="CI191" s="1468"/>
      <c r="CJ191" s="1468"/>
      <c r="CK191" s="1468"/>
      <c r="CL191" s="1468"/>
      <c r="CM191" s="1468"/>
      <c r="CN191" s="1468"/>
      <c r="CO191" s="1468"/>
      <c r="CP191" s="1468"/>
      <c r="CQ191" s="1468"/>
      <c r="CR191" s="1468"/>
      <c r="CS191" s="1468"/>
      <c r="CT191" s="1468"/>
      <c r="CU191" s="1468"/>
      <c r="CV191" s="1468"/>
      <c r="CW191" s="1468"/>
      <c r="CX191" s="1468"/>
      <c r="CY191" s="1468"/>
      <c r="CZ191" s="1468"/>
      <c r="DA191" s="1468"/>
      <c r="DB191" s="1468"/>
      <c r="DC191" s="1468"/>
      <c r="DD191" s="1468"/>
      <c r="DE191" s="1468"/>
      <c r="DF191" s="1468"/>
      <c r="DG191" s="1468"/>
      <c r="DH191" s="1468"/>
      <c r="DI191" s="1468"/>
      <c r="DJ191" s="1468"/>
      <c r="DK191" s="1468"/>
      <c r="DL191" s="1468"/>
      <c r="DM191" s="1468"/>
      <c r="DN191" s="1468"/>
      <c r="DO191" s="1468"/>
      <c r="DP191" s="1468"/>
      <c r="DQ191" s="1468"/>
      <c r="DR191" s="1468"/>
      <c r="DS191" s="1468"/>
      <c r="DT191" s="1468"/>
      <c r="DU191" s="1468"/>
      <c r="DV191" s="1468"/>
      <c r="DW191" s="1468"/>
      <c r="DX191" s="1468"/>
      <c r="DY191" s="1468"/>
      <c r="DZ191" s="1468"/>
      <c r="EA191" s="1468"/>
      <c r="EB191" s="1468"/>
      <c r="EC191" s="1468"/>
      <c r="ED191" s="1468"/>
      <c r="EE191" s="1468"/>
      <c r="EF191" s="1468"/>
      <c r="EG191" s="1468"/>
      <c r="EH191" s="1468"/>
      <c r="EI191" s="1468"/>
      <c r="EJ191" s="1468"/>
      <c r="EK191" s="1468"/>
      <c r="EL191" s="1468"/>
      <c r="EM191" s="1468"/>
      <c r="EN191" s="1468"/>
      <c r="EO191" s="1468"/>
      <c r="EP191" s="1468"/>
      <c r="EQ191" s="1468"/>
      <c r="ER191" s="1468"/>
      <c r="ES191" s="1468"/>
      <c r="ET191" s="1468"/>
      <c r="EU191" s="1468"/>
      <c r="EV191" s="1468"/>
      <c r="EW191" s="1468"/>
      <c r="EX191" s="1468"/>
      <c r="EY191" s="1468"/>
      <c r="EZ191" s="1468"/>
      <c r="FA191" s="1468"/>
      <c r="FB191" s="1468"/>
      <c r="FC191" s="1468"/>
      <c r="FD191" s="1468"/>
      <c r="FE191" s="1468"/>
      <c r="FF191" s="1468"/>
    </row>
    <row r="193" spans="6:162" s="1470" customFormat="1" ht="15.75" customHeight="1">
      <c r="F193" s="1468"/>
      <c r="G193" s="1468"/>
      <c r="H193" s="1468"/>
      <c r="I193" s="1468"/>
      <c r="J193" s="1468"/>
      <c r="K193" s="1468"/>
      <c r="L193" s="1468"/>
      <c r="M193" s="1468"/>
      <c r="N193" s="1468"/>
      <c r="O193" s="1468"/>
      <c r="P193" s="1468"/>
      <c r="Q193" s="1468"/>
      <c r="R193" s="1468"/>
      <c r="S193" s="1468"/>
      <c r="T193" s="1468"/>
      <c r="U193" s="1468"/>
      <c r="V193" s="1468"/>
      <c r="W193" s="1468"/>
      <c r="X193" s="1468"/>
      <c r="Y193" s="1468"/>
      <c r="AA193" s="1468"/>
      <c r="AC193" s="1468"/>
      <c r="AD193" s="1468"/>
      <c r="AE193" s="1468"/>
      <c r="AF193" s="1468"/>
      <c r="AG193" s="1468"/>
      <c r="AH193" s="1469"/>
      <c r="AI193" s="1469"/>
      <c r="AJ193" s="1468"/>
      <c r="AK193" s="1468"/>
      <c r="AL193" s="1468"/>
      <c r="AM193" s="1468"/>
      <c r="AN193" s="1468"/>
      <c r="AO193" s="1468"/>
      <c r="AP193" s="1468"/>
      <c r="AQ193" s="1468"/>
      <c r="AR193" s="1468"/>
      <c r="AS193" s="1468"/>
      <c r="AT193" s="1468"/>
      <c r="AU193" s="1468"/>
      <c r="AV193" s="1468"/>
      <c r="AW193" s="1468"/>
      <c r="AX193" s="1468"/>
      <c r="AY193" s="1468"/>
      <c r="AZ193" s="1468"/>
      <c r="BA193" s="1468"/>
      <c r="BB193" s="1468"/>
      <c r="BC193" s="1468"/>
      <c r="BD193" s="1468"/>
      <c r="BE193" s="1468"/>
      <c r="BF193" s="1468"/>
      <c r="BG193" s="1468"/>
      <c r="BH193" s="1468"/>
      <c r="BI193" s="1468"/>
      <c r="BJ193" s="1468"/>
      <c r="BK193" s="1468"/>
      <c r="BL193" s="1468"/>
      <c r="BM193" s="1468"/>
      <c r="BN193" s="1468"/>
      <c r="BO193" s="1468"/>
      <c r="BP193" s="1468"/>
      <c r="BQ193" s="1468"/>
      <c r="BR193" s="1468"/>
      <c r="BS193" s="1468"/>
      <c r="BT193" s="1468"/>
      <c r="BU193" s="1468"/>
      <c r="BV193" s="1468"/>
      <c r="BW193" s="1468"/>
      <c r="BX193" s="1468"/>
      <c r="BY193" s="1468"/>
      <c r="BZ193" s="1468"/>
      <c r="CA193" s="1468"/>
      <c r="CB193" s="1468"/>
      <c r="CC193" s="1468"/>
      <c r="CD193" s="1468"/>
      <c r="CE193" s="1468"/>
      <c r="CF193" s="1468"/>
      <c r="CG193" s="1468"/>
      <c r="CH193" s="1468"/>
      <c r="CI193" s="1468"/>
      <c r="CJ193" s="1468"/>
      <c r="CK193" s="1468"/>
      <c r="CL193" s="1468"/>
      <c r="CM193" s="1468"/>
      <c r="CN193" s="1468"/>
      <c r="CO193" s="1468"/>
      <c r="CP193" s="1468"/>
      <c r="CQ193" s="1468"/>
      <c r="CR193" s="1468"/>
      <c r="CS193" s="1468"/>
      <c r="CT193" s="1468"/>
      <c r="CU193" s="1468"/>
      <c r="CV193" s="1468"/>
      <c r="CW193" s="1468"/>
      <c r="CX193" s="1468"/>
      <c r="CY193" s="1468"/>
      <c r="CZ193" s="1468"/>
      <c r="DA193" s="1468"/>
      <c r="DB193" s="1468"/>
      <c r="DC193" s="1468"/>
      <c r="DD193" s="1468"/>
      <c r="DE193" s="1468"/>
      <c r="DF193" s="1468"/>
      <c r="DG193" s="1468"/>
      <c r="DH193" s="1468"/>
      <c r="DI193" s="1468"/>
      <c r="DJ193" s="1468"/>
      <c r="DK193" s="1468"/>
      <c r="DL193" s="1468"/>
      <c r="DM193" s="1468"/>
      <c r="DN193" s="1468"/>
      <c r="DO193" s="1468"/>
      <c r="DP193" s="1468"/>
      <c r="DQ193" s="1468"/>
      <c r="DR193" s="1468"/>
      <c r="DS193" s="1468"/>
      <c r="DT193" s="1468"/>
      <c r="DU193" s="1468"/>
      <c r="DV193" s="1468"/>
      <c r="DW193" s="1468"/>
      <c r="DX193" s="1468"/>
      <c r="DY193" s="1468"/>
      <c r="DZ193" s="1468"/>
      <c r="EA193" s="1468"/>
      <c r="EB193" s="1468"/>
      <c r="EC193" s="1468"/>
      <c r="ED193" s="1468"/>
      <c r="EE193" s="1468"/>
      <c r="EF193" s="1468"/>
      <c r="EG193" s="1468"/>
      <c r="EH193" s="1468"/>
      <c r="EI193" s="1468"/>
      <c r="EJ193" s="1468"/>
      <c r="EK193" s="1468"/>
      <c r="EL193" s="1468"/>
      <c r="EM193" s="1468"/>
      <c r="EN193" s="1468"/>
      <c r="EO193" s="1468"/>
      <c r="EP193" s="1468"/>
      <c r="EQ193" s="1468"/>
      <c r="ER193" s="1468"/>
      <c r="ES193" s="1468"/>
      <c r="ET193" s="1468"/>
      <c r="EU193" s="1468"/>
      <c r="EV193" s="1468"/>
      <c r="EW193" s="1468"/>
      <c r="EX193" s="1468"/>
      <c r="EY193" s="1468"/>
      <c r="EZ193" s="1468"/>
      <c r="FA193" s="1468"/>
      <c r="FB193" s="1468"/>
      <c r="FC193" s="1468"/>
      <c r="FD193" s="1468"/>
      <c r="FE193" s="1468"/>
      <c r="FF193" s="1468"/>
    </row>
    <row r="195" spans="6:162" s="1470" customFormat="1" ht="15.75" customHeight="1">
      <c r="F195" s="1468"/>
      <c r="G195" s="1468"/>
      <c r="H195" s="1468"/>
      <c r="I195" s="1468"/>
      <c r="J195" s="1468"/>
      <c r="K195" s="1468"/>
      <c r="L195" s="1468"/>
      <c r="M195" s="1468"/>
      <c r="N195" s="1468"/>
      <c r="O195" s="1468"/>
      <c r="P195" s="1468"/>
      <c r="Q195" s="1468"/>
      <c r="R195" s="1468"/>
      <c r="S195" s="1468"/>
      <c r="T195" s="1468"/>
      <c r="U195" s="1468"/>
      <c r="V195" s="1468"/>
      <c r="W195" s="1468"/>
      <c r="X195" s="1468"/>
      <c r="Y195" s="1468"/>
      <c r="AA195" s="1468"/>
      <c r="AC195" s="1468"/>
      <c r="AD195" s="1468"/>
      <c r="AE195" s="1468"/>
      <c r="AF195" s="1468"/>
      <c r="AG195" s="1468"/>
      <c r="AH195" s="1469"/>
      <c r="AI195" s="1469"/>
      <c r="AJ195" s="1468"/>
      <c r="AK195" s="1468"/>
      <c r="AL195" s="1468"/>
      <c r="AM195" s="1468"/>
      <c r="AN195" s="1468"/>
      <c r="AO195" s="1468"/>
      <c r="AP195" s="1468"/>
      <c r="AQ195" s="1468"/>
      <c r="AR195" s="1468"/>
      <c r="AS195" s="1468"/>
      <c r="AT195" s="1468"/>
      <c r="AU195" s="1468"/>
      <c r="AV195" s="1468"/>
      <c r="AW195" s="1468"/>
      <c r="AX195" s="1468"/>
      <c r="AY195" s="1468"/>
      <c r="AZ195" s="1468"/>
      <c r="BA195" s="1468"/>
      <c r="BB195" s="1468"/>
      <c r="BC195" s="1468"/>
      <c r="BD195" s="1468"/>
      <c r="BE195" s="1468"/>
      <c r="BF195" s="1468"/>
      <c r="BG195" s="1468"/>
      <c r="BH195" s="1468"/>
      <c r="BI195" s="1468"/>
      <c r="BJ195" s="1468"/>
      <c r="BK195" s="1468"/>
      <c r="BL195" s="1468"/>
      <c r="BM195" s="1468"/>
      <c r="BN195" s="1468"/>
      <c r="BO195" s="1468"/>
      <c r="BP195" s="1468"/>
      <c r="BQ195" s="1468"/>
      <c r="BR195" s="1468"/>
      <c r="BS195" s="1468"/>
      <c r="BT195" s="1468"/>
      <c r="BU195" s="1468"/>
      <c r="BV195" s="1468"/>
      <c r="BW195" s="1468"/>
      <c r="BX195" s="1468"/>
      <c r="BY195" s="1468"/>
      <c r="BZ195" s="1468"/>
      <c r="CA195" s="1468"/>
      <c r="CB195" s="1468"/>
      <c r="CC195" s="1468"/>
      <c r="CD195" s="1468"/>
      <c r="CE195" s="1468"/>
      <c r="CF195" s="1468"/>
      <c r="CG195" s="1468"/>
      <c r="CH195" s="1468"/>
      <c r="CI195" s="1468"/>
      <c r="CJ195" s="1468"/>
      <c r="CK195" s="1468"/>
      <c r="CL195" s="1468"/>
      <c r="CM195" s="1468"/>
      <c r="CN195" s="1468"/>
      <c r="CO195" s="1468"/>
      <c r="CP195" s="1468"/>
      <c r="CQ195" s="1468"/>
      <c r="CR195" s="1468"/>
      <c r="CS195" s="1468"/>
      <c r="CT195" s="1468"/>
      <c r="CU195" s="1468"/>
      <c r="CV195" s="1468"/>
      <c r="CW195" s="1468"/>
      <c r="CX195" s="1468"/>
      <c r="CY195" s="1468"/>
      <c r="CZ195" s="1468"/>
      <c r="DA195" s="1468"/>
      <c r="DB195" s="1468"/>
      <c r="DC195" s="1468"/>
      <c r="DD195" s="1468"/>
      <c r="DE195" s="1468"/>
      <c r="DF195" s="1468"/>
      <c r="DG195" s="1468"/>
      <c r="DH195" s="1468"/>
      <c r="DI195" s="1468"/>
      <c r="DJ195" s="1468"/>
      <c r="DK195" s="1468"/>
      <c r="DL195" s="1468"/>
      <c r="DM195" s="1468"/>
      <c r="DN195" s="1468"/>
      <c r="DO195" s="1468"/>
      <c r="DP195" s="1468"/>
      <c r="DQ195" s="1468"/>
      <c r="DR195" s="1468"/>
      <c r="DS195" s="1468"/>
      <c r="DT195" s="1468"/>
      <c r="DU195" s="1468"/>
      <c r="DV195" s="1468"/>
      <c r="DW195" s="1468"/>
      <c r="DX195" s="1468"/>
      <c r="DY195" s="1468"/>
      <c r="DZ195" s="1468"/>
      <c r="EA195" s="1468"/>
      <c r="EB195" s="1468"/>
      <c r="EC195" s="1468"/>
      <c r="ED195" s="1468"/>
      <c r="EE195" s="1468"/>
      <c r="EF195" s="1468"/>
      <c r="EG195" s="1468"/>
      <c r="EH195" s="1468"/>
      <c r="EI195" s="1468"/>
      <c r="EJ195" s="1468"/>
      <c r="EK195" s="1468"/>
      <c r="EL195" s="1468"/>
      <c r="EM195" s="1468"/>
      <c r="EN195" s="1468"/>
      <c r="EO195" s="1468"/>
      <c r="EP195" s="1468"/>
      <c r="EQ195" s="1468"/>
      <c r="ER195" s="1468"/>
      <c r="ES195" s="1468"/>
      <c r="ET195" s="1468"/>
      <c r="EU195" s="1468"/>
      <c r="EV195" s="1468"/>
      <c r="EW195" s="1468"/>
      <c r="EX195" s="1468"/>
      <c r="EY195" s="1468"/>
      <c r="EZ195" s="1468"/>
      <c r="FA195" s="1468"/>
      <c r="FB195" s="1468"/>
      <c r="FC195" s="1468"/>
      <c r="FD195" s="1468"/>
      <c r="FE195" s="1468"/>
      <c r="FF195" s="1468"/>
    </row>
    <row r="197" spans="6:162" s="1470" customFormat="1" ht="15.75" customHeight="1">
      <c r="F197" s="1468"/>
      <c r="G197" s="1468"/>
      <c r="H197" s="1468"/>
      <c r="I197" s="1468"/>
      <c r="J197" s="1468"/>
      <c r="K197" s="1468"/>
      <c r="L197" s="1468"/>
      <c r="M197" s="1468"/>
      <c r="N197" s="1468"/>
      <c r="O197" s="1468"/>
      <c r="P197" s="1468"/>
      <c r="Q197" s="1468"/>
      <c r="R197" s="1468"/>
      <c r="S197" s="1468"/>
      <c r="T197" s="1468"/>
      <c r="U197" s="1468"/>
      <c r="V197" s="1468"/>
      <c r="W197" s="1468"/>
      <c r="X197" s="1468"/>
      <c r="Y197" s="1468"/>
      <c r="AA197" s="1468"/>
      <c r="AC197" s="1468"/>
      <c r="AD197" s="1468"/>
      <c r="AE197" s="1468"/>
      <c r="AF197" s="1468"/>
      <c r="AG197" s="1468"/>
      <c r="AH197" s="1469"/>
      <c r="AI197" s="1469"/>
      <c r="AJ197" s="1468"/>
      <c r="AK197" s="1468"/>
      <c r="AL197" s="1468"/>
      <c r="AM197" s="1468"/>
      <c r="AN197" s="1468"/>
      <c r="AO197" s="1468"/>
      <c r="AP197" s="1468"/>
      <c r="AQ197" s="1468"/>
      <c r="AR197" s="1468"/>
      <c r="AS197" s="1468"/>
      <c r="AT197" s="1468"/>
      <c r="AU197" s="1468"/>
      <c r="AV197" s="1468"/>
      <c r="AW197" s="1468"/>
      <c r="AX197" s="1468"/>
      <c r="AY197" s="1468"/>
      <c r="AZ197" s="1468"/>
      <c r="BA197" s="1468"/>
      <c r="BB197" s="1468"/>
      <c r="BC197" s="1468"/>
      <c r="BD197" s="1468"/>
      <c r="BE197" s="1468"/>
      <c r="BF197" s="1468"/>
      <c r="BG197" s="1468"/>
      <c r="BH197" s="1468"/>
      <c r="BI197" s="1468"/>
      <c r="BJ197" s="1468"/>
      <c r="BK197" s="1468"/>
      <c r="BL197" s="1468"/>
      <c r="BM197" s="1468"/>
      <c r="BN197" s="1468"/>
      <c r="BO197" s="1468"/>
      <c r="BP197" s="1468"/>
      <c r="BQ197" s="1468"/>
      <c r="BR197" s="1468"/>
      <c r="BS197" s="1468"/>
      <c r="BT197" s="1468"/>
      <c r="BU197" s="1468"/>
      <c r="BV197" s="1468"/>
      <c r="BW197" s="1468"/>
      <c r="BX197" s="1468"/>
      <c r="BY197" s="1468"/>
      <c r="BZ197" s="1468"/>
      <c r="CA197" s="1468"/>
      <c r="CB197" s="1468"/>
      <c r="CC197" s="1468"/>
      <c r="CD197" s="1468"/>
      <c r="CE197" s="1468"/>
      <c r="CF197" s="1468"/>
      <c r="CG197" s="1468"/>
      <c r="CH197" s="1468"/>
      <c r="CI197" s="1468"/>
      <c r="CJ197" s="1468"/>
      <c r="CK197" s="1468"/>
      <c r="CL197" s="1468"/>
      <c r="CM197" s="1468"/>
      <c r="CN197" s="1468"/>
      <c r="CO197" s="1468"/>
      <c r="CP197" s="1468"/>
      <c r="CQ197" s="1468"/>
      <c r="CR197" s="1468"/>
      <c r="CS197" s="1468"/>
      <c r="CT197" s="1468"/>
      <c r="CU197" s="1468"/>
      <c r="CV197" s="1468"/>
      <c r="CW197" s="1468"/>
      <c r="CX197" s="1468"/>
      <c r="CY197" s="1468"/>
      <c r="CZ197" s="1468"/>
      <c r="DA197" s="1468"/>
      <c r="DB197" s="1468"/>
      <c r="DC197" s="1468"/>
      <c r="DD197" s="1468"/>
      <c r="DE197" s="1468"/>
      <c r="DF197" s="1468"/>
      <c r="DG197" s="1468"/>
      <c r="DH197" s="1468"/>
      <c r="DI197" s="1468"/>
      <c r="DJ197" s="1468"/>
      <c r="DK197" s="1468"/>
      <c r="DL197" s="1468"/>
      <c r="DM197" s="1468"/>
      <c r="DN197" s="1468"/>
      <c r="DO197" s="1468"/>
      <c r="DP197" s="1468"/>
      <c r="DQ197" s="1468"/>
      <c r="DR197" s="1468"/>
      <c r="DS197" s="1468"/>
      <c r="DT197" s="1468"/>
      <c r="DU197" s="1468"/>
      <c r="DV197" s="1468"/>
      <c r="DW197" s="1468"/>
      <c r="DX197" s="1468"/>
      <c r="DY197" s="1468"/>
      <c r="DZ197" s="1468"/>
      <c r="EA197" s="1468"/>
      <c r="EB197" s="1468"/>
      <c r="EC197" s="1468"/>
      <c r="ED197" s="1468"/>
      <c r="EE197" s="1468"/>
      <c r="EF197" s="1468"/>
      <c r="EG197" s="1468"/>
      <c r="EH197" s="1468"/>
      <c r="EI197" s="1468"/>
      <c r="EJ197" s="1468"/>
      <c r="EK197" s="1468"/>
      <c r="EL197" s="1468"/>
      <c r="EM197" s="1468"/>
      <c r="EN197" s="1468"/>
      <c r="EO197" s="1468"/>
      <c r="EP197" s="1468"/>
      <c r="EQ197" s="1468"/>
      <c r="ER197" s="1468"/>
      <c r="ES197" s="1468"/>
      <c r="ET197" s="1468"/>
      <c r="EU197" s="1468"/>
      <c r="EV197" s="1468"/>
      <c r="EW197" s="1468"/>
      <c r="EX197" s="1468"/>
      <c r="EY197" s="1468"/>
      <c r="EZ197" s="1468"/>
      <c r="FA197" s="1468"/>
      <c r="FB197" s="1468"/>
      <c r="FC197" s="1468"/>
      <c r="FD197" s="1468"/>
      <c r="FE197" s="1468"/>
      <c r="FF197" s="1468"/>
    </row>
    <row r="199" spans="6:162" s="1470" customFormat="1" ht="15.75" customHeight="1">
      <c r="F199" s="1468"/>
      <c r="G199" s="1468"/>
      <c r="H199" s="1468"/>
      <c r="I199" s="1468"/>
      <c r="J199" s="1468"/>
      <c r="K199" s="1468"/>
      <c r="L199" s="1468"/>
      <c r="M199" s="1468"/>
      <c r="N199" s="1468"/>
      <c r="O199" s="1468"/>
      <c r="P199" s="1468"/>
      <c r="Q199" s="1468"/>
      <c r="R199" s="1468"/>
      <c r="S199" s="1468"/>
      <c r="T199" s="1468"/>
      <c r="U199" s="1468"/>
      <c r="V199" s="1468"/>
      <c r="W199" s="1468"/>
      <c r="X199" s="1468"/>
      <c r="Y199" s="1468"/>
      <c r="AA199" s="1468"/>
      <c r="AC199" s="1468"/>
      <c r="AD199" s="1468"/>
      <c r="AE199" s="1468"/>
      <c r="AF199" s="1468"/>
      <c r="AG199" s="1468"/>
      <c r="AH199" s="1469"/>
      <c r="AI199" s="1469"/>
      <c r="AJ199" s="1468"/>
      <c r="AK199" s="1468"/>
      <c r="AL199" s="1468"/>
      <c r="AM199" s="1468"/>
      <c r="AN199" s="1468"/>
      <c r="AO199" s="1468"/>
      <c r="AP199" s="1468"/>
      <c r="AQ199" s="1468"/>
      <c r="AR199" s="1468"/>
      <c r="AS199" s="1468"/>
      <c r="AT199" s="1468"/>
      <c r="AU199" s="1468"/>
      <c r="AV199" s="1468"/>
      <c r="AW199" s="1468"/>
      <c r="AX199" s="1468"/>
      <c r="AY199" s="1468"/>
      <c r="AZ199" s="1468"/>
      <c r="BA199" s="1468"/>
      <c r="BB199" s="1468"/>
      <c r="BC199" s="1468"/>
      <c r="BD199" s="1468"/>
      <c r="BE199" s="1468"/>
      <c r="BF199" s="1468"/>
      <c r="BG199" s="1468"/>
      <c r="BH199" s="1468"/>
      <c r="BI199" s="1468"/>
      <c r="BJ199" s="1468"/>
      <c r="BK199" s="1468"/>
      <c r="BL199" s="1468"/>
      <c r="BM199" s="1468"/>
      <c r="BN199" s="1468"/>
      <c r="BO199" s="1468"/>
      <c r="BP199" s="1468"/>
      <c r="BQ199" s="1468"/>
      <c r="BR199" s="1468"/>
      <c r="BS199" s="1468"/>
      <c r="BT199" s="1468"/>
      <c r="BU199" s="1468"/>
      <c r="BV199" s="1468"/>
      <c r="BW199" s="1468"/>
      <c r="BX199" s="1468"/>
      <c r="BY199" s="1468"/>
      <c r="BZ199" s="1468"/>
      <c r="CA199" s="1468"/>
      <c r="CB199" s="1468"/>
      <c r="CC199" s="1468"/>
      <c r="CD199" s="1468"/>
      <c r="CE199" s="1468"/>
      <c r="CF199" s="1468"/>
      <c r="CG199" s="1468"/>
      <c r="CH199" s="1468"/>
      <c r="CI199" s="1468"/>
      <c r="CJ199" s="1468"/>
      <c r="CK199" s="1468"/>
      <c r="CL199" s="1468"/>
      <c r="CM199" s="1468"/>
      <c r="CN199" s="1468"/>
      <c r="CO199" s="1468"/>
      <c r="CP199" s="1468"/>
      <c r="CQ199" s="1468"/>
      <c r="CR199" s="1468"/>
      <c r="CS199" s="1468"/>
      <c r="CT199" s="1468"/>
      <c r="CU199" s="1468"/>
      <c r="CV199" s="1468"/>
      <c r="CW199" s="1468"/>
      <c r="CX199" s="1468"/>
      <c r="CY199" s="1468"/>
      <c r="CZ199" s="1468"/>
      <c r="DA199" s="1468"/>
      <c r="DB199" s="1468"/>
      <c r="DC199" s="1468"/>
      <c r="DD199" s="1468"/>
      <c r="DE199" s="1468"/>
      <c r="DF199" s="1468"/>
      <c r="DG199" s="1468"/>
      <c r="DH199" s="1468"/>
      <c r="DI199" s="1468"/>
      <c r="DJ199" s="1468"/>
      <c r="DK199" s="1468"/>
      <c r="DL199" s="1468"/>
      <c r="DM199" s="1468"/>
      <c r="DN199" s="1468"/>
      <c r="DO199" s="1468"/>
      <c r="DP199" s="1468"/>
      <c r="DQ199" s="1468"/>
      <c r="DR199" s="1468"/>
      <c r="DS199" s="1468"/>
      <c r="DT199" s="1468"/>
      <c r="DU199" s="1468"/>
      <c r="DV199" s="1468"/>
      <c r="DW199" s="1468"/>
      <c r="DX199" s="1468"/>
      <c r="DY199" s="1468"/>
      <c r="DZ199" s="1468"/>
      <c r="EA199" s="1468"/>
      <c r="EB199" s="1468"/>
      <c r="EC199" s="1468"/>
      <c r="ED199" s="1468"/>
      <c r="EE199" s="1468"/>
      <c r="EF199" s="1468"/>
      <c r="EG199" s="1468"/>
      <c r="EH199" s="1468"/>
      <c r="EI199" s="1468"/>
      <c r="EJ199" s="1468"/>
      <c r="EK199" s="1468"/>
      <c r="EL199" s="1468"/>
      <c r="EM199" s="1468"/>
      <c r="EN199" s="1468"/>
      <c r="EO199" s="1468"/>
      <c r="EP199" s="1468"/>
      <c r="EQ199" s="1468"/>
      <c r="ER199" s="1468"/>
      <c r="ES199" s="1468"/>
      <c r="ET199" s="1468"/>
      <c r="EU199" s="1468"/>
      <c r="EV199" s="1468"/>
      <c r="EW199" s="1468"/>
      <c r="EX199" s="1468"/>
      <c r="EY199" s="1468"/>
      <c r="EZ199" s="1468"/>
      <c r="FA199" s="1468"/>
      <c r="FB199" s="1468"/>
      <c r="FC199" s="1468"/>
      <c r="FD199" s="1468"/>
      <c r="FE199" s="1468"/>
      <c r="FF199" s="1468"/>
    </row>
    <row r="201" spans="6:162" s="1470" customFormat="1" ht="15.75" customHeight="1">
      <c r="F201" s="1468"/>
      <c r="G201" s="1468"/>
      <c r="H201" s="1468"/>
      <c r="I201" s="1468"/>
      <c r="J201" s="1468"/>
      <c r="K201" s="1468"/>
      <c r="L201" s="1468"/>
      <c r="M201" s="1468"/>
      <c r="N201" s="1468"/>
      <c r="O201" s="1468"/>
      <c r="P201" s="1468"/>
      <c r="Q201" s="1468"/>
      <c r="R201" s="1468"/>
      <c r="S201" s="1468"/>
      <c r="T201" s="1468"/>
      <c r="U201" s="1468"/>
      <c r="V201" s="1468"/>
      <c r="W201" s="1468"/>
      <c r="X201" s="1468"/>
      <c r="Y201" s="1468"/>
      <c r="AA201" s="1468"/>
      <c r="AC201" s="1468"/>
      <c r="AD201" s="1468"/>
      <c r="AE201" s="1468"/>
      <c r="AF201" s="1468"/>
      <c r="AG201" s="1468"/>
      <c r="AH201" s="1469"/>
      <c r="AI201" s="1469"/>
      <c r="AJ201" s="1468"/>
      <c r="AK201" s="1468"/>
      <c r="AL201" s="1468"/>
      <c r="AM201" s="1468"/>
      <c r="AN201" s="1468"/>
      <c r="AO201" s="1468"/>
      <c r="AP201" s="1468"/>
      <c r="AQ201" s="1468"/>
      <c r="AR201" s="1468"/>
      <c r="AS201" s="1468"/>
      <c r="AT201" s="1468"/>
      <c r="AU201" s="1468"/>
      <c r="AV201" s="1468"/>
      <c r="AW201" s="1468"/>
      <c r="AX201" s="1468"/>
      <c r="AY201" s="1468"/>
      <c r="AZ201" s="1468"/>
      <c r="BA201" s="1468"/>
      <c r="BB201" s="1468"/>
      <c r="BC201" s="1468"/>
      <c r="BD201" s="1468"/>
      <c r="BE201" s="1468"/>
      <c r="BF201" s="1468"/>
      <c r="BG201" s="1468"/>
      <c r="BH201" s="1468"/>
      <c r="BI201" s="1468"/>
      <c r="BJ201" s="1468"/>
      <c r="BK201" s="1468"/>
      <c r="BL201" s="1468"/>
      <c r="BM201" s="1468"/>
      <c r="BN201" s="1468"/>
      <c r="BO201" s="1468"/>
      <c r="BP201" s="1468"/>
      <c r="BQ201" s="1468"/>
      <c r="BR201" s="1468"/>
      <c r="BS201" s="1468"/>
      <c r="BT201" s="1468"/>
      <c r="BU201" s="1468"/>
      <c r="BV201" s="1468"/>
      <c r="BW201" s="1468"/>
      <c r="BX201" s="1468"/>
      <c r="BY201" s="1468"/>
      <c r="BZ201" s="1468"/>
      <c r="CA201" s="1468"/>
      <c r="CB201" s="1468"/>
      <c r="CC201" s="1468"/>
      <c r="CD201" s="1468"/>
      <c r="CE201" s="1468"/>
      <c r="CF201" s="1468"/>
      <c r="CG201" s="1468"/>
      <c r="CH201" s="1468"/>
      <c r="CI201" s="1468"/>
      <c r="CJ201" s="1468"/>
      <c r="CK201" s="1468"/>
      <c r="CL201" s="1468"/>
      <c r="CM201" s="1468"/>
      <c r="CN201" s="1468"/>
      <c r="CO201" s="1468"/>
      <c r="CP201" s="1468"/>
      <c r="CQ201" s="1468"/>
      <c r="CR201" s="1468"/>
      <c r="CS201" s="1468"/>
      <c r="CT201" s="1468"/>
      <c r="CU201" s="1468"/>
      <c r="CV201" s="1468"/>
      <c r="CW201" s="1468"/>
      <c r="CX201" s="1468"/>
      <c r="CY201" s="1468"/>
      <c r="CZ201" s="1468"/>
      <c r="DA201" s="1468"/>
      <c r="DB201" s="1468"/>
      <c r="DC201" s="1468"/>
      <c r="DD201" s="1468"/>
      <c r="DE201" s="1468"/>
      <c r="DF201" s="1468"/>
      <c r="DG201" s="1468"/>
      <c r="DH201" s="1468"/>
      <c r="DI201" s="1468"/>
      <c r="DJ201" s="1468"/>
      <c r="DK201" s="1468"/>
      <c r="DL201" s="1468"/>
      <c r="DM201" s="1468"/>
      <c r="DN201" s="1468"/>
      <c r="DO201" s="1468"/>
      <c r="DP201" s="1468"/>
      <c r="DQ201" s="1468"/>
      <c r="DR201" s="1468"/>
      <c r="DS201" s="1468"/>
      <c r="DT201" s="1468"/>
      <c r="DU201" s="1468"/>
      <c r="DV201" s="1468"/>
      <c r="DW201" s="1468"/>
      <c r="DX201" s="1468"/>
      <c r="DY201" s="1468"/>
      <c r="DZ201" s="1468"/>
      <c r="EA201" s="1468"/>
      <c r="EB201" s="1468"/>
      <c r="EC201" s="1468"/>
      <c r="ED201" s="1468"/>
      <c r="EE201" s="1468"/>
      <c r="EF201" s="1468"/>
      <c r="EG201" s="1468"/>
      <c r="EH201" s="1468"/>
      <c r="EI201" s="1468"/>
      <c r="EJ201" s="1468"/>
      <c r="EK201" s="1468"/>
      <c r="EL201" s="1468"/>
      <c r="EM201" s="1468"/>
      <c r="EN201" s="1468"/>
      <c r="EO201" s="1468"/>
      <c r="EP201" s="1468"/>
      <c r="EQ201" s="1468"/>
      <c r="ER201" s="1468"/>
      <c r="ES201" s="1468"/>
      <c r="ET201" s="1468"/>
      <c r="EU201" s="1468"/>
      <c r="EV201" s="1468"/>
      <c r="EW201" s="1468"/>
      <c r="EX201" s="1468"/>
      <c r="EY201" s="1468"/>
      <c r="EZ201" s="1468"/>
      <c r="FA201" s="1468"/>
      <c r="FB201" s="1468"/>
      <c r="FC201" s="1468"/>
      <c r="FD201" s="1468"/>
      <c r="FE201" s="1468"/>
      <c r="FF201" s="1468"/>
    </row>
    <row r="203" spans="6:162" s="1470" customFormat="1" ht="15.75" customHeight="1">
      <c r="F203" s="1468"/>
      <c r="G203" s="1468"/>
      <c r="H203" s="1468"/>
      <c r="I203" s="1468"/>
      <c r="J203" s="1468"/>
      <c r="K203" s="1468"/>
      <c r="L203" s="1468"/>
      <c r="M203" s="1468"/>
      <c r="N203" s="1468"/>
      <c r="O203" s="1468"/>
      <c r="P203" s="1468"/>
      <c r="Q203" s="1468"/>
      <c r="R203" s="1468"/>
      <c r="S203" s="1468"/>
      <c r="T203" s="1468"/>
      <c r="U203" s="1468"/>
      <c r="V203" s="1468"/>
      <c r="W203" s="1468"/>
      <c r="X203" s="1468"/>
      <c r="Y203" s="1468"/>
      <c r="AA203" s="1468"/>
      <c r="AC203" s="1468"/>
      <c r="AD203" s="1468"/>
      <c r="AE203" s="1468"/>
      <c r="AF203" s="1468"/>
      <c r="AG203" s="1468"/>
      <c r="AH203" s="1469"/>
      <c r="AI203" s="1469"/>
      <c r="AJ203" s="1468"/>
      <c r="AK203" s="1468"/>
      <c r="AL203" s="1468"/>
      <c r="AM203" s="1468"/>
      <c r="AN203" s="1468"/>
      <c r="AO203" s="1468"/>
      <c r="AP203" s="1468"/>
      <c r="AQ203" s="1468"/>
      <c r="AR203" s="1468"/>
      <c r="AS203" s="1468"/>
      <c r="AT203" s="1468"/>
      <c r="AU203" s="1468"/>
      <c r="AV203" s="1468"/>
      <c r="AW203" s="1468"/>
      <c r="AX203" s="1468"/>
      <c r="AY203" s="1468"/>
      <c r="AZ203" s="1468"/>
      <c r="BA203" s="1468"/>
      <c r="BB203" s="1468"/>
      <c r="BC203" s="1468"/>
      <c r="BD203" s="1468"/>
      <c r="BE203" s="1468"/>
      <c r="BF203" s="1468"/>
      <c r="BG203" s="1468"/>
      <c r="BH203" s="1468"/>
      <c r="BI203" s="1468"/>
      <c r="BJ203" s="1468"/>
      <c r="BK203" s="1468"/>
      <c r="BL203" s="1468"/>
      <c r="BM203" s="1468"/>
      <c r="BN203" s="1468"/>
      <c r="BO203" s="1468"/>
      <c r="BP203" s="1468"/>
      <c r="BQ203" s="1468"/>
      <c r="BR203" s="1468"/>
      <c r="BS203" s="1468"/>
      <c r="BT203" s="1468"/>
      <c r="BU203" s="1468"/>
      <c r="BV203" s="1468"/>
      <c r="BW203" s="1468"/>
      <c r="BX203" s="1468"/>
      <c r="BY203" s="1468"/>
      <c r="BZ203" s="1468"/>
      <c r="CA203" s="1468"/>
      <c r="CB203" s="1468"/>
      <c r="CC203" s="1468"/>
      <c r="CD203" s="1468"/>
      <c r="CE203" s="1468"/>
      <c r="CF203" s="1468"/>
      <c r="CG203" s="1468"/>
      <c r="CH203" s="1468"/>
      <c r="CI203" s="1468"/>
      <c r="CJ203" s="1468"/>
      <c r="CK203" s="1468"/>
      <c r="CL203" s="1468"/>
      <c r="CM203" s="1468"/>
      <c r="CN203" s="1468"/>
      <c r="CO203" s="1468"/>
      <c r="CP203" s="1468"/>
      <c r="CQ203" s="1468"/>
      <c r="CR203" s="1468"/>
      <c r="CS203" s="1468"/>
      <c r="CT203" s="1468"/>
      <c r="CU203" s="1468"/>
      <c r="CV203" s="1468"/>
      <c r="CW203" s="1468"/>
      <c r="CX203" s="1468"/>
      <c r="CY203" s="1468"/>
      <c r="CZ203" s="1468"/>
      <c r="DA203" s="1468"/>
      <c r="DB203" s="1468"/>
      <c r="DC203" s="1468"/>
      <c r="DD203" s="1468"/>
      <c r="DE203" s="1468"/>
      <c r="DF203" s="1468"/>
      <c r="DG203" s="1468"/>
      <c r="DH203" s="1468"/>
      <c r="DI203" s="1468"/>
      <c r="DJ203" s="1468"/>
      <c r="DK203" s="1468"/>
      <c r="DL203" s="1468"/>
      <c r="DM203" s="1468"/>
      <c r="DN203" s="1468"/>
      <c r="DO203" s="1468"/>
      <c r="DP203" s="1468"/>
      <c r="DQ203" s="1468"/>
      <c r="DR203" s="1468"/>
      <c r="DS203" s="1468"/>
      <c r="DT203" s="1468"/>
      <c r="DU203" s="1468"/>
      <c r="DV203" s="1468"/>
      <c r="DW203" s="1468"/>
      <c r="DX203" s="1468"/>
      <c r="DY203" s="1468"/>
      <c r="DZ203" s="1468"/>
      <c r="EA203" s="1468"/>
      <c r="EB203" s="1468"/>
      <c r="EC203" s="1468"/>
      <c r="ED203" s="1468"/>
      <c r="EE203" s="1468"/>
      <c r="EF203" s="1468"/>
      <c r="EG203" s="1468"/>
      <c r="EH203" s="1468"/>
      <c r="EI203" s="1468"/>
      <c r="EJ203" s="1468"/>
      <c r="EK203" s="1468"/>
      <c r="EL203" s="1468"/>
      <c r="EM203" s="1468"/>
      <c r="EN203" s="1468"/>
      <c r="EO203" s="1468"/>
      <c r="EP203" s="1468"/>
      <c r="EQ203" s="1468"/>
      <c r="ER203" s="1468"/>
      <c r="ES203" s="1468"/>
      <c r="ET203" s="1468"/>
      <c r="EU203" s="1468"/>
      <c r="EV203" s="1468"/>
      <c r="EW203" s="1468"/>
      <c r="EX203" s="1468"/>
      <c r="EY203" s="1468"/>
      <c r="EZ203" s="1468"/>
      <c r="FA203" s="1468"/>
      <c r="FB203" s="1468"/>
      <c r="FC203" s="1468"/>
      <c r="FD203" s="1468"/>
      <c r="FE203" s="1468"/>
      <c r="FF203" s="1468"/>
    </row>
    <row r="205" spans="6:162" s="1470" customFormat="1" ht="15.75" customHeight="1">
      <c r="F205" s="1468"/>
      <c r="G205" s="1468"/>
      <c r="H205" s="1468"/>
      <c r="I205" s="1468"/>
      <c r="J205" s="1468"/>
      <c r="K205" s="1468"/>
      <c r="L205" s="1468"/>
      <c r="M205" s="1468"/>
      <c r="N205" s="1468"/>
      <c r="O205" s="1468"/>
      <c r="P205" s="1468"/>
      <c r="Q205" s="1468"/>
      <c r="R205" s="1468"/>
      <c r="S205" s="1468"/>
      <c r="T205" s="1468"/>
      <c r="U205" s="1468"/>
      <c r="V205" s="1468"/>
      <c r="W205" s="1468"/>
      <c r="X205" s="1468"/>
      <c r="Y205" s="1468"/>
      <c r="AA205" s="1468"/>
      <c r="AC205" s="1468"/>
      <c r="AD205" s="1468"/>
      <c r="AE205" s="1468"/>
      <c r="AF205" s="1468"/>
      <c r="AG205" s="1468"/>
      <c r="AH205" s="1469"/>
      <c r="AI205" s="1469"/>
      <c r="AJ205" s="1468"/>
      <c r="AK205" s="1468"/>
      <c r="AL205" s="1468"/>
      <c r="AM205" s="1468"/>
      <c r="AN205" s="1468"/>
      <c r="AO205" s="1468"/>
      <c r="AP205" s="1468"/>
      <c r="AQ205" s="1468"/>
      <c r="AR205" s="1468"/>
      <c r="AS205" s="1468"/>
      <c r="AT205" s="1468"/>
      <c r="AU205" s="1468"/>
      <c r="AV205" s="1468"/>
      <c r="AW205" s="1468"/>
      <c r="AX205" s="1468"/>
      <c r="AY205" s="1468"/>
      <c r="AZ205" s="1468"/>
      <c r="BA205" s="1468"/>
      <c r="BB205" s="1468"/>
      <c r="BC205" s="1468"/>
      <c r="BD205" s="1468"/>
      <c r="BE205" s="1468"/>
      <c r="BF205" s="1468"/>
      <c r="BG205" s="1468"/>
      <c r="BH205" s="1468"/>
      <c r="BI205" s="1468"/>
      <c r="BJ205" s="1468"/>
      <c r="BK205" s="1468"/>
      <c r="BL205" s="1468"/>
      <c r="BM205" s="1468"/>
      <c r="BN205" s="1468"/>
      <c r="BO205" s="1468"/>
      <c r="BP205" s="1468"/>
      <c r="BQ205" s="1468"/>
      <c r="BR205" s="1468"/>
      <c r="BS205" s="1468"/>
      <c r="BT205" s="1468"/>
      <c r="BU205" s="1468"/>
      <c r="BV205" s="1468"/>
      <c r="BW205" s="1468"/>
      <c r="BX205" s="1468"/>
      <c r="BY205" s="1468"/>
      <c r="BZ205" s="1468"/>
      <c r="CA205" s="1468"/>
      <c r="CB205" s="1468"/>
      <c r="CC205" s="1468"/>
      <c r="CD205" s="1468"/>
      <c r="CE205" s="1468"/>
      <c r="CF205" s="1468"/>
      <c r="CG205" s="1468"/>
      <c r="CH205" s="1468"/>
      <c r="CI205" s="1468"/>
      <c r="CJ205" s="1468"/>
      <c r="CK205" s="1468"/>
      <c r="CL205" s="1468"/>
      <c r="CM205" s="1468"/>
      <c r="CN205" s="1468"/>
      <c r="CO205" s="1468"/>
      <c r="CP205" s="1468"/>
      <c r="CQ205" s="1468"/>
      <c r="CR205" s="1468"/>
      <c r="CS205" s="1468"/>
      <c r="CT205" s="1468"/>
      <c r="CU205" s="1468"/>
      <c r="CV205" s="1468"/>
      <c r="CW205" s="1468"/>
      <c r="CX205" s="1468"/>
      <c r="CY205" s="1468"/>
      <c r="CZ205" s="1468"/>
      <c r="DA205" s="1468"/>
      <c r="DB205" s="1468"/>
      <c r="DC205" s="1468"/>
      <c r="DD205" s="1468"/>
      <c r="DE205" s="1468"/>
      <c r="DF205" s="1468"/>
      <c r="DG205" s="1468"/>
      <c r="DH205" s="1468"/>
      <c r="DI205" s="1468"/>
      <c r="DJ205" s="1468"/>
      <c r="DK205" s="1468"/>
      <c r="DL205" s="1468"/>
      <c r="DM205" s="1468"/>
      <c r="DN205" s="1468"/>
      <c r="DO205" s="1468"/>
      <c r="DP205" s="1468"/>
      <c r="DQ205" s="1468"/>
      <c r="DR205" s="1468"/>
      <c r="DS205" s="1468"/>
      <c r="DT205" s="1468"/>
      <c r="DU205" s="1468"/>
      <c r="DV205" s="1468"/>
      <c r="DW205" s="1468"/>
      <c r="DX205" s="1468"/>
      <c r="DY205" s="1468"/>
      <c r="DZ205" s="1468"/>
      <c r="EA205" s="1468"/>
      <c r="EB205" s="1468"/>
      <c r="EC205" s="1468"/>
      <c r="ED205" s="1468"/>
      <c r="EE205" s="1468"/>
      <c r="EF205" s="1468"/>
      <c r="EG205" s="1468"/>
      <c r="EH205" s="1468"/>
      <c r="EI205" s="1468"/>
      <c r="EJ205" s="1468"/>
      <c r="EK205" s="1468"/>
      <c r="EL205" s="1468"/>
      <c r="EM205" s="1468"/>
      <c r="EN205" s="1468"/>
      <c r="EO205" s="1468"/>
      <c r="EP205" s="1468"/>
      <c r="EQ205" s="1468"/>
      <c r="ER205" s="1468"/>
      <c r="ES205" s="1468"/>
      <c r="ET205" s="1468"/>
      <c r="EU205" s="1468"/>
      <c r="EV205" s="1468"/>
      <c r="EW205" s="1468"/>
      <c r="EX205" s="1468"/>
      <c r="EY205" s="1468"/>
      <c r="EZ205" s="1468"/>
      <c r="FA205" s="1468"/>
      <c r="FB205" s="1468"/>
      <c r="FC205" s="1468"/>
      <c r="FD205" s="1468"/>
      <c r="FE205" s="1468"/>
      <c r="FF205" s="1468"/>
    </row>
    <row r="207" spans="6:162" s="1470" customFormat="1" ht="15.75" customHeight="1">
      <c r="F207" s="1468"/>
      <c r="G207" s="1468"/>
      <c r="H207" s="1468"/>
      <c r="I207" s="1468"/>
      <c r="J207" s="1468"/>
      <c r="K207" s="1468"/>
      <c r="L207" s="1468"/>
      <c r="M207" s="1468"/>
      <c r="N207" s="1468"/>
      <c r="O207" s="1468"/>
      <c r="P207" s="1468"/>
      <c r="Q207" s="1468"/>
      <c r="R207" s="1468"/>
      <c r="S207" s="1468"/>
      <c r="T207" s="1468"/>
      <c r="U207" s="1468"/>
      <c r="V207" s="1468"/>
      <c r="W207" s="1468"/>
      <c r="X207" s="1468"/>
      <c r="Y207" s="1468"/>
      <c r="AA207" s="1468"/>
      <c r="AC207" s="1468"/>
      <c r="AD207" s="1468"/>
      <c r="AE207" s="1468"/>
      <c r="AF207" s="1468"/>
      <c r="AG207" s="1468"/>
      <c r="AH207" s="1469"/>
      <c r="AI207" s="1469"/>
      <c r="AJ207" s="1468"/>
      <c r="AK207" s="1468"/>
      <c r="AL207" s="1468"/>
      <c r="AM207" s="1468"/>
      <c r="AN207" s="1468"/>
      <c r="AO207" s="1468"/>
      <c r="AP207" s="1468"/>
      <c r="AQ207" s="1468"/>
      <c r="AR207" s="1468"/>
      <c r="AS207" s="1468"/>
      <c r="AT207" s="1468"/>
      <c r="AU207" s="1468"/>
      <c r="AV207" s="1468"/>
      <c r="AW207" s="1468"/>
      <c r="AX207" s="1468"/>
      <c r="AY207" s="1468"/>
      <c r="AZ207" s="1468"/>
      <c r="BA207" s="1468"/>
      <c r="BB207" s="1468"/>
      <c r="BC207" s="1468"/>
      <c r="BD207" s="1468"/>
      <c r="BE207" s="1468"/>
      <c r="BF207" s="1468"/>
      <c r="BG207" s="1468"/>
      <c r="BH207" s="1468"/>
      <c r="BI207" s="1468"/>
      <c r="BJ207" s="1468"/>
      <c r="BK207" s="1468"/>
      <c r="BL207" s="1468"/>
      <c r="BM207" s="1468"/>
      <c r="BN207" s="1468"/>
      <c r="BO207" s="1468"/>
      <c r="BP207" s="1468"/>
      <c r="BQ207" s="1468"/>
      <c r="BR207" s="1468"/>
      <c r="BS207" s="1468"/>
      <c r="BT207" s="1468"/>
      <c r="BU207" s="1468"/>
      <c r="BV207" s="1468"/>
      <c r="BW207" s="1468"/>
      <c r="BX207" s="1468"/>
      <c r="BY207" s="1468"/>
      <c r="BZ207" s="1468"/>
      <c r="CA207" s="1468"/>
      <c r="CB207" s="1468"/>
      <c r="CC207" s="1468"/>
      <c r="CD207" s="1468"/>
      <c r="CE207" s="1468"/>
      <c r="CF207" s="1468"/>
      <c r="CG207" s="1468"/>
      <c r="CH207" s="1468"/>
      <c r="CI207" s="1468"/>
      <c r="CJ207" s="1468"/>
      <c r="CK207" s="1468"/>
      <c r="CL207" s="1468"/>
      <c r="CM207" s="1468"/>
      <c r="CN207" s="1468"/>
      <c r="CO207" s="1468"/>
      <c r="CP207" s="1468"/>
      <c r="CQ207" s="1468"/>
      <c r="CR207" s="1468"/>
      <c r="CS207" s="1468"/>
      <c r="CT207" s="1468"/>
      <c r="CU207" s="1468"/>
      <c r="CV207" s="1468"/>
      <c r="CW207" s="1468"/>
      <c r="CX207" s="1468"/>
      <c r="CY207" s="1468"/>
      <c r="CZ207" s="1468"/>
      <c r="DA207" s="1468"/>
      <c r="DB207" s="1468"/>
      <c r="DC207" s="1468"/>
      <c r="DD207" s="1468"/>
      <c r="DE207" s="1468"/>
      <c r="DF207" s="1468"/>
      <c r="DG207" s="1468"/>
      <c r="DH207" s="1468"/>
      <c r="DI207" s="1468"/>
      <c r="DJ207" s="1468"/>
      <c r="DK207" s="1468"/>
      <c r="DL207" s="1468"/>
      <c r="DM207" s="1468"/>
      <c r="DN207" s="1468"/>
      <c r="DO207" s="1468"/>
      <c r="DP207" s="1468"/>
      <c r="DQ207" s="1468"/>
      <c r="DR207" s="1468"/>
      <c r="DS207" s="1468"/>
      <c r="DT207" s="1468"/>
      <c r="DU207" s="1468"/>
      <c r="DV207" s="1468"/>
      <c r="DW207" s="1468"/>
      <c r="DX207" s="1468"/>
      <c r="DY207" s="1468"/>
      <c r="DZ207" s="1468"/>
      <c r="EA207" s="1468"/>
      <c r="EB207" s="1468"/>
      <c r="EC207" s="1468"/>
      <c r="ED207" s="1468"/>
      <c r="EE207" s="1468"/>
      <c r="EF207" s="1468"/>
      <c r="EG207" s="1468"/>
      <c r="EH207" s="1468"/>
      <c r="EI207" s="1468"/>
      <c r="EJ207" s="1468"/>
      <c r="EK207" s="1468"/>
      <c r="EL207" s="1468"/>
      <c r="EM207" s="1468"/>
      <c r="EN207" s="1468"/>
      <c r="EO207" s="1468"/>
      <c r="EP207" s="1468"/>
      <c r="EQ207" s="1468"/>
      <c r="ER207" s="1468"/>
      <c r="ES207" s="1468"/>
      <c r="ET207" s="1468"/>
      <c r="EU207" s="1468"/>
      <c r="EV207" s="1468"/>
      <c r="EW207" s="1468"/>
      <c r="EX207" s="1468"/>
      <c r="EY207" s="1468"/>
      <c r="EZ207" s="1468"/>
      <c r="FA207" s="1468"/>
      <c r="FB207" s="1468"/>
      <c r="FC207" s="1468"/>
      <c r="FD207" s="1468"/>
      <c r="FE207" s="1468"/>
      <c r="FF207" s="1468"/>
    </row>
    <row r="209" spans="6:162" s="1470" customFormat="1" ht="15.75" customHeight="1">
      <c r="F209" s="1468"/>
      <c r="G209" s="1468"/>
      <c r="H209" s="1468"/>
      <c r="I209" s="1468"/>
      <c r="J209" s="1468"/>
      <c r="K209" s="1468"/>
      <c r="L209" s="1468"/>
      <c r="M209" s="1468"/>
      <c r="N209" s="1468"/>
      <c r="O209" s="1468"/>
      <c r="P209" s="1468"/>
      <c r="Q209" s="1468"/>
      <c r="R209" s="1468"/>
      <c r="S209" s="1468"/>
      <c r="T209" s="1468"/>
      <c r="U209" s="1468"/>
      <c r="V209" s="1468"/>
      <c r="W209" s="1468"/>
      <c r="X209" s="1468"/>
      <c r="Y209" s="1468"/>
      <c r="AA209" s="1468"/>
      <c r="AC209" s="1468"/>
      <c r="AD209" s="1468"/>
      <c r="AE209" s="1468"/>
      <c r="AF209" s="1468"/>
      <c r="AG209" s="1468"/>
      <c r="AH209" s="1469"/>
      <c r="AI209" s="1469"/>
      <c r="AJ209" s="1468"/>
      <c r="AK209" s="1468"/>
      <c r="AL209" s="1468"/>
      <c r="AM209" s="1468"/>
      <c r="AN209" s="1468"/>
      <c r="AO209" s="1468"/>
      <c r="AP209" s="1468"/>
      <c r="AQ209" s="1468"/>
      <c r="AR209" s="1468"/>
      <c r="AS209" s="1468"/>
      <c r="AT209" s="1468"/>
      <c r="AU209" s="1468"/>
      <c r="AV209" s="1468"/>
      <c r="AW209" s="1468"/>
      <c r="AX209" s="1468"/>
      <c r="AY209" s="1468"/>
      <c r="AZ209" s="1468"/>
      <c r="BA209" s="1468"/>
      <c r="BB209" s="1468"/>
      <c r="BC209" s="1468"/>
      <c r="BD209" s="1468"/>
      <c r="BE209" s="1468"/>
      <c r="BF209" s="1468"/>
      <c r="BG209" s="1468"/>
      <c r="BH209" s="1468"/>
      <c r="BI209" s="1468"/>
      <c r="BJ209" s="1468"/>
      <c r="BK209" s="1468"/>
      <c r="BL209" s="1468"/>
      <c r="BM209" s="1468"/>
      <c r="BN209" s="1468"/>
      <c r="BO209" s="1468"/>
      <c r="BP209" s="1468"/>
      <c r="BQ209" s="1468"/>
      <c r="BR209" s="1468"/>
      <c r="BS209" s="1468"/>
      <c r="BT209" s="1468"/>
      <c r="BU209" s="1468"/>
      <c r="BV209" s="1468"/>
      <c r="BW209" s="1468"/>
      <c r="BX209" s="1468"/>
      <c r="BY209" s="1468"/>
      <c r="BZ209" s="1468"/>
      <c r="CA209" s="1468"/>
      <c r="CB209" s="1468"/>
      <c r="CC209" s="1468"/>
      <c r="CD209" s="1468"/>
      <c r="CE209" s="1468"/>
      <c r="CF209" s="1468"/>
      <c r="CG209" s="1468"/>
      <c r="CH209" s="1468"/>
      <c r="CI209" s="1468"/>
      <c r="CJ209" s="1468"/>
      <c r="CK209" s="1468"/>
      <c r="CL209" s="1468"/>
      <c r="CM209" s="1468"/>
      <c r="CN209" s="1468"/>
      <c r="CO209" s="1468"/>
      <c r="CP209" s="1468"/>
      <c r="CQ209" s="1468"/>
      <c r="CR209" s="1468"/>
      <c r="CS209" s="1468"/>
      <c r="CT209" s="1468"/>
      <c r="CU209" s="1468"/>
      <c r="CV209" s="1468"/>
      <c r="CW209" s="1468"/>
      <c r="CX209" s="1468"/>
      <c r="CY209" s="1468"/>
      <c r="CZ209" s="1468"/>
      <c r="DA209" s="1468"/>
      <c r="DB209" s="1468"/>
      <c r="DC209" s="1468"/>
      <c r="DD209" s="1468"/>
      <c r="DE209" s="1468"/>
      <c r="DF209" s="1468"/>
      <c r="DG209" s="1468"/>
      <c r="DH209" s="1468"/>
      <c r="DI209" s="1468"/>
      <c r="DJ209" s="1468"/>
      <c r="DK209" s="1468"/>
      <c r="DL209" s="1468"/>
      <c r="DM209" s="1468"/>
      <c r="DN209" s="1468"/>
      <c r="DO209" s="1468"/>
      <c r="DP209" s="1468"/>
      <c r="DQ209" s="1468"/>
      <c r="DR209" s="1468"/>
      <c r="DS209" s="1468"/>
      <c r="DT209" s="1468"/>
      <c r="DU209" s="1468"/>
      <c r="DV209" s="1468"/>
      <c r="DW209" s="1468"/>
      <c r="DX209" s="1468"/>
      <c r="DY209" s="1468"/>
      <c r="DZ209" s="1468"/>
      <c r="EA209" s="1468"/>
      <c r="EB209" s="1468"/>
      <c r="EC209" s="1468"/>
      <c r="ED209" s="1468"/>
      <c r="EE209" s="1468"/>
      <c r="EF209" s="1468"/>
      <c r="EG209" s="1468"/>
      <c r="EH209" s="1468"/>
      <c r="EI209" s="1468"/>
      <c r="EJ209" s="1468"/>
      <c r="EK209" s="1468"/>
      <c r="EL209" s="1468"/>
      <c r="EM209" s="1468"/>
      <c r="EN209" s="1468"/>
      <c r="EO209" s="1468"/>
      <c r="EP209" s="1468"/>
      <c r="EQ209" s="1468"/>
      <c r="ER209" s="1468"/>
      <c r="ES209" s="1468"/>
      <c r="ET209" s="1468"/>
      <c r="EU209" s="1468"/>
      <c r="EV209" s="1468"/>
      <c r="EW209" s="1468"/>
      <c r="EX209" s="1468"/>
      <c r="EY209" s="1468"/>
      <c r="EZ209" s="1468"/>
      <c r="FA209" s="1468"/>
      <c r="FB209" s="1468"/>
      <c r="FC209" s="1468"/>
      <c r="FD209" s="1468"/>
      <c r="FE209" s="1468"/>
      <c r="FF209" s="1468"/>
    </row>
    <row r="211" spans="6:162" s="1470" customFormat="1" ht="15.75" customHeight="1">
      <c r="F211" s="1468"/>
      <c r="G211" s="1468"/>
      <c r="H211" s="1468"/>
      <c r="I211" s="1468"/>
      <c r="J211" s="1468"/>
      <c r="K211" s="1468"/>
      <c r="L211" s="1468"/>
      <c r="M211" s="1468"/>
      <c r="N211" s="1468"/>
      <c r="O211" s="1468"/>
      <c r="P211" s="1468"/>
      <c r="Q211" s="1468"/>
      <c r="R211" s="1468"/>
      <c r="S211" s="1468"/>
      <c r="T211" s="1468"/>
      <c r="U211" s="1468"/>
      <c r="V211" s="1468"/>
      <c r="W211" s="1468"/>
      <c r="X211" s="1468"/>
      <c r="Y211" s="1468"/>
      <c r="AA211" s="1468"/>
      <c r="AC211" s="1468"/>
      <c r="AD211" s="1468"/>
      <c r="AE211" s="1468"/>
      <c r="AF211" s="1468"/>
      <c r="AG211" s="1468"/>
      <c r="AH211" s="1469"/>
      <c r="AI211" s="1469"/>
      <c r="AJ211" s="1468"/>
      <c r="AK211" s="1468"/>
      <c r="AL211" s="1468"/>
      <c r="AM211" s="1468"/>
      <c r="AN211" s="1468"/>
      <c r="AO211" s="1468"/>
      <c r="AP211" s="1468"/>
      <c r="AQ211" s="1468"/>
      <c r="AR211" s="1468"/>
      <c r="AS211" s="1468"/>
      <c r="AT211" s="1468"/>
      <c r="AU211" s="1468"/>
      <c r="AV211" s="1468"/>
      <c r="AW211" s="1468"/>
      <c r="AX211" s="1468"/>
      <c r="AY211" s="1468"/>
      <c r="AZ211" s="1468"/>
      <c r="BA211" s="1468"/>
      <c r="BB211" s="1468"/>
      <c r="BC211" s="1468"/>
      <c r="BD211" s="1468"/>
      <c r="BE211" s="1468"/>
      <c r="BF211" s="1468"/>
      <c r="BG211" s="1468"/>
      <c r="BH211" s="1468"/>
      <c r="BI211" s="1468"/>
      <c r="BJ211" s="1468"/>
      <c r="BK211" s="1468"/>
      <c r="BL211" s="1468"/>
      <c r="BM211" s="1468"/>
      <c r="BN211" s="1468"/>
      <c r="BO211" s="1468"/>
      <c r="BP211" s="1468"/>
      <c r="BQ211" s="1468"/>
      <c r="BR211" s="1468"/>
      <c r="BS211" s="1468"/>
      <c r="BT211" s="1468"/>
      <c r="BU211" s="1468"/>
      <c r="BV211" s="1468"/>
      <c r="BW211" s="1468"/>
      <c r="BX211" s="1468"/>
      <c r="BY211" s="1468"/>
      <c r="BZ211" s="1468"/>
      <c r="CA211" s="1468"/>
      <c r="CB211" s="1468"/>
      <c r="CC211" s="1468"/>
      <c r="CD211" s="1468"/>
      <c r="CE211" s="1468"/>
      <c r="CF211" s="1468"/>
      <c r="CG211" s="1468"/>
      <c r="CH211" s="1468"/>
      <c r="CI211" s="1468"/>
      <c r="CJ211" s="1468"/>
      <c r="CK211" s="1468"/>
      <c r="CL211" s="1468"/>
      <c r="CM211" s="1468"/>
      <c r="CN211" s="1468"/>
      <c r="CO211" s="1468"/>
      <c r="CP211" s="1468"/>
      <c r="CQ211" s="1468"/>
      <c r="CR211" s="1468"/>
      <c r="CS211" s="1468"/>
      <c r="CT211" s="1468"/>
      <c r="CU211" s="1468"/>
      <c r="CV211" s="1468"/>
      <c r="CW211" s="1468"/>
      <c r="CX211" s="1468"/>
      <c r="CY211" s="1468"/>
      <c r="CZ211" s="1468"/>
      <c r="DA211" s="1468"/>
      <c r="DB211" s="1468"/>
      <c r="DC211" s="1468"/>
      <c r="DD211" s="1468"/>
      <c r="DE211" s="1468"/>
      <c r="DF211" s="1468"/>
      <c r="DG211" s="1468"/>
      <c r="DH211" s="1468"/>
      <c r="DI211" s="1468"/>
      <c r="DJ211" s="1468"/>
      <c r="DK211" s="1468"/>
      <c r="DL211" s="1468"/>
      <c r="DM211" s="1468"/>
      <c r="DN211" s="1468"/>
      <c r="DO211" s="1468"/>
      <c r="DP211" s="1468"/>
      <c r="DQ211" s="1468"/>
      <c r="DR211" s="1468"/>
      <c r="DS211" s="1468"/>
      <c r="DT211" s="1468"/>
      <c r="DU211" s="1468"/>
      <c r="DV211" s="1468"/>
      <c r="DW211" s="1468"/>
      <c r="DX211" s="1468"/>
      <c r="DY211" s="1468"/>
      <c r="DZ211" s="1468"/>
      <c r="EA211" s="1468"/>
      <c r="EB211" s="1468"/>
      <c r="EC211" s="1468"/>
      <c r="ED211" s="1468"/>
      <c r="EE211" s="1468"/>
      <c r="EF211" s="1468"/>
      <c r="EG211" s="1468"/>
      <c r="EH211" s="1468"/>
      <c r="EI211" s="1468"/>
      <c r="EJ211" s="1468"/>
      <c r="EK211" s="1468"/>
      <c r="EL211" s="1468"/>
      <c r="EM211" s="1468"/>
      <c r="EN211" s="1468"/>
      <c r="EO211" s="1468"/>
      <c r="EP211" s="1468"/>
      <c r="EQ211" s="1468"/>
      <c r="ER211" s="1468"/>
      <c r="ES211" s="1468"/>
      <c r="ET211" s="1468"/>
      <c r="EU211" s="1468"/>
      <c r="EV211" s="1468"/>
      <c r="EW211" s="1468"/>
      <c r="EX211" s="1468"/>
      <c r="EY211" s="1468"/>
      <c r="EZ211" s="1468"/>
      <c r="FA211" s="1468"/>
      <c r="FB211" s="1468"/>
      <c r="FC211" s="1468"/>
      <c r="FD211" s="1468"/>
      <c r="FE211" s="1468"/>
      <c r="FF211" s="1468"/>
    </row>
    <row r="213" spans="6:162" s="1470" customFormat="1" ht="15.75" customHeight="1">
      <c r="F213" s="1468"/>
      <c r="G213" s="1468"/>
      <c r="H213" s="1468"/>
      <c r="I213" s="1468"/>
      <c r="J213" s="1468"/>
      <c r="K213" s="1468"/>
      <c r="L213" s="1468"/>
      <c r="M213" s="1468"/>
      <c r="N213" s="1468"/>
      <c r="O213" s="1468"/>
      <c r="P213" s="1468"/>
      <c r="Q213" s="1468"/>
      <c r="R213" s="1468"/>
      <c r="S213" s="1468"/>
      <c r="T213" s="1468"/>
      <c r="U213" s="1468"/>
      <c r="V213" s="1468"/>
      <c r="W213" s="1468"/>
      <c r="X213" s="1468"/>
      <c r="Y213" s="1468"/>
      <c r="AA213" s="1468"/>
      <c r="AC213" s="1468"/>
      <c r="AD213" s="1468"/>
      <c r="AE213" s="1468"/>
      <c r="AF213" s="1468"/>
      <c r="AG213" s="1468"/>
      <c r="AH213" s="1469"/>
      <c r="AI213" s="1469"/>
      <c r="AJ213" s="1468"/>
      <c r="AK213" s="1468"/>
      <c r="AL213" s="1468"/>
      <c r="AM213" s="1468"/>
      <c r="AN213" s="1468"/>
      <c r="AO213" s="1468"/>
      <c r="AP213" s="1468"/>
      <c r="AQ213" s="1468"/>
      <c r="AR213" s="1468"/>
      <c r="AS213" s="1468"/>
      <c r="AT213" s="1468"/>
      <c r="AU213" s="1468"/>
      <c r="AV213" s="1468"/>
      <c r="AW213" s="1468"/>
      <c r="AX213" s="1468"/>
      <c r="AY213" s="1468"/>
      <c r="AZ213" s="1468"/>
      <c r="BA213" s="1468"/>
      <c r="BB213" s="1468"/>
      <c r="BC213" s="1468"/>
      <c r="BD213" s="1468"/>
      <c r="BE213" s="1468"/>
      <c r="BF213" s="1468"/>
      <c r="BG213" s="1468"/>
      <c r="BH213" s="1468"/>
      <c r="BI213" s="1468"/>
      <c r="BJ213" s="1468"/>
      <c r="BK213" s="1468"/>
      <c r="BL213" s="1468"/>
      <c r="BM213" s="1468"/>
      <c r="BN213" s="1468"/>
      <c r="BO213" s="1468"/>
      <c r="BP213" s="1468"/>
      <c r="BQ213" s="1468"/>
      <c r="BR213" s="1468"/>
      <c r="BS213" s="1468"/>
      <c r="BT213" s="1468"/>
      <c r="BU213" s="1468"/>
      <c r="BV213" s="1468"/>
      <c r="BW213" s="1468"/>
      <c r="BX213" s="1468"/>
      <c r="BY213" s="1468"/>
      <c r="BZ213" s="1468"/>
      <c r="CA213" s="1468"/>
      <c r="CB213" s="1468"/>
      <c r="CC213" s="1468"/>
      <c r="CD213" s="1468"/>
      <c r="CE213" s="1468"/>
      <c r="CF213" s="1468"/>
      <c r="CG213" s="1468"/>
      <c r="CH213" s="1468"/>
      <c r="CI213" s="1468"/>
      <c r="CJ213" s="1468"/>
      <c r="CK213" s="1468"/>
      <c r="CL213" s="1468"/>
      <c r="CM213" s="1468"/>
      <c r="CN213" s="1468"/>
      <c r="CO213" s="1468"/>
      <c r="CP213" s="1468"/>
      <c r="CQ213" s="1468"/>
      <c r="CR213" s="1468"/>
      <c r="CS213" s="1468"/>
      <c r="CT213" s="1468"/>
      <c r="CU213" s="1468"/>
      <c r="CV213" s="1468"/>
      <c r="CW213" s="1468"/>
      <c r="CX213" s="1468"/>
      <c r="CY213" s="1468"/>
      <c r="CZ213" s="1468"/>
      <c r="DA213" s="1468"/>
      <c r="DB213" s="1468"/>
      <c r="DC213" s="1468"/>
      <c r="DD213" s="1468"/>
      <c r="DE213" s="1468"/>
      <c r="DF213" s="1468"/>
      <c r="DG213" s="1468"/>
      <c r="DH213" s="1468"/>
      <c r="DI213" s="1468"/>
      <c r="DJ213" s="1468"/>
      <c r="DK213" s="1468"/>
      <c r="DL213" s="1468"/>
      <c r="DM213" s="1468"/>
      <c r="DN213" s="1468"/>
      <c r="DO213" s="1468"/>
      <c r="DP213" s="1468"/>
      <c r="DQ213" s="1468"/>
      <c r="DR213" s="1468"/>
      <c r="DS213" s="1468"/>
      <c r="DT213" s="1468"/>
      <c r="DU213" s="1468"/>
      <c r="DV213" s="1468"/>
      <c r="DW213" s="1468"/>
      <c r="DX213" s="1468"/>
      <c r="DY213" s="1468"/>
      <c r="DZ213" s="1468"/>
      <c r="EA213" s="1468"/>
      <c r="EB213" s="1468"/>
      <c r="EC213" s="1468"/>
      <c r="ED213" s="1468"/>
      <c r="EE213" s="1468"/>
      <c r="EF213" s="1468"/>
      <c r="EG213" s="1468"/>
      <c r="EH213" s="1468"/>
      <c r="EI213" s="1468"/>
      <c r="EJ213" s="1468"/>
      <c r="EK213" s="1468"/>
      <c r="EL213" s="1468"/>
      <c r="EM213" s="1468"/>
      <c r="EN213" s="1468"/>
      <c r="EO213" s="1468"/>
      <c r="EP213" s="1468"/>
      <c r="EQ213" s="1468"/>
      <c r="ER213" s="1468"/>
      <c r="ES213" s="1468"/>
      <c r="ET213" s="1468"/>
      <c r="EU213" s="1468"/>
      <c r="EV213" s="1468"/>
      <c r="EW213" s="1468"/>
      <c r="EX213" s="1468"/>
      <c r="EY213" s="1468"/>
      <c r="EZ213" s="1468"/>
      <c r="FA213" s="1468"/>
      <c r="FB213" s="1468"/>
      <c r="FC213" s="1468"/>
      <c r="FD213" s="1468"/>
      <c r="FE213" s="1468"/>
      <c r="FF213" s="1468"/>
    </row>
    <row r="215" spans="6:162" s="1470" customFormat="1" ht="15.75" customHeight="1">
      <c r="F215" s="1468"/>
      <c r="G215" s="1468"/>
      <c r="H215" s="1468"/>
      <c r="I215" s="1468"/>
      <c r="J215" s="1468"/>
      <c r="K215" s="1468"/>
      <c r="L215" s="1468"/>
      <c r="M215" s="1468"/>
      <c r="N215" s="1468"/>
      <c r="O215" s="1468"/>
      <c r="P215" s="1468"/>
      <c r="Q215" s="1468"/>
      <c r="R215" s="1468"/>
      <c r="S215" s="1468"/>
      <c r="T215" s="1468"/>
      <c r="U215" s="1468"/>
      <c r="V215" s="1468"/>
      <c r="W215" s="1468"/>
      <c r="X215" s="1468"/>
      <c r="Y215" s="1468"/>
      <c r="AA215" s="1468"/>
      <c r="AC215" s="1468"/>
      <c r="AD215" s="1468"/>
      <c r="AE215" s="1468"/>
      <c r="AF215" s="1468"/>
      <c r="AG215" s="1468"/>
      <c r="AH215" s="1469"/>
      <c r="AI215" s="1469"/>
      <c r="AJ215" s="1468"/>
      <c r="AK215" s="1468"/>
      <c r="AL215" s="1468"/>
      <c r="AM215" s="1468"/>
      <c r="AN215" s="1468"/>
      <c r="AO215" s="1468"/>
      <c r="AP215" s="1468"/>
      <c r="AQ215" s="1468"/>
      <c r="AR215" s="1468"/>
      <c r="AS215" s="1468"/>
      <c r="AT215" s="1468"/>
      <c r="AU215" s="1468"/>
      <c r="AV215" s="1468"/>
      <c r="AW215" s="1468"/>
      <c r="AX215" s="1468"/>
      <c r="AY215" s="1468"/>
      <c r="AZ215" s="1468"/>
      <c r="BA215" s="1468"/>
      <c r="BB215" s="1468"/>
      <c r="BC215" s="1468"/>
      <c r="BD215" s="1468"/>
      <c r="BE215" s="1468"/>
      <c r="BF215" s="1468"/>
      <c r="BG215" s="1468"/>
      <c r="BH215" s="1468"/>
      <c r="BI215" s="1468"/>
      <c r="BJ215" s="1468"/>
      <c r="BK215" s="1468"/>
      <c r="BL215" s="1468"/>
      <c r="BM215" s="1468"/>
      <c r="BN215" s="1468"/>
      <c r="BO215" s="1468"/>
      <c r="BP215" s="1468"/>
      <c r="BQ215" s="1468"/>
      <c r="BR215" s="1468"/>
      <c r="BS215" s="1468"/>
      <c r="BT215" s="1468"/>
      <c r="BU215" s="1468"/>
      <c r="BV215" s="1468"/>
      <c r="BW215" s="1468"/>
      <c r="BX215" s="1468"/>
      <c r="BY215" s="1468"/>
      <c r="BZ215" s="1468"/>
      <c r="CA215" s="1468"/>
      <c r="CB215" s="1468"/>
      <c r="CC215" s="1468"/>
      <c r="CD215" s="1468"/>
      <c r="CE215" s="1468"/>
      <c r="CF215" s="1468"/>
      <c r="CG215" s="1468"/>
      <c r="CH215" s="1468"/>
      <c r="CI215" s="1468"/>
      <c r="CJ215" s="1468"/>
      <c r="CK215" s="1468"/>
      <c r="CL215" s="1468"/>
      <c r="CM215" s="1468"/>
      <c r="CN215" s="1468"/>
      <c r="CO215" s="1468"/>
      <c r="CP215" s="1468"/>
      <c r="CQ215" s="1468"/>
      <c r="CR215" s="1468"/>
      <c r="CS215" s="1468"/>
      <c r="CT215" s="1468"/>
      <c r="CU215" s="1468"/>
      <c r="CV215" s="1468"/>
      <c r="CW215" s="1468"/>
      <c r="CX215" s="1468"/>
      <c r="CY215" s="1468"/>
      <c r="CZ215" s="1468"/>
      <c r="DA215" s="1468"/>
      <c r="DB215" s="1468"/>
      <c r="DC215" s="1468"/>
      <c r="DD215" s="1468"/>
      <c r="DE215" s="1468"/>
      <c r="DF215" s="1468"/>
      <c r="DG215" s="1468"/>
      <c r="DH215" s="1468"/>
      <c r="DI215" s="1468"/>
      <c r="DJ215" s="1468"/>
      <c r="DK215" s="1468"/>
      <c r="DL215" s="1468"/>
      <c r="DM215" s="1468"/>
      <c r="DN215" s="1468"/>
      <c r="DO215" s="1468"/>
      <c r="DP215" s="1468"/>
      <c r="DQ215" s="1468"/>
      <c r="DR215" s="1468"/>
      <c r="DS215" s="1468"/>
      <c r="DT215" s="1468"/>
      <c r="DU215" s="1468"/>
      <c r="DV215" s="1468"/>
      <c r="DW215" s="1468"/>
      <c r="DX215" s="1468"/>
      <c r="DY215" s="1468"/>
      <c r="DZ215" s="1468"/>
      <c r="EA215" s="1468"/>
      <c r="EB215" s="1468"/>
      <c r="EC215" s="1468"/>
      <c r="ED215" s="1468"/>
      <c r="EE215" s="1468"/>
      <c r="EF215" s="1468"/>
      <c r="EG215" s="1468"/>
      <c r="EH215" s="1468"/>
      <c r="EI215" s="1468"/>
      <c r="EJ215" s="1468"/>
      <c r="EK215" s="1468"/>
      <c r="EL215" s="1468"/>
      <c r="EM215" s="1468"/>
      <c r="EN215" s="1468"/>
      <c r="EO215" s="1468"/>
      <c r="EP215" s="1468"/>
      <c r="EQ215" s="1468"/>
      <c r="ER215" s="1468"/>
      <c r="ES215" s="1468"/>
      <c r="ET215" s="1468"/>
      <c r="EU215" s="1468"/>
      <c r="EV215" s="1468"/>
      <c r="EW215" s="1468"/>
      <c r="EX215" s="1468"/>
      <c r="EY215" s="1468"/>
      <c r="EZ215" s="1468"/>
      <c r="FA215" s="1468"/>
      <c r="FB215" s="1468"/>
      <c r="FC215" s="1468"/>
      <c r="FD215" s="1468"/>
      <c r="FE215" s="1468"/>
      <c r="FF215" s="1468"/>
    </row>
    <row r="217" spans="6:162" s="1470" customFormat="1" ht="15.75" customHeight="1">
      <c r="F217" s="1468"/>
      <c r="G217" s="1468"/>
      <c r="H217" s="1468"/>
      <c r="I217" s="1468"/>
      <c r="J217" s="1468"/>
      <c r="K217" s="1468"/>
      <c r="L217" s="1468"/>
      <c r="M217" s="1468"/>
      <c r="N217" s="1468"/>
      <c r="O217" s="1468"/>
      <c r="P217" s="1468"/>
      <c r="Q217" s="1468"/>
      <c r="R217" s="1468"/>
      <c r="S217" s="1468"/>
      <c r="T217" s="1468"/>
      <c r="U217" s="1468"/>
      <c r="V217" s="1468"/>
      <c r="W217" s="1468"/>
      <c r="X217" s="1468"/>
      <c r="Y217" s="1468"/>
      <c r="AA217" s="1468"/>
      <c r="AC217" s="1468"/>
      <c r="AD217" s="1468"/>
      <c r="AE217" s="1468"/>
      <c r="AF217" s="1468"/>
      <c r="AG217" s="1468"/>
      <c r="AH217" s="1469"/>
      <c r="AI217" s="1469"/>
      <c r="AJ217" s="1468"/>
      <c r="AK217" s="1468"/>
      <c r="AL217" s="1468"/>
      <c r="AM217" s="1468"/>
      <c r="AN217" s="1468"/>
      <c r="AO217" s="1468"/>
      <c r="AP217" s="1468"/>
      <c r="AQ217" s="1468"/>
      <c r="AR217" s="1468"/>
      <c r="AS217" s="1468"/>
      <c r="AT217" s="1468"/>
      <c r="AU217" s="1468"/>
      <c r="AV217" s="1468"/>
      <c r="AW217" s="1468"/>
      <c r="AX217" s="1468"/>
      <c r="AY217" s="1468"/>
      <c r="AZ217" s="1468"/>
      <c r="BA217" s="1468"/>
      <c r="BB217" s="1468"/>
      <c r="BC217" s="1468"/>
      <c r="BD217" s="1468"/>
      <c r="BE217" s="1468"/>
      <c r="BF217" s="1468"/>
      <c r="BG217" s="1468"/>
      <c r="BH217" s="1468"/>
      <c r="BI217" s="1468"/>
      <c r="BJ217" s="1468"/>
      <c r="BK217" s="1468"/>
      <c r="BL217" s="1468"/>
      <c r="BM217" s="1468"/>
      <c r="BN217" s="1468"/>
      <c r="BO217" s="1468"/>
      <c r="BP217" s="1468"/>
      <c r="BQ217" s="1468"/>
      <c r="BR217" s="1468"/>
      <c r="BS217" s="1468"/>
      <c r="BT217" s="1468"/>
      <c r="BU217" s="1468"/>
      <c r="BV217" s="1468"/>
      <c r="BW217" s="1468"/>
      <c r="BX217" s="1468"/>
      <c r="BY217" s="1468"/>
      <c r="BZ217" s="1468"/>
      <c r="CA217" s="1468"/>
      <c r="CB217" s="1468"/>
      <c r="CC217" s="1468"/>
      <c r="CD217" s="1468"/>
      <c r="CE217" s="1468"/>
      <c r="CF217" s="1468"/>
      <c r="CG217" s="1468"/>
      <c r="CH217" s="1468"/>
      <c r="CI217" s="1468"/>
      <c r="CJ217" s="1468"/>
      <c r="CK217" s="1468"/>
      <c r="CL217" s="1468"/>
      <c r="CM217" s="1468"/>
      <c r="CN217" s="1468"/>
      <c r="CO217" s="1468"/>
      <c r="CP217" s="1468"/>
      <c r="CQ217" s="1468"/>
      <c r="CR217" s="1468"/>
      <c r="CS217" s="1468"/>
      <c r="CT217" s="1468"/>
      <c r="CU217" s="1468"/>
      <c r="CV217" s="1468"/>
      <c r="CW217" s="1468"/>
      <c r="CX217" s="1468"/>
      <c r="CY217" s="1468"/>
      <c r="CZ217" s="1468"/>
      <c r="DA217" s="1468"/>
      <c r="DB217" s="1468"/>
      <c r="DC217" s="1468"/>
      <c r="DD217" s="1468"/>
      <c r="DE217" s="1468"/>
      <c r="DF217" s="1468"/>
      <c r="DG217" s="1468"/>
      <c r="DH217" s="1468"/>
      <c r="DI217" s="1468"/>
      <c r="DJ217" s="1468"/>
      <c r="DK217" s="1468"/>
      <c r="DL217" s="1468"/>
      <c r="DM217" s="1468"/>
      <c r="DN217" s="1468"/>
      <c r="DO217" s="1468"/>
      <c r="DP217" s="1468"/>
      <c r="DQ217" s="1468"/>
      <c r="DR217" s="1468"/>
      <c r="DS217" s="1468"/>
      <c r="DT217" s="1468"/>
      <c r="DU217" s="1468"/>
      <c r="DV217" s="1468"/>
      <c r="DW217" s="1468"/>
      <c r="DX217" s="1468"/>
      <c r="DY217" s="1468"/>
      <c r="DZ217" s="1468"/>
      <c r="EA217" s="1468"/>
      <c r="EB217" s="1468"/>
      <c r="EC217" s="1468"/>
      <c r="ED217" s="1468"/>
      <c r="EE217" s="1468"/>
      <c r="EF217" s="1468"/>
      <c r="EG217" s="1468"/>
      <c r="EH217" s="1468"/>
      <c r="EI217" s="1468"/>
      <c r="EJ217" s="1468"/>
      <c r="EK217" s="1468"/>
      <c r="EL217" s="1468"/>
      <c r="EM217" s="1468"/>
      <c r="EN217" s="1468"/>
      <c r="EO217" s="1468"/>
      <c r="EP217" s="1468"/>
      <c r="EQ217" s="1468"/>
      <c r="ER217" s="1468"/>
      <c r="ES217" s="1468"/>
      <c r="ET217" s="1468"/>
      <c r="EU217" s="1468"/>
      <c r="EV217" s="1468"/>
      <c r="EW217" s="1468"/>
      <c r="EX217" s="1468"/>
      <c r="EY217" s="1468"/>
      <c r="EZ217" s="1468"/>
      <c r="FA217" s="1468"/>
      <c r="FB217" s="1468"/>
      <c r="FC217" s="1468"/>
      <c r="FD217" s="1468"/>
      <c r="FE217" s="1468"/>
      <c r="FF217" s="1468"/>
    </row>
    <row r="219" spans="6:162" s="1470" customFormat="1" ht="15.75" customHeight="1">
      <c r="F219" s="1468"/>
      <c r="G219" s="1468"/>
      <c r="H219" s="1468"/>
      <c r="I219" s="1468"/>
      <c r="J219" s="1468"/>
      <c r="K219" s="1468"/>
      <c r="L219" s="1468"/>
      <c r="M219" s="1468"/>
      <c r="N219" s="1468"/>
      <c r="O219" s="1468"/>
      <c r="P219" s="1468"/>
      <c r="Q219" s="1468"/>
      <c r="R219" s="1468"/>
      <c r="S219" s="1468"/>
      <c r="T219" s="1468"/>
      <c r="U219" s="1468"/>
      <c r="V219" s="1468"/>
      <c r="W219" s="1468"/>
      <c r="X219" s="1468"/>
      <c r="Y219" s="1468"/>
      <c r="AA219" s="1468"/>
      <c r="AC219" s="1468"/>
      <c r="AD219" s="1468"/>
      <c r="AE219" s="1468"/>
      <c r="AF219" s="1468"/>
      <c r="AG219" s="1468"/>
      <c r="AH219" s="1469"/>
      <c r="AI219" s="1469"/>
      <c r="AJ219" s="1468"/>
      <c r="AK219" s="1468"/>
      <c r="AL219" s="1468"/>
      <c r="AM219" s="1468"/>
      <c r="AN219" s="1468"/>
      <c r="AO219" s="1468"/>
      <c r="AP219" s="1468"/>
      <c r="AQ219" s="1468"/>
      <c r="AR219" s="1468"/>
      <c r="AS219" s="1468"/>
      <c r="AT219" s="1468"/>
      <c r="AU219" s="1468"/>
      <c r="AV219" s="1468"/>
      <c r="AW219" s="1468"/>
      <c r="AX219" s="1468"/>
      <c r="AY219" s="1468"/>
      <c r="AZ219" s="1468"/>
      <c r="BA219" s="1468"/>
      <c r="BB219" s="1468"/>
      <c r="BC219" s="1468"/>
      <c r="BD219" s="1468"/>
      <c r="BE219" s="1468"/>
      <c r="BF219" s="1468"/>
      <c r="BG219" s="1468"/>
      <c r="BH219" s="1468"/>
      <c r="BI219" s="1468"/>
      <c r="BJ219" s="1468"/>
      <c r="BK219" s="1468"/>
      <c r="BL219" s="1468"/>
      <c r="BM219" s="1468"/>
      <c r="BN219" s="1468"/>
      <c r="BO219" s="1468"/>
      <c r="BP219" s="1468"/>
      <c r="BQ219" s="1468"/>
      <c r="BR219" s="1468"/>
      <c r="BS219" s="1468"/>
      <c r="BT219" s="1468"/>
      <c r="BU219" s="1468"/>
      <c r="BV219" s="1468"/>
      <c r="BW219" s="1468"/>
      <c r="BX219" s="1468"/>
      <c r="BY219" s="1468"/>
      <c r="BZ219" s="1468"/>
      <c r="CA219" s="1468"/>
      <c r="CB219" s="1468"/>
      <c r="CC219" s="1468"/>
      <c r="CD219" s="1468"/>
      <c r="CE219" s="1468"/>
      <c r="CF219" s="1468"/>
      <c r="CG219" s="1468"/>
      <c r="CH219" s="1468"/>
      <c r="CI219" s="1468"/>
      <c r="CJ219" s="1468"/>
      <c r="CK219" s="1468"/>
      <c r="CL219" s="1468"/>
      <c r="CM219" s="1468"/>
      <c r="CN219" s="1468"/>
      <c r="CO219" s="1468"/>
      <c r="CP219" s="1468"/>
      <c r="CQ219" s="1468"/>
      <c r="CR219" s="1468"/>
      <c r="CS219" s="1468"/>
      <c r="CT219" s="1468"/>
      <c r="CU219" s="1468"/>
      <c r="CV219" s="1468"/>
      <c r="CW219" s="1468"/>
      <c r="CX219" s="1468"/>
      <c r="CY219" s="1468"/>
      <c r="CZ219" s="1468"/>
      <c r="DA219" s="1468"/>
      <c r="DB219" s="1468"/>
      <c r="DC219" s="1468"/>
      <c r="DD219" s="1468"/>
      <c r="DE219" s="1468"/>
      <c r="DF219" s="1468"/>
      <c r="DG219" s="1468"/>
      <c r="DH219" s="1468"/>
      <c r="DI219" s="1468"/>
      <c r="DJ219" s="1468"/>
      <c r="DK219" s="1468"/>
      <c r="DL219" s="1468"/>
      <c r="DM219" s="1468"/>
      <c r="DN219" s="1468"/>
      <c r="DO219" s="1468"/>
      <c r="DP219" s="1468"/>
      <c r="DQ219" s="1468"/>
      <c r="DR219" s="1468"/>
      <c r="DS219" s="1468"/>
      <c r="DT219" s="1468"/>
      <c r="DU219" s="1468"/>
      <c r="DV219" s="1468"/>
      <c r="DW219" s="1468"/>
      <c r="DX219" s="1468"/>
      <c r="DY219" s="1468"/>
      <c r="DZ219" s="1468"/>
      <c r="EA219" s="1468"/>
      <c r="EB219" s="1468"/>
      <c r="EC219" s="1468"/>
      <c r="ED219" s="1468"/>
      <c r="EE219" s="1468"/>
      <c r="EF219" s="1468"/>
      <c r="EG219" s="1468"/>
      <c r="EH219" s="1468"/>
      <c r="EI219" s="1468"/>
      <c r="EJ219" s="1468"/>
      <c r="EK219" s="1468"/>
      <c r="EL219" s="1468"/>
      <c r="EM219" s="1468"/>
      <c r="EN219" s="1468"/>
      <c r="EO219" s="1468"/>
      <c r="EP219" s="1468"/>
      <c r="EQ219" s="1468"/>
      <c r="ER219" s="1468"/>
      <c r="ES219" s="1468"/>
      <c r="ET219" s="1468"/>
      <c r="EU219" s="1468"/>
      <c r="EV219" s="1468"/>
      <c r="EW219" s="1468"/>
      <c r="EX219" s="1468"/>
      <c r="EY219" s="1468"/>
      <c r="EZ219" s="1468"/>
      <c r="FA219" s="1468"/>
      <c r="FB219" s="1468"/>
      <c r="FC219" s="1468"/>
      <c r="FD219" s="1468"/>
      <c r="FE219" s="1468"/>
      <c r="FF219" s="1468"/>
    </row>
    <row r="221" spans="6:162" s="1470" customFormat="1" ht="15.75" customHeight="1">
      <c r="F221" s="1468"/>
      <c r="G221" s="1468"/>
      <c r="H221" s="1468"/>
      <c r="I221" s="1468"/>
      <c r="J221" s="1468"/>
      <c r="K221" s="1468"/>
      <c r="L221" s="1468"/>
      <c r="M221" s="1468"/>
      <c r="N221" s="1468"/>
      <c r="O221" s="1468"/>
      <c r="P221" s="1468"/>
      <c r="Q221" s="1468"/>
      <c r="R221" s="1468"/>
      <c r="S221" s="1468"/>
      <c r="T221" s="1468"/>
      <c r="U221" s="1468"/>
      <c r="V221" s="1468"/>
      <c r="W221" s="1468"/>
      <c r="X221" s="1468"/>
      <c r="Y221" s="1468"/>
      <c r="AA221" s="1468"/>
      <c r="AC221" s="1468"/>
      <c r="AD221" s="1468"/>
      <c r="AE221" s="1468"/>
      <c r="AF221" s="1468"/>
      <c r="AG221" s="1468"/>
      <c r="AH221" s="1469"/>
      <c r="AI221" s="1469"/>
      <c r="AJ221" s="1468"/>
      <c r="AK221" s="1468"/>
      <c r="AL221" s="1468"/>
      <c r="AM221" s="1468"/>
      <c r="AN221" s="1468"/>
      <c r="AO221" s="1468"/>
      <c r="AP221" s="1468"/>
      <c r="AQ221" s="1468"/>
      <c r="AR221" s="1468"/>
      <c r="AS221" s="1468"/>
      <c r="AT221" s="1468"/>
      <c r="AU221" s="1468"/>
      <c r="AV221" s="1468"/>
      <c r="AW221" s="1468"/>
      <c r="AX221" s="1468"/>
      <c r="AY221" s="1468"/>
      <c r="AZ221" s="1468"/>
      <c r="BA221" s="1468"/>
      <c r="BB221" s="1468"/>
      <c r="BC221" s="1468"/>
      <c r="BD221" s="1468"/>
      <c r="BE221" s="1468"/>
      <c r="BF221" s="1468"/>
      <c r="BG221" s="1468"/>
      <c r="BH221" s="1468"/>
      <c r="BI221" s="1468"/>
      <c r="BJ221" s="1468"/>
      <c r="BK221" s="1468"/>
      <c r="BL221" s="1468"/>
      <c r="BM221" s="1468"/>
      <c r="BN221" s="1468"/>
      <c r="BO221" s="1468"/>
      <c r="BP221" s="1468"/>
      <c r="BQ221" s="1468"/>
      <c r="BR221" s="1468"/>
      <c r="BS221" s="1468"/>
      <c r="BT221" s="1468"/>
      <c r="BU221" s="1468"/>
      <c r="BV221" s="1468"/>
      <c r="BW221" s="1468"/>
      <c r="BX221" s="1468"/>
      <c r="BY221" s="1468"/>
      <c r="BZ221" s="1468"/>
      <c r="CA221" s="1468"/>
      <c r="CB221" s="1468"/>
      <c r="CC221" s="1468"/>
      <c r="CD221" s="1468"/>
      <c r="CE221" s="1468"/>
      <c r="CF221" s="1468"/>
      <c r="CG221" s="1468"/>
      <c r="CH221" s="1468"/>
      <c r="CI221" s="1468"/>
      <c r="CJ221" s="1468"/>
      <c r="CK221" s="1468"/>
      <c r="CL221" s="1468"/>
      <c r="CM221" s="1468"/>
      <c r="CN221" s="1468"/>
      <c r="CO221" s="1468"/>
      <c r="CP221" s="1468"/>
      <c r="CQ221" s="1468"/>
      <c r="CR221" s="1468"/>
      <c r="CS221" s="1468"/>
      <c r="CT221" s="1468"/>
      <c r="CU221" s="1468"/>
      <c r="CV221" s="1468"/>
      <c r="CW221" s="1468"/>
      <c r="CX221" s="1468"/>
      <c r="CY221" s="1468"/>
      <c r="CZ221" s="1468"/>
      <c r="DA221" s="1468"/>
      <c r="DB221" s="1468"/>
      <c r="DC221" s="1468"/>
      <c r="DD221" s="1468"/>
      <c r="DE221" s="1468"/>
      <c r="DF221" s="1468"/>
      <c r="DG221" s="1468"/>
      <c r="DH221" s="1468"/>
      <c r="DI221" s="1468"/>
      <c r="DJ221" s="1468"/>
      <c r="DK221" s="1468"/>
      <c r="DL221" s="1468"/>
      <c r="DM221" s="1468"/>
      <c r="DN221" s="1468"/>
      <c r="DO221" s="1468"/>
      <c r="DP221" s="1468"/>
      <c r="DQ221" s="1468"/>
      <c r="DR221" s="1468"/>
      <c r="DS221" s="1468"/>
      <c r="DT221" s="1468"/>
      <c r="DU221" s="1468"/>
      <c r="DV221" s="1468"/>
      <c r="DW221" s="1468"/>
      <c r="DX221" s="1468"/>
      <c r="DY221" s="1468"/>
      <c r="DZ221" s="1468"/>
      <c r="EA221" s="1468"/>
      <c r="EB221" s="1468"/>
      <c r="EC221" s="1468"/>
      <c r="ED221" s="1468"/>
      <c r="EE221" s="1468"/>
      <c r="EF221" s="1468"/>
      <c r="EG221" s="1468"/>
      <c r="EH221" s="1468"/>
      <c r="EI221" s="1468"/>
      <c r="EJ221" s="1468"/>
      <c r="EK221" s="1468"/>
      <c r="EL221" s="1468"/>
      <c r="EM221" s="1468"/>
      <c r="EN221" s="1468"/>
      <c r="EO221" s="1468"/>
      <c r="EP221" s="1468"/>
      <c r="EQ221" s="1468"/>
      <c r="ER221" s="1468"/>
      <c r="ES221" s="1468"/>
      <c r="ET221" s="1468"/>
      <c r="EU221" s="1468"/>
      <c r="EV221" s="1468"/>
      <c r="EW221" s="1468"/>
      <c r="EX221" s="1468"/>
      <c r="EY221" s="1468"/>
      <c r="EZ221" s="1468"/>
      <c r="FA221" s="1468"/>
      <c r="FB221" s="1468"/>
      <c r="FC221" s="1468"/>
      <c r="FD221" s="1468"/>
      <c r="FE221" s="1468"/>
      <c r="FF221" s="1468"/>
    </row>
    <row r="223" spans="6:162" s="1470" customFormat="1" ht="15.75" customHeight="1">
      <c r="F223" s="1468"/>
      <c r="G223" s="1468"/>
      <c r="H223" s="1468"/>
      <c r="I223" s="1468"/>
      <c r="J223" s="1468"/>
      <c r="K223" s="1468"/>
      <c r="L223" s="1468"/>
      <c r="M223" s="1468"/>
      <c r="N223" s="1468"/>
      <c r="O223" s="1468"/>
      <c r="P223" s="1468"/>
      <c r="Q223" s="1468"/>
      <c r="R223" s="1468"/>
      <c r="S223" s="1468"/>
      <c r="T223" s="1468"/>
      <c r="U223" s="1468"/>
      <c r="V223" s="1468"/>
      <c r="W223" s="1468"/>
      <c r="X223" s="1468"/>
      <c r="Y223" s="1468"/>
      <c r="AA223" s="1468"/>
      <c r="AC223" s="1468"/>
      <c r="AD223" s="1468"/>
      <c r="AE223" s="1468"/>
      <c r="AF223" s="1468"/>
      <c r="AG223" s="1468"/>
      <c r="AH223" s="1469"/>
      <c r="AI223" s="1469"/>
      <c r="AJ223" s="1468"/>
      <c r="AK223" s="1468"/>
      <c r="AL223" s="1468"/>
      <c r="AM223" s="1468"/>
      <c r="AN223" s="1468"/>
      <c r="AO223" s="1468"/>
      <c r="AP223" s="1468"/>
      <c r="AQ223" s="1468"/>
      <c r="AR223" s="1468"/>
      <c r="AS223" s="1468"/>
      <c r="AT223" s="1468"/>
      <c r="AU223" s="1468"/>
      <c r="AV223" s="1468"/>
      <c r="AW223" s="1468"/>
      <c r="AX223" s="1468"/>
      <c r="AY223" s="1468"/>
      <c r="AZ223" s="1468"/>
      <c r="BA223" s="1468"/>
      <c r="BB223" s="1468"/>
      <c r="BC223" s="1468"/>
      <c r="BD223" s="1468"/>
      <c r="BE223" s="1468"/>
      <c r="BF223" s="1468"/>
      <c r="BG223" s="1468"/>
      <c r="BH223" s="1468"/>
      <c r="BI223" s="1468"/>
      <c r="BJ223" s="1468"/>
      <c r="BK223" s="1468"/>
      <c r="BL223" s="1468"/>
      <c r="BM223" s="1468"/>
      <c r="BN223" s="1468"/>
      <c r="BO223" s="1468"/>
      <c r="BP223" s="1468"/>
      <c r="BQ223" s="1468"/>
      <c r="BR223" s="1468"/>
      <c r="BS223" s="1468"/>
      <c r="BT223" s="1468"/>
      <c r="BU223" s="1468"/>
      <c r="BV223" s="1468"/>
      <c r="BW223" s="1468"/>
      <c r="BX223" s="1468"/>
      <c r="BY223" s="1468"/>
      <c r="BZ223" s="1468"/>
      <c r="CA223" s="1468"/>
      <c r="CB223" s="1468"/>
      <c r="CC223" s="1468"/>
      <c r="CD223" s="1468"/>
      <c r="CE223" s="1468"/>
      <c r="CF223" s="1468"/>
      <c r="CG223" s="1468"/>
      <c r="CH223" s="1468"/>
      <c r="CI223" s="1468"/>
      <c r="CJ223" s="1468"/>
      <c r="CK223" s="1468"/>
      <c r="CL223" s="1468"/>
      <c r="CM223" s="1468"/>
      <c r="CN223" s="1468"/>
      <c r="CO223" s="1468"/>
      <c r="CP223" s="1468"/>
      <c r="CQ223" s="1468"/>
      <c r="CR223" s="1468"/>
      <c r="CS223" s="1468"/>
      <c r="CT223" s="1468"/>
      <c r="CU223" s="1468"/>
      <c r="CV223" s="1468"/>
      <c r="CW223" s="1468"/>
      <c r="CX223" s="1468"/>
      <c r="CY223" s="1468"/>
      <c r="CZ223" s="1468"/>
      <c r="DA223" s="1468"/>
      <c r="DB223" s="1468"/>
      <c r="DC223" s="1468"/>
      <c r="DD223" s="1468"/>
      <c r="DE223" s="1468"/>
      <c r="DF223" s="1468"/>
      <c r="DG223" s="1468"/>
      <c r="DH223" s="1468"/>
      <c r="DI223" s="1468"/>
      <c r="DJ223" s="1468"/>
      <c r="DK223" s="1468"/>
      <c r="DL223" s="1468"/>
      <c r="DM223" s="1468"/>
      <c r="DN223" s="1468"/>
      <c r="DO223" s="1468"/>
      <c r="DP223" s="1468"/>
      <c r="DQ223" s="1468"/>
      <c r="DR223" s="1468"/>
      <c r="DS223" s="1468"/>
      <c r="DT223" s="1468"/>
      <c r="DU223" s="1468"/>
      <c r="DV223" s="1468"/>
      <c r="DW223" s="1468"/>
      <c r="DX223" s="1468"/>
      <c r="DY223" s="1468"/>
      <c r="DZ223" s="1468"/>
      <c r="EA223" s="1468"/>
      <c r="EB223" s="1468"/>
      <c r="EC223" s="1468"/>
      <c r="ED223" s="1468"/>
      <c r="EE223" s="1468"/>
      <c r="EF223" s="1468"/>
      <c r="EG223" s="1468"/>
      <c r="EH223" s="1468"/>
      <c r="EI223" s="1468"/>
      <c r="EJ223" s="1468"/>
      <c r="EK223" s="1468"/>
      <c r="EL223" s="1468"/>
      <c r="EM223" s="1468"/>
      <c r="EN223" s="1468"/>
      <c r="EO223" s="1468"/>
      <c r="EP223" s="1468"/>
      <c r="EQ223" s="1468"/>
      <c r="ER223" s="1468"/>
      <c r="ES223" s="1468"/>
      <c r="ET223" s="1468"/>
      <c r="EU223" s="1468"/>
      <c r="EV223" s="1468"/>
      <c r="EW223" s="1468"/>
      <c r="EX223" s="1468"/>
      <c r="EY223" s="1468"/>
      <c r="EZ223" s="1468"/>
      <c r="FA223" s="1468"/>
      <c r="FB223" s="1468"/>
      <c r="FC223" s="1468"/>
      <c r="FD223" s="1468"/>
      <c r="FE223" s="1468"/>
      <c r="FF223" s="1468"/>
    </row>
    <row r="225" spans="6:162" s="1470" customFormat="1" ht="15.75" customHeight="1">
      <c r="F225" s="1468"/>
      <c r="G225" s="1468"/>
      <c r="H225" s="1468"/>
      <c r="I225" s="1468"/>
      <c r="J225" s="1468"/>
      <c r="K225" s="1468"/>
      <c r="L225" s="1468"/>
      <c r="M225" s="1468"/>
      <c r="N225" s="1468"/>
      <c r="O225" s="1468"/>
      <c r="P225" s="1468"/>
      <c r="Q225" s="1468"/>
      <c r="R225" s="1468"/>
      <c r="S225" s="1468"/>
      <c r="T225" s="1468"/>
      <c r="U225" s="1468"/>
      <c r="V225" s="1468"/>
      <c r="W225" s="1468"/>
      <c r="X225" s="1468"/>
      <c r="Y225" s="1468"/>
      <c r="AA225" s="1468"/>
      <c r="AC225" s="1468"/>
      <c r="AD225" s="1468"/>
      <c r="AE225" s="1468"/>
      <c r="AF225" s="1468"/>
      <c r="AG225" s="1468"/>
      <c r="AH225" s="1469"/>
      <c r="AI225" s="1469"/>
      <c r="AJ225" s="1468"/>
      <c r="AK225" s="1468"/>
      <c r="AL225" s="1468"/>
      <c r="AM225" s="1468"/>
      <c r="AN225" s="1468"/>
      <c r="AO225" s="1468"/>
      <c r="AP225" s="1468"/>
      <c r="AQ225" s="1468"/>
      <c r="AR225" s="1468"/>
      <c r="AS225" s="1468"/>
      <c r="AT225" s="1468"/>
      <c r="AU225" s="1468"/>
      <c r="AV225" s="1468"/>
      <c r="AW225" s="1468"/>
      <c r="AX225" s="1468"/>
      <c r="AY225" s="1468"/>
      <c r="AZ225" s="1468"/>
      <c r="BA225" s="1468"/>
      <c r="BB225" s="1468"/>
      <c r="BC225" s="1468"/>
      <c r="BD225" s="1468"/>
      <c r="BE225" s="1468"/>
      <c r="BF225" s="1468"/>
      <c r="BG225" s="1468"/>
      <c r="BH225" s="1468"/>
      <c r="BI225" s="1468"/>
      <c r="BJ225" s="1468"/>
      <c r="BK225" s="1468"/>
      <c r="BL225" s="1468"/>
      <c r="BM225" s="1468"/>
      <c r="BN225" s="1468"/>
      <c r="BO225" s="1468"/>
      <c r="BP225" s="1468"/>
      <c r="BQ225" s="1468"/>
      <c r="BR225" s="1468"/>
      <c r="BS225" s="1468"/>
      <c r="BT225" s="1468"/>
      <c r="BU225" s="1468"/>
      <c r="BV225" s="1468"/>
      <c r="BW225" s="1468"/>
      <c r="BX225" s="1468"/>
      <c r="BY225" s="1468"/>
      <c r="BZ225" s="1468"/>
      <c r="CA225" s="1468"/>
      <c r="CB225" s="1468"/>
      <c r="CC225" s="1468"/>
      <c r="CD225" s="1468"/>
      <c r="CE225" s="1468"/>
      <c r="CF225" s="1468"/>
      <c r="CG225" s="1468"/>
      <c r="CH225" s="1468"/>
      <c r="CI225" s="1468"/>
      <c r="CJ225" s="1468"/>
      <c r="CK225" s="1468"/>
      <c r="CL225" s="1468"/>
      <c r="CM225" s="1468"/>
      <c r="CN225" s="1468"/>
      <c r="CO225" s="1468"/>
      <c r="CP225" s="1468"/>
      <c r="CQ225" s="1468"/>
      <c r="CR225" s="1468"/>
      <c r="CS225" s="1468"/>
      <c r="CT225" s="1468"/>
      <c r="CU225" s="1468"/>
      <c r="CV225" s="1468"/>
      <c r="CW225" s="1468"/>
      <c r="CX225" s="1468"/>
      <c r="CY225" s="1468"/>
      <c r="CZ225" s="1468"/>
      <c r="DA225" s="1468"/>
      <c r="DB225" s="1468"/>
      <c r="DC225" s="1468"/>
      <c r="DD225" s="1468"/>
      <c r="DE225" s="1468"/>
      <c r="DF225" s="1468"/>
      <c r="DG225" s="1468"/>
      <c r="DH225" s="1468"/>
      <c r="DI225" s="1468"/>
      <c r="DJ225" s="1468"/>
      <c r="DK225" s="1468"/>
      <c r="DL225" s="1468"/>
      <c r="DM225" s="1468"/>
      <c r="DN225" s="1468"/>
      <c r="DO225" s="1468"/>
      <c r="DP225" s="1468"/>
      <c r="DQ225" s="1468"/>
      <c r="DR225" s="1468"/>
      <c r="DS225" s="1468"/>
      <c r="DT225" s="1468"/>
      <c r="DU225" s="1468"/>
      <c r="DV225" s="1468"/>
      <c r="DW225" s="1468"/>
      <c r="DX225" s="1468"/>
      <c r="DY225" s="1468"/>
      <c r="DZ225" s="1468"/>
      <c r="EA225" s="1468"/>
      <c r="EB225" s="1468"/>
      <c r="EC225" s="1468"/>
      <c r="ED225" s="1468"/>
      <c r="EE225" s="1468"/>
      <c r="EF225" s="1468"/>
      <c r="EG225" s="1468"/>
      <c r="EH225" s="1468"/>
      <c r="EI225" s="1468"/>
      <c r="EJ225" s="1468"/>
      <c r="EK225" s="1468"/>
      <c r="EL225" s="1468"/>
      <c r="EM225" s="1468"/>
      <c r="EN225" s="1468"/>
      <c r="EO225" s="1468"/>
      <c r="EP225" s="1468"/>
      <c r="EQ225" s="1468"/>
      <c r="ER225" s="1468"/>
      <c r="ES225" s="1468"/>
      <c r="ET225" s="1468"/>
      <c r="EU225" s="1468"/>
      <c r="EV225" s="1468"/>
      <c r="EW225" s="1468"/>
      <c r="EX225" s="1468"/>
      <c r="EY225" s="1468"/>
      <c r="EZ225" s="1468"/>
      <c r="FA225" s="1468"/>
      <c r="FB225" s="1468"/>
      <c r="FC225" s="1468"/>
      <c r="FD225" s="1468"/>
      <c r="FE225" s="1468"/>
      <c r="FF225" s="1468"/>
    </row>
    <row r="227" spans="6:162" s="1470" customFormat="1" ht="15.75" customHeight="1">
      <c r="F227" s="1468"/>
      <c r="G227" s="1468"/>
      <c r="H227" s="1468"/>
      <c r="I227" s="1468"/>
      <c r="J227" s="1468"/>
      <c r="K227" s="1468"/>
      <c r="L227" s="1468"/>
      <c r="M227" s="1468"/>
      <c r="N227" s="1468"/>
      <c r="O227" s="1468"/>
      <c r="P227" s="1468"/>
      <c r="Q227" s="1468"/>
      <c r="R227" s="1468"/>
      <c r="S227" s="1468"/>
      <c r="T227" s="1468"/>
      <c r="U227" s="1468"/>
      <c r="V227" s="1468"/>
      <c r="W227" s="1468"/>
      <c r="X227" s="1468"/>
      <c r="Y227" s="1468"/>
      <c r="AA227" s="1468"/>
      <c r="AC227" s="1468"/>
      <c r="AD227" s="1468"/>
      <c r="AE227" s="1468"/>
      <c r="AF227" s="1468"/>
      <c r="AG227" s="1468"/>
      <c r="AH227" s="1469"/>
      <c r="AI227" s="1469"/>
      <c r="AJ227" s="1468"/>
      <c r="AK227" s="1468"/>
      <c r="AL227" s="1468"/>
      <c r="AM227" s="1468"/>
      <c r="AN227" s="1468"/>
      <c r="AO227" s="1468"/>
      <c r="AP227" s="1468"/>
      <c r="AQ227" s="1468"/>
      <c r="AR227" s="1468"/>
      <c r="AS227" s="1468"/>
      <c r="AT227" s="1468"/>
      <c r="AU227" s="1468"/>
      <c r="AV227" s="1468"/>
      <c r="AW227" s="1468"/>
      <c r="AX227" s="1468"/>
      <c r="AY227" s="1468"/>
      <c r="AZ227" s="1468"/>
      <c r="BA227" s="1468"/>
      <c r="BB227" s="1468"/>
      <c r="BC227" s="1468"/>
      <c r="BD227" s="1468"/>
      <c r="BE227" s="1468"/>
      <c r="BF227" s="1468"/>
      <c r="BG227" s="1468"/>
      <c r="BH227" s="1468"/>
      <c r="BI227" s="1468"/>
      <c r="BJ227" s="1468"/>
      <c r="BK227" s="1468"/>
      <c r="BL227" s="1468"/>
      <c r="BM227" s="1468"/>
      <c r="BN227" s="1468"/>
      <c r="BO227" s="1468"/>
      <c r="BP227" s="1468"/>
      <c r="BQ227" s="1468"/>
      <c r="BR227" s="1468"/>
      <c r="BS227" s="1468"/>
      <c r="BT227" s="1468"/>
      <c r="BU227" s="1468"/>
      <c r="BV227" s="1468"/>
      <c r="BW227" s="1468"/>
      <c r="BX227" s="1468"/>
      <c r="BY227" s="1468"/>
      <c r="BZ227" s="1468"/>
      <c r="CA227" s="1468"/>
      <c r="CB227" s="1468"/>
      <c r="CC227" s="1468"/>
      <c r="CD227" s="1468"/>
      <c r="CE227" s="1468"/>
      <c r="CF227" s="1468"/>
      <c r="CG227" s="1468"/>
      <c r="CH227" s="1468"/>
      <c r="CI227" s="1468"/>
      <c r="CJ227" s="1468"/>
      <c r="CK227" s="1468"/>
      <c r="CL227" s="1468"/>
      <c r="CM227" s="1468"/>
      <c r="CN227" s="1468"/>
      <c r="CO227" s="1468"/>
      <c r="CP227" s="1468"/>
      <c r="CQ227" s="1468"/>
      <c r="CR227" s="1468"/>
      <c r="CS227" s="1468"/>
      <c r="CT227" s="1468"/>
      <c r="CU227" s="1468"/>
      <c r="CV227" s="1468"/>
      <c r="CW227" s="1468"/>
      <c r="CX227" s="1468"/>
      <c r="CY227" s="1468"/>
      <c r="CZ227" s="1468"/>
      <c r="DA227" s="1468"/>
      <c r="DB227" s="1468"/>
      <c r="DC227" s="1468"/>
      <c r="DD227" s="1468"/>
      <c r="DE227" s="1468"/>
      <c r="DF227" s="1468"/>
      <c r="DG227" s="1468"/>
      <c r="DH227" s="1468"/>
      <c r="DI227" s="1468"/>
      <c r="DJ227" s="1468"/>
      <c r="DK227" s="1468"/>
      <c r="DL227" s="1468"/>
      <c r="DM227" s="1468"/>
      <c r="DN227" s="1468"/>
      <c r="DO227" s="1468"/>
      <c r="DP227" s="1468"/>
      <c r="DQ227" s="1468"/>
      <c r="DR227" s="1468"/>
      <c r="DS227" s="1468"/>
      <c r="DT227" s="1468"/>
      <c r="DU227" s="1468"/>
      <c r="DV227" s="1468"/>
      <c r="DW227" s="1468"/>
      <c r="DX227" s="1468"/>
      <c r="DY227" s="1468"/>
      <c r="DZ227" s="1468"/>
      <c r="EA227" s="1468"/>
      <c r="EB227" s="1468"/>
      <c r="EC227" s="1468"/>
      <c r="ED227" s="1468"/>
      <c r="EE227" s="1468"/>
      <c r="EF227" s="1468"/>
      <c r="EG227" s="1468"/>
      <c r="EH227" s="1468"/>
      <c r="EI227" s="1468"/>
      <c r="EJ227" s="1468"/>
      <c r="EK227" s="1468"/>
      <c r="EL227" s="1468"/>
      <c r="EM227" s="1468"/>
      <c r="EN227" s="1468"/>
      <c r="EO227" s="1468"/>
      <c r="EP227" s="1468"/>
      <c r="EQ227" s="1468"/>
      <c r="ER227" s="1468"/>
      <c r="ES227" s="1468"/>
      <c r="ET227" s="1468"/>
      <c r="EU227" s="1468"/>
      <c r="EV227" s="1468"/>
      <c r="EW227" s="1468"/>
      <c r="EX227" s="1468"/>
      <c r="EY227" s="1468"/>
      <c r="EZ227" s="1468"/>
      <c r="FA227" s="1468"/>
      <c r="FB227" s="1468"/>
      <c r="FC227" s="1468"/>
      <c r="FD227" s="1468"/>
      <c r="FE227" s="1468"/>
      <c r="FF227" s="1468"/>
    </row>
    <row r="229" spans="6:162" s="1470" customFormat="1" ht="15.75" customHeight="1">
      <c r="F229" s="1468"/>
      <c r="G229" s="1468"/>
      <c r="H229" s="1468"/>
      <c r="I229" s="1468"/>
      <c r="J229" s="1468"/>
      <c r="K229" s="1468"/>
      <c r="L229" s="1468"/>
      <c r="M229" s="1468"/>
      <c r="N229" s="1468"/>
      <c r="O229" s="1468"/>
      <c r="P229" s="1468"/>
      <c r="Q229" s="1468"/>
      <c r="R229" s="1468"/>
      <c r="S229" s="1468"/>
      <c r="T229" s="1468"/>
      <c r="U229" s="1468"/>
      <c r="V229" s="1468"/>
      <c r="W229" s="1468"/>
      <c r="X229" s="1468"/>
      <c r="Y229" s="1468"/>
      <c r="AA229" s="1468"/>
      <c r="AC229" s="1468"/>
      <c r="AD229" s="1468"/>
      <c r="AE229" s="1468"/>
      <c r="AF229" s="1468"/>
      <c r="AG229" s="1468"/>
      <c r="AH229" s="1469"/>
      <c r="AI229" s="1469"/>
      <c r="AJ229" s="1468"/>
      <c r="AK229" s="1468"/>
      <c r="AL229" s="1468"/>
      <c r="AM229" s="1468"/>
      <c r="AN229" s="1468"/>
      <c r="AO229" s="1468"/>
      <c r="AP229" s="1468"/>
      <c r="AQ229" s="1468"/>
      <c r="AR229" s="1468"/>
      <c r="AS229" s="1468"/>
      <c r="AT229" s="1468"/>
      <c r="AU229" s="1468"/>
      <c r="AV229" s="1468"/>
      <c r="AW229" s="1468"/>
      <c r="AX229" s="1468"/>
      <c r="AY229" s="1468"/>
      <c r="AZ229" s="1468"/>
      <c r="BA229" s="1468"/>
      <c r="BB229" s="1468"/>
      <c r="BC229" s="1468"/>
      <c r="BD229" s="1468"/>
      <c r="BE229" s="1468"/>
      <c r="BF229" s="1468"/>
      <c r="BG229" s="1468"/>
      <c r="BH229" s="1468"/>
      <c r="BI229" s="1468"/>
      <c r="BJ229" s="1468"/>
      <c r="BK229" s="1468"/>
      <c r="BL229" s="1468"/>
      <c r="BM229" s="1468"/>
      <c r="BN229" s="1468"/>
      <c r="BO229" s="1468"/>
      <c r="BP229" s="1468"/>
      <c r="BQ229" s="1468"/>
      <c r="BR229" s="1468"/>
      <c r="BS229" s="1468"/>
      <c r="BT229" s="1468"/>
      <c r="BU229" s="1468"/>
      <c r="BV229" s="1468"/>
      <c r="BW229" s="1468"/>
      <c r="BX229" s="1468"/>
      <c r="BY229" s="1468"/>
      <c r="BZ229" s="1468"/>
      <c r="CA229" s="1468"/>
      <c r="CB229" s="1468"/>
      <c r="CC229" s="1468"/>
      <c r="CD229" s="1468"/>
      <c r="CE229" s="1468"/>
      <c r="CF229" s="1468"/>
      <c r="CG229" s="1468"/>
      <c r="CH229" s="1468"/>
      <c r="CI229" s="1468"/>
      <c r="CJ229" s="1468"/>
      <c r="CK229" s="1468"/>
      <c r="CL229" s="1468"/>
      <c r="CM229" s="1468"/>
      <c r="CN229" s="1468"/>
      <c r="CO229" s="1468"/>
      <c r="CP229" s="1468"/>
      <c r="CQ229" s="1468"/>
      <c r="CR229" s="1468"/>
      <c r="CS229" s="1468"/>
      <c r="CT229" s="1468"/>
      <c r="CU229" s="1468"/>
      <c r="CV229" s="1468"/>
      <c r="CW229" s="1468"/>
      <c r="CX229" s="1468"/>
      <c r="CY229" s="1468"/>
      <c r="CZ229" s="1468"/>
      <c r="DA229" s="1468"/>
      <c r="DB229" s="1468"/>
      <c r="DC229" s="1468"/>
      <c r="DD229" s="1468"/>
      <c r="DE229" s="1468"/>
      <c r="DF229" s="1468"/>
      <c r="DG229" s="1468"/>
      <c r="DH229" s="1468"/>
      <c r="DI229" s="1468"/>
      <c r="DJ229" s="1468"/>
      <c r="DK229" s="1468"/>
      <c r="DL229" s="1468"/>
      <c r="DM229" s="1468"/>
      <c r="DN229" s="1468"/>
      <c r="DO229" s="1468"/>
      <c r="DP229" s="1468"/>
      <c r="DQ229" s="1468"/>
      <c r="DR229" s="1468"/>
      <c r="DS229" s="1468"/>
      <c r="DT229" s="1468"/>
      <c r="DU229" s="1468"/>
      <c r="DV229" s="1468"/>
      <c r="DW229" s="1468"/>
      <c r="DX229" s="1468"/>
      <c r="DY229" s="1468"/>
      <c r="DZ229" s="1468"/>
      <c r="EA229" s="1468"/>
      <c r="EB229" s="1468"/>
      <c r="EC229" s="1468"/>
      <c r="ED229" s="1468"/>
      <c r="EE229" s="1468"/>
      <c r="EF229" s="1468"/>
      <c r="EG229" s="1468"/>
      <c r="EH229" s="1468"/>
      <c r="EI229" s="1468"/>
      <c r="EJ229" s="1468"/>
      <c r="EK229" s="1468"/>
      <c r="EL229" s="1468"/>
      <c r="EM229" s="1468"/>
      <c r="EN229" s="1468"/>
      <c r="EO229" s="1468"/>
      <c r="EP229" s="1468"/>
      <c r="EQ229" s="1468"/>
      <c r="ER229" s="1468"/>
      <c r="ES229" s="1468"/>
      <c r="ET229" s="1468"/>
      <c r="EU229" s="1468"/>
      <c r="EV229" s="1468"/>
      <c r="EW229" s="1468"/>
      <c r="EX229" s="1468"/>
      <c r="EY229" s="1468"/>
      <c r="EZ229" s="1468"/>
      <c r="FA229" s="1468"/>
      <c r="FB229" s="1468"/>
      <c r="FC229" s="1468"/>
      <c r="FD229" s="1468"/>
      <c r="FE229" s="1468"/>
      <c r="FF229" s="1468"/>
    </row>
    <row r="231" spans="6:162" s="1470" customFormat="1" ht="15.75" customHeight="1">
      <c r="F231" s="1468"/>
      <c r="G231" s="1468"/>
      <c r="H231" s="1468"/>
      <c r="I231" s="1468"/>
      <c r="J231" s="1468"/>
      <c r="K231" s="1468"/>
      <c r="L231" s="1468"/>
      <c r="M231" s="1468"/>
      <c r="N231" s="1468"/>
      <c r="O231" s="1468"/>
      <c r="P231" s="1468"/>
      <c r="Q231" s="1468"/>
      <c r="R231" s="1468"/>
      <c r="S231" s="1468"/>
      <c r="T231" s="1468"/>
      <c r="U231" s="1468"/>
      <c r="V231" s="1468"/>
      <c r="W231" s="1468"/>
      <c r="X231" s="1468"/>
      <c r="Y231" s="1468"/>
      <c r="AA231" s="1468"/>
      <c r="AC231" s="1468"/>
      <c r="AD231" s="1468"/>
      <c r="AE231" s="1468"/>
      <c r="AF231" s="1468"/>
      <c r="AG231" s="1468"/>
      <c r="AH231" s="1469"/>
      <c r="AI231" s="1469"/>
      <c r="AJ231" s="1468"/>
      <c r="AK231" s="1468"/>
      <c r="AL231" s="1468"/>
      <c r="AM231" s="1468"/>
      <c r="AN231" s="1468"/>
      <c r="AO231" s="1468"/>
      <c r="AP231" s="1468"/>
      <c r="AQ231" s="1468"/>
      <c r="AR231" s="1468"/>
      <c r="AS231" s="1468"/>
      <c r="AT231" s="1468"/>
      <c r="AU231" s="1468"/>
      <c r="AV231" s="1468"/>
      <c r="AW231" s="1468"/>
      <c r="AX231" s="1468"/>
      <c r="AY231" s="1468"/>
      <c r="AZ231" s="1468"/>
      <c r="BA231" s="1468"/>
      <c r="BB231" s="1468"/>
      <c r="BC231" s="1468"/>
      <c r="BD231" s="1468"/>
      <c r="BE231" s="1468"/>
      <c r="BF231" s="1468"/>
      <c r="BG231" s="1468"/>
      <c r="BH231" s="1468"/>
      <c r="BI231" s="1468"/>
      <c r="BJ231" s="1468"/>
      <c r="BK231" s="1468"/>
      <c r="BL231" s="1468"/>
      <c r="BM231" s="1468"/>
      <c r="BN231" s="1468"/>
      <c r="BO231" s="1468"/>
      <c r="BP231" s="1468"/>
      <c r="BQ231" s="1468"/>
      <c r="BR231" s="1468"/>
      <c r="BS231" s="1468"/>
      <c r="BT231" s="1468"/>
      <c r="BU231" s="1468"/>
      <c r="BV231" s="1468"/>
      <c r="BW231" s="1468"/>
      <c r="BX231" s="1468"/>
      <c r="BY231" s="1468"/>
      <c r="BZ231" s="1468"/>
      <c r="CA231" s="1468"/>
      <c r="CB231" s="1468"/>
      <c r="CC231" s="1468"/>
      <c r="CD231" s="1468"/>
      <c r="CE231" s="1468"/>
      <c r="CF231" s="1468"/>
      <c r="CG231" s="1468"/>
      <c r="CH231" s="1468"/>
      <c r="CI231" s="1468"/>
      <c r="CJ231" s="1468"/>
      <c r="CK231" s="1468"/>
      <c r="CL231" s="1468"/>
      <c r="CM231" s="1468"/>
      <c r="CN231" s="1468"/>
      <c r="CO231" s="1468"/>
      <c r="CP231" s="1468"/>
      <c r="CQ231" s="1468"/>
      <c r="CR231" s="1468"/>
      <c r="CS231" s="1468"/>
      <c r="CT231" s="1468"/>
      <c r="CU231" s="1468"/>
      <c r="CV231" s="1468"/>
      <c r="CW231" s="1468"/>
      <c r="CX231" s="1468"/>
      <c r="CY231" s="1468"/>
      <c r="CZ231" s="1468"/>
      <c r="DA231" s="1468"/>
      <c r="DB231" s="1468"/>
      <c r="DC231" s="1468"/>
      <c r="DD231" s="1468"/>
      <c r="DE231" s="1468"/>
      <c r="DF231" s="1468"/>
      <c r="DG231" s="1468"/>
      <c r="DH231" s="1468"/>
      <c r="DI231" s="1468"/>
      <c r="DJ231" s="1468"/>
      <c r="DK231" s="1468"/>
      <c r="DL231" s="1468"/>
      <c r="DM231" s="1468"/>
      <c r="DN231" s="1468"/>
      <c r="DO231" s="1468"/>
      <c r="DP231" s="1468"/>
      <c r="DQ231" s="1468"/>
      <c r="DR231" s="1468"/>
      <c r="DS231" s="1468"/>
      <c r="DT231" s="1468"/>
      <c r="DU231" s="1468"/>
      <c r="DV231" s="1468"/>
      <c r="DW231" s="1468"/>
      <c r="DX231" s="1468"/>
      <c r="DY231" s="1468"/>
      <c r="DZ231" s="1468"/>
      <c r="EA231" s="1468"/>
      <c r="EB231" s="1468"/>
      <c r="EC231" s="1468"/>
      <c r="ED231" s="1468"/>
      <c r="EE231" s="1468"/>
      <c r="EF231" s="1468"/>
      <c r="EG231" s="1468"/>
      <c r="EH231" s="1468"/>
      <c r="EI231" s="1468"/>
      <c r="EJ231" s="1468"/>
      <c r="EK231" s="1468"/>
      <c r="EL231" s="1468"/>
      <c r="EM231" s="1468"/>
      <c r="EN231" s="1468"/>
      <c r="EO231" s="1468"/>
      <c r="EP231" s="1468"/>
      <c r="EQ231" s="1468"/>
      <c r="ER231" s="1468"/>
      <c r="ES231" s="1468"/>
      <c r="ET231" s="1468"/>
      <c r="EU231" s="1468"/>
      <c r="EV231" s="1468"/>
      <c r="EW231" s="1468"/>
      <c r="EX231" s="1468"/>
      <c r="EY231" s="1468"/>
      <c r="EZ231" s="1468"/>
      <c r="FA231" s="1468"/>
      <c r="FB231" s="1468"/>
      <c r="FC231" s="1468"/>
      <c r="FD231" s="1468"/>
      <c r="FE231" s="1468"/>
      <c r="FF231" s="1468"/>
    </row>
    <row r="233" spans="6:162" s="1470" customFormat="1" ht="15.75" customHeight="1">
      <c r="F233" s="1468"/>
      <c r="G233" s="1468"/>
      <c r="H233" s="1468"/>
      <c r="I233" s="1468"/>
      <c r="J233" s="1468"/>
      <c r="K233" s="1468"/>
      <c r="L233" s="1468"/>
      <c r="M233" s="1468"/>
      <c r="N233" s="1468"/>
      <c r="O233" s="1468"/>
      <c r="P233" s="1468"/>
      <c r="Q233" s="1468"/>
      <c r="R233" s="1468"/>
      <c r="S233" s="1468"/>
      <c r="T233" s="1468"/>
      <c r="U233" s="1468"/>
      <c r="V233" s="1468"/>
      <c r="W233" s="1468"/>
      <c r="X233" s="1468"/>
      <c r="Y233" s="1468"/>
      <c r="AA233" s="1468"/>
      <c r="AC233" s="1468"/>
      <c r="AD233" s="1468"/>
      <c r="AE233" s="1468"/>
      <c r="AF233" s="1468"/>
      <c r="AG233" s="1468"/>
      <c r="AH233" s="1469"/>
      <c r="AI233" s="1469"/>
      <c r="AJ233" s="1468"/>
      <c r="AK233" s="1468"/>
      <c r="AL233" s="1468"/>
      <c r="AM233" s="1468"/>
      <c r="AN233" s="1468"/>
      <c r="AO233" s="1468"/>
      <c r="AP233" s="1468"/>
      <c r="AQ233" s="1468"/>
      <c r="AR233" s="1468"/>
      <c r="AS233" s="1468"/>
      <c r="AT233" s="1468"/>
      <c r="AU233" s="1468"/>
      <c r="AV233" s="1468"/>
      <c r="AW233" s="1468"/>
      <c r="AX233" s="1468"/>
      <c r="AY233" s="1468"/>
      <c r="AZ233" s="1468"/>
      <c r="BA233" s="1468"/>
      <c r="BB233" s="1468"/>
      <c r="BC233" s="1468"/>
      <c r="BD233" s="1468"/>
      <c r="BE233" s="1468"/>
      <c r="BF233" s="1468"/>
      <c r="BG233" s="1468"/>
      <c r="BH233" s="1468"/>
      <c r="BI233" s="1468"/>
      <c r="BJ233" s="1468"/>
      <c r="BK233" s="1468"/>
      <c r="BL233" s="1468"/>
      <c r="BM233" s="1468"/>
      <c r="BN233" s="1468"/>
      <c r="BO233" s="1468"/>
      <c r="BP233" s="1468"/>
      <c r="BQ233" s="1468"/>
      <c r="BR233" s="1468"/>
      <c r="BS233" s="1468"/>
      <c r="BT233" s="1468"/>
      <c r="BU233" s="1468"/>
      <c r="BV233" s="1468"/>
      <c r="BW233" s="1468"/>
      <c r="BX233" s="1468"/>
      <c r="BY233" s="1468"/>
      <c r="BZ233" s="1468"/>
      <c r="CA233" s="1468"/>
      <c r="CB233" s="1468"/>
      <c r="CC233" s="1468"/>
      <c r="CD233" s="1468"/>
      <c r="CE233" s="1468"/>
      <c r="CF233" s="1468"/>
      <c r="CG233" s="1468"/>
      <c r="CH233" s="1468"/>
      <c r="CI233" s="1468"/>
      <c r="CJ233" s="1468"/>
      <c r="CK233" s="1468"/>
      <c r="CL233" s="1468"/>
      <c r="CM233" s="1468"/>
      <c r="CN233" s="1468"/>
      <c r="CO233" s="1468"/>
      <c r="CP233" s="1468"/>
      <c r="CQ233" s="1468"/>
      <c r="CR233" s="1468"/>
      <c r="CS233" s="1468"/>
      <c r="CT233" s="1468"/>
      <c r="CU233" s="1468"/>
      <c r="CV233" s="1468"/>
      <c r="CW233" s="1468"/>
      <c r="CX233" s="1468"/>
      <c r="CY233" s="1468"/>
      <c r="CZ233" s="1468"/>
      <c r="DA233" s="1468"/>
      <c r="DB233" s="1468"/>
      <c r="DC233" s="1468"/>
      <c r="DD233" s="1468"/>
      <c r="DE233" s="1468"/>
      <c r="DF233" s="1468"/>
      <c r="DG233" s="1468"/>
      <c r="DH233" s="1468"/>
      <c r="DI233" s="1468"/>
      <c r="DJ233" s="1468"/>
      <c r="DK233" s="1468"/>
      <c r="DL233" s="1468"/>
      <c r="DM233" s="1468"/>
      <c r="DN233" s="1468"/>
      <c r="DO233" s="1468"/>
      <c r="DP233" s="1468"/>
      <c r="DQ233" s="1468"/>
      <c r="DR233" s="1468"/>
      <c r="DS233" s="1468"/>
      <c r="DT233" s="1468"/>
      <c r="DU233" s="1468"/>
      <c r="DV233" s="1468"/>
      <c r="DW233" s="1468"/>
      <c r="DX233" s="1468"/>
      <c r="DY233" s="1468"/>
      <c r="DZ233" s="1468"/>
      <c r="EA233" s="1468"/>
      <c r="EB233" s="1468"/>
      <c r="EC233" s="1468"/>
      <c r="ED233" s="1468"/>
      <c r="EE233" s="1468"/>
      <c r="EF233" s="1468"/>
      <c r="EG233" s="1468"/>
      <c r="EH233" s="1468"/>
      <c r="EI233" s="1468"/>
      <c r="EJ233" s="1468"/>
      <c r="EK233" s="1468"/>
      <c r="EL233" s="1468"/>
      <c r="EM233" s="1468"/>
      <c r="EN233" s="1468"/>
      <c r="EO233" s="1468"/>
      <c r="EP233" s="1468"/>
      <c r="EQ233" s="1468"/>
      <c r="ER233" s="1468"/>
      <c r="ES233" s="1468"/>
      <c r="ET233" s="1468"/>
      <c r="EU233" s="1468"/>
      <c r="EV233" s="1468"/>
      <c r="EW233" s="1468"/>
      <c r="EX233" s="1468"/>
      <c r="EY233" s="1468"/>
      <c r="EZ233" s="1468"/>
      <c r="FA233" s="1468"/>
      <c r="FB233" s="1468"/>
      <c r="FC233" s="1468"/>
      <c r="FD233" s="1468"/>
      <c r="FE233" s="1468"/>
      <c r="FF233" s="1468"/>
    </row>
    <row r="235" spans="6:162" s="1470" customFormat="1" ht="15.75" customHeight="1">
      <c r="F235" s="1468"/>
      <c r="G235" s="1468"/>
      <c r="H235" s="1468"/>
      <c r="I235" s="1468"/>
      <c r="J235" s="1468"/>
      <c r="K235" s="1468"/>
      <c r="L235" s="1468"/>
      <c r="M235" s="1468"/>
      <c r="N235" s="1468"/>
      <c r="O235" s="1468"/>
      <c r="P235" s="1468"/>
      <c r="Q235" s="1468"/>
      <c r="R235" s="1468"/>
      <c r="S235" s="1468"/>
      <c r="T235" s="1468"/>
      <c r="U235" s="1468"/>
      <c r="V235" s="1468"/>
      <c r="W235" s="1468"/>
      <c r="X235" s="1468"/>
      <c r="Y235" s="1468"/>
      <c r="AA235" s="1468"/>
      <c r="AC235" s="1468"/>
      <c r="AD235" s="1468"/>
      <c r="AE235" s="1468"/>
      <c r="AF235" s="1468"/>
      <c r="AG235" s="1468"/>
      <c r="AH235" s="1469"/>
      <c r="AI235" s="1469"/>
      <c r="AJ235" s="1468"/>
      <c r="AK235" s="1468"/>
      <c r="AL235" s="1468"/>
      <c r="AM235" s="1468"/>
      <c r="AN235" s="1468"/>
      <c r="AO235" s="1468"/>
      <c r="AP235" s="1468"/>
      <c r="AQ235" s="1468"/>
      <c r="AR235" s="1468"/>
      <c r="AS235" s="1468"/>
      <c r="AT235" s="1468"/>
      <c r="AU235" s="1468"/>
      <c r="AV235" s="1468"/>
      <c r="AW235" s="1468"/>
      <c r="AX235" s="1468"/>
      <c r="AY235" s="1468"/>
      <c r="AZ235" s="1468"/>
      <c r="BA235" s="1468"/>
      <c r="BB235" s="1468"/>
      <c r="BC235" s="1468"/>
      <c r="BD235" s="1468"/>
      <c r="BE235" s="1468"/>
      <c r="BF235" s="1468"/>
      <c r="BG235" s="1468"/>
      <c r="BH235" s="1468"/>
      <c r="BI235" s="1468"/>
      <c r="BJ235" s="1468"/>
      <c r="BK235" s="1468"/>
      <c r="BL235" s="1468"/>
      <c r="BM235" s="1468"/>
      <c r="BN235" s="1468"/>
      <c r="BO235" s="1468"/>
      <c r="BP235" s="1468"/>
      <c r="BQ235" s="1468"/>
      <c r="BR235" s="1468"/>
      <c r="BS235" s="1468"/>
      <c r="BT235" s="1468"/>
      <c r="BU235" s="1468"/>
      <c r="BV235" s="1468"/>
      <c r="BW235" s="1468"/>
      <c r="BX235" s="1468"/>
      <c r="BY235" s="1468"/>
      <c r="BZ235" s="1468"/>
      <c r="CA235" s="1468"/>
      <c r="CB235" s="1468"/>
      <c r="CC235" s="1468"/>
      <c r="CD235" s="1468"/>
      <c r="CE235" s="1468"/>
      <c r="CF235" s="1468"/>
      <c r="CG235" s="1468"/>
      <c r="CH235" s="1468"/>
      <c r="CI235" s="1468"/>
      <c r="CJ235" s="1468"/>
      <c r="CK235" s="1468"/>
      <c r="CL235" s="1468"/>
      <c r="CM235" s="1468"/>
      <c r="CN235" s="1468"/>
      <c r="CO235" s="1468"/>
      <c r="CP235" s="1468"/>
      <c r="CQ235" s="1468"/>
      <c r="CR235" s="1468"/>
      <c r="CS235" s="1468"/>
      <c r="CT235" s="1468"/>
      <c r="CU235" s="1468"/>
      <c r="CV235" s="1468"/>
      <c r="CW235" s="1468"/>
      <c r="CX235" s="1468"/>
      <c r="CY235" s="1468"/>
      <c r="CZ235" s="1468"/>
      <c r="DA235" s="1468"/>
      <c r="DB235" s="1468"/>
      <c r="DC235" s="1468"/>
      <c r="DD235" s="1468"/>
      <c r="DE235" s="1468"/>
      <c r="DF235" s="1468"/>
      <c r="DG235" s="1468"/>
      <c r="DH235" s="1468"/>
      <c r="DI235" s="1468"/>
      <c r="DJ235" s="1468"/>
      <c r="DK235" s="1468"/>
      <c r="DL235" s="1468"/>
      <c r="DM235" s="1468"/>
      <c r="DN235" s="1468"/>
      <c r="DO235" s="1468"/>
      <c r="DP235" s="1468"/>
      <c r="DQ235" s="1468"/>
      <c r="DR235" s="1468"/>
      <c r="DS235" s="1468"/>
      <c r="DT235" s="1468"/>
      <c r="DU235" s="1468"/>
      <c r="DV235" s="1468"/>
      <c r="DW235" s="1468"/>
      <c r="DX235" s="1468"/>
      <c r="DY235" s="1468"/>
      <c r="DZ235" s="1468"/>
      <c r="EA235" s="1468"/>
      <c r="EB235" s="1468"/>
      <c r="EC235" s="1468"/>
      <c r="ED235" s="1468"/>
      <c r="EE235" s="1468"/>
      <c r="EF235" s="1468"/>
      <c r="EG235" s="1468"/>
      <c r="EH235" s="1468"/>
      <c r="EI235" s="1468"/>
      <c r="EJ235" s="1468"/>
      <c r="EK235" s="1468"/>
      <c r="EL235" s="1468"/>
      <c r="EM235" s="1468"/>
      <c r="EN235" s="1468"/>
      <c r="EO235" s="1468"/>
      <c r="EP235" s="1468"/>
      <c r="EQ235" s="1468"/>
      <c r="ER235" s="1468"/>
      <c r="ES235" s="1468"/>
      <c r="ET235" s="1468"/>
      <c r="EU235" s="1468"/>
      <c r="EV235" s="1468"/>
      <c r="EW235" s="1468"/>
      <c r="EX235" s="1468"/>
      <c r="EY235" s="1468"/>
      <c r="EZ235" s="1468"/>
      <c r="FA235" s="1468"/>
      <c r="FB235" s="1468"/>
      <c r="FC235" s="1468"/>
      <c r="FD235" s="1468"/>
      <c r="FE235" s="1468"/>
      <c r="FF235" s="1468"/>
    </row>
    <row r="237" spans="6:162" s="1470" customFormat="1" ht="15.75" customHeight="1">
      <c r="F237" s="1468"/>
      <c r="G237" s="1468"/>
      <c r="H237" s="1468"/>
      <c r="I237" s="1468"/>
      <c r="J237" s="1468"/>
      <c r="K237" s="1468"/>
      <c r="L237" s="1468"/>
      <c r="M237" s="1468"/>
      <c r="N237" s="1468"/>
      <c r="O237" s="1468"/>
      <c r="P237" s="1468"/>
      <c r="Q237" s="1468"/>
      <c r="R237" s="1468"/>
      <c r="S237" s="1468"/>
      <c r="T237" s="1468"/>
      <c r="U237" s="1468"/>
      <c r="V237" s="1468"/>
      <c r="W237" s="1468"/>
      <c r="X237" s="1468"/>
      <c r="Y237" s="1468"/>
      <c r="AA237" s="1468"/>
      <c r="AC237" s="1468"/>
      <c r="AD237" s="1468"/>
      <c r="AE237" s="1468"/>
      <c r="AF237" s="1468"/>
      <c r="AG237" s="1468"/>
      <c r="AH237" s="1469"/>
      <c r="AI237" s="1469"/>
      <c r="AJ237" s="1468"/>
      <c r="AK237" s="1468"/>
      <c r="AL237" s="1468"/>
      <c r="AM237" s="1468"/>
      <c r="AN237" s="1468"/>
      <c r="AO237" s="1468"/>
      <c r="AP237" s="1468"/>
      <c r="AQ237" s="1468"/>
      <c r="AR237" s="1468"/>
      <c r="AS237" s="1468"/>
      <c r="AT237" s="1468"/>
      <c r="AU237" s="1468"/>
      <c r="AV237" s="1468"/>
      <c r="AW237" s="1468"/>
      <c r="AX237" s="1468"/>
      <c r="AY237" s="1468"/>
      <c r="AZ237" s="1468"/>
      <c r="BA237" s="1468"/>
      <c r="BB237" s="1468"/>
      <c r="BC237" s="1468"/>
      <c r="BD237" s="1468"/>
      <c r="BE237" s="1468"/>
      <c r="BF237" s="1468"/>
      <c r="BG237" s="1468"/>
      <c r="BH237" s="1468"/>
      <c r="BI237" s="1468"/>
      <c r="BJ237" s="1468"/>
      <c r="BK237" s="1468"/>
      <c r="BL237" s="1468"/>
      <c r="BM237" s="1468"/>
      <c r="BN237" s="1468"/>
      <c r="BO237" s="1468"/>
      <c r="BP237" s="1468"/>
      <c r="BQ237" s="1468"/>
      <c r="BR237" s="1468"/>
      <c r="BS237" s="1468"/>
      <c r="BT237" s="1468"/>
      <c r="BU237" s="1468"/>
      <c r="BV237" s="1468"/>
      <c r="BW237" s="1468"/>
      <c r="BX237" s="1468"/>
      <c r="BY237" s="1468"/>
      <c r="BZ237" s="1468"/>
      <c r="CA237" s="1468"/>
      <c r="CB237" s="1468"/>
      <c r="CC237" s="1468"/>
      <c r="CD237" s="1468"/>
      <c r="CE237" s="1468"/>
      <c r="CF237" s="1468"/>
      <c r="CG237" s="1468"/>
      <c r="CH237" s="1468"/>
      <c r="CI237" s="1468"/>
      <c r="CJ237" s="1468"/>
      <c r="CK237" s="1468"/>
      <c r="CL237" s="1468"/>
      <c r="CM237" s="1468"/>
      <c r="CN237" s="1468"/>
      <c r="CO237" s="1468"/>
      <c r="CP237" s="1468"/>
      <c r="CQ237" s="1468"/>
      <c r="CR237" s="1468"/>
      <c r="CS237" s="1468"/>
      <c r="CT237" s="1468"/>
      <c r="CU237" s="1468"/>
      <c r="CV237" s="1468"/>
      <c r="CW237" s="1468"/>
      <c r="CX237" s="1468"/>
      <c r="CY237" s="1468"/>
      <c r="CZ237" s="1468"/>
      <c r="DA237" s="1468"/>
      <c r="DB237" s="1468"/>
      <c r="DC237" s="1468"/>
      <c r="DD237" s="1468"/>
      <c r="DE237" s="1468"/>
      <c r="DF237" s="1468"/>
      <c r="DG237" s="1468"/>
      <c r="DH237" s="1468"/>
      <c r="DI237" s="1468"/>
      <c r="DJ237" s="1468"/>
      <c r="DK237" s="1468"/>
      <c r="DL237" s="1468"/>
      <c r="DM237" s="1468"/>
      <c r="DN237" s="1468"/>
      <c r="DO237" s="1468"/>
      <c r="DP237" s="1468"/>
      <c r="DQ237" s="1468"/>
      <c r="DR237" s="1468"/>
      <c r="DS237" s="1468"/>
      <c r="DT237" s="1468"/>
      <c r="DU237" s="1468"/>
      <c r="DV237" s="1468"/>
      <c r="DW237" s="1468"/>
      <c r="DX237" s="1468"/>
      <c r="DY237" s="1468"/>
      <c r="DZ237" s="1468"/>
      <c r="EA237" s="1468"/>
      <c r="EB237" s="1468"/>
      <c r="EC237" s="1468"/>
      <c r="ED237" s="1468"/>
      <c r="EE237" s="1468"/>
      <c r="EF237" s="1468"/>
      <c r="EG237" s="1468"/>
      <c r="EH237" s="1468"/>
      <c r="EI237" s="1468"/>
      <c r="EJ237" s="1468"/>
      <c r="EK237" s="1468"/>
      <c r="EL237" s="1468"/>
      <c r="EM237" s="1468"/>
      <c r="EN237" s="1468"/>
      <c r="EO237" s="1468"/>
      <c r="EP237" s="1468"/>
      <c r="EQ237" s="1468"/>
      <c r="ER237" s="1468"/>
      <c r="ES237" s="1468"/>
      <c r="ET237" s="1468"/>
      <c r="EU237" s="1468"/>
      <c r="EV237" s="1468"/>
      <c r="EW237" s="1468"/>
      <c r="EX237" s="1468"/>
      <c r="EY237" s="1468"/>
      <c r="EZ237" s="1468"/>
      <c r="FA237" s="1468"/>
      <c r="FB237" s="1468"/>
      <c r="FC237" s="1468"/>
      <c r="FD237" s="1468"/>
      <c r="FE237" s="1468"/>
      <c r="FF237" s="1468"/>
    </row>
    <row r="239" spans="6:162" s="1470" customFormat="1" ht="15.75" customHeight="1">
      <c r="F239" s="1468"/>
      <c r="G239" s="1468"/>
      <c r="H239" s="1468"/>
      <c r="I239" s="1468"/>
      <c r="J239" s="1468"/>
      <c r="K239" s="1468"/>
      <c r="L239" s="1468"/>
      <c r="M239" s="1468"/>
      <c r="N239" s="1468"/>
      <c r="O239" s="1468"/>
      <c r="P239" s="1468"/>
      <c r="Q239" s="1468"/>
      <c r="R239" s="1468"/>
      <c r="S239" s="1468"/>
      <c r="T239" s="1468"/>
      <c r="U239" s="1468"/>
      <c r="V239" s="1468"/>
      <c r="W239" s="1468"/>
      <c r="X239" s="1468"/>
      <c r="Y239" s="1468"/>
      <c r="AA239" s="1468"/>
      <c r="AC239" s="1468"/>
      <c r="AD239" s="1468"/>
      <c r="AE239" s="1468"/>
      <c r="AF239" s="1468"/>
      <c r="AG239" s="1468"/>
      <c r="AH239" s="1469"/>
      <c r="AI239" s="1469"/>
      <c r="AJ239" s="1468"/>
      <c r="AK239" s="1468"/>
      <c r="AL239" s="1468"/>
      <c r="AM239" s="1468"/>
      <c r="AN239" s="1468"/>
      <c r="AO239" s="1468"/>
      <c r="AP239" s="1468"/>
      <c r="AQ239" s="1468"/>
      <c r="AR239" s="1468"/>
      <c r="AS239" s="1468"/>
      <c r="AT239" s="1468"/>
      <c r="AU239" s="1468"/>
      <c r="AV239" s="1468"/>
      <c r="AW239" s="1468"/>
      <c r="AX239" s="1468"/>
      <c r="AY239" s="1468"/>
      <c r="AZ239" s="1468"/>
      <c r="BA239" s="1468"/>
      <c r="BB239" s="1468"/>
      <c r="BC239" s="1468"/>
      <c r="BD239" s="1468"/>
      <c r="BE239" s="1468"/>
      <c r="BF239" s="1468"/>
      <c r="BG239" s="1468"/>
      <c r="BH239" s="1468"/>
      <c r="BI239" s="1468"/>
      <c r="BJ239" s="1468"/>
      <c r="BK239" s="1468"/>
      <c r="BL239" s="1468"/>
      <c r="BM239" s="1468"/>
      <c r="BN239" s="1468"/>
      <c r="BO239" s="1468"/>
      <c r="BP239" s="1468"/>
      <c r="BQ239" s="1468"/>
      <c r="BR239" s="1468"/>
      <c r="BS239" s="1468"/>
      <c r="BT239" s="1468"/>
      <c r="BU239" s="1468"/>
      <c r="BV239" s="1468"/>
      <c r="BW239" s="1468"/>
      <c r="BX239" s="1468"/>
      <c r="BY239" s="1468"/>
      <c r="BZ239" s="1468"/>
      <c r="CA239" s="1468"/>
      <c r="CB239" s="1468"/>
      <c r="CC239" s="1468"/>
      <c r="CD239" s="1468"/>
      <c r="CE239" s="1468"/>
      <c r="CF239" s="1468"/>
      <c r="CG239" s="1468"/>
      <c r="CH239" s="1468"/>
      <c r="CI239" s="1468"/>
      <c r="CJ239" s="1468"/>
      <c r="CK239" s="1468"/>
      <c r="CL239" s="1468"/>
      <c r="CM239" s="1468"/>
      <c r="CN239" s="1468"/>
      <c r="CO239" s="1468"/>
      <c r="CP239" s="1468"/>
      <c r="CQ239" s="1468"/>
      <c r="CR239" s="1468"/>
      <c r="CS239" s="1468"/>
      <c r="CT239" s="1468"/>
      <c r="CU239" s="1468"/>
      <c r="CV239" s="1468"/>
      <c r="CW239" s="1468"/>
      <c r="CX239" s="1468"/>
      <c r="CY239" s="1468"/>
      <c r="CZ239" s="1468"/>
      <c r="DA239" s="1468"/>
      <c r="DB239" s="1468"/>
      <c r="DC239" s="1468"/>
      <c r="DD239" s="1468"/>
      <c r="DE239" s="1468"/>
      <c r="DF239" s="1468"/>
      <c r="DG239" s="1468"/>
      <c r="DH239" s="1468"/>
      <c r="DI239" s="1468"/>
      <c r="DJ239" s="1468"/>
      <c r="DK239" s="1468"/>
      <c r="DL239" s="1468"/>
      <c r="DM239" s="1468"/>
      <c r="DN239" s="1468"/>
      <c r="DO239" s="1468"/>
      <c r="DP239" s="1468"/>
      <c r="DQ239" s="1468"/>
      <c r="DR239" s="1468"/>
      <c r="DS239" s="1468"/>
      <c r="DT239" s="1468"/>
      <c r="DU239" s="1468"/>
      <c r="DV239" s="1468"/>
      <c r="DW239" s="1468"/>
      <c r="DX239" s="1468"/>
      <c r="DY239" s="1468"/>
      <c r="DZ239" s="1468"/>
      <c r="EA239" s="1468"/>
      <c r="EB239" s="1468"/>
      <c r="EC239" s="1468"/>
      <c r="ED239" s="1468"/>
      <c r="EE239" s="1468"/>
      <c r="EF239" s="1468"/>
      <c r="EG239" s="1468"/>
      <c r="EH239" s="1468"/>
      <c r="EI239" s="1468"/>
      <c r="EJ239" s="1468"/>
      <c r="EK239" s="1468"/>
      <c r="EL239" s="1468"/>
      <c r="EM239" s="1468"/>
      <c r="EN239" s="1468"/>
      <c r="EO239" s="1468"/>
      <c r="EP239" s="1468"/>
      <c r="EQ239" s="1468"/>
      <c r="ER239" s="1468"/>
      <c r="ES239" s="1468"/>
      <c r="ET239" s="1468"/>
      <c r="EU239" s="1468"/>
      <c r="EV239" s="1468"/>
      <c r="EW239" s="1468"/>
      <c r="EX239" s="1468"/>
      <c r="EY239" s="1468"/>
      <c r="EZ239" s="1468"/>
      <c r="FA239" s="1468"/>
      <c r="FB239" s="1468"/>
      <c r="FC239" s="1468"/>
      <c r="FD239" s="1468"/>
      <c r="FE239" s="1468"/>
      <c r="FF239" s="1468"/>
    </row>
    <row r="241" spans="6:162" s="1470" customFormat="1" ht="15.75" customHeight="1">
      <c r="F241" s="1468"/>
      <c r="G241" s="1468"/>
      <c r="H241" s="1468"/>
      <c r="I241" s="1468"/>
      <c r="J241" s="1468"/>
      <c r="K241" s="1468"/>
      <c r="L241" s="1468"/>
      <c r="M241" s="1468"/>
      <c r="N241" s="1468"/>
      <c r="O241" s="1468"/>
      <c r="P241" s="1468"/>
      <c r="Q241" s="1468"/>
      <c r="R241" s="1468"/>
      <c r="S241" s="1468"/>
      <c r="T241" s="1468"/>
      <c r="U241" s="1468"/>
      <c r="V241" s="1468"/>
      <c r="W241" s="1468"/>
      <c r="X241" s="1468"/>
      <c r="Y241" s="1468"/>
      <c r="AA241" s="1468"/>
      <c r="AC241" s="1468"/>
      <c r="AD241" s="1468"/>
      <c r="AE241" s="1468"/>
      <c r="AF241" s="1468"/>
      <c r="AG241" s="1468"/>
      <c r="AH241" s="1469"/>
      <c r="AI241" s="1469"/>
      <c r="AJ241" s="1468"/>
      <c r="AK241" s="1468"/>
      <c r="AL241" s="1468"/>
      <c r="AM241" s="1468"/>
      <c r="AN241" s="1468"/>
      <c r="AO241" s="1468"/>
      <c r="AP241" s="1468"/>
      <c r="AQ241" s="1468"/>
      <c r="AR241" s="1468"/>
      <c r="AS241" s="1468"/>
      <c r="AT241" s="1468"/>
      <c r="AU241" s="1468"/>
      <c r="AV241" s="1468"/>
      <c r="AW241" s="1468"/>
      <c r="AX241" s="1468"/>
      <c r="AY241" s="1468"/>
      <c r="AZ241" s="1468"/>
      <c r="BA241" s="1468"/>
      <c r="BB241" s="1468"/>
      <c r="BC241" s="1468"/>
      <c r="BD241" s="1468"/>
      <c r="BE241" s="1468"/>
      <c r="BF241" s="1468"/>
      <c r="BG241" s="1468"/>
      <c r="BH241" s="1468"/>
      <c r="BI241" s="1468"/>
      <c r="BJ241" s="1468"/>
      <c r="BK241" s="1468"/>
      <c r="BL241" s="1468"/>
      <c r="BM241" s="1468"/>
      <c r="BN241" s="1468"/>
      <c r="BO241" s="1468"/>
      <c r="BP241" s="1468"/>
      <c r="BQ241" s="1468"/>
      <c r="BR241" s="1468"/>
      <c r="BS241" s="1468"/>
      <c r="BT241" s="1468"/>
      <c r="BU241" s="1468"/>
      <c r="BV241" s="1468"/>
      <c r="BW241" s="1468"/>
      <c r="BX241" s="1468"/>
      <c r="BY241" s="1468"/>
      <c r="BZ241" s="1468"/>
      <c r="CA241" s="1468"/>
      <c r="CB241" s="1468"/>
      <c r="CC241" s="1468"/>
      <c r="CD241" s="1468"/>
      <c r="CE241" s="1468"/>
      <c r="CF241" s="1468"/>
      <c r="CG241" s="1468"/>
      <c r="CH241" s="1468"/>
      <c r="CI241" s="1468"/>
      <c r="CJ241" s="1468"/>
      <c r="CK241" s="1468"/>
      <c r="CL241" s="1468"/>
      <c r="CM241" s="1468"/>
      <c r="CN241" s="1468"/>
      <c r="CO241" s="1468"/>
      <c r="CP241" s="1468"/>
      <c r="CQ241" s="1468"/>
      <c r="CR241" s="1468"/>
      <c r="CS241" s="1468"/>
      <c r="CT241" s="1468"/>
      <c r="CU241" s="1468"/>
      <c r="CV241" s="1468"/>
      <c r="CW241" s="1468"/>
      <c r="CX241" s="1468"/>
      <c r="CY241" s="1468"/>
      <c r="CZ241" s="1468"/>
      <c r="DA241" s="1468"/>
      <c r="DB241" s="1468"/>
      <c r="DC241" s="1468"/>
      <c r="DD241" s="1468"/>
      <c r="DE241" s="1468"/>
      <c r="DF241" s="1468"/>
      <c r="DG241" s="1468"/>
      <c r="DH241" s="1468"/>
      <c r="DI241" s="1468"/>
      <c r="DJ241" s="1468"/>
      <c r="DK241" s="1468"/>
      <c r="DL241" s="1468"/>
      <c r="DM241" s="1468"/>
      <c r="DN241" s="1468"/>
      <c r="DO241" s="1468"/>
      <c r="DP241" s="1468"/>
      <c r="DQ241" s="1468"/>
      <c r="DR241" s="1468"/>
      <c r="DS241" s="1468"/>
      <c r="DT241" s="1468"/>
      <c r="DU241" s="1468"/>
      <c r="DV241" s="1468"/>
      <c r="DW241" s="1468"/>
      <c r="DX241" s="1468"/>
      <c r="DY241" s="1468"/>
      <c r="DZ241" s="1468"/>
      <c r="EA241" s="1468"/>
      <c r="EB241" s="1468"/>
      <c r="EC241" s="1468"/>
      <c r="ED241" s="1468"/>
      <c r="EE241" s="1468"/>
      <c r="EF241" s="1468"/>
      <c r="EG241" s="1468"/>
      <c r="EH241" s="1468"/>
      <c r="EI241" s="1468"/>
      <c r="EJ241" s="1468"/>
      <c r="EK241" s="1468"/>
      <c r="EL241" s="1468"/>
      <c r="EM241" s="1468"/>
      <c r="EN241" s="1468"/>
      <c r="EO241" s="1468"/>
      <c r="EP241" s="1468"/>
      <c r="EQ241" s="1468"/>
      <c r="ER241" s="1468"/>
      <c r="ES241" s="1468"/>
      <c r="ET241" s="1468"/>
      <c r="EU241" s="1468"/>
      <c r="EV241" s="1468"/>
      <c r="EW241" s="1468"/>
      <c r="EX241" s="1468"/>
      <c r="EY241" s="1468"/>
      <c r="EZ241" s="1468"/>
      <c r="FA241" s="1468"/>
      <c r="FB241" s="1468"/>
      <c r="FC241" s="1468"/>
      <c r="FD241" s="1468"/>
      <c r="FE241" s="1468"/>
      <c r="FF241" s="1468"/>
    </row>
    <row r="243" spans="6:162" s="1470" customFormat="1" ht="15.75" customHeight="1">
      <c r="F243" s="1468"/>
      <c r="G243" s="1468"/>
      <c r="H243" s="1468"/>
      <c r="I243" s="1468"/>
      <c r="J243" s="1468"/>
      <c r="K243" s="1468"/>
      <c r="L243" s="1468"/>
      <c r="M243" s="1468"/>
      <c r="N243" s="1468"/>
      <c r="O243" s="1468"/>
      <c r="P243" s="1468"/>
      <c r="Q243" s="1468"/>
      <c r="R243" s="1468"/>
      <c r="S243" s="1468"/>
      <c r="T243" s="1468"/>
      <c r="U243" s="1468"/>
      <c r="V243" s="1468"/>
      <c r="W243" s="1468"/>
      <c r="X243" s="1468"/>
      <c r="Y243" s="1468"/>
      <c r="AA243" s="1468"/>
      <c r="AC243" s="1468"/>
      <c r="AD243" s="1468"/>
      <c r="AE243" s="1468"/>
      <c r="AF243" s="1468"/>
      <c r="AG243" s="1468"/>
      <c r="AH243" s="1469"/>
      <c r="AI243" s="1469"/>
      <c r="AJ243" s="1468"/>
      <c r="AK243" s="1468"/>
      <c r="AL243" s="1468"/>
      <c r="AM243" s="1468"/>
      <c r="AN243" s="1468"/>
      <c r="AO243" s="1468"/>
      <c r="AP243" s="1468"/>
      <c r="AQ243" s="1468"/>
      <c r="AR243" s="1468"/>
      <c r="AS243" s="1468"/>
      <c r="AT243" s="1468"/>
      <c r="AU243" s="1468"/>
      <c r="AV243" s="1468"/>
      <c r="AW243" s="1468"/>
      <c r="AX243" s="1468"/>
      <c r="AY243" s="1468"/>
      <c r="AZ243" s="1468"/>
      <c r="BA243" s="1468"/>
      <c r="BB243" s="1468"/>
      <c r="BC243" s="1468"/>
      <c r="BD243" s="1468"/>
      <c r="BE243" s="1468"/>
      <c r="BF243" s="1468"/>
      <c r="BG243" s="1468"/>
      <c r="BH243" s="1468"/>
      <c r="BI243" s="1468"/>
      <c r="BJ243" s="1468"/>
      <c r="BK243" s="1468"/>
      <c r="BL243" s="1468"/>
      <c r="BM243" s="1468"/>
      <c r="BN243" s="1468"/>
      <c r="BO243" s="1468"/>
      <c r="BP243" s="1468"/>
      <c r="BQ243" s="1468"/>
      <c r="BR243" s="1468"/>
      <c r="BS243" s="1468"/>
      <c r="BT243" s="1468"/>
      <c r="BU243" s="1468"/>
      <c r="BV243" s="1468"/>
      <c r="BW243" s="1468"/>
      <c r="BX243" s="1468"/>
      <c r="BY243" s="1468"/>
      <c r="BZ243" s="1468"/>
      <c r="CA243" s="1468"/>
      <c r="CB243" s="1468"/>
      <c r="CC243" s="1468"/>
      <c r="CD243" s="1468"/>
      <c r="CE243" s="1468"/>
      <c r="CF243" s="1468"/>
      <c r="CG243" s="1468"/>
      <c r="CH243" s="1468"/>
      <c r="CI243" s="1468"/>
      <c r="CJ243" s="1468"/>
      <c r="CK243" s="1468"/>
      <c r="CL243" s="1468"/>
      <c r="CM243" s="1468"/>
      <c r="CN243" s="1468"/>
      <c r="CO243" s="1468"/>
      <c r="CP243" s="1468"/>
      <c r="CQ243" s="1468"/>
      <c r="CR243" s="1468"/>
      <c r="CS243" s="1468"/>
      <c r="CT243" s="1468"/>
      <c r="CU243" s="1468"/>
      <c r="CV243" s="1468"/>
      <c r="CW243" s="1468"/>
      <c r="CX243" s="1468"/>
      <c r="CY243" s="1468"/>
      <c r="CZ243" s="1468"/>
      <c r="DA243" s="1468"/>
      <c r="DB243" s="1468"/>
      <c r="DC243" s="1468"/>
      <c r="DD243" s="1468"/>
      <c r="DE243" s="1468"/>
      <c r="DF243" s="1468"/>
      <c r="DG243" s="1468"/>
      <c r="DH243" s="1468"/>
      <c r="DI243" s="1468"/>
      <c r="DJ243" s="1468"/>
      <c r="DK243" s="1468"/>
      <c r="DL243" s="1468"/>
      <c r="DM243" s="1468"/>
      <c r="DN243" s="1468"/>
      <c r="DO243" s="1468"/>
      <c r="DP243" s="1468"/>
      <c r="DQ243" s="1468"/>
      <c r="DR243" s="1468"/>
      <c r="DS243" s="1468"/>
      <c r="DT243" s="1468"/>
      <c r="DU243" s="1468"/>
      <c r="DV243" s="1468"/>
      <c r="DW243" s="1468"/>
      <c r="DX243" s="1468"/>
      <c r="DY243" s="1468"/>
      <c r="DZ243" s="1468"/>
      <c r="EA243" s="1468"/>
      <c r="EB243" s="1468"/>
      <c r="EC243" s="1468"/>
      <c r="ED243" s="1468"/>
      <c r="EE243" s="1468"/>
      <c r="EF243" s="1468"/>
      <c r="EG243" s="1468"/>
      <c r="EH243" s="1468"/>
      <c r="EI243" s="1468"/>
      <c r="EJ243" s="1468"/>
      <c r="EK243" s="1468"/>
      <c r="EL243" s="1468"/>
      <c r="EM243" s="1468"/>
      <c r="EN243" s="1468"/>
      <c r="EO243" s="1468"/>
      <c r="EP243" s="1468"/>
      <c r="EQ243" s="1468"/>
      <c r="ER243" s="1468"/>
      <c r="ES243" s="1468"/>
      <c r="ET243" s="1468"/>
      <c r="EU243" s="1468"/>
      <c r="EV243" s="1468"/>
      <c r="EW243" s="1468"/>
      <c r="EX243" s="1468"/>
      <c r="EY243" s="1468"/>
      <c r="EZ243" s="1468"/>
      <c r="FA243" s="1468"/>
      <c r="FB243" s="1468"/>
      <c r="FC243" s="1468"/>
      <c r="FD243" s="1468"/>
      <c r="FE243" s="1468"/>
      <c r="FF243" s="1468"/>
    </row>
    <row r="245" spans="6:162" s="1470" customFormat="1" ht="15.75" customHeight="1">
      <c r="F245" s="1468"/>
      <c r="G245" s="1468"/>
      <c r="H245" s="1468"/>
      <c r="I245" s="1468"/>
      <c r="J245" s="1468"/>
      <c r="K245" s="1468"/>
      <c r="L245" s="1468"/>
      <c r="M245" s="1468"/>
      <c r="N245" s="1468"/>
      <c r="O245" s="1468"/>
      <c r="P245" s="1468"/>
      <c r="Q245" s="1468"/>
      <c r="R245" s="1468"/>
      <c r="S245" s="1468"/>
      <c r="T245" s="1468"/>
      <c r="U245" s="1468"/>
      <c r="V245" s="1468"/>
      <c r="W245" s="1468"/>
      <c r="X245" s="1468"/>
      <c r="Y245" s="1468"/>
      <c r="AA245" s="1468"/>
      <c r="AC245" s="1468"/>
      <c r="AD245" s="1468"/>
      <c r="AE245" s="1468"/>
      <c r="AF245" s="1468"/>
      <c r="AG245" s="1468"/>
      <c r="AH245" s="1469"/>
      <c r="AI245" s="1469"/>
      <c r="AJ245" s="1468"/>
      <c r="AK245" s="1468"/>
      <c r="AL245" s="1468"/>
      <c r="AM245" s="1468"/>
      <c r="AN245" s="1468"/>
      <c r="AO245" s="1468"/>
      <c r="AP245" s="1468"/>
      <c r="AQ245" s="1468"/>
      <c r="AR245" s="1468"/>
      <c r="AS245" s="1468"/>
      <c r="AT245" s="1468"/>
      <c r="AU245" s="1468"/>
      <c r="AV245" s="1468"/>
      <c r="AW245" s="1468"/>
      <c r="AX245" s="1468"/>
      <c r="AY245" s="1468"/>
      <c r="AZ245" s="1468"/>
      <c r="BA245" s="1468"/>
      <c r="BB245" s="1468"/>
      <c r="BC245" s="1468"/>
      <c r="BD245" s="1468"/>
      <c r="BE245" s="1468"/>
      <c r="BF245" s="1468"/>
      <c r="BG245" s="1468"/>
      <c r="BH245" s="1468"/>
      <c r="BI245" s="1468"/>
      <c r="BJ245" s="1468"/>
      <c r="BK245" s="1468"/>
      <c r="BL245" s="1468"/>
      <c r="BM245" s="1468"/>
      <c r="BN245" s="1468"/>
      <c r="BO245" s="1468"/>
      <c r="BP245" s="1468"/>
      <c r="BQ245" s="1468"/>
      <c r="BR245" s="1468"/>
      <c r="BS245" s="1468"/>
      <c r="BT245" s="1468"/>
      <c r="BU245" s="1468"/>
      <c r="BV245" s="1468"/>
      <c r="BW245" s="1468"/>
      <c r="BX245" s="1468"/>
      <c r="BY245" s="1468"/>
      <c r="BZ245" s="1468"/>
      <c r="CA245" s="1468"/>
      <c r="CB245" s="1468"/>
      <c r="CC245" s="1468"/>
      <c r="CD245" s="1468"/>
      <c r="CE245" s="1468"/>
      <c r="CF245" s="1468"/>
      <c r="CG245" s="1468"/>
      <c r="CH245" s="1468"/>
      <c r="CI245" s="1468"/>
      <c r="CJ245" s="1468"/>
      <c r="CK245" s="1468"/>
      <c r="CL245" s="1468"/>
      <c r="CM245" s="1468"/>
      <c r="CN245" s="1468"/>
      <c r="CO245" s="1468"/>
      <c r="CP245" s="1468"/>
      <c r="CQ245" s="1468"/>
      <c r="CR245" s="1468"/>
      <c r="CS245" s="1468"/>
      <c r="CT245" s="1468"/>
      <c r="CU245" s="1468"/>
      <c r="CV245" s="1468"/>
      <c r="CW245" s="1468"/>
      <c r="CX245" s="1468"/>
      <c r="CY245" s="1468"/>
      <c r="CZ245" s="1468"/>
      <c r="DA245" s="1468"/>
      <c r="DB245" s="1468"/>
      <c r="DC245" s="1468"/>
      <c r="DD245" s="1468"/>
      <c r="DE245" s="1468"/>
      <c r="DF245" s="1468"/>
      <c r="DG245" s="1468"/>
      <c r="DH245" s="1468"/>
      <c r="DI245" s="1468"/>
      <c r="DJ245" s="1468"/>
      <c r="DK245" s="1468"/>
      <c r="DL245" s="1468"/>
      <c r="DM245" s="1468"/>
      <c r="DN245" s="1468"/>
      <c r="DO245" s="1468"/>
      <c r="DP245" s="1468"/>
      <c r="DQ245" s="1468"/>
      <c r="DR245" s="1468"/>
      <c r="DS245" s="1468"/>
      <c r="DT245" s="1468"/>
      <c r="DU245" s="1468"/>
      <c r="DV245" s="1468"/>
      <c r="DW245" s="1468"/>
      <c r="DX245" s="1468"/>
      <c r="DY245" s="1468"/>
      <c r="DZ245" s="1468"/>
      <c r="EA245" s="1468"/>
      <c r="EB245" s="1468"/>
      <c r="EC245" s="1468"/>
      <c r="ED245" s="1468"/>
      <c r="EE245" s="1468"/>
      <c r="EF245" s="1468"/>
      <c r="EG245" s="1468"/>
      <c r="EH245" s="1468"/>
      <c r="EI245" s="1468"/>
      <c r="EJ245" s="1468"/>
      <c r="EK245" s="1468"/>
      <c r="EL245" s="1468"/>
      <c r="EM245" s="1468"/>
      <c r="EN245" s="1468"/>
      <c r="EO245" s="1468"/>
      <c r="EP245" s="1468"/>
      <c r="EQ245" s="1468"/>
      <c r="ER245" s="1468"/>
      <c r="ES245" s="1468"/>
      <c r="ET245" s="1468"/>
      <c r="EU245" s="1468"/>
      <c r="EV245" s="1468"/>
      <c r="EW245" s="1468"/>
      <c r="EX245" s="1468"/>
      <c r="EY245" s="1468"/>
      <c r="EZ245" s="1468"/>
      <c r="FA245" s="1468"/>
      <c r="FB245" s="1468"/>
      <c r="FC245" s="1468"/>
      <c r="FD245" s="1468"/>
      <c r="FE245" s="1468"/>
      <c r="FF245" s="1468"/>
    </row>
    <row r="247" spans="6:162" s="1470" customFormat="1" ht="15.75" customHeight="1">
      <c r="F247" s="1468"/>
      <c r="G247" s="1468"/>
      <c r="H247" s="1468"/>
      <c r="I247" s="1468"/>
      <c r="J247" s="1468"/>
      <c r="K247" s="1468"/>
      <c r="L247" s="1468"/>
      <c r="M247" s="1468"/>
      <c r="N247" s="1468"/>
      <c r="O247" s="1468"/>
      <c r="P247" s="1468"/>
      <c r="Q247" s="1468"/>
      <c r="R247" s="1468"/>
      <c r="S247" s="1468"/>
      <c r="T247" s="1468"/>
      <c r="U247" s="1468"/>
      <c r="V247" s="1468"/>
      <c r="W247" s="1468"/>
      <c r="X247" s="1468"/>
      <c r="Y247" s="1468"/>
      <c r="AA247" s="1468"/>
      <c r="AC247" s="1468"/>
      <c r="AD247" s="1468"/>
      <c r="AE247" s="1468"/>
      <c r="AF247" s="1468"/>
      <c r="AG247" s="1468"/>
      <c r="AH247" s="1469"/>
      <c r="AI247" s="1469"/>
      <c r="AJ247" s="1468"/>
      <c r="AK247" s="1468"/>
      <c r="AL247" s="1468"/>
      <c r="AM247" s="1468"/>
      <c r="AN247" s="1468"/>
      <c r="AO247" s="1468"/>
      <c r="AP247" s="1468"/>
      <c r="AQ247" s="1468"/>
      <c r="AR247" s="1468"/>
      <c r="AS247" s="1468"/>
      <c r="AT247" s="1468"/>
      <c r="AU247" s="1468"/>
      <c r="AV247" s="1468"/>
      <c r="AW247" s="1468"/>
      <c r="AX247" s="1468"/>
      <c r="AY247" s="1468"/>
      <c r="AZ247" s="1468"/>
      <c r="BA247" s="1468"/>
      <c r="BB247" s="1468"/>
      <c r="BC247" s="1468"/>
      <c r="BD247" s="1468"/>
      <c r="BE247" s="1468"/>
      <c r="BF247" s="1468"/>
      <c r="BG247" s="1468"/>
      <c r="BH247" s="1468"/>
      <c r="BI247" s="1468"/>
      <c r="BJ247" s="1468"/>
      <c r="BK247" s="1468"/>
      <c r="BL247" s="1468"/>
      <c r="BM247" s="1468"/>
      <c r="BN247" s="1468"/>
      <c r="BO247" s="1468"/>
      <c r="BP247" s="1468"/>
      <c r="BQ247" s="1468"/>
      <c r="BR247" s="1468"/>
      <c r="BS247" s="1468"/>
      <c r="BT247" s="1468"/>
      <c r="BU247" s="1468"/>
      <c r="BV247" s="1468"/>
      <c r="BW247" s="1468"/>
      <c r="BX247" s="1468"/>
      <c r="BY247" s="1468"/>
      <c r="BZ247" s="1468"/>
      <c r="CA247" s="1468"/>
      <c r="CB247" s="1468"/>
      <c r="CC247" s="1468"/>
      <c r="CD247" s="1468"/>
      <c r="CE247" s="1468"/>
      <c r="CF247" s="1468"/>
      <c r="CG247" s="1468"/>
      <c r="CH247" s="1468"/>
      <c r="CI247" s="1468"/>
      <c r="CJ247" s="1468"/>
      <c r="CK247" s="1468"/>
      <c r="CL247" s="1468"/>
      <c r="CM247" s="1468"/>
      <c r="CN247" s="1468"/>
      <c r="CO247" s="1468"/>
      <c r="CP247" s="1468"/>
      <c r="CQ247" s="1468"/>
      <c r="CR247" s="1468"/>
      <c r="CS247" s="1468"/>
      <c r="CT247" s="1468"/>
      <c r="CU247" s="1468"/>
      <c r="CV247" s="1468"/>
      <c r="CW247" s="1468"/>
      <c r="CX247" s="1468"/>
      <c r="CY247" s="1468"/>
      <c r="CZ247" s="1468"/>
      <c r="DA247" s="1468"/>
      <c r="DB247" s="1468"/>
      <c r="DC247" s="1468"/>
      <c r="DD247" s="1468"/>
      <c r="DE247" s="1468"/>
      <c r="DF247" s="1468"/>
      <c r="DG247" s="1468"/>
      <c r="DH247" s="1468"/>
      <c r="DI247" s="1468"/>
      <c r="DJ247" s="1468"/>
      <c r="DK247" s="1468"/>
      <c r="DL247" s="1468"/>
      <c r="DM247" s="1468"/>
      <c r="DN247" s="1468"/>
      <c r="DO247" s="1468"/>
      <c r="DP247" s="1468"/>
      <c r="DQ247" s="1468"/>
      <c r="DR247" s="1468"/>
      <c r="DS247" s="1468"/>
      <c r="DT247" s="1468"/>
      <c r="DU247" s="1468"/>
      <c r="DV247" s="1468"/>
      <c r="DW247" s="1468"/>
      <c r="DX247" s="1468"/>
      <c r="DY247" s="1468"/>
      <c r="DZ247" s="1468"/>
      <c r="EA247" s="1468"/>
      <c r="EB247" s="1468"/>
      <c r="EC247" s="1468"/>
      <c r="ED247" s="1468"/>
      <c r="EE247" s="1468"/>
      <c r="EF247" s="1468"/>
      <c r="EG247" s="1468"/>
      <c r="EH247" s="1468"/>
      <c r="EI247" s="1468"/>
      <c r="EJ247" s="1468"/>
      <c r="EK247" s="1468"/>
      <c r="EL247" s="1468"/>
      <c r="EM247" s="1468"/>
      <c r="EN247" s="1468"/>
      <c r="EO247" s="1468"/>
      <c r="EP247" s="1468"/>
      <c r="EQ247" s="1468"/>
      <c r="ER247" s="1468"/>
      <c r="ES247" s="1468"/>
      <c r="ET247" s="1468"/>
      <c r="EU247" s="1468"/>
      <c r="EV247" s="1468"/>
      <c r="EW247" s="1468"/>
      <c r="EX247" s="1468"/>
      <c r="EY247" s="1468"/>
      <c r="EZ247" s="1468"/>
      <c r="FA247" s="1468"/>
      <c r="FB247" s="1468"/>
      <c r="FC247" s="1468"/>
      <c r="FD247" s="1468"/>
      <c r="FE247" s="1468"/>
      <c r="FF247" s="1468"/>
    </row>
    <row r="249" spans="6:162" s="1470" customFormat="1" ht="15.75" customHeight="1">
      <c r="F249" s="1468"/>
      <c r="G249" s="1468"/>
      <c r="H249" s="1468"/>
      <c r="I249" s="1468"/>
      <c r="J249" s="1468"/>
      <c r="K249" s="1468"/>
      <c r="L249" s="1468"/>
      <c r="M249" s="1468"/>
      <c r="N249" s="1468"/>
      <c r="O249" s="1468"/>
      <c r="P249" s="1468"/>
      <c r="Q249" s="1468"/>
      <c r="R249" s="1468"/>
      <c r="S249" s="1468"/>
      <c r="T249" s="1468"/>
      <c r="U249" s="1468"/>
      <c r="V249" s="1468"/>
      <c r="W249" s="1468"/>
      <c r="X249" s="1468"/>
      <c r="Y249" s="1468"/>
      <c r="AA249" s="1468"/>
      <c r="AC249" s="1468"/>
      <c r="AD249" s="1468"/>
      <c r="AE249" s="1468"/>
      <c r="AF249" s="1468"/>
      <c r="AG249" s="1468"/>
      <c r="AH249" s="1469"/>
      <c r="AI249" s="1469"/>
      <c r="AJ249" s="1468"/>
      <c r="AK249" s="1468"/>
      <c r="AL249" s="1468"/>
      <c r="AM249" s="1468"/>
      <c r="AN249" s="1468"/>
      <c r="AO249" s="1468"/>
      <c r="AP249" s="1468"/>
      <c r="AQ249" s="1468"/>
      <c r="AR249" s="1468"/>
      <c r="AS249" s="1468"/>
      <c r="AT249" s="1468"/>
      <c r="AU249" s="1468"/>
      <c r="AV249" s="1468"/>
      <c r="AW249" s="1468"/>
      <c r="AX249" s="1468"/>
      <c r="AY249" s="1468"/>
      <c r="AZ249" s="1468"/>
      <c r="BA249" s="1468"/>
      <c r="BB249" s="1468"/>
      <c r="BC249" s="1468"/>
      <c r="BD249" s="1468"/>
      <c r="BE249" s="1468"/>
      <c r="BF249" s="1468"/>
      <c r="BG249" s="1468"/>
      <c r="BH249" s="1468"/>
      <c r="BI249" s="1468"/>
      <c r="BJ249" s="1468"/>
      <c r="BK249" s="1468"/>
      <c r="BL249" s="1468"/>
      <c r="BM249" s="1468"/>
      <c r="BN249" s="1468"/>
      <c r="BO249" s="1468"/>
      <c r="BP249" s="1468"/>
      <c r="BQ249" s="1468"/>
      <c r="BR249" s="1468"/>
      <c r="BS249" s="1468"/>
      <c r="BT249" s="1468"/>
      <c r="BU249" s="1468"/>
      <c r="BV249" s="1468"/>
      <c r="BW249" s="1468"/>
      <c r="BX249" s="1468"/>
      <c r="BY249" s="1468"/>
      <c r="BZ249" s="1468"/>
      <c r="CA249" s="1468"/>
      <c r="CB249" s="1468"/>
      <c r="CC249" s="1468"/>
      <c r="CD249" s="1468"/>
      <c r="CE249" s="1468"/>
      <c r="CF249" s="1468"/>
      <c r="CG249" s="1468"/>
      <c r="CH249" s="1468"/>
      <c r="CI249" s="1468"/>
      <c r="CJ249" s="1468"/>
      <c r="CK249" s="1468"/>
      <c r="CL249" s="1468"/>
      <c r="CM249" s="1468"/>
      <c r="CN249" s="1468"/>
      <c r="CO249" s="1468"/>
      <c r="CP249" s="1468"/>
      <c r="CQ249" s="1468"/>
      <c r="CR249" s="1468"/>
      <c r="CS249" s="1468"/>
      <c r="CT249" s="1468"/>
      <c r="CU249" s="1468"/>
      <c r="CV249" s="1468"/>
      <c r="CW249" s="1468"/>
      <c r="CX249" s="1468"/>
      <c r="CY249" s="1468"/>
      <c r="CZ249" s="1468"/>
      <c r="DA249" s="1468"/>
      <c r="DB249" s="1468"/>
      <c r="DC249" s="1468"/>
      <c r="DD249" s="1468"/>
      <c r="DE249" s="1468"/>
      <c r="DF249" s="1468"/>
      <c r="DG249" s="1468"/>
      <c r="DH249" s="1468"/>
      <c r="DI249" s="1468"/>
      <c r="DJ249" s="1468"/>
      <c r="DK249" s="1468"/>
      <c r="DL249" s="1468"/>
      <c r="DM249" s="1468"/>
      <c r="DN249" s="1468"/>
      <c r="DO249" s="1468"/>
      <c r="DP249" s="1468"/>
      <c r="DQ249" s="1468"/>
      <c r="DR249" s="1468"/>
      <c r="DS249" s="1468"/>
      <c r="DT249" s="1468"/>
      <c r="DU249" s="1468"/>
      <c r="DV249" s="1468"/>
      <c r="DW249" s="1468"/>
      <c r="DX249" s="1468"/>
      <c r="DY249" s="1468"/>
      <c r="DZ249" s="1468"/>
      <c r="EA249" s="1468"/>
      <c r="EB249" s="1468"/>
      <c r="EC249" s="1468"/>
      <c r="ED249" s="1468"/>
      <c r="EE249" s="1468"/>
      <c r="EF249" s="1468"/>
      <c r="EG249" s="1468"/>
      <c r="EH249" s="1468"/>
      <c r="EI249" s="1468"/>
      <c r="EJ249" s="1468"/>
      <c r="EK249" s="1468"/>
      <c r="EL249" s="1468"/>
      <c r="EM249" s="1468"/>
      <c r="EN249" s="1468"/>
      <c r="EO249" s="1468"/>
      <c r="EP249" s="1468"/>
      <c r="EQ249" s="1468"/>
      <c r="ER249" s="1468"/>
      <c r="ES249" s="1468"/>
      <c r="ET249" s="1468"/>
      <c r="EU249" s="1468"/>
      <c r="EV249" s="1468"/>
      <c r="EW249" s="1468"/>
      <c r="EX249" s="1468"/>
      <c r="EY249" s="1468"/>
      <c r="EZ249" s="1468"/>
      <c r="FA249" s="1468"/>
      <c r="FB249" s="1468"/>
      <c r="FC249" s="1468"/>
      <c r="FD249" s="1468"/>
      <c r="FE249" s="1468"/>
      <c r="FF249" s="1468"/>
    </row>
    <row r="251" spans="6:162" s="1470" customFormat="1" ht="15.75" customHeight="1">
      <c r="F251" s="1468"/>
      <c r="G251" s="1468"/>
      <c r="H251" s="1468"/>
      <c r="I251" s="1468"/>
      <c r="J251" s="1468"/>
      <c r="K251" s="1468"/>
      <c r="L251" s="1468"/>
      <c r="M251" s="1468"/>
      <c r="N251" s="1468"/>
      <c r="O251" s="1468"/>
      <c r="P251" s="1468"/>
      <c r="Q251" s="1468"/>
      <c r="R251" s="1468"/>
      <c r="S251" s="1468"/>
      <c r="T251" s="1468"/>
      <c r="U251" s="1468"/>
      <c r="V251" s="1468"/>
      <c r="W251" s="1468"/>
      <c r="X251" s="1468"/>
      <c r="Y251" s="1468"/>
      <c r="AA251" s="1468"/>
      <c r="AC251" s="1468"/>
      <c r="AD251" s="1468"/>
      <c r="AE251" s="1468"/>
      <c r="AF251" s="1468"/>
      <c r="AG251" s="1468"/>
      <c r="AH251" s="1469"/>
      <c r="AI251" s="1469"/>
      <c r="AJ251" s="1468"/>
      <c r="AK251" s="1468"/>
      <c r="AL251" s="1468"/>
      <c r="AM251" s="1468"/>
      <c r="AN251" s="1468"/>
      <c r="AO251" s="1468"/>
      <c r="AP251" s="1468"/>
      <c r="AQ251" s="1468"/>
      <c r="AR251" s="1468"/>
      <c r="AS251" s="1468"/>
      <c r="AT251" s="1468"/>
      <c r="AU251" s="1468"/>
      <c r="AV251" s="1468"/>
      <c r="AW251" s="1468"/>
      <c r="AX251" s="1468"/>
      <c r="AY251" s="1468"/>
      <c r="AZ251" s="1468"/>
      <c r="BA251" s="1468"/>
      <c r="BB251" s="1468"/>
      <c r="BC251" s="1468"/>
      <c r="BD251" s="1468"/>
      <c r="BE251" s="1468"/>
      <c r="BF251" s="1468"/>
      <c r="BG251" s="1468"/>
      <c r="BH251" s="1468"/>
      <c r="BI251" s="1468"/>
      <c r="BJ251" s="1468"/>
      <c r="BK251" s="1468"/>
      <c r="BL251" s="1468"/>
      <c r="BM251" s="1468"/>
      <c r="BN251" s="1468"/>
      <c r="BO251" s="1468"/>
      <c r="BP251" s="1468"/>
      <c r="BQ251" s="1468"/>
      <c r="BR251" s="1468"/>
      <c r="BS251" s="1468"/>
      <c r="BT251" s="1468"/>
      <c r="BU251" s="1468"/>
      <c r="BV251" s="1468"/>
      <c r="BW251" s="1468"/>
      <c r="BX251" s="1468"/>
      <c r="BY251" s="1468"/>
      <c r="BZ251" s="1468"/>
      <c r="CA251" s="1468"/>
      <c r="CB251" s="1468"/>
      <c r="CC251" s="1468"/>
      <c r="CD251" s="1468"/>
      <c r="CE251" s="1468"/>
      <c r="CF251" s="1468"/>
      <c r="CG251" s="1468"/>
      <c r="CH251" s="1468"/>
      <c r="CI251" s="1468"/>
      <c r="CJ251" s="1468"/>
      <c r="CK251" s="1468"/>
      <c r="CL251" s="1468"/>
      <c r="CM251" s="1468"/>
      <c r="CN251" s="1468"/>
      <c r="CO251" s="1468"/>
      <c r="CP251" s="1468"/>
      <c r="CQ251" s="1468"/>
      <c r="CR251" s="1468"/>
      <c r="CS251" s="1468"/>
      <c r="CT251" s="1468"/>
      <c r="CU251" s="1468"/>
      <c r="CV251" s="1468"/>
      <c r="CW251" s="1468"/>
      <c r="CX251" s="1468"/>
      <c r="CY251" s="1468"/>
      <c r="CZ251" s="1468"/>
      <c r="DA251" s="1468"/>
      <c r="DB251" s="1468"/>
      <c r="DC251" s="1468"/>
      <c r="DD251" s="1468"/>
      <c r="DE251" s="1468"/>
      <c r="DF251" s="1468"/>
      <c r="DG251" s="1468"/>
      <c r="DH251" s="1468"/>
      <c r="DI251" s="1468"/>
      <c r="DJ251" s="1468"/>
      <c r="DK251" s="1468"/>
      <c r="DL251" s="1468"/>
      <c r="DM251" s="1468"/>
      <c r="DN251" s="1468"/>
      <c r="DO251" s="1468"/>
      <c r="DP251" s="1468"/>
      <c r="DQ251" s="1468"/>
      <c r="DR251" s="1468"/>
      <c r="DS251" s="1468"/>
      <c r="DT251" s="1468"/>
      <c r="DU251" s="1468"/>
      <c r="DV251" s="1468"/>
      <c r="DW251" s="1468"/>
      <c r="DX251" s="1468"/>
      <c r="DY251" s="1468"/>
      <c r="DZ251" s="1468"/>
      <c r="EA251" s="1468"/>
      <c r="EB251" s="1468"/>
      <c r="EC251" s="1468"/>
      <c r="ED251" s="1468"/>
      <c r="EE251" s="1468"/>
      <c r="EF251" s="1468"/>
      <c r="EG251" s="1468"/>
      <c r="EH251" s="1468"/>
      <c r="EI251" s="1468"/>
      <c r="EJ251" s="1468"/>
      <c r="EK251" s="1468"/>
      <c r="EL251" s="1468"/>
      <c r="EM251" s="1468"/>
      <c r="EN251" s="1468"/>
      <c r="EO251" s="1468"/>
      <c r="EP251" s="1468"/>
      <c r="EQ251" s="1468"/>
      <c r="ER251" s="1468"/>
      <c r="ES251" s="1468"/>
      <c r="ET251" s="1468"/>
      <c r="EU251" s="1468"/>
      <c r="EV251" s="1468"/>
      <c r="EW251" s="1468"/>
      <c r="EX251" s="1468"/>
      <c r="EY251" s="1468"/>
      <c r="EZ251" s="1468"/>
      <c r="FA251" s="1468"/>
      <c r="FB251" s="1468"/>
      <c r="FC251" s="1468"/>
      <c r="FD251" s="1468"/>
      <c r="FE251" s="1468"/>
      <c r="FF251" s="1468"/>
    </row>
    <row r="253" spans="6:162" s="1470" customFormat="1" ht="15.75" customHeight="1">
      <c r="F253" s="1468"/>
      <c r="G253" s="1468"/>
      <c r="H253" s="1468"/>
      <c r="I253" s="1468"/>
      <c r="J253" s="1468"/>
      <c r="K253" s="1468"/>
      <c r="L253" s="1468"/>
      <c r="M253" s="1468"/>
      <c r="N253" s="1468"/>
      <c r="O253" s="1468"/>
      <c r="P253" s="1468"/>
      <c r="Q253" s="1468"/>
      <c r="R253" s="1468"/>
      <c r="S253" s="1468"/>
      <c r="T253" s="1468"/>
      <c r="U253" s="1468"/>
      <c r="V253" s="1468"/>
      <c r="W253" s="1468"/>
      <c r="X253" s="1468"/>
      <c r="Y253" s="1468"/>
      <c r="AA253" s="1468"/>
      <c r="AC253" s="1468"/>
      <c r="AD253" s="1468"/>
      <c r="AE253" s="1468"/>
      <c r="AF253" s="1468"/>
      <c r="AG253" s="1468"/>
      <c r="AH253" s="1469"/>
      <c r="AI253" s="1469"/>
      <c r="AJ253" s="1468"/>
      <c r="AK253" s="1468"/>
      <c r="AL253" s="1468"/>
      <c r="AM253" s="1468"/>
      <c r="AN253" s="1468"/>
      <c r="AO253" s="1468"/>
      <c r="AP253" s="1468"/>
      <c r="AQ253" s="1468"/>
      <c r="AR253" s="1468"/>
      <c r="AS253" s="1468"/>
      <c r="AT253" s="1468"/>
      <c r="AU253" s="1468"/>
      <c r="AV253" s="1468"/>
      <c r="AW253" s="1468"/>
      <c r="AX253" s="1468"/>
      <c r="AY253" s="1468"/>
      <c r="AZ253" s="1468"/>
      <c r="BA253" s="1468"/>
      <c r="BB253" s="1468"/>
      <c r="BC253" s="1468"/>
      <c r="BD253" s="1468"/>
      <c r="BE253" s="1468"/>
      <c r="BF253" s="1468"/>
      <c r="BG253" s="1468"/>
      <c r="BH253" s="1468"/>
      <c r="BI253" s="1468"/>
      <c r="BJ253" s="1468"/>
      <c r="BK253" s="1468"/>
      <c r="BL253" s="1468"/>
      <c r="BM253" s="1468"/>
      <c r="BN253" s="1468"/>
      <c r="BO253" s="1468"/>
      <c r="BP253" s="1468"/>
      <c r="BQ253" s="1468"/>
      <c r="BR253" s="1468"/>
      <c r="BS253" s="1468"/>
      <c r="BT253" s="1468"/>
      <c r="BU253" s="1468"/>
      <c r="BV253" s="1468"/>
      <c r="BW253" s="1468"/>
      <c r="BX253" s="1468"/>
      <c r="BY253" s="1468"/>
      <c r="BZ253" s="1468"/>
      <c r="CA253" s="1468"/>
      <c r="CB253" s="1468"/>
      <c r="CC253" s="1468"/>
      <c r="CD253" s="1468"/>
      <c r="CE253" s="1468"/>
      <c r="CF253" s="1468"/>
      <c r="CG253" s="1468"/>
      <c r="CH253" s="1468"/>
      <c r="CI253" s="1468"/>
      <c r="CJ253" s="1468"/>
      <c r="CK253" s="1468"/>
      <c r="CL253" s="1468"/>
      <c r="CM253" s="1468"/>
      <c r="CN253" s="1468"/>
      <c r="CO253" s="1468"/>
      <c r="CP253" s="1468"/>
      <c r="CQ253" s="1468"/>
      <c r="CR253" s="1468"/>
      <c r="CS253" s="1468"/>
      <c r="CT253" s="1468"/>
      <c r="CU253" s="1468"/>
      <c r="CV253" s="1468"/>
      <c r="CW253" s="1468"/>
      <c r="CX253" s="1468"/>
      <c r="CY253" s="1468"/>
      <c r="CZ253" s="1468"/>
      <c r="DA253" s="1468"/>
      <c r="DB253" s="1468"/>
      <c r="DC253" s="1468"/>
      <c r="DD253" s="1468"/>
      <c r="DE253" s="1468"/>
      <c r="DF253" s="1468"/>
      <c r="DG253" s="1468"/>
      <c r="DH253" s="1468"/>
      <c r="DI253" s="1468"/>
      <c r="DJ253" s="1468"/>
      <c r="DK253" s="1468"/>
      <c r="DL253" s="1468"/>
      <c r="DM253" s="1468"/>
      <c r="DN253" s="1468"/>
      <c r="DO253" s="1468"/>
      <c r="DP253" s="1468"/>
      <c r="DQ253" s="1468"/>
      <c r="DR253" s="1468"/>
      <c r="DS253" s="1468"/>
      <c r="DT253" s="1468"/>
      <c r="DU253" s="1468"/>
      <c r="DV253" s="1468"/>
      <c r="DW253" s="1468"/>
      <c r="DX253" s="1468"/>
      <c r="DY253" s="1468"/>
      <c r="DZ253" s="1468"/>
      <c r="EA253" s="1468"/>
      <c r="EB253" s="1468"/>
      <c r="EC253" s="1468"/>
      <c r="ED253" s="1468"/>
      <c r="EE253" s="1468"/>
      <c r="EF253" s="1468"/>
      <c r="EG253" s="1468"/>
      <c r="EH253" s="1468"/>
      <c r="EI253" s="1468"/>
      <c r="EJ253" s="1468"/>
      <c r="EK253" s="1468"/>
      <c r="EL253" s="1468"/>
      <c r="EM253" s="1468"/>
      <c r="EN253" s="1468"/>
      <c r="EO253" s="1468"/>
      <c r="EP253" s="1468"/>
      <c r="EQ253" s="1468"/>
      <c r="ER253" s="1468"/>
      <c r="ES253" s="1468"/>
      <c r="ET253" s="1468"/>
      <c r="EU253" s="1468"/>
      <c r="EV253" s="1468"/>
      <c r="EW253" s="1468"/>
      <c r="EX253" s="1468"/>
      <c r="EY253" s="1468"/>
      <c r="EZ253" s="1468"/>
      <c r="FA253" s="1468"/>
      <c r="FB253" s="1468"/>
      <c r="FC253" s="1468"/>
      <c r="FD253" s="1468"/>
      <c r="FE253" s="1468"/>
      <c r="FF253" s="1468"/>
    </row>
    <row r="255" spans="6:162" s="1470" customFormat="1" ht="15.75" customHeight="1">
      <c r="F255" s="1468"/>
      <c r="G255" s="1468"/>
      <c r="H255" s="1468"/>
      <c r="I255" s="1468"/>
      <c r="J255" s="1468"/>
      <c r="K255" s="1468"/>
      <c r="L255" s="1468"/>
      <c r="M255" s="1468"/>
      <c r="N255" s="1468"/>
      <c r="O255" s="1468"/>
      <c r="P255" s="1468"/>
      <c r="Q255" s="1468"/>
      <c r="R255" s="1468"/>
      <c r="S255" s="1468"/>
      <c r="T255" s="1468"/>
      <c r="U255" s="1468"/>
      <c r="V255" s="1468"/>
      <c r="W255" s="1468"/>
      <c r="X255" s="1468"/>
      <c r="Y255" s="1468"/>
      <c r="AA255" s="1468"/>
      <c r="AC255" s="1468"/>
      <c r="AD255" s="1468"/>
      <c r="AE255" s="1468"/>
      <c r="AF255" s="1468"/>
      <c r="AG255" s="1468"/>
      <c r="AH255" s="1469"/>
      <c r="AI255" s="1469"/>
      <c r="AJ255" s="1468"/>
      <c r="AK255" s="1468"/>
      <c r="AL255" s="1468"/>
      <c r="AM255" s="1468"/>
      <c r="AN255" s="1468"/>
      <c r="AO255" s="1468"/>
      <c r="AP255" s="1468"/>
      <c r="AQ255" s="1468"/>
      <c r="AR255" s="1468"/>
      <c r="AS255" s="1468"/>
      <c r="AT255" s="1468"/>
      <c r="AU255" s="1468"/>
      <c r="AV255" s="1468"/>
      <c r="AW255" s="1468"/>
      <c r="AX255" s="1468"/>
      <c r="AY255" s="1468"/>
      <c r="AZ255" s="1468"/>
      <c r="BA255" s="1468"/>
      <c r="BB255" s="1468"/>
      <c r="BC255" s="1468"/>
      <c r="BD255" s="1468"/>
      <c r="BE255" s="1468"/>
      <c r="BF255" s="1468"/>
      <c r="BG255" s="1468"/>
      <c r="BH255" s="1468"/>
      <c r="BI255" s="1468"/>
      <c r="BJ255" s="1468"/>
      <c r="BK255" s="1468"/>
      <c r="BL255" s="1468"/>
      <c r="BM255" s="1468"/>
      <c r="BN255" s="1468"/>
      <c r="BO255" s="1468"/>
      <c r="BP255" s="1468"/>
      <c r="BQ255" s="1468"/>
      <c r="BR255" s="1468"/>
      <c r="BS255" s="1468"/>
      <c r="BT255" s="1468"/>
      <c r="BU255" s="1468"/>
      <c r="BV255" s="1468"/>
      <c r="BW255" s="1468"/>
      <c r="BX255" s="1468"/>
      <c r="BY255" s="1468"/>
      <c r="BZ255" s="1468"/>
      <c r="CA255" s="1468"/>
      <c r="CB255" s="1468"/>
      <c r="CC255" s="1468"/>
      <c r="CD255" s="1468"/>
      <c r="CE255" s="1468"/>
      <c r="CF255" s="1468"/>
      <c r="CG255" s="1468"/>
      <c r="CH255" s="1468"/>
      <c r="CI255" s="1468"/>
      <c r="CJ255" s="1468"/>
      <c r="CK255" s="1468"/>
      <c r="CL255" s="1468"/>
      <c r="CM255" s="1468"/>
      <c r="CN255" s="1468"/>
      <c r="CO255" s="1468"/>
      <c r="CP255" s="1468"/>
      <c r="CQ255" s="1468"/>
      <c r="CR255" s="1468"/>
      <c r="CS255" s="1468"/>
      <c r="CT255" s="1468"/>
      <c r="CU255" s="1468"/>
      <c r="CV255" s="1468"/>
      <c r="CW255" s="1468"/>
      <c r="CX255" s="1468"/>
      <c r="CY255" s="1468"/>
      <c r="CZ255" s="1468"/>
      <c r="DA255" s="1468"/>
      <c r="DB255" s="1468"/>
      <c r="DC255" s="1468"/>
      <c r="DD255" s="1468"/>
      <c r="DE255" s="1468"/>
      <c r="DF255" s="1468"/>
      <c r="DG255" s="1468"/>
      <c r="DH255" s="1468"/>
      <c r="DI255" s="1468"/>
      <c r="DJ255" s="1468"/>
      <c r="DK255" s="1468"/>
      <c r="DL255" s="1468"/>
      <c r="DM255" s="1468"/>
      <c r="DN255" s="1468"/>
      <c r="DO255" s="1468"/>
      <c r="DP255" s="1468"/>
      <c r="DQ255" s="1468"/>
      <c r="DR255" s="1468"/>
      <c r="DS255" s="1468"/>
      <c r="DT255" s="1468"/>
      <c r="DU255" s="1468"/>
      <c r="DV255" s="1468"/>
      <c r="DW255" s="1468"/>
      <c r="DX255" s="1468"/>
      <c r="DY255" s="1468"/>
      <c r="DZ255" s="1468"/>
      <c r="EA255" s="1468"/>
      <c r="EB255" s="1468"/>
      <c r="EC255" s="1468"/>
      <c r="ED255" s="1468"/>
      <c r="EE255" s="1468"/>
      <c r="EF255" s="1468"/>
      <c r="EG255" s="1468"/>
      <c r="EH255" s="1468"/>
      <c r="EI255" s="1468"/>
      <c r="EJ255" s="1468"/>
      <c r="EK255" s="1468"/>
      <c r="EL255" s="1468"/>
      <c r="EM255" s="1468"/>
      <c r="EN255" s="1468"/>
      <c r="EO255" s="1468"/>
      <c r="EP255" s="1468"/>
      <c r="EQ255" s="1468"/>
      <c r="ER255" s="1468"/>
      <c r="ES255" s="1468"/>
      <c r="ET255" s="1468"/>
      <c r="EU255" s="1468"/>
      <c r="EV255" s="1468"/>
      <c r="EW255" s="1468"/>
      <c r="EX255" s="1468"/>
      <c r="EY255" s="1468"/>
      <c r="EZ255" s="1468"/>
      <c r="FA255" s="1468"/>
      <c r="FB255" s="1468"/>
      <c r="FC255" s="1468"/>
      <c r="FD255" s="1468"/>
      <c r="FE255" s="1468"/>
      <c r="FF255" s="1468"/>
    </row>
    <row r="257" spans="6:162" s="1470" customFormat="1" ht="15.75" customHeight="1">
      <c r="F257" s="1468"/>
      <c r="G257" s="1468"/>
      <c r="H257" s="1468"/>
      <c r="I257" s="1468"/>
      <c r="J257" s="1468"/>
      <c r="K257" s="1468"/>
      <c r="L257" s="1468"/>
      <c r="M257" s="1468"/>
      <c r="N257" s="1468"/>
      <c r="O257" s="1468"/>
      <c r="P257" s="1468"/>
      <c r="Q257" s="1468"/>
      <c r="R257" s="1468"/>
      <c r="S257" s="1468"/>
      <c r="T257" s="1468"/>
      <c r="U257" s="1468"/>
      <c r="V257" s="1468"/>
      <c r="W257" s="1468"/>
      <c r="X257" s="1468"/>
      <c r="Y257" s="1468"/>
      <c r="AA257" s="1468"/>
      <c r="AC257" s="1468"/>
      <c r="AD257" s="1468"/>
      <c r="AE257" s="1468"/>
      <c r="AF257" s="1468"/>
      <c r="AG257" s="1468"/>
      <c r="AH257" s="1469"/>
      <c r="AI257" s="1469"/>
      <c r="AJ257" s="1468"/>
      <c r="AK257" s="1468"/>
      <c r="AL257" s="1468"/>
      <c r="AM257" s="1468"/>
      <c r="AN257" s="1468"/>
      <c r="AO257" s="1468"/>
      <c r="AP257" s="1468"/>
      <c r="AQ257" s="1468"/>
      <c r="AR257" s="1468"/>
      <c r="AS257" s="1468"/>
      <c r="AT257" s="1468"/>
      <c r="AU257" s="1468"/>
      <c r="AV257" s="1468"/>
      <c r="AW257" s="1468"/>
      <c r="AX257" s="1468"/>
      <c r="AY257" s="1468"/>
      <c r="AZ257" s="1468"/>
      <c r="BA257" s="1468"/>
      <c r="BB257" s="1468"/>
      <c r="BC257" s="1468"/>
      <c r="BD257" s="1468"/>
      <c r="BE257" s="1468"/>
      <c r="BF257" s="1468"/>
      <c r="BG257" s="1468"/>
      <c r="BH257" s="1468"/>
      <c r="BI257" s="1468"/>
      <c r="BJ257" s="1468"/>
      <c r="BK257" s="1468"/>
      <c r="BL257" s="1468"/>
      <c r="BM257" s="1468"/>
      <c r="BN257" s="1468"/>
      <c r="BO257" s="1468"/>
      <c r="BP257" s="1468"/>
      <c r="BQ257" s="1468"/>
      <c r="BR257" s="1468"/>
      <c r="BS257" s="1468"/>
      <c r="BT257" s="1468"/>
      <c r="BU257" s="1468"/>
      <c r="BV257" s="1468"/>
      <c r="BW257" s="1468"/>
      <c r="BX257" s="1468"/>
      <c r="BY257" s="1468"/>
      <c r="BZ257" s="1468"/>
      <c r="CA257" s="1468"/>
      <c r="CB257" s="1468"/>
      <c r="CC257" s="1468"/>
      <c r="CD257" s="1468"/>
      <c r="CE257" s="1468"/>
      <c r="CF257" s="1468"/>
      <c r="CG257" s="1468"/>
      <c r="CH257" s="1468"/>
      <c r="CI257" s="1468"/>
      <c r="CJ257" s="1468"/>
      <c r="CK257" s="1468"/>
      <c r="CL257" s="1468"/>
      <c r="CM257" s="1468"/>
      <c r="CN257" s="1468"/>
      <c r="CO257" s="1468"/>
      <c r="CP257" s="1468"/>
      <c r="CQ257" s="1468"/>
      <c r="CR257" s="1468"/>
      <c r="CS257" s="1468"/>
      <c r="CT257" s="1468"/>
      <c r="CU257" s="1468"/>
      <c r="CV257" s="1468"/>
      <c r="CW257" s="1468"/>
      <c r="CX257" s="1468"/>
      <c r="CY257" s="1468"/>
      <c r="CZ257" s="1468"/>
      <c r="DA257" s="1468"/>
      <c r="DB257" s="1468"/>
      <c r="DC257" s="1468"/>
      <c r="DD257" s="1468"/>
      <c r="DE257" s="1468"/>
      <c r="DF257" s="1468"/>
      <c r="DG257" s="1468"/>
      <c r="DH257" s="1468"/>
      <c r="DI257" s="1468"/>
      <c r="DJ257" s="1468"/>
      <c r="DK257" s="1468"/>
      <c r="DL257" s="1468"/>
      <c r="DM257" s="1468"/>
      <c r="DN257" s="1468"/>
      <c r="DO257" s="1468"/>
      <c r="DP257" s="1468"/>
      <c r="DQ257" s="1468"/>
      <c r="DR257" s="1468"/>
      <c r="DS257" s="1468"/>
      <c r="DT257" s="1468"/>
      <c r="DU257" s="1468"/>
      <c r="DV257" s="1468"/>
      <c r="DW257" s="1468"/>
      <c r="DX257" s="1468"/>
      <c r="DY257" s="1468"/>
      <c r="DZ257" s="1468"/>
      <c r="EA257" s="1468"/>
      <c r="EB257" s="1468"/>
      <c r="EC257" s="1468"/>
      <c r="ED257" s="1468"/>
      <c r="EE257" s="1468"/>
      <c r="EF257" s="1468"/>
      <c r="EG257" s="1468"/>
      <c r="EH257" s="1468"/>
      <c r="EI257" s="1468"/>
      <c r="EJ257" s="1468"/>
      <c r="EK257" s="1468"/>
      <c r="EL257" s="1468"/>
      <c r="EM257" s="1468"/>
      <c r="EN257" s="1468"/>
      <c r="EO257" s="1468"/>
      <c r="EP257" s="1468"/>
      <c r="EQ257" s="1468"/>
      <c r="ER257" s="1468"/>
      <c r="ES257" s="1468"/>
      <c r="ET257" s="1468"/>
      <c r="EU257" s="1468"/>
      <c r="EV257" s="1468"/>
      <c r="EW257" s="1468"/>
      <c r="EX257" s="1468"/>
      <c r="EY257" s="1468"/>
      <c r="EZ257" s="1468"/>
      <c r="FA257" s="1468"/>
      <c r="FB257" s="1468"/>
      <c r="FC257" s="1468"/>
      <c r="FD257" s="1468"/>
      <c r="FE257" s="1468"/>
      <c r="FF257" s="1468"/>
    </row>
    <row r="259" spans="6:162" s="1470" customFormat="1" ht="15.75" customHeight="1">
      <c r="F259" s="1468"/>
      <c r="G259" s="1468"/>
      <c r="H259" s="1468"/>
      <c r="I259" s="1468"/>
      <c r="J259" s="1468"/>
      <c r="K259" s="1468"/>
      <c r="L259" s="1468"/>
      <c r="M259" s="1468"/>
      <c r="N259" s="1468"/>
      <c r="O259" s="1468"/>
      <c r="P259" s="1468"/>
      <c r="Q259" s="1468"/>
      <c r="R259" s="1468"/>
      <c r="S259" s="1468"/>
      <c r="T259" s="1468"/>
      <c r="U259" s="1468"/>
      <c r="V259" s="1468"/>
      <c r="W259" s="1468"/>
      <c r="X259" s="1468"/>
      <c r="Y259" s="1468"/>
      <c r="AA259" s="1468"/>
      <c r="AC259" s="1468"/>
      <c r="AD259" s="1468"/>
      <c r="AE259" s="1468"/>
      <c r="AF259" s="1468"/>
      <c r="AG259" s="1468"/>
      <c r="AH259" s="1469"/>
      <c r="AI259" s="1469"/>
      <c r="AJ259" s="1468"/>
      <c r="AK259" s="1468"/>
      <c r="AL259" s="1468"/>
      <c r="AM259" s="1468"/>
      <c r="AN259" s="1468"/>
      <c r="AO259" s="1468"/>
      <c r="AP259" s="1468"/>
      <c r="AQ259" s="1468"/>
      <c r="AR259" s="1468"/>
      <c r="AS259" s="1468"/>
      <c r="AT259" s="1468"/>
      <c r="AU259" s="1468"/>
      <c r="AV259" s="1468"/>
      <c r="AW259" s="1468"/>
      <c r="AX259" s="1468"/>
      <c r="AY259" s="1468"/>
      <c r="AZ259" s="1468"/>
      <c r="BA259" s="1468"/>
      <c r="BB259" s="1468"/>
      <c r="BC259" s="1468"/>
      <c r="BD259" s="1468"/>
      <c r="BE259" s="1468"/>
      <c r="BF259" s="1468"/>
      <c r="BG259" s="1468"/>
      <c r="BH259" s="1468"/>
      <c r="BI259" s="1468"/>
      <c r="BJ259" s="1468"/>
      <c r="BK259" s="1468"/>
      <c r="BL259" s="1468"/>
      <c r="BM259" s="1468"/>
      <c r="BN259" s="1468"/>
      <c r="BO259" s="1468"/>
      <c r="BP259" s="1468"/>
      <c r="BQ259" s="1468"/>
      <c r="BR259" s="1468"/>
      <c r="BS259" s="1468"/>
      <c r="BT259" s="1468"/>
      <c r="BU259" s="1468"/>
      <c r="BV259" s="1468"/>
      <c r="BW259" s="1468"/>
      <c r="BX259" s="1468"/>
      <c r="BY259" s="1468"/>
      <c r="BZ259" s="1468"/>
      <c r="CA259" s="1468"/>
      <c r="CB259" s="1468"/>
      <c r="CC259" s="1468"/>
      <c r="CD259" s="1468"/>
      <c r="CE259" s="1468"/>
      <c r="CF259" s="1468"/>
      <c r="CG259" s="1468"/>
      <c r="CH259" s="1468"/>
      <c r="CI259" s="1468"/>
      <c r="CJ259" s="1468"/>
      <c r="CK259" s="1468"/>
      <c r="CL259" s="1468"/>
      <c r="CM259" s="1468"/>
      <c r="CN259" s="1468"/>
      <c r="CO259" s="1468"/>
      <c r="CP259" s="1468"/>
      <c r="CQ259" s="1468"/>
      <c r="CR259" s="1468"/>
      <c r="CS259" s="1468"/>
      <c r="CT259" s="1468"/>
      <c r="CU259" s="1468"/>
      <c r="CV259" s="1468"/>
      <c r="CW259" s="1468"/>
      <c r="CX259" s="1468"/>
      <c r="CY259" s="1468"/>
      <c r="CZ259" s="1468"/>
      <c r="DA259" s="1468"/>
      <c r="DB259" s="1468"/>
      <c r="DC259" s="1468"/>
      <c r="DD259" s="1468"/>
      <c r="DE259" s="1468"/>
      <c r="DF259" s="1468"/>
      <c r="DG259" s="1468"/>
      <c r="DH259" s="1468"/>
      <c r="DI259" s="1468"/>
      <c r="DJ259" s="1468"/>
      <c r="DK259" s="1468"/>
      <c r="DL259" s="1468"/>
      <c r="DM259" s="1468"/>
      <c r="DN259" s="1468"/>
      <c r="DO259" s="1468"/>
      <c r="DP259" s="1468"/>
      <c r="DQ259" s="1468"/>
      <c r="DR259" s="1468"/>
      <c r="DS259" s="1468"/>
      <c r="DT259" s="1468"/>
      <c r="DU259" s="1468"/>
      <c r="DV259" s="1468"/>
      <c r="DW259" s="1468"/>
      <c r="DX259" s="1468"/>
      <c r="DY259" s="1468"/>
      <c r="DZ259" s="1468"/>
      <c r="EA259" s="1468"/>
      <c r="EB259" s="1468"/>
      <c r="EC259" s="1468"/>
      <c r="ED259" s="1468"/>
      <c r="EE259" s="1468"/>
      <c r="EF259" s="1468"/>
      <c r="EG259" s="1468"/>
      <c r="EH259" s="1468"/>
      <c r="EI259" s="1468"/>
      <c r="EJ259" s="1468"/>
      <c r="EK259" s="1468"/>
      <c r="EL259" s="1468"/>
      <c r="EM259" s="1468"/>
      <c r="EN259" s="1468"/>
      <c r="EO259" s="1468"/>
      <c r="EP259" s="1468"/>
      <c r="EQ259" s="1468"/>
      <c r="ER259" s="1468"/>
      <c r="ES259" s="1468"/>
      <c r="ET259" s="1468"/>
      <c r="EU259" s="1468"/>
      <c r="EV259" s="1468"/>
      <c r="EW259" s="1468"/>
      <c r="EX259" s="1468"/>
      <c r="EY259" s="1468"/>
      <c r="EZ259" s="1468"/>
      <c r="FA259" s="1468"/>
      <c r="FB259" s="1468"/>
      <c r="FC259" s="1468"/>
      <c r="FD259" s="1468"/>
      <c r="FE259" s="1468"/>
      <c r="FF259" s="1468"/>
    </row>
    <row r="261" spans="6:162" s="1470" customFormat="1" ht="15.75" customHeight="1">
      <c r="F261" s="1468"/>
      <c r="G261" s="1468"/>
      <c r="H261" s="1468"/>
      <c r="I261" s="1468"/>
      <c r="J261" s="1468"/>
      <c r="K261" s="1468"/>
      <c r="L261" s="1468"/>
      <c r="M261" s="1468"/>
      <c r="N261" s="1468"/>
      <c r="O261" s="1468"/>
      <c r="P261" s="1468"/>
      <c r="Q261" s="1468"/>
      <c r="R261" s="1468"/>
      <c r="S261" s="1468"/>
      <c r="T261" s="1468"/>
      <c r="U261" s="1468"/>
      <c r="V261" s="1468"/>
      <c r="W261" s="1468"/>
      <c r="X261" s="1468"/>
      <c r="Y261" s="1468"/>
      <c r="AA261" s="1468"/>
      <c r="AC261" s="1468"/>
      <c r="AD261" s="1468"/>
      <c r="AE261" s="1468"/>
      <c r="AF261" s="1468"/>
      <c r="AG261" s="1468"/>
      <c r="AH261" s="1469"/>
      <c r="AI261" s="1469"/>
      <c r="AJ261" s="1468"/>
      <c r="AK261" s="1468"/>
      <c r="AL261" s="1468"/>
      <c r="AM261" s="1468"/>
      <c r="AN261" s="1468"/>
      <c r="AO261" s="1468"/>
      <c r="AP261" s="1468"/>
      <c r="AQ261" s="1468"/>
      <c r="AR261" s="1468"/>
      <c r="AS261" s="1468"/>
      <c r="AT261" s="1468"/>
      <c r="AU261" s="1468"/>
      <c r="AV261" s="1468"/>
      <c r="AW261" s="1468"/>
      <c r="AX261" s="1468"/>
      <c r="AY261" s="1468"/>
      <c r="AZ261" s="1468"/>
      <c r="BA261" s="1468"/>
      <c r="BB261" s="1468"/>
      <c r="BC261" s="1468"/>
      <c r="BD261" s="1468"/>
      <c r="BE261" s="1468"/>
      <c r="BF261" s="1468"/>
      <c r="BG261" s="1468"/>
      <c r="BH261" s="1468"/>
      <c r="BI261" s="1468"/>
      <c r="BJ261" s="1468"/>
      <c r="BK261" s="1468"/>
      <c r="BL261" s="1468"/>
      <c r="BM261" s="1468"/>
      <c r="BN261" s="1468"/>
      <c r="BO261" s="1468"/>
      <c r="BP261" s="1468"/>
      <c r="BQ261" s="1468"/>
      <c r="BR261" s="1468"/>
      <c r="BS261" s="1468"/>
      <c r="BT261" s="1468"/>
      <c r="BU261" s="1468"/>
      <c r="BV261" s="1468"/>
      <c r="BW261" s="1468"/>
      <c r="BX261" s="1468"/>
      <c r="BY261" s="1468"/>
      <c r="BZ261" s="1468"/>
      <c r="CA261" s="1468"/>
      <c r="CB261" s="1468"/>
      <c r="CC261" s="1468"/>
      <c r="CD261" s="1468"/>
      <c r="CE261" s="1468"/>
      <c r="CF261" s="1468"/>
      <c r="CG261" s="1468"/>
      <c r="CH261" s="1468"/>
      <c r="CI261" s="1468"/>
      <c r="CJ261" s="1468"/>
      <c r="CK261" s="1468"/>
      <c r="CL261" s="1468"/>
      <c r="CM261" s="1468"/>
      <c r="CN261" s="1468"/>
      <c r="CO261" s="1468"/>
      <c r="CP261" s="1468"/>
      <c r="CQ261" s="1468"/>
      <c r="CR261" s="1468"/>
      <c r="CS261" s="1468"/>
      <c r="CT261" s="1468"/>
      <c r="CU261" s="1468"/>
      <c r="CV261" s="1468"/>
      <c r="CW261" s="1468"/>
      <c r="CX261" s="1468"/>
      <c r="CY261" s="1468"/>
      <c r="CZ261" s="1468"/>
      <c r="DA261" s="1468"/>
      <c r="DB261" s="1468"/>
      <c r="DC261" s="1468"/>
      <c r="DD261" s="1468"/>
      <c r="DE261" s="1468"/>
      <c r="DF261" s="1468"/>
      <c r="DG261" s="1468"/>
      <c r="DH261" s="1468"/>
      <c r="DI261" s="1468"/>
      <c r="DJ261" s="1468"/>
      <c r="DK261" s="1468"/>
      <c r="DL261" s="1468"/>
      <c r="DM261" s="1468"/>
      <c r="DN261" s="1468"/>
      <c r="DO261" s="1468"/>
      <c r="DP261" s="1468"/>
      <c r="DQ261" s="1468"/>
      <c r="DR261" s="1468"/>
      <c r="DS261" s="1468"/>
      <c r="DT261" s="1468"/>
      <c r="DU261" s="1468"/>
      <c r="DV261" s="1468"/>
      <c r="DW261" s="1468"/>
      <c r="DX261" s="1468"/>
      <c r="DY261" s="1468"/>
      <c r="DZ261" s="1468"/>
      <c r="EA261" s="1468"/>
      <c r="EB261" s="1468"/>
      <c r="EC261" s="1468"/>
      <c r="ED261" s="1468"/>
      <c r="EE261" s="1468"/>
      <c r="EF261" s="1468"/>
      <c r="EG261" s="1468"/>
      <c r="EH261" s="1468"/>
      <c r="EI261" s="1468"/>
      <c r="EJ261" s="1468"/>
      <c r="EK261" s="1468"/>
      <c r="EL261" s="1468"/>
      <c r="EM261" s="1468"/>
      <c r="EN261" s="1468"/>
      <c r="EO261" s="1468"/>
      <c r="EP261" s="1468"/>
      <c r="EQ261" s="1468"/>
      <c r="ER261" s="1468"/>
      <c r="ES261" s="1468"/>
      <c r="ET261" s="1468"/>
      <c r="EU261" s="1468"/>
      <c r="EV261" s="1468"/>
      <c r="EW261" s="1468"/>
      <c r="EX261" s="1468"/>
      <c r="EY261" s="1468"/>
      <c r="EZ261" s="1468"/>
      <c r="FA261" s="1468"/>
      <c r="FB261" s="1468"/>
      <c r="FC261" s="1468"/>
      <c r="FD261" s="1468"/>
      <c r="FE261" s="1468"/>
      <c r="FF261" s="1468"/>
    </row>
    <row r="263" spans="6:162" s="1470" customFormat="1" ht="15.75" customHeight="1">
      <c r="F263" s="1468"/>
      <c r="G263" s="1468"/>
      <c r="H263" s="1468"/>
      <c r="I263" s="1468"/>
      <c r="J263" s="1468"/>
      <c r="K263" s="1468"/>
      <c r="L263" s="1468"/>
      <c r="M263" s="1468"/>
      <c r="N263" s="1468"/>
      <c r="O263" s="1468"/>
      <c r="P263" s="1468"/>
      <c r="Q263" s="1468"/>
      <c r="R263" s="1468"/>
      <c r="S263" s="1468"/>
      <c r="T263" s="1468"/>
      <c r="U263" s="1468"/>
      <c r="V263" s="1468"/>
      <c r="W263" s="1468"/>
      <c r="X263" s="1468"/>
      <c r="Y263" s="1468"/>
      <c r="AA263" s="1468"/>
      <c r="AC263" s="1468"/>
      <c r="AD263" s="1468"/>
      <c r="AE263" s="1468"/>
      <c r="AF263" s="1468"/>
      <c r="AG263" s="1468"/>
      <c r="AH263" s="1469"/>
      <c r="AI263" s="1469"/>
      <c r="AJ263" s="1468"/>
      <c r="AK263" s="1468"/>
      <c r="AL263" s="1468"/>
      <c r="AM263" s="1468"/>
      <c r="AN263" s="1468"/>
      <c r="AO263" s="1468"/>
      <c r="AP263" s="1468"/>
      <c r="AQ263" s="1468"/>
      <c r="AR263" s="1468"/>
      <c r="AS263" s="1468"/>
      <c r="AT263" s="1468"/>
      <c r="AU263" s="1468"/>
      <c r="AV263" s="1468"/>
      <c r="AW263" s="1468"/>
      <c r="AX263" s="1468"/>
      <c r="AY263" s="1468"/>
      <c r="AZ263" s="1468"/>
      <c r="BA263" s="1468"/>
      <c r="BB263" s="1468"/>
      <c r="BC263" s="1468"/>
      <c r="BD263" s="1468"/>
      <c r="BE263" s="1468"/>
      <c r="BF263" s="1468"/>
      <c r="BG263" s="1468"/>
      <c r="BH263" s="1468"/>
      <c r="BI263" s="1468"/>
      <c r="BJ263" s="1468"/>
      <c r="BK263" s="1468"/>
      <c r="BL263" s="1468"/>
      <c r="BM263" s="1468"/>
      <c r="BN263" s="1468"/>
      <c r="BO263" s="1468"/>
      <c r="BP263" s="1468"/>
      <c r="BQ263" s="1468"/>
      <c r="BR263" s="1468"/>
      <c r="BS263" s="1468"/>
      <c r="BT263" s="1468"/>
      <c r="BU263" s="1468"/>
      <c r="BV263" s="1468"/>
      <c r="BW263" s="1468"/>
      <c r="BX263" s="1468"/>
      <c r="BY263" s="1468"/>
      <c r="BZ263" s="1468"/>
      <c r="CA263" s="1468"/>
      <c r="CB263" s="1468"/>
      <c r="CC263" s="1468"/>
      <c r="CD263" s="1468"/>
      <c r="CE263" s="1468"/>
      <c r="CF263" s="1468"/>
      <c r="CG263" s="1468"/>
      <c r="CH263" s="1468"/>
      <c r="CI263" s="1468"/>
      <c r="CJ263" s="1468"/>
      <c r="CK263" s="1468"/>
      <c r="CL263" s="1468"/>
      <c r="CM263" s="1468"/>
      <c r="CN263" s="1468"/>
      <c r="CO263" s="1468"/>
      <c r="CP263" s="1468"/>
      <c r="CQ263" s="1468"/>
      <c r="CR263" s="1468"/>
      <c r="CS263" s="1468"/>
      <c r="CT263" s="1468"/>
      <c r="CU263" s="1468"/>
      <c r="CV263" s="1468"/>
      <c r="CW263" s="1468"/>
      <c r="CX263" s="1468"/>
      <c r="CY263" s="1468"/>
      <c r="CZ263" s="1468"/>
      <c r="DA263" s="1468"/>
      <c r="DB263" s="1468"/>
      <c r="DC263" s="1468"/>
      <c r="DD263" s="1468"/>
      <c r="DE263" s="1468"/>
      <c r="DF263" s="1468"/>
      <c r="DG263" s="1468"/>
      <c r="DH263" s="1468"/>
      <c r="DI263" s="1468"/>
      <c r="DJ263" s="1468"/>
      <c r="DK263" s="1468"/>
      <c r="DL263" s="1468"/>
      <c r="DM263" s="1468"/>
      <c r="DN263" s="1468"/>
      <c r="DO263" s="1468"/>
      <c r="DP263" s="1468"/>
      <c r="DQ263" s="1468"/>
      <c r="DR263" s="1468"/>
      <c r="DS263" s="1468"/>
      <c r="DT263" s="1468"/>
      <c r="DU263" s="1468"/>
      <c r="DV263" s="1468"/>
      <c r="DW263" s="1468"/>
      <c r="DX263" s="1468"/>
      <c r="DY263" s="1468"/>
      <c r="DZ263" s="1468"/>
      <c r="EA263" s="1468"/>
      <c r="EB263" s="1468"/>
      <c r="EC263" s="1468"/>
      <c r="ED263" s="1468"/>
      <c r="EE263" s="1468"/>
      <c r="EF263" s="1468"/>
      <c r="EG263" s="1468"/>
      <c r="EH263" s="1468"/>
      <c r="EI263" s="1468"/>
      <c r="EJ263" s="1468"/>
      <c r="EK263" s="1468"/>
      <c r="EL263" s="1468"/>
      <c r="EM263" s="1468"/>
      <c r="EN263" s="1468"/>
      <c r="EO263" s="1468"/>
      <c r="EP263" s="1468"/>
      <c r="EQ263" s="1468"/>
      <c r="ER263" s="1468"/>
      <c r="ES263" s="1468"/>
      <c r="ET263" s="1468"/>
      <c r="EU263" s="1468"/>
      <c r="EV263" s="1468"/>
      <c r="EW263" s="1468"/>
      <c r="EX263" s="1468"/>
      <c r="EY263" s="1468"/>
      <c r="EZ263" s="1468"/>
      <c r="FA263" s="1468"/>
      <c r="FB263" s="1468"/>
      <c r="FC263" s="1468"/>
      <c r="FD263" s="1468"/>
      <c r="FE263" s="1468"/>
      <c r="FF263" s="1468"/>
    </row>
    <row r="265" spans="6:162" s="1470" customFormat="1" ht="15.75" customHeight="1">
      <c r="F265" s="1468"/>
      <c r="G265" s="1468"/>
      <c r="H265" s="1468"/>
      <c r="I265" s="1468"/>
      <c r="J265" s="1468"/>
      <c r="K265" s="1468"/>
      <c r="L265" s="1468"/>
      <c r="M265" s="1468"/>
      <c r="N265" s="1468"/>
      <c r="O265" s="1468"/>
      <c r="P265" s="1468"/>
      <c r="Q265" s="1468"/>
      <c r="R265" s="1468"/>
      <c r="S265" s="1468"/>
      <c r="T265" s="1468"/>
      <c r="U265" s="1468"/>
      <c r="V265" s="1468"/>
      <c r="W265" s="1468"/>
      <c r="X265" s="1468"/>
      <c r="Y265" s="1468"/>
      <c r="AA265" s="1468"/>
      <c r="AC265" s="1468"/>
      <c r="AD265" s="1468"/>
      <c r="AE265" s="1468"/>
      <c r="AF265" s="1468"/>
      <c r="AG265" s="1468"/>
      <c r="AH265" s="1469"/>
      <c r="AI265" s="1469"/>
      <c r="AJ265" s="1468"/>
      <c r="AK265" s="1468"/>
      <c r="AL265" s="1468"/>
      <c r="AM265" s="1468"/>
      <c r="AN265" s="1468"/>
      <c r="AO265" s="1468"/>
      <c r="AP265" s="1468"/>
      <c r="AQ265" s="1468"/>
      <c r="AR265" s="1468"/>
      <c r="AS265" s="1468"/>
      <c r="AT265" s="1468"/>
      <c r="AU265" s="1468"/>
      <c r="AV265" s="1468"/>
      <c r="AW265" s="1468"/>
      <c r="AX265" s="1468"/>
      <c r="AY265" s="1468"/>
      <c r="AZ265" s="1468"/>
      <c r="BA265" s="1468"/>
      <c r="BB265" s="1468"/>
      <c r="BC265" s="1468"/>
      <c r="BD265" s="1468"/>
      <c r="BE265" s="1468"/>
      <c r="BF265" s="1468"/>
      <c r="BG265" s="1468"/>
      <c r="BH265" s="1468"/>
      <c r="BI265" s="1468"/>
      <c r="BJ265" s="1468"/>
      <c r="BK265" s="1468"/>
      <c r="BL265" s="1468"/>
      <c r="BM265" s="1468"/>
      <c r="BN265" s="1468"/>
      <c r="BO265" s="1468"/>
      <c r="BP265" s="1468"/>
      <c r="BQ265" s="1468"/>
      <c r="BR265" s="1468"/>
      <c r="BS265" s="1468"/>
      <c r="BT265" s="1468"/>
      <c r="BU265" s="1468"/>
      <c r="BV265" s="1468"/>
      <c r="BW265" s="1468"/>
      <c r="BX265" s="1468"/>
      <c r="BY265" s="1468"/>
      <c r="BZ265" s="1468"/>
      <c r="CA265" s="1468"/>
      <c r="CB265" s="1468"/>
      <c r="CC265" s="1468"/>
      <c r="CD265" s="1468"/>
      <c r="CE265" s="1468"/>
      <c r="CF265" s="1468"/>
      <c r="CG265" s="1468"/>
      <c r="CH265" s="1468"/>
      <c r="CI265" s="1468"/>
      <c r="CJ265" s="1468"/>
      <c r="CK265" s="1468"/>
      <c r="CL265" s="1468"/>
      <c r="CM265" s="1468"/>
      <c r="CN265" s="1468"/>
      <c r="CO265" s="1468"/>
      <c r="CP265" s="1468"/>
      <c r="CQ265" s="1468"/>
      <c r="CR265" s="1468"/>
      <c r="CS265" s="1468"/>
      <c r="CT265" s="1468"/>
      <c r="CU265" s="1468"/>
      <c r="CV265" s="1468"/>
      <c r="CW265" s="1468"/>
      <c r="CX265" s="1468"/>
      <c r="CY265" s="1468"/>
      <c r="CZ265" s="1468"/>
      <c r="DA265" s="1468"/>
      <c r="DB265" s="1468"/>
      <c r="DC265" s="1468"/>
      <c r="DD265" s="1468"/>
      <c r="DE265" s="1468"/>
      <c r="DF265" s="1468"/>
      <c r="DG265" s="1468"/>
      <c r="DH265" s="1468"/>
      <c r="DI265" s="1468"/>
      <c r="DJ265" s="1468"/>
      <c r="DK265" s="1468"/>
      <c r="DL265" s="1468"/>
      <c r="DM265" s="1468"/>
      <c r="DN265" s="1468"/>
      <c r="DO265" s="1468"/>
      <c r="DP265" s="1468"/>
      <c r="DQ265" s="1468"/>
      <c r="DR265" s="1468"/>
      <c r="DS265" s="1468"/>
      <c r="DT265" s="1468"/>
      <c r="DU265" s="1468"/>
      <c r="DV265" s="1468"/>
      <c r="DW265" s="1468"/>
      <c r="DX265" s="1468"/>
      <c r="DY265" s="1468"/>
      <c r="DZ265" s="1468"/>
      <c r="EA265" s="1468"/>
      <c r="EB265" s="1468"/>
      <c r="EC265" s="1468"/>
      <c r="ED265" s="1468"/>
      <c r="EE265" s="1468"/>
      <c r="EF265" s="1468"/>
      <c r="EG265" s="1468"/>
      <c r="EH265" s="1468"/>
      <c r="EI265" s="1468"/>
      <c r="EJ265" s="1468"/>
      <c r="EK265" s="1468"/>
      <c r="EL265" s="1468"/>
      <c r="EM265" s="1468"/>
      <c r="EN265" s="1468"/>
      <c r="EO265" s="1468"/>
      <c r="EP265" s="1468"/>
      <c r="EQ265" s="1468"/>
      <c r="ER265" s="1468"/>
      <c r="ES265" s="1468"/>
      <c r="ET265" s="1468"/>
      <c r="EU265" s="1468"/>
      <c r="EV265" s="1468"/>
      <c r="EW265" s="1468"/>
      <c r="EX265" s="1468"/>
      <c r="EY265" s="1468"/>
      <c r="EZ265" s="1468"/>
      <c r="FA265" s="1468"/>
      <c r="FB265" s="1468"/>
      <c r="FC265" s="1468"/>
      <c r="FD265" s="1468"/>
      <c r="FE265" s="1468"/>
      <c r="FF265" s="1468"/>
    </row>
    <row r="267" spans="6:162" s="1470" customFormat="1" ht="15.75" customHeight="1">
      <c r="F267" s="1468"/>
      <c r="G267" s="1468"/>
      <c r="H267" s="1468"/>
      <c r="I267" s="1468"/>
      <c r="J267" s="1468"/>
      <c r="K267" s="1468"/>
      <c r="L267" s="1468"/>
      <c r="M267" s="1468"/>
      <c r="N267" s="1468"/>
      <c r="O267" s="1468"/>
      <c r="P267" s="1468"/>
      <c r="Q267" s="1468"/>
      <c r="R267" s="1468"/>
      <c r="S267" s="1468"/>
      <c r="T267" s="1468"/>
      <c r="U267" s="1468"/>
      <c r="V267" s="1468"/>
      <c r="W267" s="1468"/>
      <c r="X267" s="1468"/>
      <c r="Y267" s="1468"/>
      <c r="AA267" s="1468"/>
      <c r="AC267" s="1468"/>
      <c r="AD267" s="1468"/>
      <c r="AE267" s="1468"/>
      <c r="AF267" s="1468"/>
      <c r="AG267" s="1468"/>
      <c r="AH267" s="1469"/>
      <c r="AI267" s="1469"/>
      <c r="AJ267" s="1468"/>
      <c r="AK267" s="1468"/>
      <c r="AL267" s="1468"/>
      <c r="AM267" s="1468"/>
      <c r="AN267" s="1468"/>
      <c r="AO267" s="1468"/>
      <c r="AP267" s="1468"/>
      <c r="AQ267" s="1468"/>
      <c r="AR267" s="1468"/>
      <c r="AS267" s="1468"/>
      <c r="AT267" s="1468"/>
      <c r="AU267" s="1468"/>
      <c r="AV267" s="1468"/>
      <c r="AW267" s="1468"/>
      <c r="AX267" s="1468"/>
      <c r="AY267" s="1468"/>
      <c r="AZ267" s="1468"/>
      <c r="BA267" s="1468"/>
      <c r="BB267" s="1468"/>
      <c r="BC267" s="1468"/>
      <c r="BD267" s="1468"/>
      <c r="BE267" s="1468"/>
      <c r="BF267" s="1468"/>
      <c r="BG267" s="1468"/>
      <c r="BH267" s="1468"/>
      <c r="BI267" s="1468"/>
      <c r="BJ267" s="1468"/>
      <c r="BK267" s="1468"/>
      <c r="BL267" s="1468"/>
      <c r="BM267" s="1468"/>
      <c r="BN267" s="1468"/>
      <c r="BO267" s="1468"/>
      <c r="BP267" s="1468"/>
      <c r="BQ267" s="1468"/>
      <c r="BR267" s="1468"/>
      <c r="BS267" s="1468"/>
      <c r="BT267" s="1468"/>
      <c r="BU267" s="1468"/>
      <c r="BV267" s="1468"/>
      <c r="BW267" s="1468"/>
      <c r="BX267" s="1468"/>
      <c r="BY267" s="1468"/>
      <c r="BZ267" s="1468"/>
      <c r="CA267" s="1468"/>
      <c r="CB267" s="1468"/>
      <c r="CC267" s="1468"/>
      <c r="CD267" s="1468"/>
      <c r="CE267" s="1468"/>
      <c r="CF267" s="1468"/>
      <c r="CG267" s="1468"/>
      <c r="CH267" s="1468"/>
      <c r="CI267" s="1468"/>
      <c r="CJ267" s="1468"/>
      <c r="CK267" s="1468"/>
      <c r="CL267" s="1468"/>
      <c r="CM267" s="1468"/>
      <c r="CN267" s="1468"/>
      <c r="CO267" s="1468"/>
      <c r="CP267" s="1468"/>
      <c r="CQ267" s="1468"/>
      <c r="CR267" s="1468"/>
      <c r="CS267" s="1468"/>
      <c r="CT267" s="1468"/>
      <c r="CU267" s="1468"/>
      <c r="CV267" s="1468"/>
      <c r="CW267" s="1468"/>
      <c r="CX267" s="1468"/>
      <c r="CY267" s="1468"/>
      <c r="CZ267" s="1468"/>
      <c r="DA267" s="1468"/>
      <c r="DB267" s="1468"/>
      <c r="DC267" s="1468"/>
      <c r="DD267" s="1468"/>
      <c r="DE267" s="1468"/>
      <c r="DF267" s="1468"/>
      <c r="DG267" s="1468"/>
      <c r="DH267" s="1468"/>
      <c r="DI267" s="1468"/>
      <c r="DJ267" s="1468"/>
      <c r="DK267" s="1468"/>
      <c r="DL267" s="1468"/>
      <c r="DM267" s="1468"/>
      <c r="DN267" s="1468"/>
      <c r="DO267" s="1468"/>
      <c r="DP267" s="1468"/>
      <c r="DQ267" s="1468"/>
      <c r="DR267" s="1468"/>
      <c r="DS267" s="1468"/>
      <c r="DT267" s="1468"/>
      <c r="DU267" s="1468"/>
      <c r="DV267" s="1468"/>
      <c r="DW267" s="1468"/>
      <c r="DX267" s="1468"/>
      <c r="DY267" s="1468"/>
      <c r="DZ267" s="1468"/>
      <c r="EA267" s="1468"/>
      <c r="EB267" s="1468"/>
      <c r="EC267" s="1468"/>
      <c r="ED267" s="1468"/>
      <c r="EE267" s="1468"/>
      <c r="EF267" s="1468"/>
      <c r="EG267" s="1468"/>
      <c r="EH267" s="1468"/>
      <c r="EI267" s="1468"/>
      <c r="EJ267" s="1468"/>
      <c r="EK267" s="1468"/>
      <c r="EL267" s="1468"/>
      <c r="EM267" s="1468"/>
      <c r="EN267" s="1468"/>
      <c r="EO267" s="1468"/>
      <c r="EP267" s="1468"/>
      <c r="EQ267" s="1468"/>
      <c r="ER267" s="1468"/>
      <c r="ES267" s="1468"/>
      <c r="ET267" s="1468"/>
      <c r="EU267" s="1468"/>
      <c r="EV267" s="1468"/>
      <c r="EW267" s="1468"/>
      <c r="EX267" s="1468"/>
      <c r="EY267" s="1468"/>
      <c r="EZ267" s="1468"/>
      <c r="FA267" s="1468"/>
      <c r="FB267" s="1468"/>
      <c r="FC267" s="1468"/>
      <c r="FD267" s="1468"/>
      <c r="FE267" s="1468"/>
      <c r="FF267" s="1468"/>
    </row>
    <row r="269" spans="6:162" s="1470" customFormat="1" ht="15.75" customHeight="1">
      <c r="F269" s="1468"/>
      <c r="G269" s="1468"/>
      <c r="H269" s="1468"/>
      <c r="I269" s="1468"/>
      <c r="J269" s="1468"/>
      <c r="K269" s="1468"/>
      <c r="L269" s="1468"/>
      <c r="M269" s="1468"/>
      <c r="N269" s="1468"/>
      <c r="O269" s="1468"/>
      <c r="P269" s="1468"/>
      <c r="Q269" s="1468"/>
      <c r="R269" s="1468"/>
      <c r="S269" s="1468"/>
      <c r="T269" s="1468"/>
      <c r="U269" s="1468"/>
      <c r="V269" s="1468"/>
      <c r="W269" s="1468"/>
      <c r="X269" s="1468"/>
      <c r="Y269" s="1468"/>
      <c r="AA269" s="1468"/>
      <c r="AC269" s="1468"/>
      <c r="AD269" s="1468"/>
      <c r="AE269" s="1468"/>
      <c r="AF269" s="1468"/>
      <c r="AG269" s="1468"/>
      <c r="AH269" s="1469"/>
      <c r="AI269" s="1469"/>
      <c r="AJ269" s="1468"/>
      <c r="AK269" s="1468"/>
      <c r="AL269" s="1468"/>
      <c r="AM269" s="1468"/>
      <c r="AN269" s="1468"/>
      <c r="AO269" s="1468"/>
      <c r="AP269" s="1468"/>
      <c r="AQ269" s="1468"/>
      <c r="AR269" s="1468"/>
      <c r="AS269" s="1468"/>
      <c r="AT269" s="1468"/>
      <c r="AU269" s="1468"/>
      <c r="AV269" s="1468"/>
      <c r="AW269" s="1468"/>
      <c r="AX269" s="1468"/>
      <c r="AY269" s="1468"/>
      <c r="AZ269" s="1468"/>
      <c r="BA269" s="1468"/>
      <c r="BB269" s="1468"/>
      <c r="BC269" s="1468"/>
      <c r="BD269" s="1468"/>
      <c r="BE269" s="1468"/>
      <c r="BF269" s="1468"/>
      <c r="BG269" s="1468"/>
      <c r="BH269" s="1468"/>
      <c r="BI269" s="1468"/>
      <c r="BJ269" s="1468"/>
      <c r="BK269" s="1468"/>
      <c r="BL269" s="1468"/>
      <c r="BM269" s="1468"/>
      <c r="BN269" s="1468"/>
      <c r="BO269" s="1468"/>
      <c r="BP269" s="1468"/>
      <c r="BQ269" s="1468"/>
      <c r="BR269" s="1468"/>
      <c r="BS269" s="1468"/>
      <c r="BT269" s="1468"/>
      <c r="BU269" s="1468"/>
      <c r="BV269" s="1468"/>
      <c r="BW269" s="1468"/>
      <c r="BX269" s="1468"/>
      <c r="BY269" s="1468"/>
      <c r="BZ269" s="1468"/>
      <c r="CA269" s="1468"/>
      <c r="CB269" s="1468"/>
      <c r="CC269" s="1468"/>
      <c r="CD269" s="1468"/>
      <c r="CE269" s="1468"/>
      <c r="CF269" s="1468"/>
      <c r="CG269" s="1468"/>
      <c r="CH269" s="1468"/>
      <c r="CI269" s="1468"/>
      <c r="CJ269" s="1468"/>
      <c r="CK269" s="1468"/>
      <c r="CL269" s="1468"/>
      <c r="CM269" s="1468"/>
      <c r="CN269" s="1468"/>
      <c r="CO269" s="1468"/>
      <c r="CP269" s="1468"/>
      <c r="CQ269" s="1468"/>
      <c r="CR269" s="1468"/>
      <c r="CS269" s="1468"/>
      <c r="CT269" s="1468"/>
      <c r="CU269" s="1468"/>
      <c r="CV269" s="1468"/>
      <c r="CW269" s="1468"/>
      <c r="CX269" s="1468"/>
      <c r="CY269" s="1468"/>
      <c r="CZ269" s="1468"/>
      <c r="DA269" s="1468"/>
      <c r="DB269" s="1468"/>
      <c r="DC269" s="1468"/>
      <c r="DD269" s="1468"/>
      <c r="DE269" s="1468"/>
      <c r="DF269" s="1468"/>
      <c r="DG269" s="1468"/>
      <c r="DH269" s="1468"/>
      <c r="DI269" s="1468"/>
      <c r="DJ269" s="1468"/>
      <c r="DK269" s="1468"/>
      <c r="DL269" s="1468"/>
      <c r="DM269" s="1468"/>
      <c r="DN269" s="1468"/>
      <c r="DO269" s="1468"/>
      <c r="DP269" s="1468"/>
      <c r="DQ269" s="1468"/>
      <c r="DR269" s="1468"/>
      <c r="DS269" s="1468"/>
      <c r="DT269" s="1468"/>
      <c r="DU269" s="1468"/>
      <c r="DV269" s="1468"/>
      <c r="DW269" s="1468"/>
      <c r="DX269" s="1468"/>
      <c r="DY269" s="1468"/>
      <c r="DZ269" s="1468"/>
      <c r="EA269" s="1468"/>
      <c r="EB269" s="1468"/>
      <c r="EC269" s="1468"/>
      <c r="ED269" s="1468"/>
      <c r="EE269" s="1468"/>
      <c r="EF269" s="1468"/>
      <c r="EG269" s="1468"/>
      <c r="EH269" s="1468"/>
      <c r="EI269" s="1468"/>
      <c r="EJ269" s="1468"/>
      <c r="EK269" s="1468"/>
      <c r="EL269" s="1468"/>
      <c r="EM269" s="1468"/>
      <c r="EN269" s="1468"/>
      <c r="EO269" s="1468"/>
      <c r="EP269" s="1468"/>
      <c r="EQ269" s="1468"/>
      <c r="ER269" s="1468"/>
      <c r="ES269" s="1468"/>
      <c r="ET269" s="1468"/>
      <c r="EU269" s="1468"/>
      <c r="EV269" s="1468"/>
      <c r="EW269" s="1468"/>
      <c r="EX269" s="1468"/>
      <c r="EY269" s="1468"/>
      <c r="EZ269" s="1468"/>
      <c r="FA269" s="1468"/>
      <c r="FB269" s="1468"/>
      <c r="FC269" s="1468"/>
      <c r="FD269" s="1468"/>
      <c r="FE269" s="1468"/>
      <c r="FF269" s="1468"/>
    </row>
    <row r="271" spans="6:162" s="1470" customFormat="1" ht="15.75" customHeight="1">
      <c r="F271" s="1468"/>
      <c r="G271" s="1468"/>
      <c r="H271" s="1468"/>
      <c r="I271" s="1468"/>
      <c r="J271" s="1468"/>
      <c r="K271" s="1468"/>
      <c r="L271" s="1468"/>
      <c r="M271" s="1468"/>
      <c r="N271" s="1468"/>
      <c r="O271" s="1468"/>
      <c r="P271" s="1468"/>
      <c r="Q271" s="1468"/>
      <c r="R271" s="1468"/>
      <c r="S271" s="1468"/>
      <c r="T271" s="1468"/>
      <c r="U271" s="1468"/>
      <c r="V271" s="1468"/>
      <c r="W271" s="1468"/>
      <c r="X271" s="1468"/>
      <c r="Y271" s="1468"/>
      <c r="AA271" s="1468"/>
      <c r="AC271" s="1468"/>
      <c r="AD271" s="1468"/>
      <c r="AE271" s="1468"/>
      <c r="AF271" s="1468"/>
      <c r="AG271" s="1468"/>
      <c r="AH271" s="1469"/>
      <c r="AI271" s="1469"/>
      <c r="AJ271" s="1468"/>
      <c r="AK271" s="1468"/>
      <c r="AL271" s="1468"/>
      <c r="AM271" s="1468"/>
      <c r="AN271" s="1468"/>
      <c r="AO271" s="1468"/>
      <c r="AP271" s="1468"/>
      <c r="AQ271" s="1468"/>
      <c r="AR271" s="1468"/>
      <c r="AS271" s="1468"/>
      <c r="AT271" s="1468"/>
      <c r="AU271" s="1468"/>
      <c r="AV271" s="1468"/>
      <c r="AW271" s="1468"/>
      <c r="AX271" s="1468"/>
      <c r="AY271" s="1468"/>
      <c r="AZ271" s="1468"/>
      <c r="BA271" s="1468"/>
      <c r="BB271" s="1468"/>
      <c r="BC271" s="1468"/>
      <c r="BD271" s="1468"/>
      <c r="BE271" s="1468"/>
      <c r="BF271" s="1468"/>
      <c r="BG271" s="1468"/>
      <c r="BH271" s="1468"/>
      <c r="BI271" s="1468"/>
      <c r="BJ271" s="1468"/>
      <c r="BK271" s="1468"/>
      <c r="BL271" s="1468"/>
      <c r="BM271" s="1468"/>
      <c r="BN271" s="1468"/>
      <c r="BO271" s="1468"/>
      <c r="BP271" s="1468"/>
      <c r="BQ271" s="1468"/>
      <c r="BR271" s="1468"/>
      <c r="BS271" s="1468"/>
      <c r="BT271" s="1468"/>
      <c r="BU271" s="1468"/>
      <c r="BV271" s="1468"/>
      <c r="BW271" s="1468"/>
      <c r="BX271" s="1468"/>
      <c r="BY271" s="1468"/>
      <c r="BZ271" s="1468"/>
      <c r="CA271" s="1468"/>
      <c r="CB271" s="1468"/>
      <c r="CC271" s="1468"/>
      <c r="CD271" s="1468"/>
      <c r="CE271" s="1468"/>
      <c r="CF271" s="1468"/>
      <c r="CG271" s="1468"/>
      <c r="CH271" s="1468"/>
      <c r="CI271" s="1468"/>
      <c r="CJ271" s="1468"/>
      <c r="CK271" s="1468"/>
      <c r="CL271" s="1468"/>
      <c r="CM271" s="1468"/>
      <c r="CN271" s="1468"/>
      <c r="CO271" s="1468"/>
      <c r="CP271" s="1468"/>
      <c r="CQ271" s="1468"/>
      <c r="CR271" s="1468"/>
      <c r="CS271" s="1468"/>
      <c r="CT271" s="1468"/>
      <c r="CU271" s="1468"/>
      <c r="CV271" s="1468"/>
      <c r="CW271" s="1468"/>
      <c r="CX271" s="1468"/>
      <c r="CY271" s="1468"/>
      <c r="CZ271" s="1468"/>
      <c r="DA271" s="1468"/>
      <c r="DB271" s="1468"/>
      <c r="DC271" s="1468"/>
      <c r="DD271" s="1468"/>
      <c r="DE271" s="1468"/>
      <c r="DF271" s="1468"/>
      <c r="DG271" s="1468"/>
      <c r="DH271" s="1468"/>
      <c r="DI271" s="1468"/>
      <c r="DJ271" s="1468"/>
      <c r="DK271" s="1468"/>
      <c r="DL271" s="1468"/>
      <c r="DM271" s="1468"/>
      <c r="DN271" s="1468"/>
      <c r="DO271" s="1468"/>
      <c r="DP271" s="1468"/>
      <c r="DQ271" s="1468"/>
      <c r="DR271" s="1468"/>
      <c r="DS271" s="1468"/>
      <c r="DT271" s="1468"/>
      <c r="DU271" s="1468"/>
      <c r="DV271" s="1468"/>
      <c r="DW271" s="1468"/>
      <c r="DX271" s="1468"/>
      <c r="DY271" s="1468"/>
      <c r="DZ271" s="1468"/>
      <c r="EA271" s="1468"/>
      <c r="EB271" s="1468"/>
      <c r="EC271" s="1468"/>
      <c r="ED271" s="1468"/>
      <c r="EE271" s="1468"/>
      <c r="EF271" s="1468"/>
      <c r="EG271" s="1468"/>
      <c r="EH271" s="1468"/>
      <c r="EI271" s="1468"/>
      <c r="EJ271" s="1468"/>
      <c r="EK271" s="1468"/>
      <c r="EL271" s="1468"/>
      <c r="EM271" s="1468"/>
      <c r="EN271" s="1468"/>
      <c r="EO271" s="1468"/>
      <c r="EP271" s="1468"/>
      <c r="EQ271" s="1468"/>
      <c r="ER271" s="1468"/>
      <c r="ES271" s="1468"/>
      <c r="ET271" s="1468"/>
      <c r="EU271" s="1468"/>
      <c r="EV271" s="1468"/>
      <c r="EW271" s="1468"/>
      <c r="EX271" s="1468"/>
      <c r="EY271" s="1468"/>
      <c r="EZ271" s="1468"/>
      <c r="FA271" s="1468"/>
      <c r="FB271" s="1468"/>
      <c r="FC271" s="1468"/>
      <c r="FD271" s="1468"/>
      <c r="FE271" s="1468"/>
      <c r="FF271" s="1468"/>
    </row>
    <row r="273" spans="6:162" s="1470" customFormat="1" ht="15.75" customHeight="1">
      <c r="F273" s="1468"/>
      <c r="G273" s="1468"/>
      <c r="H273" s="1468"/>
      <c r="I273" s="1468"/>
      <c r="J273" s="1468"/>
      <c r="K273" s="1468"/>
      <c r="L273" s="1468"/>
      <c r="M273" s="1468"/>
      <c r="N273" s="1468"/>
      <c r="O273" s="1468"/>
      <c r="P273" s="1468"/>
      <c r="Q273" s="1468"/>
      <c r="R273" s="1468"/>
      <c r="S273" s="1468"/>
      <c r="T273" s="1468"/>
      <c r="U273" s="1468"/>
      <c r="V273" s="1468"/>
      <c r="W273" s="1468"/>
      <c r="X273" s="1468"/>
      <c r="Y273" s="1468"/>
      <c r="AA273" s="1468"/>
      <c r="AC273" s="1468"/>
      <c r="AD273" s="1468"/>
      <c r="AE273" s="1468"/>
      <c r="AF273" s="1468"/>
      <c r="AG273" s="1468"/>
      <c r="AH273" s="1469"/>
      <c r="AI273" s="1469"/>
      <c r="AJ273" s="1468"/>
      <c r="AK273" s="1468"/>
      <c r="AL273" s="1468"/>
      <c r="AM273" s="1468"/>
      <c r="AN273" s="1468"/>
      <c r="AO273" s="1468"/>
      <c r="AP273" s="1468"/>
      <c r="AQ273" s="1468"/>
      <c r="AR273" s="1468"/>
      <c r="AS273" s="1468"/>
      <c r="AT273" s="1468"/>
      <c r="AU273" s="1468"/>
      <c r="AV273" s="1468"/>
      <c r="AW273" s="1468"/>
      <c r="AX273" s="1468"/>
      <c r="AY273" s="1468"/>
      <c r="AZ273" s="1468"/>
      <c r="BA273" s="1468"/>
      <c r="BB273" s="1468"/>
      <c r="BC273" s="1468"/>
      <c r="BD273" s="1468"/>
      <c r="BE273" s="1468"/>
      <c r="BF273" s="1468"/>
      <c r="BG273" s="1468"/>
      <c r="BH273" s="1468"/>
      <c r="BI273" s="1468"/>
      <c r="BJ273" s="1468"/>
      <c r="BK273" s="1468"/>
      <c r="BL273" s="1468"/>
      <c r="BM273" s="1468"/>
      <c r="BN273" s="1468"/>
      <c r="BO273" s="1468"/>
      <c r="BP273" s="1468"/>
      <c r="BQ273" s="1468"/>
      <c r="BR273" s="1468"/>
      <c r="BS273" s="1468"/>
      <c r="BT273" s="1468"/>
      <c r="BU273" s="1468"/>
      <c r="BV273" s="1468"/>
      <c r="BW273" s="1468"/>
      <c r="BX273" s="1468"/>
      <c r="BY273" s="1468"/>
      <c r="BZ273" s="1468"/>
      <c r="CA273" s="1468"/>
      <c r="CB273" s="1468"/>
      <c r="CC273" s="1468"/>
      <c r="CD273" s="1468"/>
      <c r="CE273" s="1468"/>
      <c r="CF273" s="1468"/>
      <c r="CG273" s="1468"/>
      <c r="CH273" s="1468"/>
      <c r="CI273" s="1468"/>
      <c r="CJ273" s="1468"/>
      <c r="CK273" s="1468"/>
      <c r="CL273" s="1468"/>
      <c r="CM273" s="1468"/>
      <c r="CN273" s="1468"/>
      <c r="CO273" s="1468"/>
      <c r="CP273" s="1468"/>
      <c r="CQ273" s="1468"/>
      <c r="CR273" s="1468"/>
      <c r="CS273" s="1468"/>
      <c r="CT273" s="1468"/>
      <c r="CU273" s="1468"/>
      <c r="CV273" s="1468"/>
      <c r="CW273" s="1468"/>
      <c r="CX273" s="1468"/>
      <c r="CY273" s="1468"/>
      <c r="CZ273" s="1468"/>
      <c r="DA273" s="1468"/>
      <c r="DB273" s="1468"/>
      <c r="DC273" s="1468"/>
      <c r="DD273" s="1468"/>
      <c r="DE273" s="1468"/>
      <c r="DF273" s="1468"/>
      <c r="DG273" s="1468"/>
      <c r="DH273" s="1468"/>
      <c r="DI273" s="1468"/>
      <c r="DJ273" s="1468"/>
      <c r="DK273" s="1468"/>
      <c r="DL273" s="1468"/>
      <c r="DM273" s="1468"/>
      <c r="DN273" s="1468"/>
      <c r="DO273" s="1468"/>
      <c r="DP273" s="1468"/>
      <c r="DQ273" s="1468"/>
      <c r="DR273" s="1468"/>
      <c r="DS273" s="1468"/>
      <c r="DT273" s="1468"/>
      <c r="DU273" s="1468"/>
      <c r="DV273" s="1468"/>
      <c r="DW273" s="1468"/>
      <c r="DX273" s="1468"/>
      <c r="DY273" s="1468"/>
      <c r="DZ273" s="1468"/>
      <c r="EA273" s="1468"/>
      <c r="EB273" s="1468"/>
      <c r="EC273" s="1468"/>
      <c r="ED273" s="1468"/>
      <c r="EE273" s="1468"/>
      <c r="EF273" s="1468"/>
      <c r="EG273" s="1468"/>
      <c r="EH273" s="1468"/>
      <c r="EI273" s="1468"/>
      <c r="EJ273" s="1468"/>
      <c r="EK273" s="1468"/>
      <c r="EL273" s="1468"/>
      <c r="EM273" s="1468"/>
      <c r="EN273" s="1468"/>
      <c r="EO273" s="1468"/>
      <c r="EP273" s="1468"/>
      <c r="EQ273" s="1468"/>
      <c r="ER273" s="1468"/>
      <c r="ES273" s="1468"/>
      <c r="ET273" s="1468"/>
      <c r="EU273" s="1468"/>
      <c r="EV273" s="1468"/>
      <c r="EW273" s="1468"/>
      <c r="EX273" s="1468"/>
      <c r="EY273" s="1468"/>
      <c r="EZ273" s="1468"/>
      <c r="FA273" s="1468"/>
      <c r="FB273" s="1468"/>
      <c r="FC273" s="1468"/>
      <c r="FD273" s="1468"/>
      <c r="FE273" s="1468"/>
      <c r="FF273" s="1468"/>
    </row>
    <row r="275" spans="6:162" s="1470" customFormat="1" ht="15.75" customHeight="1">
      <c r="F275" s="1468"/>
      <c r="G275" s="1468"/>
      <c r="H275" s="1468"/>
      <c r="I275" s="1468"/>
      <c r="J275" s="1468"/>
      <c r="K275" s="1468"/>
      <c r="L275" s="1468"/>
      <c r="M275" s="1468"/>
      <c r="N275" s="1468"/>
      <c r="O275" s="1468"/>
      <c r="P275" s="1468"/>
      <c r="Q275" s="1468"/>
      <c r="R275" s="1468"/>
      <c r="S275" s="1468"/>
      <c r="T275" s="1468"/>
      <c r="U275" s="1468"/>
      <c r="V275" s="1468"/>
      <c r="W275" s="1468"/>
      <c r="X275" s="1468"/>
      <c r="Y275" s="1468"/>
      <c r="AA275" s="1468"/>
      <c r="AC275" s="1468"/>
      <c r="AD275" s="1468"/>
      <c r="AE275" s="1468"/>
      <c r="AF275" s="1468"/>
      <c r="AG275" s="1468"/>
      <c r="AH275" s="1469"/>
      <c r="AI275" s="1469"/>
      <c r="AJ275" s="1468"/>
      <c r="AK275" s="1468"/>
      <c r="AL275" s="1468"/>
      <c r="AM275" s="1468"/>
      <c r="AN275" s="1468"/>
      <c r="AO275" s="1468"/>
      <c r="AP275" s="1468"/>
      <c r="AQ275" s="1468"/>
      <c r="AR275" s="1468"/>
      <c r="AS275" s="1468"/>
      <c r="AT275" s="1468"/>
      <c r="AU275" s="1468"/>
      <c r="AV275" s="1468"/>
      <c r="AW275" s="1468"/>
      <c r="AX275" s="1468"/>
      <c r="AY275" s="1468"/>
      <c r="AZ275" s="1468"/>
      <c r="BA275" s="1468"/>
      <c r="BB275" s="1468"/>
      <c r="BC275" s="1468"/>
      <c r="BD275" s="1468"/>
      <c r="BE275" s="1468"/>
      <c r="BF275" s="1468"/>
      <c r="BG275" s="1468"/>
      <c r="BH275" s="1468"/>
      <c r="BI275" s="1468"/>
      <c r="BJ275" s="1468"/>
      <c r="BK275" s="1468"/>
      <c r="BL275" s="1468"/>
      <c r="BM275" s="1468"/>
      <c r="BN275" s="1468"/>
      <c r="BO275" s="1468"/>
      <c r="BP275" s="1468"/>
      <c r="BQ275" s="1468"/>
      <c r="BR275" s="1468"/>
      <c r="BS275" s="1468"/>
      <c r="BT275" s="1468"/>
      <c r="BU275" s="1468"/>
      <c r="BV275" s="1468"/>
      <c r="BW275" s="1468"/>
      <c r="BX275" s="1468"/>
      <c r="BY275" s="1468"/>
      <c r="BZ275" s="1468"/>
      <c r="CA275" s="1468"/>
      <c r="CB275" s="1468"/>
      <c r="CC275" s="1468"/>
      <c r="CD275" s="1468"/>
      <c r="CE275" s="1468"/>
      <c r="CF275" s="1468"/>
      <c r="CG275" s="1468"/>
      <c r="CH275" s="1468"/>
      <c r="CI275" s="1468"/>
      <c r="CJ275" s="1468"/>
      <c r="CK275" s="1468"/>
      <c r="CL275" s="1468"/>
      <c r="CM275" s="1468"/>
      <c r="CN275" s="1468"/>
      <c r="CO275" s="1468"/>
      <c r="CP275" s="1468"/>
      <c r="CQ275" s="1468"/>
      <c r="CR275" s="1468"/>
      <c r="CS275" s="1468"/>
      <c r="CT275" s="1468"/>
      <c r="CU275" s="1468"/>
      <c r="CV275" s="1468"/>
      <c r="CW275" s="1468"/>
      <c r="CX275" s="1468"/>
      <c r="CY275" s="1468"/>
      <c r="CZ275" s="1468"/>
      <c r="DA275" s="1468"/>
      <c r="DB275" s="1468"/>
      <c r="DC275" s="1468"/>
      <c r="DD275" s="1468"/>
      <c r="DE275" s="1468"/>
      <c r="DF275" s="1468"/>
      <c r="DG275" s="1468"/>
      <c r="DH275" s="1468"/>
      <c r="DI275" s="1468"/>
      <c r="DJ275" s="1468"/>
      <c r="DK275" s="1468"/>
      <c r="DL275" s="1468"/>
      <c r="DM275" s="1468"/>
      <c r="DN275" s="1468"/>
      <c r="DO275" s="1468"/>
      <c r="DP275" s="1468"/>
      <c r="DQ275" s="1468"/>
      <c r="DR275" s="1468"/>
      <c r="DS275" s="1468"/>
      <c r="DT275" s="1468"/>
      <c r="DU275" s="1468"/>
      <c r="DV275" s="1468"/>
      <c r="DW275" s="1468"/>
      <c r="DX275" s="1468"/>
      <c r="DY275" s="1468"/>
      <c r="DZ275" s="1468"/>
      <c r="EA275" s="1468"/>
      <c r="EB275" s="1468"/>
      <c r="EC275" s="1468"/>
      <c r="ED275" s="1468"/>
      <c r="EE275" s="1468"/>
      <c r="EF275" s="1468"/>
      <c r="EG275" s="1468"/>
      <c r="EH275" s="1468"/>
      <c r="EI275" s="1468"/>
      <c r="EJ275" s="1468"/>
      <c r="EK275" s="1468"/>
      <c r="EL275" s="1468"/>
      <c r="EM275" s="1468"/>
      <c r="EN275" s="1468"/>
      <c r="EO275" s="1468"/>
      <c r="EP275" s="1468"/>
      <c r="EQ275" s="1468"/>
      <c r="ER275" s="1468"/>
      <c r="ES275" s="1468"/>
      <c r="ET275" s="1468"/>
      <c r="EU275" s="1468"/>
      <c r="EV275" s="1468"/>
      <c r="EW275" s="1468"/>
      <c r="EX275" s="1468"/>
      <c r="EY275" s="1468"/>
      <c r="EZ275" s="1468"/>
      <c r="FA275" s="1468"/>
      <c r="FB275" s="1468"/>
      <c r="FC275" s="1468"/>
      <c r="FD275" s="1468"/>
      <c r="FE275" s="1468"/>
      <c r="FF275" s="1468"/>
    </row>
    <row r="277" spans="6:162" s="1470" customFormat="1" ht="15.75" customHeight="1">
      <c r="F277" s="1468"/>
      <c r="G277" s="1468"/>
      <c r="H277" s="1468"/>
      <c r="I277" s="1468"/>
      <c r="J277" s="1468"/>
      <c r="K277" s="1468"/>
      <c r="L277" s="1468"/>
      <c r="M277" s="1468"/>
      <c r="N277" s="1468"/>
      <c r="O277" s="1468"/>
      <c r="P277" s="1468"/>
      <c r="Q277" s="1468"/>
      <c r="R277" s="1468"/>
      <c r="S277" s="1468"/>
      <c r="T277" s="1468"/>
      <c r="U277" s="1468"/>
      <c r="V277" s="1468"/>
      <c r="W277" s="1468"/>
      <c r="X277" s="1468"/>
      <c r="Y277" s="1468"/>
      <c r="AA277" s="1468"/>
      <c r="AC277" s="1468"/>
      <c r="AD277" s="1468"/>
      <c r="AE277" s="1468"/>
      <c r="AF277" s="1468"/>
      <c r="AG277" s="1468"/>
      <c r="AH277" s="1469"/>
      <c r="AI277" s="1469"/>
      <c r="AJ277" s="1468"/>
      <c r="AK277" s="1468"/>
      <c r="AL277" s="1468"/>
      <c r="AM277" s="1468"/>
      <c r="AN277" s="1468"/>
      <c r="AO277" s="1468"/>
      <c r="AP277" s="1468"/>
      <c r="AQ277" s="1468"/>
      <c r="AR277" s="1468"/>
      <c r="AS277" s="1468"/>
      <c r="AT277" s="1468"/>
      <c r="AU277" s="1468"/>
      <c r="AV277" s="1468"/>
      <c r="AW277" s="1468"/>
      <c r="AX277" s="1468"/>
      <c r="AY277" s="1468"/>
      <c r="AZ277" s="1468"/>
      <c r="BA277" s="1468"/>
      <c r="BB277" s="1468"/>
      <c r="BC277" s="1468"/>
      <c r="BD277" s="1468"/>
      <c r="BE277" s="1468"/>
      <c r="BF277" s="1468"/>
      <c r="BG277" s="1468"/>
      <c r="BH277" s="1468"/>
      <c r="BI277" s="1468"/>
      <c r="BJ277" s="1468"/>
      <c r="BK277" s="1468"/>
      <c r="BL277" s="1468"/>
      <c r="BM277" s="1468"/>
      <c r="BN277" s="1468"/>
      <c r="BO277" s="1468"/>
      <c r="BP277" s="1468"/>
      <c r="BQ277" s="1468"/>
      <c r="BR277" s="1468"/>
      <c r="BS277" s="1468"/>
      <c r="BT277" s="1468"/>
      <c r="BU277" s="1468"/>
      <c r="BV277" s="1468"/>
      <c r="BW277" s="1468"/>
      <c r="BX277" s="1468"/>
      <c r="BY277" s="1468"/>
      <c r="BZ277" s="1468"/>
      <c r="CA277" s="1468"/>
      <c r="CB277" s="1468"/>
      <c r="CC277" s="1468"/>
      <c r="CD277" s="1468"/>
      <c r="CE277" s="1468"/>
      <c r="CF277" s="1468"/>
      <c r="CG277" s="1468"/>
      <c r="CH277" s="1468"/>
      <c r="CI277" s="1468"/>
      <c r="CJ277" s="1468"/>
      <c r="CK277" s="1468"/>
      <c r="CL277" s="1468"/>
      <c r="CM277" s="1468"/>
      <c r="CN277" s="1468"/>
      <c r="CO277" s="1468"/>
      <c r="CP277" s="1468"/>
      <c r="CQ277" s="1468"/>
      <c r="CR277" s="1468"/>
      <c r="CS277" s="1468"/>
      <c r="CT277" s="1468"/>
      <c r="CU277" s="1468"/>
      <c r="CV277" s="1468"/>
      <c r="CW277" s="1468"/>
      <c r="CX277" s="1468"/>
      <c r="CY277" s="1468"/>
      <c r="CZ277" s="1468"/>
      <c r="DA277" s="1468"/>
      <c r="DB277" s="1468"/>
      <c r="DC277" s="1468"/>
      <c r="DD277" s="1468"/>
      <c r="DE277" s="1468"/>
      <c r="DF277" s="1468"/>
      <c r="DG277" s="1468"/>
      <c r="DH277" s="1468"/>
      <c r="DI277" s="1468"/>
      <c r="DJ277" s="1468"/>
      <c r="DK277" s="1468"/>
      <c r="DL277" s="1468"/>
      <c r="DM277" s="1468"/>
      <c r="DN277" s="1468"/>
      <c r="DO277" s="1468"/>
      <c r="DP277" s="1468"/>
      <c r="DQ277" s="1468"/>
      <c r="DR277" s="1468"/>
      <c r="DS277" s="1468"/>
      <c r="DT277" s="1468"/>
      <c r="DU277" s="1468"/>
      <c r="DV277" s="1468"/>
      <c r="DW277" s="1468"/>
      <c r="DX277" s="1468"/>
      <c r="DY277" s="1468"/>
      <c r="DZ277" s="1468"/>
      <c r="EA277" s="1468"/>
      <c r="EB277" s="1468"/>
      <c r="EC277" s="1468"/>
      <c r="ED277" s="1468"/>
      <c r="EE277" s="1468"/>
      <c r="EF277" s="1468"/>
      <c r="EG277" s="1468"/>
      <c r="EH277" s="1468"/>
      <c r="EI277" s="1468"/>
      <c r="EJ277" s="1468"/>
      <c r="EK277" s="1468"/>
      <c r="EL277" s="1468"/>
      <c r="EM277" s="1468"/>
      <c r="EN277" s="1468"/>
      <c r="EO277" s="1468"/>
      <c r="EP277" s="1468"/>
      <c r="EQ277" s="1468"/>
      <c r="ER277" s="1468"/>
      <c r="ES277" s="1468"/>
      <c r="ET277" s="1468"/>
      <c r="EU277" s="1468"/>
      <c r="EV277" s="1468"/>
      <c r="EW277" s="1468"/>
      <c r="EX277" s="1468"/>
      <c r="EY277" s="1468"/>
      <c r="EZ277" s="1468"/>
      <c r="FA277" s="1468"/>
      <c r="FB277" s="1468"/>
      <c r="FC277" s="1468"/>
      <c r="FD277" s="1468"/>
      <c r="FE277" s="1468"/>
      <c r="FF277" s="1468"/>
    </row>
    <row r="279" spans="6:162" s="1470" customFormat="1" ht="15.75" customHeight="1">
      <c r="F279" s="1468"/>
      <c r="G279" s="1468"/>
      <c r="H279" s="1468"/>
      <c r="I279" s="1468"/>
      <c r="J279" s="1468"/>
      <c r="K279" s="1468"/>
      <c r="L279" s="1468"/>
      <c r="M279" s="1468"/>
      <c r="N279" s="1468"/>
      <c r="O279" s="1468"/>
      <c r="P279" s="1468"/>
      <c r="Q279" s="1468"/>
      <c r="R279" s="1468"/>
      <c r="S279" s="1468"/>
      <c r="T279" s="1468"/>
      <c r="U279" s="1468"/>
      <c r="V279" s="1468"/>
      <c r="W279" s="1468"/>
      <c r="X279" s="1468"/>
      <c r="Y279" s="1468"/>
      <c r="AA279" s="1468"/>
      <c r="AC279" s="1468"/>
      <c r="AD279" s="1468"/>
      <c r="AE279" s="1468"/>
      <c r="AF279" s="1468"/>
      <c r="AG279" s="1468"/>
      <c r="AH279" s="1469"/>
      <c r="AI279" s="1469"/>
      <c r="AJ279" s="1468"/>
      <c r="AK279" s="1468"/>
      <c r="AL279" s="1468"/>
      <c r="AM279" s="1468"/>
      <c r="AN279" s="1468"/>
      <c r="AO279" s="1468"/>
      <c r="AP279" s="1468"/>
      <c r="AQ279" s="1468"/>
      <c r="AR279" s="1468"/>
      <c r="AS279" s="1468"/>
      <c r="AT279" s="1468"/>
      <c r="AU279" s="1468"/>
      <c r="AV279" s="1468"/>
      <c r="AW279" s="1468"/>
      <c r="AX279" s="1468"/>
      <c r="AY279" s="1468"/>
      <c r="AZ279" s="1468"/>
      <c r="BA279" s="1468"/>
      <c r="BB279" s="1468"/>
      <c r="BC279" s="1468"/>
      <c r="BD279" s="1468"/>
      <c r="BE279" s="1468"/>
      <c r="BF279" s="1468"/>
      <c r="BG279" s="1468"/>
      <c r="BH279" s="1468"/>
      <c r="BI279" s="1468"/>
      <c r="BJ279" s="1468"/>
      <c r="BK279" s="1468"/>
      <c r="BL279" s="1468"/>
      <c r="BM279" s="1468"/>
      <c r="BN279" s="1468"/>
      <c r="BO279" s="1468"/>
      <c r="BP279" s="1468"/>
      <c r="BQ279" s="1468"/>
      <c r="BR279" s="1468"/>
      <c r="BS279" s="1468"/>
      <c r="BT279" s="1468"/>
      <c r="BU279" s="1468"/>
      <c r="BV279" s="1468"/>
      <c r="BW279" s="1468"/>
      <c r="BX279" s="1468"/>
      <c r="BY279" s="1468"/>
      <c r="BZ279" s="1468"/>
      <c r="CA279" s="1468"/>
      <c r="CB279" s="1468"/>
      <c r="CC279" s="1468"/>
      <c r="CD279" s="1468"/>
      <c r="CE279" s="1468"/>
      <c r="CF279" s="1468"/>
      <c r="CG279" s="1468"/>
      <c r="CH279" s="1468"/>
      <c r="CI279" s="1468"/>
      <c r="CJ279" s="1468"/>
      <c r="CK279" s="1468"/>
      <c r="CL279" s="1468"/>
      <c r="CM279" s="1468"/>
      <c r="CN279" s="1468"/>
      <c r="CO279" s="1468"/>
      <c r="CP279" s="1468"/>
      <c r="CQ279" s="1468"/>
      <c r="CR279" s="1468"/>
      <c r="CS279" s="1468"/>
      <c r="CT279" s="1468"/>
      <c r="CU279" s="1468"/>
      <c r="CV279" s="1468"/>
      <c r="CW279" s="1468"/>
      <c r="CX279" s="1468"/>
      <c r="CY279" s="1468"/>
      <c r="CZ279" s="1468"/>
      <c r="DA279" s="1468"/>
      <c r="DB279" s="1468"/>
      <c r="DC279" s="1468"/>
      <c r="DD279" s="1468"/>
      <c r="DE279" s="1468"/>
      <c r="DF279" s="1468"/>
      <c r="DG279" s="1468"/>
      <c r="DH279" s="1468"/>
      <c r="DI279" s="1468"/>
      <c r="DJ279" s="1468"/>
      <c r="DK279" s="1468"/>
      <c r="DL279" s="1468"/>
      <c r="DM279" s="1468"/>
      <c r="DN279" s="1468"/>
      <c r="DO279" s="1468"/>
      <c r="DP279" s="1468"/>
      <c r="DQ279" s="1468"/>
      <c r="DR279" s="1468"/>
      <c r="DS279" s="1468"/>
      <c r="DT279" s="1468"/>
      <c r="DU279" s="1468"/>
      <c r="DV279" s="1468"/>
      <c r="DW279" s="1468"/>
      <c r="DX279" s="1468"/>
      <c r="DY279" s="1468"/>
      <c r="DZ279" s="1468"/>
      <c r="EA279" s="1468"/>
      <c r="EB279" s="1468"/>
      <c r="EC279" s="1468"/>
      <c r="ED279" s="1468"/>
      <c r="EE279" s="1468"/>
      <c r="EF279" s="1468"/>
      <c r="EG279" s="1468"/>
      <c r="EH279" s="1468"/>
      <c r="EI279" s="1468"/>
      <c r="EJ279" s="1468"/>
      <c r="EK279" s="1468"/>
      <c r="EL279" s="1468"/>
      <c r="EM279" s="1468"/>
      <c r="EN279" s="1468"/>
      <c r="EO279" s="1468"/>
      <c r="EP279" s="1468"/>
      <c r="EQ279" s="1468"/>
      <c r="ER279" s="1468"/>
      <c r="ES279" s="1468"/>
      <c r="ET279" s="1468"/>
      <c r="EU279" s="1468"/>
      <c r="EV279" s="1468"/>
      <c r="EW279" s="1468"/>
      <c r="EX279" s="1468"/>
      <c r="EY279" s="1468"/>
      <c r="EZ279" s="1468"/>
      <c r="FA279" s="1468"/>
      <c r="FB279" s="1468"/>
      <c r="FC279" s="1468"/>
      <c r="FD279" s="1468"/>
      <c r="FE279" s="1468"/>
      <c r="FF279" s="1468"/>
    </row>
    <row r="281" spans="6:162" s="1470" customFormat="1" ht="15.75" customHeight="1">
      <c r="F281" s="1468"/>
      <c r="G281" s="1468"/>
      <c r="H281" s="1468"/>
      <c r="I281" s="1468"/>
      <c r="J281" s="1468"/>
      <c r="K281" s="1468"/>
      <c r="L281" s="1468"/>
      <c r="M281" s="1468"/>
      <c r="N281" s="1468"/>
      <c r="O281" s="1468"/>
      <c r="P281" s="1468"/>
      <c r="Q281" s="1468"/>
      <c r="R281" s="1468"/>
      <c r="S281" s="1468"/>
      <c r="T281" s="1468"/>
      <c r="U281" s="1468"/>
      <c r="V281" s="1468"/>
      <c r="W281" s="1468"/>
      <c r="X281" s="1468"/>
      <c r="Y281" s="1468"/>
      <c r="AA281" s="1468"/>
      <c r="AC281" s="1468"/>
      <c r="AD281" s="1468"/>
      <c r="AE281" s="1468"/>
      <c r="AF281" s="1468"/>
      <c r="AG281" s="1468"/>
      <c r="AH281" s="1469"/>
      <c r="AI281" s="1469"/>
      <c r="AJ281" s="1468"/>
      <c r="AK281" s="1468"/>
      <c r="AL281" s="1468"/>
      <c r="AM281" s="1468"/>
      <c r="AN281" s="1468"/>
      <c r="AO281" s="1468"/>
      <c r="AP281" s="1468"/>
      <c r="AQ281" s="1468"/>
      <c r="AR281" s="1468"/>
      <c r="AS281" s="1468"/>
      <c r="AT281" s="1468"/>
      <c r="AU281" s="1468"/>
      <c r="AV281" s="1468"/>
      <c r="AW281" s="1468"/>
      <c r="AX281" s="1468"/>
      <c r="AY281" s="1468"/>
      <c r="AZ281" s="1468"/>
      <c r="BA281" s="1468"/>
      <c r="BB281" s="1468"/>
      <c r="BC281" s="1468"/>
      <c r="BD281" s="1468"/>
      <c r="BE281" s="1468"/>
      <c r="BF281" s="1468"/>
      <c r="BG281" s="1468"/>
      <c r="BH281" s="1468"/>
      <c r="BI281" s="1468"/>
      <c r="BJ281" s="1468"/>
      <c r="BK281" s="1468"/>
      <c r="BL281" s="1468"/>
      <c r="BM281" s="1468"/>
      <c r="BN281" s="1468"/>
      <c r="BO281" s="1468"/>
      <c r="BP281" s="1468"/>
      <c r="BQ281" s="1468"/>
      <c r="BR281" s="1468"/>
      <c r="BS281" s="1468"/>
      <c r="BT281" s="1468"/>
      <c r="BU281" s="1468"/>
      <c r="BV281" s="1468"/>
      <c r="BW281" s="1468"/>
      <c r="BX281" s="1468"/>
      <c r="BY281" s="1468"/>
      <c r="BZ281" s="1468"/>
      <c r="CA281" s="1468"/>
      <c r="CB281" s="1468"/>
      <c r="CC281" s="1468"/>
      <c r="CD281" s="1468"/>
      <c r="CE281" s="1468"/>
      <c r="CF281" s="1468"/>
      <c r="CG281" s="1468"/>
      <c r="CH281" s="1468"/>
      <c r="CI281" s="1468"/>
      <c r="CJ281" s="1468"/>
      <c r="CK281" s="1468"/>
      <c r="CL281" s="1468"/>
      <c r="CM281" s="1468"/>
      <c r="CN281" s="1468"/>
      <c r="CO281" s="1468"/>
      <c r="CP281" s="1468"/>
      <c r="CQ281" s="1468"/>
      <c r="CR281" s="1468"/>
      <c r="CS281" s="1468"/>
      <c r="CT281" s="1468"/>
      <c r="CU281" s="1468"/>
      <c r="CV281" s="1468"/>
      <c r="CW281" s="1468"/>
      <c r="CX281" s="1468"/>
      <c r="CY281" s="1468"/>
      <c r="CZ281" s="1468"/>
      <c r="DA281" s="1468"/>
      <c r="DB281" s="1468"/>
      <c r="DC281" s="1468"/>
      <c r="DD281" s="1468"/>
      <c r="DE281" s="1468"/>
      <c r="DF281" s="1468"/>
      <c r="DG281" s="1468"/>
      <c r="DH281" s="1468"/>
      <c r="DI281" s="1468"/>
      <c r="DJ281" s="1468"/>
      <c r="DK281" s="1468"/>
      <c r="DL281" s="1468"/>
      <c r="DM281" s="1468"/>
      <c r="DN281" s="1468"/>
      <c r="DO281" s="1468"/>
      <c r="DP281" s="1468"/>
      <c r="DQ281" s="1468"/>
      <c r="DR281" s="1468"/>
      <c r="DS281" s="1468"/>
      <c r="DT281" s="1468"/>
      <c r="DU281" s="1468"/>
      <c r="DV281" s="1468"/>
      <c r="DW281" s="1468"/>
      <c r="DX281" s="1468"/>
      <c r="DY281" s="1468"/>
      <c r="DZ281" s="1468"/>
      <c r="EA281" s="1468"/>
      <c r="EB281" s="1468"/>
      <c r="EC281" s="1468"/>
      <c r="ED281" s="1468"/>
      <c r="EE281" s="1468"/>
      <c r="EF281" s="1468"/>
      <c r="EG281" s="1468"/>
      <c r="EH281" s="1468"/>
      <c r="EI281" s="1468"/>
      <c r="EJ281" s="1468"/>
      <c r="EK281" s="1468"/>
      <c r="EL281" s="1468"/>
      <c r="EM281" s="1468"/>
      <c r="EN281" s="1468"/>
      <c r="EO281" s="1468"/>
      <c r="EP281" s="1468"/>
      <c r="EQ281" s="1468"/>
      <c r="ER281" s="1468"/>
      <c r="ES281" s="1468"/>
      <c r="ET281" s="1468"/>
      <c r="EU281" s="1468"/>
      <c r="EV281" s="1468"/>
      <c r="EW281" s="1468"/>
      <c r="EX281" s="1468"/>
      <c r="EY281" s="1468"/>
      <c r="EZ281" s="1468"/>
      <c r="FA281" s="1468"/>
      <c r="FB281" s="1468"/>
      <c r="FC281" s="1468"/>
      <c r="FD281" s="1468"/>
      <c r="FE281" s="1468"/>
      <c r="FF281" s="1468"/>
    </row>
    <row r="283" spans="6:162" s="1470" customFormat="1" ht="15.75" customHeight="1">
      <c r="F283" s="1468"/>
      <c r="G283" s="1468"/>
      <c r="H283" s="1468"/>
      <c r="I283" s="1468"/>
      <c r="J283" s="1468"/>
      <c r="K283" s="1468"/>
      <c r="L283" s="1468"/>
      <c r="M283" s="1468"/>
      <c r="N283" s="1468"/>
      <c r="O283" s="1468"/>
      <c r="P283" s="1468"/>
      <c r="Q283" s="1468"/>
      <c r="R283" s="1468"/>
      <c r="S283" s="1468"/>
      <c r="T283" s="1468"/>
      <c r="U283" s="1468"/>
      <c r="V283" s="1468"/>
      <c r="W283" s="1468"/>
      <c r="X283" s="1468"/>
      <c r="Y283" s="1468"/>
      <c r="AA283" s="1468"/>
      <c r="AC283" s="1468"/>
      <c r="AD283" s="1468"/>
      <c r="AE283" s="1468"/>
      <c r="AF283" s="1468"/>
      <c r="AG283" s="1468"/>
      <c r="AH283" s="1469"/>
      <c r="AI283" s="1469"/>
      <c r="AJ283" s="1468"/>
      <c r="AK283" s="1468"/>
      <c r="AL283" s="1468"/>
      <c r="AM283" s="1468"/>
      <c r="AN283" s="1468"/>
      <c r="AO283" s="1468"/>
      <c r="AP283" s="1468"/>
      <c r="AQ283" s="1468"/>
      <c r="AR283" s="1468"/>
      <c r="AS283" s="1468"/>
      <c r="AT283" s="1468"/>
      <c r="AU283" s="1468"/>
      <c r="AV283" s="1468"/>
      <c r="AW283" s="1468"/>
      <c r="AX283" s="1468"/>
      <c r="AY283" s="1468"/>
      <c r="AZ283" s="1468"/>
      <c r="BA283" s="1468"/>
      <c r="BB283" s="1468"/>
      <c r="BC283" s="1468"/>
      <c r="BD283" s="1468"/>
      <c r="BE283" s="1468"/>
      <c r="BF283" s="1468"/>
      <c r="BG283" s="1468"/>
      <c r="BH283" s="1468"/>
      <c r="BI283" s="1468"/>
      <c r="BJ283" s="1468"/>
      <c r="BK283" s="1468"/>
      <c r="BL283" s="1468"/>
      <c r="BM283" s="1468"/>
      <c r="BN283" s="1468"/>
      <c r="BO283" s="1468"/>
      <c r="BP283" s="1468"/>
      <c r="BQ283" s="1468"/>
      <c r="BR283" s="1468"/>
      <c r="BS283" s="1468"/>
      <c r="BT283" s="1468"/>
      <c r="BU283" s="1468"/>
      <c r="BV283" s="1468"/>
      <c r="BW283" s="1468"/>
      <c r="BX283" s="1468"/>
      <c r="BY283" s="1468"/>
      <c r="BZ283" s="1468"/>
      <c r="CA283" s="1468"/>
      <c r="CB283" s="1468"/>
      <c r="CC283" s="1468"/>
      <c r="CD283" s="1468"/>
      <c r="CE283" s="1468"/>
      <c r="CF283" s="1468"/>
      <c r="CG283" s="1468"/>
      <c r="CH283" s="1468"/>
      <c r="CI283" s="1468"/>
      <c r="CJ283" s="1468"/>
      <c r="CK283" s="1468"/>
      <c r="CL283" s="1468"/>
      <c r="CM283" s="1468"/>
      <c r="CN283" s="1468"/>
      <c r="CO283" s="1468"/>
      <c r="CP283" s="1468"/>
      <c r="CQ283" s="1468"/>
      <c r="CR283" s="1468"/>
      <c r="CS283" s="1468"/>
      <c r="CT283" s="1468"/>
      <c r="CU283" s="1468"/>
      <c r="CV283" s="1468"/>
      <c r="CW283" s="1468"/>
      <c r="CX283" s="1468"/>
      <c r="CY283" s="1468"/>
      <c r="CZ283" s="1468"/>
      <c r="DA283" s="1468"/>
      <c r="DB283" s="1468"/>
      <c r="DC283" s="1468"/>
      <c r="DD283" s="1468"/>
      <c r="DE283" s="1468"/>
      <c r="DF283" s="1468"/>
      <c r="DG283" s="1468"/>
      <c r="DH283" s="1468"/>
      <c r="DI283" s="1468"/>
      <c r="DJ283" s="1468"/>
      <c r="DK283" s="1468"/>
      <c r="DL283" s="1468"/>
      <c r="DM283" s="1468"/>
      <c r="DN283" s="1468"/>
      <c r="DO283" s="1468"/>
      <c r="DP283" s="1468"/>
      <c r="DQ283" s="1468"/>
      <c r="DR283" s="1468"/>
      <c r="DS283" s="1468"/>
      <c r="DT283" s="1468"/>
      <c r="DU283" s="1468"/>
      <c r="DV283" s="1468"/>
      <c r="DW283" s="1468"/>
      <c r="DX283" s="1468"/>
      <c r="DY283" s="1468"/>
      <c r="DZ283" s="1468"/>
      <c r="EA283" s="1468"/>
      <c r="EB283" s="1468"/>
      <c r="EC283" s="1468"/>
      <c r="ED283" s="1468"/>
      <c r="EE283" s="1468"/>
      <c r="EF283" s="1468"/>
      <c r="EG283" s="1468"/>
      <c r="EH283" s="1468"/>
      <c r="EI283" s="1468"/>
      <c r="EJ283" s="1468"/>
      <c r="EK283" s="1468"/>
      <c r="EL283" s="1468"/>
      <c r="EM283" s="1468"/>
      <c r="EN283" s="1468"/>
      <c r="EO283" s="1468"/>
      <c r="EP283" s="1468"/>
      <c r="EQ283" s="1468"/>
      <c r="ER283" s="1468"/>
      <c r="ES283" s="1468"/>
      <c r="ET283" s="1468"/>
      <c r="EU283" s="1468"/>
      <c r="EV283" s="1468"/>
      <c r="EW283" s="1468"/>
      <c r="EX283" s="1468"/>
      <c r="EY283" s="1468"/>
      <c r="EZ283" s="1468"/>
      <c r="FA283" s="1468"/>
      <c r="FB283" s="1468"/>
      <c r="FC283" s="1468"/>
      <c r="FD283" s="1468"/>
      <c r="FE283" s="1468"/>
      <c r="FF283" s="1468"/>
    </row>
    <row r="285" spans="6:162" s="1470" customFormat="1" ht="15.75" customHeight="1">
      <c r="F285" s="1468"/>
      <c r="G285" s="1468"/>
      <c r="H285" s="1468"/>
      <c r="I285" s="1468"/>
      <c r="J285" s="1468"/>
      <c r="K285" s="1468"/>
      <c r="L285" s="1468"/>
      <c r="M285" s="1468"/>
      <c r="N285" s="1468"/>
      <c r="O285" s="1468"/>
      <c r="P285" s="1468"/>
      <c r="Q285" s="1468"/>
      <c r="R285" s="1468"/>
      <c r="S285" s="1468"/>
      <c r="T285" s="1468"/>
      <c r="U285" s="1468"/>
      <c r="V285" s="1468"/>
      <c r="W285" s="1468"/>
      <c r="X285" s="1468"/>
      <c r="Y285" s="1468"/>
      <c r="AA285" s="1468"/>
      <c r="AC285" s="1468"/>
      <c r="AD285" s="1468"/>
      <c r="AE285" s="1468"/>
      <c r="AF285" s="1468"/>
      <c r="AG285" s="1468"/>
      <c r="AH285" s="1469"/>
      <c r="AI285" s="1469"/>
      <c r="AJ285" s="1468"/>
      <c r="AK285" s="1468"/>
      <c r="AL285" s="1468"/>
      <c r="AM285" s="1468"/>
      <c r="AN285" s="1468"/>
      <c r="AO285" s="1468"/>
      <c r="AP285" s="1468"/>
      <c r="AQ285" s="1468"/>
      <c r="AR285" s="1468"/>
      <c r="AS285" s="1468"/>
      <c r="AT285" s="1468"/>
      <c r="AU285" s="1468"/>
      <c r="AV285" s="1468"/>
      <c r="AW285" s="1468"/>
      <c r="AX285" s="1468"/>
      <c r="AY285" s="1468"/>
      <c r="AZ285" s="1468"/>
      <c r="BA285" s="1468"/>
      <c r="BB285" s="1468"/>
      <c r="BC285" s="1468"/>
      <c r="BD285" s="1468"/>
      <c r="BE285" s="1468"/>
      <c r="BF285" s="1468"/>
      <c r="BG285" s="1468"/>
      <c r="BH285" s="1468"/>
      <c r="BI285" s="1468"/>
      <c r="BJ285" s="1468"/>
      <c r="BK285" s="1468"/>
      <c r="BL285" s="1468"/>
      <c r="BM285" s="1468"/>
      <c r="BN285" s="1468"/>
      <c r="BO285" s="1468"/>
      <c r="BP285" s="1468"/>
      <c r="BQ285" s="1468"/>
      <c r="BR285" s="1468"/>
      <c r="BS285" s="1468"/>
      <c r="BT285" s="1468"/>
      <c r="BU285" s="1468"/>
      <c r="BV285" s="1468"/>
      <c r="BW285" s="1468"/>
      <c r="BX285" s="1468"/>
      <c r="BY285" s="1468"/>
      <c r="BZ285" s="1468"/>
      <c r="CA285" s="1468"/>
      <c r="CB285" s="1468"/>
      <c r="CC285" s="1468"/>
      <c r="CD285" s="1468"/>
      <c r="CE285" s="1468"/>
      <c r="CF285" s="1468"/>
      <c r="CG285" s="1468"/>
      <c r="CH285" s="1468"/>
      <c r="CI285" s="1468"/>
      <c r="CJ285" s="1468"/>
      <c r="CK285" s="1468"/>
      <c r="CL285" s="1468"/>
      <c r="CM285" s="1468"/>
      <c r="CN285" s="1468"/>
      <c r="CO285" s="1468"/>
      <c r="CP285" s="1468"/>
      <c r="CQ285" s="1468"/>
      <c r="CR285" s="1468"/>
      <c r="CS285" s="1468"/>
      <c r="CT285" s="1468"/>
      <c r="CU285" s="1468"/>
      <c r="CV285" s="1468"/>
      <c r="CW285" s="1468"/>
      <c r="CX285" s="1468"/>
      <c r="CY285" s="1468"/>
      <c r="CZ285" s="1468"/>
      <c r="DA285" s="1468"/>
      <c r="DB285" s="1468"/>
      <c r="DC285" s="1468"/>
      <c r="DD285" s="1468"/>
      <c r="DE285" s="1468"/>
      <c r="DF285" s="1468"/>
      <c r="DG285" s="1468"/>
      <c r="DH285" s="1468"/>
      <c r="DI285" s="1468"/>
      <c r="DJ285" s="1468"/>
      <c r="DK285" s="1468"/>
      <c r="DL285" s="1468"/>
      <c r="DM285" s="1468"/>
      <c r="DN285" s="1468"/>
      <c r="DO285" s="1468"/>
      <c r="DP285" s="1468"/>
      <c r="DQ285" s="1468"/>
      <c r="DR285" s="1468"/>
      <c r="DS285" s="1468"/>
      <c r="DT285" s="1468"/>
      <c r="DU285" s="1468"/>
      <c r="DV285" s="1468"/>
      <c r="DW285" s="1468"/>
      <c r="DX285" s="1468"/>
      <c r="DY285" s="1468"/>
      <c r="DZ285" s="1468"/>
      <c r="EA285" s="1468"/>
      <c r="EB285" s="1468"/>
      <c r="EC285" s="1468"/>
      <c r="ED285" s="1468"/>
      <c r="EE285" s="1468"/>
      <c r="EF285" s="1468"/>
      <c r="EG285" s="1468"/>
      <c r="EH285" s="1468"/>
      <c r="EI285" s="1468"/>
      <c r="EJ285" s="1468"/>
      <c r="EK285" s="1468"/>
      <c r="EL285" s="1468"/>
      <c r="EM285" s="1468"/>
      <c r="EN285" s="1468"/>
      <c r="EO285" s="1468"/>
      <c r="EP285" s="1468"/>
      <c r="EQ285" s="1468"/>
      <c r="ER285" s="1468"/>
      <c r="ES285" s="1468"/>
      <c r="ET285" s="1468"/>
      <c r="EU285" s="1468"/>
      <c r="EV285" s="1468"/>
      <c r="EW285" s="1468"/>
      <c r="EX285" s="1468"/>
      <c r="EY285" s="1468"/>
      <c r="EZ285" s="1468"/>
      <c r="FA285" s="1468"/>
      <c r="FB285" s="1468"/>
      <c r="FC285" s="1468"/>
      <c r="FD285" s="1468"/>
      <c r="FE285" s="1468"/>
      <c r="FF285" s="1468"/>
    </row>
    <row r="287" spans="6:162" s="1470" customFormat="1" ht="15.75" customHeight="1">
      <c r="F287" s="1468"/>
      <c r="G287" s="1468"/>
      <c r="H287" s="1468"/>
      <c r="I287" s="1468"/>
      <c r="J287" s="1468"/>
      <c r="K287" s="1468"/>
      <c r="L287" s="1468"/>
      <c r="M287" s="1468"/>
      <c r="N287" s="1468"/>
      <c r="O287" s="1468"/>
      <c r="P287" s="1468"/>
      <c r="Q287" s="1468"/>
      <c r="R287" s="1468"/>
      <c r="S287" s="1468"/>
      <c r="T287" s="1468"/>
      <c r="U287" s="1468"/>
      <c r="V287" s="1468"/>
      <c r="W287" s="1468"/>
      <c r="X287" s="1468"/>
      <c r="Y287" s="1468"/>
      <c r="AA287" s="1468"/>
      <c r="AC287" s="1468"/>
      <c r="AD287" s="1468"/>
      <c r="AE287" s="1468"/>
      <c r="AF287" s="1468"/>
      <c r="AG287" s="1468"/>
      <c r="AH287" s="1469"/>
      <c r="AI287" s="1469"/>
      <c r="AJ287" s="1468"/>
      <c r="AK287" s="1468"/>
      <c r="AL287" s="1468"/>
      <c r="AM287" s="1468"/>
      <c r="AN287" s="1468"/>
      <c r="AO287" s="1468"/>
      <c r="AP287" s="1468"/>
      <c r="AQ287" s="1468"/>
      <c r="AR287" s="1468"/>
      <c r="AS287" s="1468"/>
      <c r="AT287" s="1468"/>
      <c r="AU287" s="1468"/>
      <c r="AV287" s="1468"/>
      <c r="AW287" s="1468"/>
      <c r="AX287" s="1468"/>
      <c r="AY287" s="1468"/>
      <c r="AZ287" s="1468"/>
      <c r="BA287" s="1468"/>
      <c r="BB287" s="1468"/>
      <c r="BC287" s="1468"/>
      <c r="BD287" s="1468"/>
      <c r="BE287" s="1468"/>
      <c r="BF287" s="1468"/>
      <c r="BG287" s="1468"/>
      <c r="BH287" s="1468"/>
      <c r="BI287" s="1468"/>
      <c r="BJ287" s="1468"/>
      <c r="BK287" s="1468"/>
      <c r="BL287" s="1468"/>
      <c r="BM287" s="1468"/>
      <c r="BN287" s="1468"/>
      <c r="BO287" s="1468"/>
      <c r="BP287" s="1468"/>
      <c r="BQ287" s="1468"/>
      <c r="BR287" s="1468"/>
      <c r="BS287" s="1468"/>
      <c r="BT287" s="1468"/>
      <c r="BU287" s="1468"/>
      <c r="BV287" s="1468"/>
      <c r="BW287" s="1468"/>
      <c r="BX287" s="1468"/>
      <c r="BY287" s="1468"/>
      <c r="BZ287" s="1468"/>
      <c r="CA287" s="1468"/>
      <c r="CB287" s="1468"/>
      <c r="CC287" s="1468"/>
      <c r="CD287" s="1468"/>
      <c r="CE287" s="1468"/>
      <c r="CF287" s="1468"/>
      <c r="CG287" s="1468"/>
      <c r="CH287" s="1468"/>
      <c r="CI287" s="1468"/>
      <c r="CJ287" s="1468"/>
      <c r="CK287" s="1468"/>
      <c r="CL287" s="1468"/>
      <c r="CM287" s="1468"/>
      <c r="CN287" s="1468"/>
      <c r="CO287" s="1468"/>
      <c r="CP287" s="1468"/>
      <c r="CQ287" s="1468"/>
      <c r="CR287" s="1468"/>
      <c r="CS287" s="1468"/>
      <c r="CT287" s="1468"/>
      <c r="CU287" s="1468"/>
      <c r="CV287" s="1468"/>
      <c r="CW287" s="1468"/>
      <c r="CX287" s="1468"/>
      <c r="CY287" s="1468"/>
      <c r="CZ287" s="1468"/>
      <c r="DA287" s="1468"/>
      <c r="DB287" s="1468"/>
      <c r="DC287" s="1468"/>
      <c r="DD287" s="1468"/>
      <c r="DE287" s="1468"/>
      <c r="DF287" s="1468"/>
      <c r="DG287" s="1468"/>
      <c r="DH287" s="1468"/>
      <c r="DI287" s="1468"/>
      <c r="DJ287" s="1468"/>
      <c r="DK287" s="1468"/>
      <c r="DL287" s="1468"/>
      <c r="DM287" s="1468"/>
      <c r="DN287" s="1468"/>
      <c r="DO287" s="1468"/>
      <c r="DP287" s="1468"/>
      <c r="DQ287" s="1468"/>
      <c r="DR287" s="1468"/>
      <c r="DS287" s="1468"/>
      <c r="DT287" s="1468"/>
      <c r="DU287" s="1468"/>
      <c r="DV287" s="1468"/>
      <c r="DW287" s="1468"/>
      <c r="DX287" s="1468"/>
      <c r="DY287" s="1468"/>
      <c r="DZ287" s="1468"/>
      <c r="EA287" s="1468"/>
      <c r="EB287" s="1468"/>
      <c r="EC287" s="1468"/>
      <c r="ED287" s="1468"/>
      <c r="EE287" s="1468"/>
      <c r="EF287" s="1468"/>
      <c r="EG287" s="1468"/>
      <c r="EH287" s="1468"/>
      <c r="EI287" s="1468"/>
      <c r="EJ287" s="1468"/>
      <c r="EK287" s="1468"/>
      <c r="EL287" s="1468"/>
      <c r="EM287" s="1468"/>
      <c r="EN287" s="1468"/>
      <c r="EO287" s="1468"/>
      <c r="EP287" s="1468"/>
      <c r="EQ287" s="1468"/>
      <c r="ER287" s="1468"/>
      <c r="ES287" s="1468"/>
      <c r="ET287" s="1468"/>
      <c r="EU287" s="1468"/>
      <c r="EV287" s="1468"/>
      <c r="EW287" s="1468"/>
      <c r="EX287" s="1468"/>
      <c r="EY287" s="1468"/>
      <c r="EZ287" s="1468"/>
      <c r="FA287" s="1468"/>
      <c r="FB287" s="1468"/>
      <c r="FC287" s="1468"/>
      <c r="FD287" s="1468"/>
      <c r="FE287" s="1468"/>
      <c r="FF287" s="1468"/>
    </row>
    <row r="289" spans="6:162" s="1470" customFormat="1" ht="15.75" customHeight="1">
      <c r="F289" s="1468"/>
      <c r="G289" s="1468"/>
      <c r="H289" s="1468"/>
      <c r="I289" s="1468"/>
      <c r="J289" s="1468"/>
      <c r="K289" s="1468"/>
      <c r="L289" s="1468"/>
      <c r="M289" s="1468"/>
      <c r="N289" s="1468"/>
      <c r="O289" s="1468"/>
      <c r="P289" s="1468"/>
      <c r="Q289" s="1468"/>
      <c r="R289" s="1468"/>
      <c r="S289" s="1468"/>
      <c r="T289" s="1468"/>
      <c r="U289" s="1468"/>
      <c r="V289" s="1468"/>
      <c r="W289" s="1468"/>
      <c r="X289" s="1468"/>
      <c r="Y289" s="1468"/>
      <c r="AA289" s="1468"/>
      <c r="AC289" s="1468"/>
      <c r="AD289" s="1468"/>
      <c r="AE289" s="1468"/>
      <c r="AF289" s="1468"/>
      <c r="AG289" s="1468"/>
      <c r="AH289" s="1469"/>
      <c r="AI289" s="1469"/>
      <c r="AJ289" s="1468"/>
      <c r="AK289" s="1468"/>
      <c r="AL289" s="1468"/>
      <c r="AM289" s="1468"/>
      <c r="AN289" s="1468"/>
      <c r="AO289" s="1468"/>
      <c r="AP289" s="1468"/>
      <c r="AQ289" s="1468"/>
      <c r="AR289" s="1468"/>
      <c r="AS289" s="1468"/>
      <c r="AT289" s="1468"/>
      <c r="AU289" s="1468"/>
      <c r="AV289" s="1468"/>
      <c r="AW289" s="1468"/>
      <c r="AX289" s="1468"/>
      <c r="AY289" s="1468"/>
      <c r="AZ289" s="1468"/>
      <c r="BA289" s="1468"/>
      <c r="BB289" s="1468"/>
      <c r="BC289" s="1468"/>
      <c r="BD289" s="1468"/>
      <c r="BE289" s="1468"/>
      <c r="BF289" s="1468"/>
      <c r="BG289" s="1468"/>
      <c r="BH289" s="1468"/>
      <c r="BI289" s="1468"/>
      <c r="BJ289" s="1468"/>
      <c r="BK289" s="1468"/>
      <c r="BL289" s="1468"/>
      <c r="BM289" s="1468"/>
      <c r="BN289" s="1468"/>
      <c r="BO289" s="1468"/>
      <c r="BP289" s="1468"/>
      <c r="BQ289" s="1468"/>
      <c r="BR289" s="1468"/>
      <c r="BS289" s="1468"/>
      <c r="BT289" s="1468"/>
      <c r="BU289" s="1468"/>
      <c r="BV289" s="1468"/>
      <c r="BW289" s="1468"/>
      <c r="BX289" s="1468"/>
      <c r="BY289" s="1468"/>
      <c r="BZ289" s="1468"/>
      <c r="CA289" s="1468"/>
      <c r="CB289" s="1468"/>
      <c r="CC289" s="1468"/>
      <c r="CD289" s="1468"/>
      <c r="CE289" s="1468"/>
      <c r="CF289" s="1468"/>
      <c r="CG289" s="1468"/>
      <c r="CH289" s="1468"/>
      <c r="CI289" s="1468"/>
      <c r="CJ289" s="1468"/>
      <c r="CK289" s="1468"/>
      <c r="CL289" s="1468"/>
      <c r="CM289" s="1468"/>
      <c r="CN289" s="1468"/>
      <c r="CO289" s="1468"/>
      <c r="CP289" s="1468"/>
      <c r="CQ289" s="1468"/>
      <c r="CR289" s="1468"/>
      <c r="CS289" s="1468"/>
      <c r="CT289" s="1468"/>
      <c r="CU289" s="1468"/>
      <c r="CV289" s="1468"/>
      <c r="CW289" s="1468"/>
      <c r="CX289" s="1468"/>
      <c r="CY289" s="1468"/>
      <c r="CZ289" s="1468"/>
      <c r="DA289" s="1468"/>
      <c r="DB289" s="1468"/>
      <c r="DC289" s="1468"/>
      <c r="DD289" s="1468"/>
      <c r="DE289" s="1468"/>
      <c r="DF289" s="1468"/>
      <c r="DG289" s="1468"/>
      <c r="DH289" s="1468"/>
      <c r="DI289" s="1468"/>
      <c r="DJ289" s="1468"/>
      <c r="DK289" s="1468"/>
      <c r="DL289" s="1468"/>
      <c r="DM289" s="1468"/>
      <c r="DN289" s="1468"/>
      <c r="DO289" s="1468"/>
      <c r="DP289" s="1468"/>
      <c r="DQ289" s="1468"/>
      <c r="DR289" s="1468"/>
      <c r="DS289" s="1468"/>
      <c r="DT289" s="1468"/>
      <c r="DU289" s="1468"/>
      <c r="DV289" s="1468"/>
      <c r="DW289" s="1468"/>
      <c r="DX289" s="1468"/>
      <c r="DY289" s="1468"/>
      <c r="DZ289" s="1468"/>
      <c r="EA289" s="1468"/>
      <c r="EB289" s="1468"/>
      <c r="EC289" s="1468"/>
      <c r="ED289" s="1468"/>
      <c r="EE289" s="1468"/>
      <c r="EF289" s="1468"/>
      <c r="EG289" s="1468"/>
      <c r="EH289" s="1468"/>
      <c r="EI289" s="1468"/>
      <c r="EJ289" s="1468"/>
      <c r="EK289" s="1468"/>
      <c r="EL289" s="1468"/>
      <c r="EM289" s="1468"/>
      <c r="EN289" s="1468"/>
      <c r="EO289" s="1468"/>
      <c r="EP289" s="1468"/>
      <c r="EQ289" s="1468"/>
      <c r="ER289" s="1468"/>
      <c r="ES289" s="1468"/>
      <c r="ET289" s="1468"/>
      <c r="EU289" s="1468"/>
      <c r="EV289" s="1468"/>
      <c r="EW289" s="1468"/>
      <c r="EX289" s="1468"/>
      <c r="EY289" s="1468"/>
      <c r="EZ289" s="1468"/>
      <c r="FA289" s="1468"/>
      <c r="FB289" s="1468"/>
      <c r="FC289" s="1468"/>
      <c r="FD289" s="1468"/>
      <c r="FE289" s="1468"/>
      <c r="FF289" s="1468"/>
    </row>
    <row r="291" spans="6:162" s="1470" customFormat="1" ht="15.75" customHeight="1">
      <c r="F291" s="1468"/>
      <c r="G291" s="1468"/>
      <c r="H291" s="1468"/>
      <c r="I291" s="1468"/>
      <c r="J291" s="1468"/>
      <c r="K291" s="1468"/>
      <c r="L291" s="1468"/>
      <c r="M291" s="1468"/>
      <c r="N291" s="1468"/>
      <c r="O291" s="1468"/>
      <c r="P291" s="1468"/>
      <c r="Q291" s="1468"/>
      <c r="R291" s="1468"/>
      <c r="S291" s="1468"/>
      <c r="T291" s="1468"/>
      <c r="U291" s="1468"/>
      <c r="V291" s="1468"/>
      <c r="W291" s="1468"/>
      <c r="X291" s="1468"/>
      <c r="Y291" s="1468"/>
      <c r="AA291" s="1468"/>
      <c r="AC291" s="1468"/>
      <c r="AD291" s="1468"/>
      <c r="AE291" s="1468"/>
      <c r="AF291" s="1468"/>
      <c r="AG291" s="1468"/>
      <c r="AH291" s="1469"/>
      <c r="AI291" s="1469"/>
      <c r="AJ291" s="1468"/>
      <c r="AK291" s="1468"/>
      <c r="AL291" s="1468"/>
      <c r="AM291" s="1468"/>
      <c r="AN291" s="1468"/>
      <c r="AO291" s="1468"/>
      <c r="AP291" s="1468"/>
      <c r="AQ291" s="1468"/>
      <c r="AR291" s="1468"/>
      <c r="AS291" s="1468"/>
      <c r="AT291" s="1468"/>
      <c r="AU291" s="1468"/>
      <c r="AV291" s="1468"/>
      <c r="AW291" s="1468"/>
      <c r="AX291" s="1468"/>
      <c r="AY291" s="1468"/>
      <c r="AZ291" s="1468"/>
      <c r="BA291" s="1468"/>
      <c r="BB291" s="1468"/>
      <c r="BC291" s="1468"/>
      <c r="BD291" s="1468"/>
      <c r="BE291" s="1468"/>
      <c r="BF291" s="1468"/>
      <c r="BG291" s="1468"/>
      <c r="BH291" s="1468"/>
      <c r="BI291" s="1468"/>
      <c r="BJ291" s="1468"/>
      <c r="BK291" s="1468"/>
      <c r="BL291" s="1468"/>
      <c r="BM291" s="1468"/>
      <c r="BN291" s="1468"/>
      <c r="BO291" s="1468"/>
      <c r="BP291" s="1468"/>
      <c r="BQ291" s="1468"/>
      <c r="BR291" s="1468"/>
      <c r="BS291" s="1468"/>
      <c r="BT291" s="1468"/>
      <c r="BU291" s="1468"/>
      <c r="BV291" s="1468"/>
      <c r="BW291" s="1468"/>
      <c r="BX291" s="1468"/>
      <c r="BY291" s="1468"/>
      <c r="BZ291" s="1468"/>
      <c r="CA291" s="1468"/>
      <c r="CB291" s="1468"/>
      <c r="CC291" s="1468"/>
      <c r="CD291" s="1468"/>
      <c r="CE291" s="1468"/>
      <c r="CF291" s="1468"/>
      <c r="CG291" s="1468"/>
      <c r="CH291" s="1468"/>
      <c r="CI291" s="1468"/>
      <c r="CJ291" s="1468"/>
      <c r="CK291" s="1468"/>
      <c r="CL291" s="1468"/>
      <c r="CM291" s="1468"/>
      <c r="CN291" s="1468"/>
      <c r="CO291" s="1468"/>
      <c r="CP291" s="1468"/>
      <c r="CQ291" s="1468"/>
      <c r="CR291" s="1468"/>
      <c r="CS291" s="1468"/>
      <c r="CT291" s="1468"/>
      <c r="CU291" s="1468"/>
      <c r="CV291" s="1468"/>
      <c r="CW291" s="1468"/>
      <c r="CX291" s="1468"/>
      <c r="CY291" s="1468"/>
      <c r="CZ291" s="1468"/>
      <c r="DA291" s="1468"/>
      <c r="DB291" s="1468"/>
      <c r="DC291" s="1468"/>
      <c r="DD291" s="1468"/>
      <c r="DE291" s="1468"/>
      <c r="DF291" s="1468"/>
      <c r="DG291" s="1468"/>
      <c r="DH291" s="1468"/>
      <c r="DI291" s="1468"/>
      <c r="DJ291" s="1468"/>
      <c r="DK291" s="1468"/>
      <c r="DL291" s="1468"/>
      <c r="DM291" s="1468"/>
      <c r="DN291" s="1468"/>
      <c r="DO291" s="1468"/>
      <c r="DP291" s="1468"/>
      <c r="DQ291" s="1468"/>
      <c r="DR291" s="1468"/>
      <c r="DS291" s="1468"/>
      <c r="DT291" s="1468"/>
      <c r="DU291" s="1468"/>
      <c r="DV291" s="1468"/>
      <c r="DW291" s="1468"/>
      <c r="DX291" s="1468"/>
      <c r="DY291" s="1468"/>
      <c r="DZ291" s="1468"/>
      <c r="EA291" s="1468"/>
      <c r="EB291" s="1468"/>
      <c r="EC291" s="1468"/>
      <c r="ED291" s="1468"/>
      <c r="EE291" s="1468"/>
      <c r="EF291" s="1468"/>
      <c r="EG291" s="1468"/>
      <c r="EH291" s="1468"/>
      <c r="EI291" s="1468"/>
      <c r="EJ291" s="1468"/>
      <c r="EK291" s="1468"/>
      <c r="EL291" s="1468"/>
      <c r="EM291" s="1468"/>
      <c r="EN291" s="1468"/>
      <c r="EO291" s="1468"/>
      <c r="EP291" s="1468"/>
      <c r="EQ291" s="1468"/>
      <c r="ER291" s="1468"/>
      <c r="ES291" s="1468"/>
      <c r="ET291" s="1468"/>
      <c r="EU291" s="1468"/>
      <c r="EV291" s="1468"/>
      <c r="EW291" s="1468"/>
      <c r="EX291" s="1468"/>
      <c r="EY291" s="1468"/>
      <c r="EZ291" s="1468"/>
      <c r="FA291" s="1468"/>
      <c r="FB291" s="1468"/>
      <c r="FC291" s="1468"/>
      <c r="FD291" s="1468"/>
      <c r="FE291" s="1468"/>
      <c r="FF291" s="1468"/>
    </row>
    <row r="293" spans="6:162" s="1470" customFormat="1" ht="15.75" customHeight="1">
      <c r="F293" s="1468"/>
      <c r="G293" s="1468"/>
      <c r="H293" s="1468"/>
      <c r="I293" s="1468"/>
      <c r="J293" s="1468"/>
      <c r="K293" s="1468"/>
      <c r="L293" s="1468"/>
      <c r="M293" s="1468"/>
      <c r="N293" s="1468"/>
      <c r="O293" s="1468"/>
      <c r="P293" s="1468"/>
      <c r="Q293" s="1468"/>
      <c r="R293" s="1468"/>
      <c r="S293" s="1468"/>
      <c r="T293" s="1468"/>
      <c r="U293" s="1468"/>
      <c r="V293" s="1468"/>
      <c r="W293" s="1468"/>
      <c r="X293" s="1468"/>
      <c r="Y293" s="1468"/>
      <c r="AA293" s="1468"/>
      <c r="AC293" s="1468"/>
      <c r="AD293" s="1468"/>
      <c r="AE293" s="1468"/>
      <c r="AF293" s="1468"/>
      <c r="AG293" s="1468"/>
      <c r="AH293" s="1469"/>
      <c r="AI293" s="1469"/>
      <c r="AJ293" s="1468"/>
      <c r="AK293" s="1468"/>
      <c r="AL293" s="1468"/>
      <c r="AM293" s="1468"/>
      <c r="AN293" s="1468"/>
      <c r="AO293" s="1468"/>
      <c r="AP293" s="1468"/>
      <c r="AQ293" s="1468"/>
      <c r="AR293" s="1468"/>
      <c r="AS293" s="1468"/>
      <c r="AT293" s="1468"/>
      <c r="AU293" s="1468"/>
      <c r="AV293" s="1468"/>
      <c r="AW293" s="1468"/>
      <c r="AX293" s="1468"/>
      <c r="AY293" s="1468"/>
      <c r="AZ293" s="1468"/>
      <c r="BA293" s="1468"/>
      <c r="BB293" s="1468"/>
      <c r="BC293" s="1468"/>
      <c r="BD293" s="1468"/>
      <c r="BE293" s="1468"/>
      <c r="BF293" s="1468"/>
      <c r="BG293" s="1468"/>
      <c r="BH293" s="1468"/>
      <c r="BI293" s="1468"/>
      <c r="BJ293" s="1468"/>
      <c r="BK293" s="1468"/>
      <c r="BL293" s="1468"/>
      <c r="BM293" s="1468"/>
      <c r="BN293" s="1468"/>
      <c r="BO293" s="1468"/>
      <c r="BP293" s="1468"/>
      <c r="BQ293" s="1468"/>
      <c r="BR293" s="1468"/>
      <c r="BS293" s="1468"/>
      <c r="BT293" s="1468"/>
      <c r="BU293" s="1468"/>
      <c r="BV293" s="1468"/>
      <c r="BW293" s="1468"/>
      <c r="BX293" s="1468"/>
      <c r="BY293" s="1468"/>
      <c r="BZ293" s="1468"/>
      <c r="CA293" s="1468"/>
      <c r="CB293" s="1468"/>
      <c r="CC293" s="1468"/>
      <c r="CD293" s="1468"/>
      <c r="CE293" s="1468"/>
      <c r="CF293" s="1468"/>
      <c r="CG293" s="1468"/>
      <c r="CH293" s="1468"/>
      <c r="CI293" s="1468"/>
      <c r="CJ293" s="1468"/>
      <c r="CK293" s="1468"/>
      <c r="CL293" s="1468"/>
      <c r="CM293" s="1468"/>
      <c r="CN293" s="1468"/>
      <c r="CO293" s="1468"/>
      <c r="CP293" s="1468"/>
      <c r="CQ293" s="1468"/>
      <c r="CR293" s="1468"/>
      <c r="CS293" s="1468"/>
      <c r="CT293" s="1468"/>
      <c r="CU293" s="1468"/>
      <c r="CV293" s="1468"/>
      <c r="CW293" s="1468"/>
      <c r="CX293" s="1468"/>
      <c r="CY293" s="1468"/>
      <c r="CZ293" s="1468"/>
      <c r="DA293" s="1468"/>
      <c r="DB293" s="1468"/>
      <c r="DC293" s="1468"/>
      <c r="DD293" s="1468"/>
      <c r="DE293" s="1468"/>
      <c r="DF293" s="1468"/>
      <c r="DG293" s="1468"/>
      <c r="DH293" s="1468"/>
      <c r="DI293" s="1468"/>
      <c r="DJ293" s="1468"/>
      <c r="DK293" s="1468"/>
      <c r="DL293" s="1468"/>
      <c r="DM293" s="1468"/>
      <c r="DN293" s="1468"/>
      <c r="DO293" s="1468"/>
      <c r="DP293" s="1468"/>
      <c r="DQ293" s="1468"/>
      <c r="DR293" s="1468"/>
      <c r="DS293" s="1468"/>
      <c r="DT293" s="1468"/>
      <c r="DU293" s="1468"/>
      <c r="DV293" s="1468"/>
      <c r="DW293" s="1468"/>
      <c r="DX293" s="1468"/>
      <c r="DY293" s="1468"/>
      <c r="DZ293" s="1468"/>
      <c r="EA293" s="1468"/>
      <c r="EB293" s="1468"/>
      <c r="EC293" s="1468"/>
      <c r="ED293" s="1468"/>
      <c r="EE293" s="1468"/>
      <c r="EF293" s="1468"/>
      <c r="EG293" s="1468"/>
      <c r="EH293" s="1468"/>
      <c r="EI293" s="1468"/>
      <c r="EJ293" s="1468"/>
      <c r="EK293" s="1468"/>
      <c r="EL293" s="1468"/>
      <c r="EM293" s="1468"/>
      <c r="EN293" s="1468"/>
      <c r="EO293" s="1468"/>
      <c r="EP293" s="1468"/>
      <c r="EQ293" s="1468"/>
      <c r="ER293" s="1468"/>
      <c r="ES293" s="1468"/>
      <c r="ET293" s="1468"/>
      <c r="EU293" s="1468"/>
      <c r="EV293" s="1468"/>
      <c r="EW293" s="1468"/>
      <c r="EX293" s="1468"/>
      <c r="EY293" s="1468"/>
      <c r="EZ293" s="1468"/>
      <c r="FA293" s="1468"/>
      <c r="FB293" s="1468"/>
      <c r="FC293" s="1468"/>
      <c r="FD293" s="1468"/>
      <c r="FE293" s="1468"/>
      <c r="FF293" s="1468"/>
    </row>
    <row r="295" spans="6:162" s="1470" customFormat="1" ht="15.75" customHeight="1">
      <c r="F295" s="1468"/>
      <c r="G295" s="1468"/>
      <c r="H295" s="1468"/>
      <c r="I295" s="1468"/>
      <c r="J295" s="1468"/>
      <c r="K295" s="1468"/>
      <c r="L295" s="1468"/>
      <c r="M295" s="1468"/>
      <c r="N295" s="1468"/>
      <c r="O295" s="1468"/>
      <c r="P295" s="1468"/>
      <c r="Q295" s="1468"/>
      <c r="R295" s="1468"/>
      <c r="S295" s="1468"/>
      <c r="T295" s="1468"/>
      <c r="U295" s="1468"/>
      <c r="V295" s="1468"/>
      <c r="W295" s="1468"/>
      <c r="X295" s="1468"/>
      <c r="Y295" s="1468"/>
      <c r="AA295" s="1468"/>
      <c r="AC295" s="1468"/>
      <c r="AD295" s="1468"/>
      <c r="AE295" s="1468"/>
      <c r="AF295" s="1468"/>
      <c r="AG295" s="1468"/>
      <c r="AH295" s="1469"/>
      <c r="AI295" s="1469"/>
      <c r="AJ295" s="1468"/>
      <c r="AK295" s="1468"/>
      <c r="AL295" s="1468"/>
      <c r="AM295" s="1468"/>
      <c r="AN295" s="1468"/>
      <c r="AO295" s="1468"/>
      <c r="AP295" s="1468"/>
      <c r="AQ295" s="1468"/>
      <c r="AR295" s="1468"/>
      <c r="AS295" s="1468"/>
      <c r="AT295" s="1468"/>
      <c r="AU295" s="1468"/>
      <c r="AV295" s="1468"/>
      <c r="AW295" s="1468"/>
      <c r="AX295" s="1468"/>
      <c r="AY295" s="1468"/>
      <c r="AZ295" s="1468"/>
      <c r="BA295" s="1468"/>
      <c r="BB295" s="1468"/>
      <c r="BC295" s="1468"/>
      <c r="BD295" s="1468"/>
      <c r="BE295" s="1468"/>
      <c r="BF295" s="1468"/>
      <c r="BG295" s="1468"/>
      <c r="BH295" s="1468"/>
      <c r="BI295" s="1468"/>
      <c r="BJ295" s="1468"/>
      <c r="BK295" s="1468"/>
      <c r="BL295" s="1468"/>
      <c r="BM295" s="1468"/>
      <c r="BN295" s="1468"/>
      <c r="BO295" s="1468"/>
      <c r="BP295" s="1468"/>
      <c r="BQ295" s="1468"/>
      <c r="BR295" s="1468"/>
      <c r="BS295" s="1468"/>
      <c r="BT295" s="1468"/>
      <c r="BU295" s="1468"/>
      <c r="BV295" s="1468"/>
      <c r="BW295" s="1468"/>
      <c r="BX295" s="1468"/>
      <c r="BY295" s="1468"/>
      <c r="BZ295" s="1468"/>
      <c r="CA295" s="1468"/>
      <c r="CB295" s="1468"/>
      <c r="CC295" s="1468"/>
      <c r="CD295" s="1468"/>
      <c r="CE295" s="1468"/>
      <c r="CF295" s="1468"/>
      <c r="CG295" s="1468"/>
      <c r="CH295" s="1468"/>
      <c r="CI295" s="1468"/>
      <c r="CJ295" s="1468"/>
      <c r="CK295" s="1468"/>
      <c r="CL295" s="1468"/>
      <c r="CM295" s="1468"/>
      <c r="CN295" s="1468"/>
      <c r="CO295" s="1468"/>
      <c r="CP295" s="1468"/>
      <c r="CQ295" s="1468"/>
      <c r="CR295" s="1468"/>
      <c r="CS295" s="1468"/>
      <c r="CT295" s="1468"/>
      <c r="CU295" s="1468"/>
      <c r="CV295" s="1468"/>
      <c r="CW295" s="1468"/>
      <c r="CX295" s="1468"/>
      <c r="CY295" s="1468"/>
      <c r="CZ295" s="1468"/>
      <c r="DA295" s="1468"/>
      <c r="DB295" s="1468"/>
      <c r="DC295" s="1468"/>
      <c r="DD295" s="1468"/>
      <c r="DE295" s="1468"/>
      <c r="DF295" s="1468"/>
      <c r="DG295" s="1468"/>
      <c r="DH295" s="1468"/>
      <c r="DI295" s="1468"/>
      <c r="DJ295" s="1468"/>
      <c r="DK295" s="1468"/>
      <c r="DL295" s="1468"/>
      <c r="DM295" s="1468"/>
      <c r="DN295" s="1468"/>
      <c r="DO295" s="1468"/>
      <c r="DP295" s="1468"/>
      <c r="DQ295" s="1468"/>
      <c r="DR295" s="1468"/>
      <c r="DS295" s="1468"/>
      <c r="DT295" s="1468"/>
      <c r="DU295" s="1468"/>
      <c r="DV295" s="1468"/>
      <c r="DW295" s="1468"/>
      <c r="DX295" s="1468"/>
      <c r="DY295" s="1468"/>
      <c r="DZ295" s="1468"/>
      <c r="EA295" s="1468"/>
      <c r="EB295" s="1468"/>
      <c r="EC295" s="1468"/>
      <c r="ED295" s="1468"/>
      <c r="EE295" s="1468"/>
      <c r="EF295" s="1468"/>
      <c r="EG295" s="1468"/>
      <c r="EH295" s="1468"/>
      <c r="EI295" s="1468"/>
      <c r="EJ295" s="1468"/>
      <c r="EK295" s="1468"/>
      <c r="EL295" s="1468"/>
      <c r="EM295" s="1468"/>
      <c r="EN295" s="1468"/>
      <c r="EO295" s="1468"/>
      <c r="EP295" s="1468"/>
      <c r="EQ295" s="1468"/>
      <c r="ER295" s="1468"/>
      <c r="ES295" s="1468"/>
      <c r="ET295" s="1468"/>
      <c r="EU295" s="1468"/>
      <c r="EV295" s="1468"/>
      <c r="EW295" s="1468"/>
      <c r="EX295" s="1468"/>
      <c r="EY295" s="1468"/>
      <c r="EZ295" s="1468"/>
      <c r="FA295" s="1468"/>
      <c r="FB295" s="1468"/>
      <c r="FC295" s="1468"/>
      <c r="FD295" s="1468"/>
      <c r="FE295" s="1468"/>
      <c r="FF295" s="1468"/>
    </row>
    <row r="297" spans="6:162" s="1470" customFormat="1" ht="15.75" customHeight="1">
      <c r="F297" s="1468"/>
      <c r="G297" s="1468"/>
      <c r="H297" s="1468"/>
      <c r="I297" s="1468"/>
      <c r="J297" s="1468"/>
      <c r="K297" s="1468"/>
      <c r="L297" s="1468"/>
      <c r="M297" s="1468"/>
      <c r="N297" s="1468"/>
      <c r="O297" s="1468"/>
      <c r="P297" s="1468"/>
      <c r="Q297" s="1468"/>
      <c r="R297" s="1468"/>
      <c r="S297" s="1468"/>
      <c r="T297" s="1468"/>
      <c r="U297" s="1468"/>
      <c r="V297" s="1468"/>
      <c r="W297" s="1468"/>
      <c r="X297" s="1468"/>
      <c r="Y297" s="1468"/>
      <c r="AA297" s="1468"/>
      <c r="AC297" s="1468"/>
      <c r="AD297" s="1468"/>
      <c r="AE297" s="1468"/>
      <c r="AF297" s="1468"/>
      <c r="AG297" s="1468"/>
      <c r="AH297" s="1469"/>
      <c r="AI297" s="1469"/>
      <c r="AJ297" s="1468"/>
      <c r="AK297" s="1468"/>
      <c r="AL297" s="1468"/>
      <c r="AM297" s="1468"/>
      <c r="AN297" s="1468"/>
      <c r="AO297" s="1468"/>
      <c r="AP297" s="1468"/>
      <c r="AQ297" s="1468"/>
      <c r="AR297" s="1468"/>
      <c r="AS297" s="1468"/>
      <c r="AT297" s="1468"/>
      <c r="AU297" s="1468"/>
      <c r="AV297" s="1468"/>
      <c r="AW297" s="1468"/>
      <c r="AX297" s="1468"/>
      <c r="AY297" s="1468"/>
      <c r="AZ297" s="1468"/>
      <c r="BA297" s="1468"/>
      <c r="BB297" s="1468"/>
      <c r="BC297" s="1468"/>
      <c r="BD297" s="1468"/>
      <c r="BE297" s="1468"/>
      <c r="BF297" s="1468"/>
      <c r="BG297" s="1468"/>
      <c r="BH297" s="1468"/>
      <c r="BI297" s="1468"/>
      <c r="BJ297" s="1468"/>
      <c r="BK297" s="1468"/>
      <c r="BL297" s="1468"/>
      <c r="BM297" s="1468"/>
      <c r="BN297" s="1468"/>
      <c r="BO297" s="1468"/>
      <c r="BP297" s="1468"/>
      <c r="BQ297" s="1468"/>
      <c r="BR297" s="1468"/>
      <c r="BS297" s="1468"/>
      <c r="BT297" s="1468"/>
      <c r="BU297" s="1468"/>
      <c r="BV297" s="1468"/>
      <c r="BW297" s="1468"/>
      <c r="BX297" s="1468"/>
      <c r="BY297" s="1468"/>
      <c r="BZ297" s="1468"/>
      <c r="CA297" s="1468"/>
      <c r="CB297" s="1468"/>
      <c r="CC297" s="1468"/>
      <c r="CD297" s="1468"/>
      <c r="CE297" s="1468"/>
      <c r="CF297" s="1468"/>
      <c r="CG297" s="1468"/>
      <c r="CH297" s="1468"/>
      <c r="CI297" s="1468"/>
      <c r="CJ297" s="1468"/>
      <c r="CK297" s="1468"/>
      <c r="CL297" s="1468"/>
      <c r="CM297" s="1468"/>
      <c r="CN297" s="1468"/>
      <c r="CO297" s="1468"/>
      <c r="CP297" s="1468"/>
      <c r="CQ297" s="1468"/>
      <c r="CR297" s="1468"/>
      <c r="CS297" s="1468"/>
      <c r="CT297" s="1468"/>
      <c r="CU297" s="1468"/>
      <c r="CV297" s="1468"/>
      <c r="CW297" s="1468"/>
      <c r="CX297" s="1468"/>
      <c r="CY297" s="1468"/>
      <c r="CZ297" s="1468"/>
      <c r="DA297" s="1468"/>
      <c r="DB297" s="1468"/>
      <c r="DC297" s="1468"/>
      <c r="DD297" s="1468"/>
      <c r="DE297" s="1468"/>
      <c r="DF297" s="1468"/>
      <c r="DG297" s="1468"/>
      <c r="DH297" s="1468"/>
      <c r="DI297" s="1468"/>
      <c r="DJ297" s="1468"/>
      <c r="DK297" s="1468"/>
      <c r="DL297" s="1468"/>
      <c r="DM297" s="1468"/>
      <c r="DN297" s="1468"/>
      <c r="DO297" s="1468"/>
      <c r="DP297" s="1468"/>
      <c r="DQ297" s="1468"/>
      <c r="DR297" s="1468"/>
      <c r="DS297" s="1468"/>
      <c r="DT297" s="1468"/>
      <c r="DU297" s="1468"/>
      <c r="DV297" s="1468"/>
      <c r="DW297" s="1468"/>
      <c r="DX297" s="1468"/>
      <c r="DY297" s="1468"/>
      <c r="DZ297" s="1468"/>
      <c r="EA297" s="1468"/>
      <c r="EB297" s="1468"/>
      <c r="EC297" s="1468"/>
      <c r="ED297" s="1468"/>
      <c r="EE297" s="1468"/>
      <c r="EF297" s="1468"/>
      <c r="EG297" s="1468"/>
      <c r="EH297" s="1468"/>
      <c r="EI297" s="1468"/>
      <c r="EJ297" s="1468"/>
      <c r="EK297" s="1468"/>
      <c r="EL297" s="1468"/>
      <c r="EM297" s="1468"/>
      <c r="EN297" s="1468"/>
      <c r="EO297" s="1468"/>
      <c r="EP297" s="1468"/>
      <c r="EQ297" s="1468"/>
      <c r="ER297" s="1468"/>
      <c r="ES297" s="1468"/>
      <c r="ET297" s="1468"/>
      <c r="EU297" s="1468"/>
      <c r="EV297" s="1468"/>
      <c r="EW297" s="1468"/>
      <c r="EX297" s="1468"/>
      <c r="EY297" s="1468"/>
      <c r="EZ297" s="1468"/>
      <c r="FA297" s="1468"/>
      <c r="FB297" s="1468"/>
      <c r="FC297" s="1468"/>
      <c r="FD297" s="1468"/>
      <c r="FE297" s="1468"/>
      <c r="FF297" s="1468"/>
    </row>
    <row r="299" spans="6:162" s="1470" customFormat="1" ht="15.75" customHeight="1">
      <c r="F299" s="1468"/>
      <c r="G299" s="1468"/>
      <c r="H299" s="1468"/>
      <c r="I299" s="1468"/>
      <c r="J299" s="1468"/>
      <c r="K299" s="1468"/>
      <c r="L299" s="1468"/>
      <c r="M299" s="1468"/>
      <c r="N299" s="1468"/>
      <c r="O299" s="1468"/>
      <c r="P299" s="1468"/>
      <c r="Q299" s="1468"/>
      <c r="R299" s="1468"/>
      <c r="S299" s="1468"/>
      <c r="T299" s="1468"/>
      <c r="U299" s="1468"/>
      <c r="V299" s="1468"/>
      <c r="W299" s="1468"/>
      <c r="X299" s="1468"/>
      <c r="Y299" s="1468"/>
      <c r="AA299" s="1468"/>
      <c r="AC299" s="1468"/>
      <c r="AD299" s="1468"/>
      <c r="AE299" s="1468"/>
      <c r="AF299" s="1468"/>
      <c r="AG299" s="1468"/>
      <c r="AH299" s="1469"/>
      <c r="AI299" s="1469"/>
      <c r="AJ299" s="1468"/>
      <c r="AK299" s="1468"/>
      <c r="AL299" s="1468"/>
      <c r="AM299" s="1468"/>
      <c r="AN299" s="1468"/>
      <c r="AO299" s="1468"/>
      <c r="AP299" s="1468"/>
      <c r="AQ299" s="1468"/>
      <c r="AR299" s="1468"/>
      <c r="AS299" s="1468"/>
      <c r="AT299" s="1468"/>
      <c r="AU299" s="1468"/>
      <c r="AV299" s="1468"/>
      <c r="AW299" s="1468"/>
      <c r="AX299" s="1468"/>
      <c r="AY299" s="1468"/>
      <c r="AZ299" s="1468"/>
      <c r="BA299" s="1468"/>
      <c r="BB299" s="1468"/>
      <c r="BC299" s="1468"/>
      <c r="BD299" s="1468"/>
      <c r="BE299" s="1468"/>
      <c r="BF299" s="1468"/>
      <c r="BG299" s="1468"/>
      <c r="BH299" s="1468"/>
      <c r="BI299" s="1468"/>
      <c r="BJ299" s="1468"/>
      <c r="BK299" s="1468"/>
      <c r="BL299" s="1468"/>
      <c r="BM299" s="1468"/>
      <c r="BN299" s="1468"/>
      <c r="BO299" s="1468"/>
      <c r="BP299" s="1468"/>
      <c r="BQ299" s="1468"/>
      <c r="BR299" s="1468"/>
      <c r="BS299" s="1468"/>
      <c r="BT299" s="1468"/>
      <c r="BU299" s="1468"/>
      <c r="BV299" s="1468"/>
      <c r="BW299" s="1468"/>
      <c r="BX299" s="1468"/>
      <c r="BY299" s="1468"/>
      <c r="BZ299" s="1468"/>
      <c r="CA299" s="1468"/>
      <c r="CB299" s="1468"/>
      <c r="CC299" s="1468"/>
      <c r="CD299" s="1468"/>
      <c r="CE299" s="1468"/>
      <c r="CF299" s="1468"/>
      <c r="CG299" s="1468"/>
      <c r="CH299" s="1468"/>
      <c r="CI299" s="1468"/>
      <c r="CJ299" s="1468"/>
      <c r="CK299" s="1468"/>
      <c r="CL299" s="1468"/>
      <c r="CM299" s="1468"/>
      <c r="CN299" s="1468"/>
      <c r="CO299" s="1468"/>
      <c r="CP299" s="1468"/>
      <c r="CQ299" s="1468"/>
      <c r="CR299" s="1468"/>
      <c r="CS299" s="1468"/>
      <c r="CT299" s="1468"/>
      <c r="CU299" s="1468"/>
      <c r="CV299" s="1468"/>
      <c r="CW299" s="1468"/>
      <c r="CX299" s="1468"/>
      <c r="CY299" s="1468"/>
      <c r="CZ299" s="1468"/>
      <c r="DA299" s="1468"/>
      <c r="DB299" s="1468"/>
      <c r="DC299" s="1468"/>
      <c r="DD299" s="1468"/>
      <c r="DE299" s="1468"/>
      <c r="DF299" s="1468"/>
      <c r="DG299" s="1468"/>
      <c r="DH299" s="1468"/>
      <c r="DI299" s="1468"/>
      <c r="DJ299" s="1468"/>
      <c r="DK299" s="1468"/>
      <c r="DL299" s="1468"/>
      <c r="DM299" s="1468"/>
      <c r="DN299" s="1468"/>
      <c r="DO299" s="1468"/>
      <c r="DP299" s="1468"/>
      <c r="DQ299" s="1468"/>
      <c r="DR299" s="1468"/>
      <c r="DS299" s="1468"/>
      <c r="DT299" s="1468"/>
      <c r="DU299" s="1468"/>
      <c r="DV299" s="1468"/>
      <c r="DW299" s="1468"/>
      <c r="DX299" s="1468"/>
      <c r="DY299" s="1468"/>
      <c r="DZ299" s="1468"/>
      <c r="EA299" s="1468"/>
      <c r="EB299" s="1468"/>
      <c r="EC299" s="1468"/>
      <c r="ED299" s="1468"/>
      <c r="EE299" s="1468"/>
      <c r="EF299" s="1468"/>
      <c r="EG299" s="1468"/>
      <c r="EH299" s="1468"/>
      <c r="EI299" s="1468"/>
      <c r="EJ299" s="1468"/>
      <c r="EK299" s="1468"/>
      <c r="EL299" s="1468"/>
      <c r="EM299" s="1468"/>
      <c r="EN299" s="1468"/>
      <c r="EO299" s="1468"/>
      <c r="EP299" s="1468"/>
      <c r="EQ299" s="1468"/>
      <c r="ER299" s="1468"/>
      <c r="ES299" s="1468"/>
      <c r="ET299" s="1468"/>
      <c r="EU299" s="1468"/>
      <c r="EV299" s="1468"/>
      <c r="EW299" s="1468"/>
      <c r="EX299" s="1468"/>
      <c r="EY299" s="1468"/>
      <c r="EZ299" s="1468"/>
      <c r="FA299" s="1468"/>
      <c r="FB299" s="1468"/>
      <c r="FC299" s="1468"/>
      <c r="FD299" s="1468"/>
      <c r="FE299" s="1468"/>
      <c r="FF299" s="1468"/>
    </row>
    <row r="301" spans="6:162" s="1470" customFormat="1" ht="15.75" customHeight="1">
      <c r="F301" s="1468"/>
      <c r="G301" s="1468"/>
      <c r="H301" s="1468"/>
      <c r="I301" s="1468"/>
      <c r="J301" s="1468"/>
      <c r="K301" s="1468"/>
      <c r="L301" s="1468"/>
      <c r="M301" s="1468"/>
      <c r="N301" s="1468"/>
      <c r="O301" s="1468"/>
      <c r="P301" s="1468"/>
      <c r="Q301" s="1468"/>
      <c r="R301" s="1468"/>
      <c r="S301" s="1468"/>
      <c r="T301" s="1468"/>
      <c r="U301" s="1468"/>
      <c r="V301" s="1468"/>
      <c r="W301" s="1468"/>
      <c r="X301" s="1468"/>
      <c r="Y301" s="1468"/>
      <c r="AA301" s="1468"/>
      <c r="AC301" s="1468"/>
      <c r="AD301" s="1468"/>
      <c r="AE301" s="1468"/>
      <c r="AF301" s="1468"/>
      <c r="AG301" s="1468"/>
      <c r="AH301" s="1469"/>
      <c r="AI301" s="1469"/>
      <c r="AJ301" s="1468"/>
      <c r="AK301" s="1468"/>
      <c r="AL301" s="1468"/>
      <c r="AM301" s="1468"/>
      <c r="AN301" s="1468"/>
      <c r="AO301" s="1468"/>
      <c r="AP301" s="1468"/>
      <c r="AQ301" s="1468"/>
      <c r="AR301" s="1468"/>
      <c r="AS301" s="1468"/>
      <c r="AT301" s="1468"/>
      <c r="AU301" s="1468"/>
      <c r="AV301" s="1468"/>
      <c r="AW301" s="1468"/>
      <c r="AX301" s="1468"/>
      <c r="AY301" s="1468"/>
      <c r="AZ301" s="1468"/>
      <c r="BA301" s="1468"/>
      <c r="BB301" s="1468"/>
      <c r="BC301" s="1468"/>
      <c r="BD301" s="1468"/>
      <c r="BE301" s="1468"/>
      <c r="BF301" s="1468"/>
      <c r="BG301" s="1468"/>
      <c r="BH301" s="1468"/>
      <c r="BI301" s="1468"/>
      <c r="BJ301" s="1468"/>
      <c r="BK301" s="1468"/>
      <c r="BL301" s="1468"/>
      <c r="BM301" s="1468"/>
      <c r="BN301" s="1468"/>
      <c r="BO301" s="1468"/>
      <c r="BP301" s="1468"/>
      <c r="BQ301" s="1468"/>
      <c r="BR301" s="1468"/>
      <c r="BS301" s="1468"/>
      <c r="BT301" s="1468"/>
      <c r="BU301" s="1468"/>
      <c r="BV301" s="1468"/>
      <c r="BW301" s="1468"/>
      <c r="BX301" s="1468"/>
      <c r="BY301" s="1468"/>
      <c r="BZ301" s="1468"/>
      <c r="CA301" s="1468"/>
      <c r="CB301" s="1468"/>
      <c r="CC301" s="1468"/>
      <c r="CD301" s="1468"/>
      <c r="CE301" s="1468"/>
      <c r="CF301" s="1468"/>
      <c r="CG301" s="1468"/>
      <c r="CH301" s="1468"/>
      <c r="CI301" s="1468"/>
      <c r="CJ301" s="1468"/>
      <c r="CK301" s="1468"/>
      <c r="CL301" s="1468"/>
      <c r="CM301" s="1468"/>
      <c r="CN301" s="1468"/>
      <c r="CO301" s="1468"/>
      <c r="CP301" s="1468"/>
      <c r="CQ301" s="1468"/>
      <c r="CR301" s="1468"/>
      <c r="CS301" s="1468"/>
      <c r="CT301" s="1468"/>
      <c r="CU301" s="1468"/>
      <c r="CV301" s="1468"/>
      <c r="CW301" s="1468"/>
      <c r="CX301" s="1468"/>
      <c r="CY301" s="1468"/>
      <c r="CZ301" s="1468"/>
      <c r="DA301" s="1468"/>
      <c r="DB301" s="1468"/>
      <c r="DC301" s="1468"/>
      <c r="DD301" s="1468"/>
      <c r="DE301" s="1468"/>
      <c r="DF301" s="1468"/>
      <c r="DG301" s="1468"/>
      <c r="DH301" s="1468"/>
      <c r="DI301" s="1468"/>
      <c r="DJ301" s="1468"/>
      <c r="DK301" s="1468"/>
      <c r="DL301" s="1468"/>
      <c r="DM301" s="1468"/>
      <c r="DN301" s="1468"/>
      <c r="DO301" s="1468"/>
      <c r="DP301" s="1468"/>
      <c r="DQ301" s="1468"/>
      <c r="DR301" s="1468"/>
      <c r="DS301" s="1468"/>
      <c r="DT301" s="1468"/>
      <c r="DU301" s="1468"/>
      <c r="DV301" s="1468"/>
      <c r="DW301" s="1468"/>
      <c r="DX301" s="1468"/>
      <c r="DY301" s="1468"/>
      <c r="DZ301" s="1468"/>
      <c r="EA301" s="1468"/>
      <c r="EB301" s="1468"/>
      <c r="EC301" s="1468"/>
      <c r="ED301" s="1468"/>
      <c r="EE301" s="1468"/>
      <c r="EF301" s="1468"/>
      <c r="EG301" s="1468"/>
      <c r="EH301" s="1468"/>
      <c r="EI301" s="1468"/>
      <c r="EJ301" s="1468"/>
      <c r="EK301" s="1468"/>
      <c r="EL301" s="1468"/>
      <c r="EM301" s="1468"/>
      <c r="EN301" s="1468"/>
      <c r="EO301" s="1468"/>
      <c r="EP301" s="1468"/>
      <c r="EQ301" s="1468"/>
      <c r="ER301" s="1468"/>
      <c r="ES301" s="1468"/>
      <c r="ET301" s="1468"/>
      <c r="EU301" s="1468"/>
      <c r="EV301" s="1468"/>
      <c r="EW301" s="1468"/>
      <c r="EX301" s="1468"/>
      <c r="EY301" s="1468"/>
      <c r="EZ301" s="1468"/>
      <c r="FA301" s="1468"/>
      <c r="FB301" s="1468"/>
      <c r="FC301" s="1468"/>
      <c r="FD301" s="1468"/>
      <c r="FE301" s="1468"/>
      <c r="FF301" s="1468"/>
    </row>
    <row r="303" spans="6:162" s="1470" customFormat="1" ht="15.75" customHeight="1">
      <c r="F303" s="1468"/>
      <c r="G303" s="1468"/>
      <c r="H303" s="1468"/>
      <c r="I303" s="1468"/>
      <c r="J303" s="1468"/>
      <c r="K303" s="1468"/>
      <c r="L303" s="1468"/>
      <c r="M303" s="1468"/>
      <c r="N303" s="1468"/>
      <c r="O303" s="1468"/>
      <c r="P303" s="1468"/>
      <c r="Q303" s="1468"/>
      <c r="R303" s="1468"/>
      <c r="S303" s="1468"/>
      <c r="T303" s="1468"/>
      <c r="U303" s="1468"/>
      <c r="V303" s="1468"/>
      <c r="W303" s="1468"/>
      <c r="X303" s="1468"/>
      <c r="Y303" s="1468"/>
      <c r="AA303" s="1468"/>
      <c r="AC303" s="1468"/>
      <c r="AD303" s="1468"/>
      <c r="AE303" s="1468"/>
      <c r="AF303" s="1468"/>
      <c r="AG303" s="1468"/>
      <c r="AH303" s="1469"/>
      <c r="AI303" s="1469"/>
      <c r="AJ303" s="1468"/>
      <c r="AK303" s="1468"/>
      <c r="AL303" s="1468"/>
      <c r="AM303" s="1468"/>
      <c r="AN303" s="1468"/>
      <c r="AO303" s="1468"/>
      <c r="AP303" s="1468"/>
      <c r="AQ303" s="1468"/>
      <c r="AR303" s="1468"/>
      <c r="AS303" s="1468"/>
      <c r="AT303" s="1468"/>
      <c r="AU303" s="1468"/>
      <c r="AV303" s="1468"/>
      <c r="AW303" s="1468"/>
      <c r="AX303" s="1468"/>
      <c r="AY303" s="1468"/>
      <c r="AZ303" s="1468"/>
      <c r="BA303" s="1468"/>
      <c r="BB303" s="1468"/>
      <c r="BC303" s="1468"/>
      <c r="BD303" s="1468"/>
      <c r="BE303" s="1468"/>
      <c r="BF303" s="1468"/>
      <c r="BG303" s="1468"/>
      <c r="BH303" s="1468"/>
      <c r="BI303" s="1468"/>
      <c r="BJ303" s="1468"/>
      <c r="BK303" s="1468"/>
      <c r="BL303" s="1468"/>
      <c r="BM303" s="1468"/>
      <c r="BN303" s="1468"/>
      <c r="BO303" s="1468"/>
      <c r="BP303" s="1468"/>
      <c r="BQ303" s="1468"/>
      <c r="BR303" s="1468"/>
      <c r="BS303" s="1468"/>
      <c r="BT303" s="1468"/>
      <c r="BU303" s="1468"/>
      <c r="BV303" s="1468"/>
      <c r="BW303" s="1468"/>
      <c r="BX303" s="1468"/>
      <c r="BY303" s="1468"/>
      <c r="BZ303" s="1468"/>
      <c r="CA303" s="1468"/>
      <c r="CB303" s="1468"/>
      <c r="CC303" s="1468"/>
      <c r="CD303" s="1468"/>
      <c r="CE303" s="1468"/>
      <c r="CF303" s="1468"/>
      <c r="CG303" s="1468"/>
      <c r="CH303" s="1468"/>
      <c r="CI303" s="1468"/>
      <c r="CJ303" s="1468"/>
      <c r="CK303" s="1468"/>
      <c r="CL303" s="1468"/>
      <c r="CM303" s="1468"/>
      <c r="CN303" s="1468"/>
      <c r="CO303" s="1468"/>
      <c r="CP303" s="1468"/>
      <c r="CQ303" s="1468"/>
      <c r="CR303" s="1468"/>
      <c r="CS303" s="1468"/>
      <c r="CT303" s="1468"/>
      <c r="CU303" s="1468"/>
      <c r="CV303" s="1468"/>
      <c r="CW303" s="1468"/>
      <c r="CX303" s="1468"/>
      <c r="CY303" s="1468"/>
      <c r="CZ303" s="1468"/>
      <c r="DA303" s="1468"/>
      <c r="DB303" s="1468"/>
      <c r="DC303" s="1468"/>
      <c r="DD303" s="1468"/>
      <c r="DE303" s="1468"/>
      <c r="DF303" s="1468"/>
      <c r="DG303" s="1468"/>
      <c r="DH303" s="1468"/>
      <c r="DI303" s="1468"/>
      <c r="DJ303" s="1468"/>
      <c r="DK303" s="1468"/>
      <c r="DL303" s="1468"/>
      <c r="DM303" s="1468"/>
      <c r="DN303" s="1468"/>
      <c r="DO303" s="1468"/>
      <c r="DP303" s="1468"/>
      <c r="DQ303" s="1468"/>
      <c r="DR303" s="1468"/>
      <c r="DS303" s="1468"/>
      <c r="DT303" s="1468"/>
      <c r="DU303" s="1468"/>
      <c r="DV303" s="1468"/>
      <c r="DW303" s="1468"/>
      <c r="DX303" s="1468"/>
      <c r="DY303" s="1468"/>
      <c r="DZ303" s="1468"/>
      <c r="EA303" s="1468"/>
      <c r="EB303" s="1468"/>
      <c r="EC303" s="1468"/>
      <c r="ED303" s="1468"/>
      <c r="EE303" s="1468"/>
      <c r="EF303" s="1468"/>
      <c r="EG303" s="1468"/>
      <c r="EH303" s="1468"/>
      <c r="EI303" s="1468"/>
      <c r="EJ303" s="1468"/>
      <c r="EK303" s="1468"/>
      <c r="EL303" s="1468"/>
      <c r="EM303" s="1468"/>
      <c r="EN303" s="1468"/>
      <c r="EO303" s="1468"/>
      <c r="EP303" s="1468"/>
      <c r="EQ303" s="1468"/>
      <c r="ER303" s="1468"/>
      <c r="ES303" s="1468"/>
      <c r="ET303" s="1468"/>
      <c r="EU303" s="1468"/>
      <c r="EV303" s="1468"/>
      <c r="EW303" s="1468"/>
      <c r="EX303" s="1468"/>
      <c r="EY303" s="1468"/>
      <c r="EZ303" s="1468"/>
      <c r="FA303" s="1468"/>
      <c r="FB303" s="1468"/>
      <c r="FC303" s="1468"/>
      <c r="FD303" s="1468"/>
      <c r="FE303" s="1468"/>
      <c r="FF303" s="1468"/>
    </row>
    <row r="305" spans="6:162" s="1470" customFormat="1" ht="15.75" customHeight="1">
      <c r="F305" s="1468"/>
      <c r="G305" s="1468"/>
      <c r="H305" s="1468"/>
      <c r="I305" s="1468"/>
      <c r="J305" s="1468"/>
      <c r="K305" s="1468"/>
      <c r="L305" s="1468"/>
      <c r="M305" s="1468"/>
      <c r="N305" s="1468"/>
      <c r="O305" s="1468"/>
      <c r="P305" s="1468"/>
      <c r="Q305" s="1468"/>
      <c r="R305" s="1468"/>
      <c r="S305" s="1468"/>
      <c r="T305" s="1468"/>
      <c r="U305" s="1468"/>
      <c r="V305" s="1468"/>
      <c r="W305" s="1468"/>
      <c r="X305" s="1468"/>
      <c r="Y305" s="1468"/>
      <c r="AA305" s="1468"/>
      <c r="AC305" s="1468"/>
      <c r="AD305" s="1468"/>
      <c r="AE305" s="1468"/>
      <c r="AF305" s="1468"/>
      <c r="AG305" s="1468"/>
      <c r="AH305" s="1469"/>
      <c r="AI305" s="1469"/>
      <c r="AJ305" s="1468"/>
      <c r="AK305" s="1468"/>
      <c r="AL305" s="1468"/>
      <c r="AM305" s="1468"/>
      <c r="AN305" s="1468"/>
      <c r="AO305" s="1468"/>
      <c r="AP305" s="1468"/>
      <c r="AQ305" s="1468"/>
      <c r="AR305" s="1468"/>
      <c r="AS305" s="1468"/>
      <c r="AT305" s="1468"/>
      <c r="AU305" s="1468"/>
      <c r="AV305" s="1468"/>
      <c r="AW305" s="1468"/>
      <c r="AX305" s="1468"/>
      <c r="AY305" s="1468"/>
      <c r="AZ305" s="1468"/>
      <c r="BA305" s="1468"/>
      <c r="BB305" s="1468"/>
      <c r="BC305" s="1468"/>
      <c r="BD305" s="1468"/>
      <c r="BE305" s="1468"/>
      <c r="BF305" s="1468"/>
      <c r="BG305" s="1468"/>
      <c r="BH305" s="1468"/>
      <c r="BI305" s="1468"/>
      <c r="BJ305" s="1468"/>
      <c r="BK305" s="1468"/>
      <c r="BL305" s="1468"/>
      <c r="BM305" s="1468"/>
      <c r="BN305" s="1468"/>
      <c r="BO305" s="1468"/>
      <c r="BP305" s="1468"/>
      <c r="BQ305" s="1468"/>
      <c r="BR305" s="1468"/>
      <c r="BS305" s="1468"/>
      <c r="BT305" s="1468"/>
      <c r="BU305" s="1468"/>
      <c r="BV305" s="1468"/>
      <c r="BW305" s="1468"/>
      <c r="BX305" s="1468"/>
      <c r="BY305" s="1468"/>
      <c r="BZ305" s="1468"/>
      <c r="CA305" s="1468"/>
      <c r="CB305" s="1468"/>
      <c r="CC305" s="1468"/>
      <c r="CD305" s="1468"/>
      <c r="CE305" s="1468"/>
      <c r="CF305" s="1468"/>
      <c r="CG305" s="1468"/>
      <c r="CH305" s="1468"/>
      <c r="CI305" s="1468"/>
      <c r="CJ305" s="1468"/>
      <c r="CK305" s="1468"/>
      <c r="CL305" s="1468"/>
      <c r="CM305" s="1468"/>
      <c r="CN305" s="1468"/>
      <c r="CO305" s="1468"/>
      <c r="CP305" s="1468"/>
      <c r="CQ305" s="1468"/>
      <c r="CR305" s="1468"/>
      <c r="CS305" s="1468"/>
      <c r="CT305" s="1468"/>
      <c r="CU305" s="1468"/>
      <c r="CV305" s="1468"/>
      <c r="CW305" s="1468"/>
      <c r="CX305" s="1468"/>
      <c r="CY305" s="1468"/>
      <c r="CZ305" s="1468"/>
      <c r="DA305" s="1468"/>
      <c r="DB305" s="1468"/>
      <c r="DC305" s="1468"/>
      <c r="DD305" s="1468"/>
      <c r="DE305" s="1468"/>
      <c r="DF305" s="1468"/>
      <c r="DG305" s="1468"/>
      <c r="DH305" s="1468"/>
      <c r="DI305" s="1468"/>
      <c r="DJ305" s="1468"/>
      <c r="DK305" s="1468"/>
      <c r="DL305" s="1468"/>
      <c r="DM305" s="1468"/>
      <c r="DN305" s="1468"/>
      <c r="DO305" s="1468"/>
      <c r="DP305" s="1468"/>
      <c r="DQ305" s="1468"/>
      <c r="DR305" s="1468"/>
      <c r="DS305" s="1468"/>
      <c r="DT305" s="1468"/>
      <c r="DU305" s="1468"/>
      <c r="DV305" s="1468"/>
      <c r="DW305" s="1468"/>
      <c r="DX305" s="1468"/>
      <c r="DY305" s="1468"/>
      <c r="DZ305" s="1468"/>
      <c r="EA305" s="1468"/>
      <c r="EB305" s="1468"/>
      <c r="EC305" s="1468"/>
      <c r="ED305" s="1468"/>
      <c r="EE305" s="1468"/>
      <c r="EF305" s="1468"/>
      <c r="EG305" s="1468"/>
      <c r="EH305" s="1468"/>
      <c r="EI305" s="1468"/>
      <c r="EJ305" s="1468"/>
      <c r="EK305" s="1468"/>
      <c r="EL305" s="1468"/>
      <c r="EM305" s="1468"/>
      <c r="EN305" s="1468"/>
      <c r="EO305" s="1468"/>
      <c r="EP305" s="1468"/>
      <c r="EQ305" s="1468"/>
      <c r="ER305" s="1468"/>
      <c r="ES305" s="1468"/>
      <c r="ET305" s="1468"/>
      <c r="EU305" s="1468"/>
      <c r="EV305" s="1468"/>
      <c r="EW305" s="1468"/>
      <c r="EX305" s="1468"/>
      <c r="EY305" s="1468"/>
      <c r="EZ305" s="1468"/>
      <c r="FA305" s="1468"/>
      <c r="FB305" s="1468"/>
      <c r="FC305" s="1468"/>
      <c r="FD305" s="1468"/>
      <c r="FE305" s="1468"/>
      <c r="FF305" s="1468"/>
    </row>
    <row r="307" spans="6:162" s="1470" customFormat="1" ht="15.75" customHeight="1">
      <c r="F307" s="1468"/>
      <c r="G307" s="1468"/>
      <c r="H307" s="1468"/>
      <c r="I307" s="1468"/>
      <c r="J307" s="1468"/>
      <c r="K307" s="1468"/>
      <c r="L307" s="1468"/>
      <c r="M307" s="1468"/>
      <c r="N307" s="1468"/>
      <c r="O307" s="1468"/>
      <c r="P307" s="1468"/>
      <c r="Q307" s="1468"/>
      <c r="R307" s="1468"/>
      <c r="S307" s="1468"/>
      <c r="T307" s="1468"/>
      <c r="U307" s="1468"/>
      <c r="V307" s="1468"/>
      <c r="W307" s="1468"/>
      <c r="X307" s="1468"/>
      <c r="Y307" s="1468"/>
      <c r="AA307" s="1468"/>
      <c r="AC307" s="1468"/>
      <c r="AD307" s="1468"/>
      <c r="AE307" s="1468"/>
      <c r="AF307" s="1468"/>
      <c r="AG307" s="1468"/>
      <c r="AH307" s="1469"/>
      <c r="AI307" s="1469"/>
      <c r="AJ307" s="1468"/>
      <c r="AK307" s="1468"/>
      <c r="AL307" s="1468"/>
      <c r="AM307" s="1468"/>
      <c r="AN307" s="1468"/>
      <c r="AO307" s="1468"/>
      <c r="AP307" s="1468"/>
      <c r="AQ307" s="1468"/>
      <c r="AR307" s="1468"/>
      <c r="AS307" s="1468"/>
      <c r="AT307" s="1468"/>
      <c r="AU307" s="1468"/>
      <c r="AV307" s="1468"/>
      <c r="AW307" s="1468"/>
      <c r="AX307" s="1468"/>
      <c r="AY307" s="1468"/>
      <c r="AZ307" s="1468"/>
      <c r="BA307" s="1468"/>
      <c r="BB307" s="1468"/>
      <c r="BC307" s="1468"/>
      <c r="BD307" s="1468"/>
      <c r="BE307" s="1468"/>
      <c r="BF307" s="1468"/>
      <c r="BG307" s="1468"/>
      <c r="BH307" s="1468"/>
      <c r="BI307" s="1468"/>
      <c r="BJ307" s="1468"/>
      <c r="BK307" s="1468"/>
      <c r="BL307" s="1468"/>
      <c r="BM307" s="1468"/>
      <c r="BN307" s="1468"/>
      <c r="BO307" s="1468"/>
      <c r="BP307" s="1468"/>
      <c r="BQ307" s="1468"/>
      <c r="BR307" s="1468"/>
      <c r="BS307" s="1468"/>
      <c r="BT307" s="1468"/>
      <c r="BU307" s="1468"/>
      <c r="BV307" s="1468"/>
      <c r="BW307" s="1468"/>
      <c r="BX307" s="1468"/>
      <c r="BY307" s="1468"/>
      <c r="BZ307" s="1468"/>
      <c r="CA307" s="1468"/>
      <c r="CB307" s="1468"/>
      <c r="CC307" s="1468"/>
      <c r="CD307" s="1468"/>
      <c r="CE307" s="1468"/>
      <c r="CF307" s="1468"/>
      <c r="CG307" s="1468"/>
      <c r="CH307" s="1468"/>
      <c r="CI307" s="1468"/>
      <c r="CJ307" s="1468"/>
      <c r="CK307" s="1468"/>
      <c r="CL307" s="1468"/>
      <c r="CM307" s="1468"/>
      <c r="CN307" s="1468"/>
      <c r="CO307" s="1468"/>
      <c r="CP307" s="1468"/>
      <c r="CQ307" s="1468"/>
      <c r="CR307" s="1468"/>
      <c r="CS307" s="1468"/>
      <c r="CT307" s="1468"/>
      <c r="CU307" s="1468"/>
      <c r="CV307" s="1468"/>
      <c r="CW307" s="1468"/>
      <c r="CX307" s="1468"/>
      <c r="CY307" s="1468"/>
      <c r="CZ307" s="1468"/>
      <c r="DA307" s="1468"/>
      <c r="DB307" s="1468"/>
      <c r="DC307" s="1468"/>
      <c r="DD307" s="1468"/>
      <c r="DE307" s="1468"/>
      <c r="DF307" s="1468"/>
      <c r="DG307" s="1468"/>
      <c r="DH307" s="1468"/>
      <c r="DI307" s="1468"/>
      <c r="DJ307" s="1468"/>
      <c r="DK307" s="1468"/>
      <c r="DL307" s="1468"/>
      <c r="DM307" s="1468"/>
      <c r="DN307" s="1468"/>
      <c r="DO307" s="1468"/>
      <c r="DP307" s="1468"/>
      <c r="DQ307" s="1468"/>
      <c r="DR307" s="1468"/>
      <c r="DS307" s="1468"/>
      <c r="DT307" s="1468"/>
      <c r="DU307" s="1468"/>
      <c r="DV307" s="1468"/>
      <c r="DW307" s="1468"/>
      <c r="DX307" s="1468"/>
      <c r="DY307" s="1468"/>
      <c r="DZ307" s="1468"/>
      <c r="EA307" s="1468"/>
      <c r="EB307" s="1468"/>
      <c r="EC307" s="1468"/>
      <c r="ED307" s="1468"/>
      <c r="EE307" s="1468"/>
      <c r="EF307" s="1468"/>
      <c r="EG307" s="1468"/>
      <c r="EH307" s="1468"/>
      <c r="EI307" s="1468"/>
      <c r="EJ307" s="1468"/>
      <c r="EK307" s="1468"/>
      <c r="EL307" s="1468"/>
      <c r="EM307" s="1468"/>
      <c r="EN307" s="1468"/>
      <c r="EO307" s="1468"/>
      <c r="EP307" s="1468"/>
      <c r="EQ307" s="1468"/>
      <c r="ER307" s="1468"/>
      <c r="ES307" s="1468"/>
      <c r="ET307" s="1468"/>
      <c r="EU307" s="1468"/>
      <c r="EV307" s="1468"/>
      <c r="EW307" s="1468"/>
      <c r="EX307" s="1468"/>
      <c r="EY307" s="1468"/>
      <c r="EZ307" s="1468"/>
      <c r="FA307" s="1468"/>
      <c r="FB307" s="1468"/>
      <c r="FC307" s="1468"/>
      <c r="FD307" s="1468"/>
      <c r="FE307" s="1468"/>
      <c r="FF307" s="1468"/>
    </row>
    <row r="309" spans="6:162" s="1470" customFormat="1" ht="15.75" customHeight="1">
      <c r="F309" s="1468"/>
      <c r="G309" s="1468"/>
      <c r="H309" s="1468"/>
      <c r="I309" s="1468"/>
      <c r="J309" s="1468"/>
      <c r="K309" s="1468"/>
      <c r="L309" s="1468"/>
      <c r="M309" s="1468"/>
      <c r="N309" s="1468"/>
      <c r="O309" s="1468"/>
      <c r="P309" s="1468"/>
      <c r="Q309" s="1468"/>
      <c r="R309" s="1468"/>
      <c r="S309" s="1468"/>
      <c r="T309" s="1468"/>
      <c r="U309" s="1468"/>
      <c r="V309" s="1468"/>
      <c r="W309" s="1468"/>
      <c r="X309" s="1468"/>
      <c r="Y309" s="1468"/>
      <c r="AA309" s="1468"/>
      <c r="AC309" s="1468"/>
      <c r="AD309" s="1468"/>
      <c r="AE309" s="1468"/>
      <c r="AF309" s="1468"/>
      <c r="AG309" s="1468"/>
      <c r="AH309" s="1469"/>
      <c r="AI309" s="1469"/>
      <c r="AJ309" s="1468"/>
      <c r="AK309" s="1468"/>
      <c r="AL309" s="1468"/>
      <c r="AM309" s="1468"/>
      <c r="AN309" s="1468"/>
      <c r="AO309" s="1468"/>
      <c r="AP309" s="1468"/>
      <c r="AQ309" s="1468"/>
      <c r="AR309" s="1468"/>
      <c r="AS309" s="1468"/>
      <c r="AT309" s="1468"/>
      <c r="AU309" s="1468"/>
      <c r="AV309" s="1468"/>
      <c r="AW309" s="1468"/>
      <c r="AX309" s="1468"/>
      <c r="AY309" s="1468"/>
      <c r="AZ309" s="1468"/>
      <c r="BA309" s="1468"/>
      <c r="BB309" s="1468"/>
      <c r="BC309" s="1468"/>
      <c r="BD309" s="1468"/>
      <c r="BE309" s="1468"/>
      <c r="BF309" s="1468"/>
      <c r="BG309" s="1468"/>
      <c r="BH309" s="1468"/>
      <c r="BI309" s="1468"/>
      <c r="BJ309" s="1468"/>
      <c r="BK309" s="1468"/>
      <c r="BL309" s="1468"/>
      <c r="BM309" s="1468"/>
      <c r="BN309" s="1468"/>
      <c r="BO309" s="1468"/>
      <c r="BP309" s="1468"/>
      <c r="BQ309" s="1468"/>
      <c r="BR309" s="1468"/>
      <c r="BS309" s="1468"/>
      <c r="BT309" s="1468"/>
      <c r="BU309" s="1468"/>
      <c r="BV309" s="1468"/>
      <c r="BW309" s="1468"/>
      <c r="BX309" s="1468"/>
      <c r="BY309" s="1468"/>
      <c r="BZ309" s="1468"/>
      <c r="CA309" s="1468"/>
      <c r="CB309" s="1468"/>
      <c r="CC309" s="1468"/>
      <c r="CD309" s="1468"/>
      <c r="CE309" s="1468"/>
      <c r="CF309" s="1468"/>
      <c r="CG309" s="1468"/>
      <c r="CH309" s="1468"/>
      <c r="CI309" s="1468"/>
      <c r="CJ309" s="1468"/>
      <c r="CK309" s="1468"/>
      <c r="CL309" s="1468"/>
      <c r="CM309" s="1468"/>
      <c r="CN309" s="1468"/>
      <c r="CO309" s="1468"/>
      <c r="CP309" s="1468"/>
      <c r="CQ309" s="1468"/>
      <c r="CR309" s="1468"/>
      <c r="CS309" s="1468"/>
      <c r="CT309" s="1468"/>
      <c r="CU309" s="1468"/>
      <c r="CV309" s="1468"/>
      <c r="CW309" s="1468"/>
      <c r="CX309" s="1468"/>
      <c r="CY309" s="1468"/>
      <c r="CZ309" s="1468"/>
      <c r="DA309" s="1468"/>
      <c r="DB309" s="1468"/>
      <c r="DC309" s="1468"/>
      <c r="DD309" s="1468"/>
      <c r="DE309" s="1468"/>
      <c r="DF309" s="1468"/>
      <c r="DG309" s="1468"/>
      <c r="DH309" s="1468"/>
      <c r="DI309" s="1468"/>
      <c r="DJ309" s="1468"/>
      <c r="DK309" s="1468"/>
      <c r="DL309" s="1468"/>
      <c r="DM309" s="1468"/>
      <c r="DN309" s="1468"/>
      <c r="DO309" s="1468"/>
      <c r="DP309" s="1468"/>
      <c r="DQ309" s="1468"/>
      <c r="DR309" s="1468"/>
      <c r="DS309" s="1468"/>
      <c r="DT309" s="1468"/>
      <c r="DU309" s="1468"/>
      <c r="DV309" s="1468"/>
      <c r="DW309" s="1468"/>
      <c r="DX309" s="1468"/>
      <c r="DY309" s="1468"/>
      <c r="DZ309" s="1468"/>
      <c r="EA309" s="1468"/>
      <c r="EB309" s="1468"/>
      <c r="EC309" s="1468"/>
      <c r="ED309" s="1468"/>
      <c r="EE309" s="1468"/>
      <c r="EF309" s="1468"/>
      <c r="EG309" s="1468"/>
      <c r="EH309" s="1468"/>
      <c r="EI309" s="1468"/>
      <c r="EJ309" s="1468"/>
      <c r="EK309" s="1468"/>
      <c r="EL309" s="1468"/>
      <c r="EM309" s="1468"/>
      <c r="EN309" s="1468"/>
      <c r="EO309" s="1468"/>
      <c r="EP309" s="1468"/>
      <c r="EQ309" s="1468"/>
      <c r="ER309" s="1468"/>
      <c r="ES309" s="1468"/>
      <c r="ET309" s="1468"/>
      <c r="EU309" s="1468"/>
      <c r="EV309" s="1468"/>
      <c r="EW309" s="1468"/>
      <c r="EX309" s="1468"/>
      <c r="EY309" s="1468"/>
      <c r="EZ309" s="1468"/>
      <c r="FA309" s="1468"/>
      <c r="FB309" s="1468"/>
      <c r="FC309" s="1468"/>
      <c r="FD309" s="1468"/>
      <c r="FE309" s="1468"/>
      <c r="FF309" s="1468"/>
    </row>
    <row r="311" spans="6:162" s="1470" customFormat="1" ht="15.75" customHeight="1">
      <c r="F311" s="1468"/>
      <c r="G311" s="1468"/>
      <c r="H311" s="1468"/>
      <c r="I311" s="1468"/>
      <c r="J311" s="1468"/>
      <c r="K311" s="1468"/>
      <c r="L311" s="1468"/>
      <c r="M311" s="1468"/>
      <c r="N311" s="1468"/>
      <c r="O311" s="1468"/>
      <c r="P311" s="1468"/>
      <c r="Q311" s="1468"/>
      <c r="R311" s="1468"/>
      <c r="S311" s="1468"/>
      <c r="T311" s="1468"/>
      <c r="U311" s="1468"/>
      <c r="V311" s="1468"/>
      <c r="W311" s="1468"/>
      <c r="X311" s="1468"/>
      <c r="Y311" s="1468"/>
      <c r="AA311" s="1468"/>
      <c r="AC311" s="1468"/>
      <c r="AD311" s="1468"/>
      <c r="AE311" s="1468"/>
      <c r="AF311" s="1468"/>
      <c r="AG311" s="1468"/>
      <c r="AH311" s="1469"/>
      <c r="AI311" s="1469"/>
      <c r="AJ311" s="1468"/>
      <c r="AK311" s="1468"/>
      <c r="AL311" s="1468"/>
      <c r="AM311" s="1468"/>
      <c r="AN311" s="1468"/>
      <c r="AO311" s="1468"/>
      <c r="AP311" s="1468"/>
      <c r="AQ311" s="1468"/>
      <c r="AR311" s="1468"/>
      <c r="AS311" s="1468"/>
      <c r="AT311" s="1468"/>
      <c r="AU311" s="1468"/>
      <c r="AV311" s="1468"/>
      <c r="AW311" s="1468"/>
      <c r="AX311" s="1468"/>
      <c r="AY311" s="1468"/>
      <c r="AZ311" s="1468"/>
      <c r="BA311" s="1468"/>
      <c r="BB311" s="1468"/>
      <c r="BC311" s="1468"/>
      <c r="BD311" s="1468"/>
      <c r="BE311" s="1468"/>
      <c r="BF311" s="1468"/>
      <c r="BG311" s="1468"/>
      <c r="BH311" s="1468"/>
      <c r="BI311" s="1468"/>
      <c r="BJ311" s="1468"/>
      <c r="BK311" s="1468"/>
      <c r="BL311" s="1468"/>
      <c r="BM311" s="1468"/>
      <c r="BN311" s="1468"/>
      <c r="BO311" s="1468"/>
      <c r="BP311" s="1468"/>
      <c r="BQ311" s="1468"/>
      <c r="BR311" s="1468"/>
      <c r="BS311" s="1468"/>
      <c r="BT311" s="1468"/>
      <c r="BU311" s="1468"/>
      <c r="BV311" s="1468"/>
      <c r="BW311" s="1468"/>
      <c r="BX311" s="1468"/>
      <c r="BY311" s="1468"/>
      <c r="BZ311" s="1468"/>
      <c r="CA311" s="1468"/>
      <c r="CB311" s="1468"/>
      <c r="CC311" s="1468"/>
      <c r="CD311" s="1468"/>
      <c r="CE311" s="1468"/>
      <c r="CF311" s="1468"/>
      <c r="CG311" s="1468"/>
      <c r="CH311" s="1468"/>
      <c r="CI311" s="1468"/>
      <c r="CJ311" s="1468"/>
      <c r="CK311" s="1468"/>
      <c r="CL311" s="1468"/>
      <c r="CM311" s="1468"/>
      <c r="CN311" s="1468"/>
      <c r="CO311" s="1468"/>
      <c r="CP311" s="1468"/>
      <c r="CQ311" s="1468"/>
      <c r="CR311" s="1468"/>
      <c r="CS311" s="1468"/>
      <c r="CT311" s="1468"/>
      <c r="CU311" s="1468"/>
      <c r="CV311" s="1468"/>
      <c r="CW311" s="1468"/>
      <c r="CX311" s="1468"/>
      <c r="CY311" s="1468"/>
      <c r="CZ311" s="1468"/>
      <c r="DA311" s="1468"/>
      <c r="DB311" s="1468"/>
      <c r="DC311" s="1468"/>
      <c r="DD311" s="1468"/>
      <c r="DE311" s="1468"/>
      <c r="DF311" s="1468"/>
      <c r="DG311" s="1468"/>
      <c r="DH311" s="1468"/>
      <c r="DI311" s="1468"/>
      <c r="DJ311" s="1468"/>
      <c r="DK311" s="1468"/>
      <c r="DL311" s="1468"/>
      <c r="DM311" s="1468"/>
      <c r="DN311" s="1468"/>
      <c r="DO311" s="1468"/>
      <c r="DP311" s="1468"/>
      <c r="DQ311" s="1468"/>
      <c r="DR311" s="1468"/>
      <c r="DS311" s="1468"/>
      <c r="DT311" s="1468"/>
      <c r="DU311" s="1468"/>
      <c r="DV311" s="1468"/>
      <c r="DW311" s="1468"/>
      <c r="DX311" s="1468"/>
      <c r="DY311" s="1468"/>
      <c r="DZ311" s="1468"/>
      <c r="EA311" s="1468"/>
      <c r="EB311" s="1468"/>
      <c r="EC311" s="1468"/>
      <c r="ED311" s="1468"/>
      <c r="EE311" s="1468"/>
      <c r="EF311" s="1468"/>
      <c r="EG311" s="1468"/>
      <c r="EH311" s="1468"/>
      <c r="EI311" s="1468"/>
      <c r="EJ311" s="1468"/>
      <c r="EK311" s="1468"/>
      <c r="EL311" s="1468"/>
      <c r="EM311" s="1468"/>
      <c r="EN311" s="1468"/>
      <c r="EO311" s="1468"/>
      <c r="EP311" s="1468"/>
      <c r="EQ311" s="1468"/>
      <c r="ER311" s="1468"/>
      <c r="ES311" s="1468"/>
      <c r="ET311" s="1468"/>
      <c r="EU311" s="1468"/>
      <c r="EV311" s="1468"/>
      <c r="EW311" s="1468"/>
      <c r="EX311" s="1468"/>
      <c r="EY311" s="1468"/>
      <c r="EZ311" s="1468"/>
      <c r="FA311" s="1468"/>
      <c r="FB311" s="1468"/>
      <c r="FC311" s="1468"/>
      <c r="FD311" s="1468"/>
      <c r="FE311" s="1468"/>
      <c r="FF311" s="1468"/>
    </row>
    <row r="313" spans="6:162" s="1470" customFormat="1" ht="15.75" customHeight="1">
      <c r="F313" s="1468"/>
      <c r="G313" s="1468"/>
      <c r="H313" s="1468"/>
      <c r="I313" s="1468"/>
      <c r="J313" s="1468"/>
      <c r="K313" s="1468"/>
      <c r="L313" s="1468"/>
      <c r="M313" s="1468"/>
      <c r="N313" s="1468"/>
      <c r="O313" s="1468"/>
      <c r="P313" s="1468"/>
      <c r="Q313" s="1468"/>
      <c r="R313" s="1468"/>
      <c r="S313" s="1468"/>
      <c r="T313" s="1468"/>
      <c r="U313" s="1468"/>
      <c r="V313" s="1468"/>
      <c r="W313" s="1468"/>
      <c r="X313" s="1468"/>
      <c r="Y313" s="1468"/>
      <c r="AA313" s="1468"/>
      <c r="AC313" s="1468"/>
      <c r="AD313" s="1468"/>
      <c r="AE313" s="1468"/>
      <c r="AF313" s="1468"/>
      <c r="AG313" s="1468"/>
      <c r="AH313" s="1469"/>
      <c r="AI313" s="1469"/>
      <c r="AJ313" s="1468"/>
      <c r="AK313" s="1468"/>
      <c r="AL313" s="1468"/>
      <c r="AM313" s="1468"/>
      <c r="AN313" s="1468"/>
      <c r="AO313" s="1468"/>
      <c r="AP313" s="1468"/>
      <c r="AQ313" s="1468"/>
      <c r="AR313" s="1468"/>
      <c r="AS313" s="1468"/>
      <c r="AT313" s="1468"/>
      <c r="AU313" s="1468"/>
      <c r="AV313" s="1468"/>
      <c r="AW313" s="1468"/>
      <c r="AX313" s="1468"/>
      <c r="AY313" s="1468"/>
      <c r="AZ313" s="1468"/>
      <c r="BA313" s="1468"/>
      <c r="BB313" s="1468"/>
      <c r="BC313" s="1468"/>
      <c r="BD313" s="1468"/>
      <c r="BE313" s="1468"/>
      <c r="BF313" s="1468"/>
      <c r="BG313" s="1468"/>
      <c r="BH313" s="1468"/>
      <c r="BI313" s="1468"/>
      <c r="BJ313" s="1468"/>
      <c r="BK313" s="1468"/>
      <c r="BL313" s="1468"/>
      <c r="BM313" s="1468"/>
      <c r="BN313" s="1468"/>
      <c r="BO313" s="1468"/>
      <c r="BP313" s="1468"/>
      <c r="BQ313" s="1468"/>
      <c r="BR313" s="1468"/>
      <c r="BS313" s="1468"/>
      <c r="BT313" s="1468"/>
      <c r="BU313" s="1468"/>
      <c r="BV313" s="1468"/>
      <c r="BW313" s="1468"/>
      <c r="BX313" s="1468"/>
      <c r="BY313" s="1468"/>
      <c r="BZ313" s="1468"/>
      <c r="CA313" s="1468"/>
      <c r="CB313" s="1468"/>
      <c r="CC313" s="1468"/>
      <c r="CD313" s="1468"/>
      <c r="CE313" s="1468"/>
      <c r="CF313" s="1468"/>
      <c r="CG313" s="1468"/>
      <c r="CH313" s="1468"/>
      <c r="CI313" s="1468"/>
      <c r="CJ313" s="1468"/>
      <c r="CK313" s="1468"/>
      <c r="CL313" s="1468"/>
      <c r="CM313" s="1468"/>
      <c r="CN313" s="1468"/>
      <c r="CO313" s="1468"/>
      <c r="CP313" s="1468"/>
      <c r="CQ313" s="1468"/>
      <c r="CR313" s="1468"/>
      <c r="CS313" s="1468"/>
      <c r="CT313" s="1468"/>
      <c r="CU313" s="1468"/>
      <c r="CV313" s="1468"/>
      <c r="CW313" s="1468"/>
      <c r="CX313" s="1468"/>
      <c r="CY313" s="1468"/>
      <c r="CZ313" s="1468"/>
      <c r="DA313" s="1468"/>
      <c r="DB313" s="1468"/>
      <c r="DC313" s="1468"/>
      <c r="DD313" s="1468"/>
      <c r="DE313" s="1468"/>
      <c r="DF313" s="1468"/>
      <c r="DG313" s="1468"/>
      <c r="DH313" s="1468"/>
      <c r="DI313" s="1468"/>
      <c r="DJ313" s="1468"/>
      <c r="DK313" s="1468"/>
      <c r="DL313" s="1468"/>
      <c r="DM313" s="1468"/>
      <c r="DN313" s="1468"/>
      <c r="DO313" s="1468"/>
      <c r="DP313" s="1468"/>
      <c r="DQ313" s="1468"/>
      <c r="DR313" s="1468"/>
      <c r="DS313" s="1468"/>
      <c r="DT313" s="1468"/>
      <c r="DU313" s="1468"/>
      <c r="DV313" s="1468"/>
      <c r="DW313" s="1468"/>
      <c r="DX313" s="1468"/>
      <c r="DY313" s="1468"/>
      <c r="DZ313" s="1468"/>
      <c r="EA313" s="1468"/>
      <c r="EB313" s="1468"/>
      <c r="EC313" s="1468"/>
      <c r="ED313" s="1468"/>
      <c r="EE313" s="1468"/>
      <c r="EF313" s="1468"/>
      <c r="EG313" s="1468"/>
      <c r="EH313" s="1468"/>
      <c r="EI313" s="1468"/>
      <c r="EJ313" s="1468"/>
      <c r="EK313" s="1468"/>
      <c r="EL313" s="1468"/>
      <c r="EM313" s="1468"/>
      <c r="EN313" s="1468"/>
      <c r="EO313" s="1468"/>
      <c r="EP313" s="1468"/>
      <c r="EQ313" s="1468"/>
      <c r="ER313" s="1468"/>
      <c r="ES313" s="1468"/>
      <c r="ET313" s="1468"/>
      <c r="EU313" s="1468"/>
      <c r="EV313" s="1468"/>
      <c r="EW313" s="1468"/>
      <c r="EX313" s="1468"/>
      <c r="EY313" s="1468"/>
      <c r="EZ313" s="1468"/>
      <c r="FA313" s="1468"/>
      <c r="FB313" s="1468"/>
      <c r="FC313" s="1468"/>
      <c r="FD313" s="1468"/>
      <c r="FE313" s="1468"/>
      <c r="FF313" s="1468"/>
    </row>
    <row r="315" spans="6:162" s="1470" customFormat="1" ht="15.75" customHeight="1">
      <c r="F315" s="1468"/>
      <c r="G315" s="1468"/>
      <c r="H315" s="1468"/>
      <c r="I315" s="1468"/>
      <c r="J315" s="1468"/>
      <c r="K315" s="1468"/>
      <c r="L315" s="1468"/>
      <c r="M315" s="1468"/>
      <c r="N315" s="1468"/>
      <c r="O315" s="1468"/>
      <c r="P315" s="1468"/>
      <c r="Q315" s="1468"/>
      <c r="R315" s="1468"/>
      <c r="S315" s="1468"/>
      <c r="T315" s="1468"/>
      <c r="U315" s="1468"/>
      <c r="V315" s="1468"/>
      <c r="W315" s="1468"/>
      <c r="X315" s="1468"/>
      <c r="Y315" s="1468"/>
      <c r="AA315" s="1468"/>
      <c r="AC315" s="1468"/>
      <c r="AD315" s="1468"/>
      <c r="AE315" s="1468"/>
      <c r="AF315" s="1468"/>
      <c r="AG315" s="1468"/>
      <c r="AH315" s="1469"/>
      <c r="AI315" s="1469"/>
      <c r="AJ315" s="1468"/>
      <c r="AK315" s="1468"/>
      <c r="AL315" s="1468"/>
      <c r="AM315" s="1468"/>
      <c r="AN315" s="1468"/>
      <c r="AO315" s="1468"/>
      <c r="AP315" s="1468"/>
      <c r="AQ315" s="1468"/>
      <c r="AR315" s="1468"/>
      <c r="AS315" s="1468"/>
      <c r="AT315" s="1468"/>
      <c r="AU315" s="1468"/>
      <c r="AV315" s="1468"/>
      <c r="AW315" s="1468"/>
      <c r="AX315" s="1468"/>
      <c r="AY315" s="1468"/>
      <c r="AZ315" s="1468"/>
      <c r="BA315" s="1468"/>
      <c r="BB315" s="1468"/>
      <c r="BC315" s="1468"/>
      <c r="BD315" s="1468"/>
      <c r="BE315" s="1468"/>
      <c r="BF315" s="1468"/>
      <c r="BG315" s="1468"/>
      <c r="BH315" s="1468"/>
      <c r="BI315" s="1468"/>
      <c r="BJ315" s="1468"/>
      <c r="BK315" s="1468"/>
      <c r="BL315" s="1468"/>
      <c r="BM315" s="1468"/>
      <c r="BN315" s="1468"/>
      <c r="BO315" s="1468"/>
      <c r="BP315" s="1468"/>
      <c r="BQ315" s="1468"/>
      <c r="BR315" s="1468"/>
      <c r="BS315" s="1468"/>
      <c r="BT315" s="1468"/>
      <c r="BU315" s="1468"/>
      <c r="BV315" s="1468"/>
      <c r="BW315" s="1468"/>
      <c r="BX315" s="1468"/>
      <c r="BY315" s="1468"/>
      <c r="BZ315" s="1468"/>
      <c r="CA315" s="1468"/>
      <c r="CB315" s="1468"/>
      <c r="CC315" s="1468"/>
      <c r="CD315" s="1468"/>
      <c r="CE315" s="1468"/>
      <c r="CF315" s="1468"/>
      <c r="CG315" s="1468"/>
      <c r="CH315" s="1468"/>
      <c r="CI315" s="1468"/>
      <c r="CJ315" s="1468"/>
      <c r="CK315" s="1468"/>
      <c r="CL315" s="1468"/>
      <c r="CM315" s="1468"/>
      <c r="CN315" s="1468"/>
      <c r="CO315" s="1468"/>
      <c r="CP315" s="1468"/>
      <c r="CQ315" s="1468"/>
      <c r="CR315" s="1468"/>
      <c r="CS315" s="1468"/>
      <c r="CT315" s="1468"/>
      <c r="CU315" s="1468"/>
      <c r="CV315" s="1468"/>
      <c r="CW315" s="1468"/>
      <c r="CX315" s="1468"/>
      <c r="CY315" s="1468"/>
      <c r="CZ315" s="1468"/>
      <c r="DA315" s="1468"/>
      <c r="DB315" s="1468"/>
      <c r="DC315" s="1468"/>
      <c r="DD315" s="1468"/>
      <c r="DE315" s="1468"/>
      <c r="DF315" s="1468"/>
      <c r="DG315" s="1468"/>
      <c r="DH315" s="1468"/>
      <c r="DI315" s="1468"/>
      <c r="DJ315" s="1468"/>
      <c r="DK315" s="1468"/>
      <c r="DL315" s="1468"/>
      <c r="DM315" s="1468"/>
      <c r="DN315" s="1468"/>
      <c r="DO315" s="1468"/>
      <c r="DP315" s="1468"/>
      <c r="DQ315" s="1468"/>
      <c r="DR315" s="1468"/>
      <c r="DS315" s="1468"/>
      <c r="DT315" s="1468"/>
      <c r="DU315" s="1468"/>
      <c r="DV315" s="1468"/>
      <c r="DW315" s="1468"/>
      <c r="DX315" s="1468"/>
      <c r="DY315" s="1468"/>
      <c r="DZ315" s="1468"/>
      <c r="EA315" s="1468"/>
      <c r="EB315" s="1468"/>
      <c r="EC315" s="1468"/>
      <c r="ED315" s="1468"/>
      <c r="EE315" s="1468"/>
      <c r="EF315" s="1468"/>
      <c r="EG315" s="1468"/>
      <c r="EH315" s="1468"/>
      <c r="EI315" s="1468"/>
      <c r="EJ315" s="1468"/>
      <c r="EK315" s="1468"/>
      <c r="EL315" s="1468"/>
      <c r="EM315" s="1468"/>
      <c r="EN315" s="1468"/>
      <c r="EO315" s="1468"/>
      <c r="EP315" s="1468"/>
      <c r="EQ315" s="1468"/>
      <c r="ER315" s="1468"/>
      <c r="ES315" s="1468"/>
      <c r="ET315" s="1468"/>
      <c r="EU315" s="1468"/>
      <c r="EV315" s="1468"/>
      <c r="EW315" s="1468"/>
      <c r="EX315" s="1468"/>
      <c r="EY315" s="1468"/>
      <c r="EZ315" s="1468"/>
      <c r="FA315" s="1468"/>
      <c r="FB315" s="1468"/>
      <c r="FC315" s="1468"/>
      <c r="FD315" s="1468"/>
      <c r="FE315" s="1468"/>
      <c r="FF315" s="1468"/>
    </row>
    <row r="317" spans="6:162" s="1470" customFormat="1" ht="15.75" customHeight="1">
      <c r="F317" s="1468"/>
      <c r="G317" s="1468"/>
      <c r="H317" s="1468"/>
      <c r="I317" s="1468"/>
      <c r="J317" s="1468"/>
      <c r="K317" s="1468"/>
      <c r="L317" s="1468"/>
      <c r="M317" s="1468"/>
      <c r="N317" s="1468"/>
      <c r="O317" s="1468"/>
      <c r="P317" s="1468"/>
      <c r="Q317" s="1468"/>
      <c r="R317" s="1468"/>
      <c r="S317" s="1468"/>
      <c r="T317" s="1468"/>
      <c r="U317" s="1468"/>
      <c r="V317" s="1468"/>
      <c r="W317" s="1468"/>
      <c r="X317" s="1468"/>
      <c r="Y317" s="1468"/>
      <c r="AA317" s="1468"/>
      <c r="AC317" s="1468"/>
      <c r="AD317" s="1468"/>
      <c r="AE317" s="1468"/>
      <c r="AF317" s="1468"/>
      <c r="AG317" s="1468"/>
      <c r="AH317" s="1469"/>
      <c r="AI317" s="1469"/>
      <c r="AJ317" s="1468"/>
      <c r="AK317" s="1468"/>
      <c r="AL317" s="1468"/>
      <c r="AM317" s="1468"/>
      <c r="AN317" s="1468"/>
      <c r="AO317" s="1468"/>
      <c r="AP317" s="1468"/>
      <c r="AQ317" s="1468"/>
      <c r="AR317" s="1468"/>
      <c r="AS317" s="1468"/>
      <c r="AT317" s="1468"/>
      <c r="AU317" s="1468"/>
      <c r="AV317" s="1468"/>
      <c r="AW317" s="1468"/>
      <c r="AX317" s="1468"/>
      <c r="AY317" s="1468"/>
      <c r="AZ317" s="1468"/>
      <c r="BA317" s="1468"/>
      <c r="BB317" s="1468"/>
      <c r="BC317" s="1468"/>
      <c r="BD317" s="1468"/>
      <c r="BE317" s="1468"/>
      <c r="BF317" s="1468"/>
      <c r="BG317" s="1468"/>
      <c r="BH317" s="1468"/>
      <c r="BI317" s="1468"/>
      <c r="BJ317" s="1468"/>
      <c r="BK317" s="1468"/>
      <c r="BL317" s="1468"/>
      <c r="BM317" s="1468"/>
      <c r="BN317" s="1468"/>
      <c r="BO317" s="1468"/>
      <c r="BP317" s="1468"/>
      <c r="BQ317" s="1468"/>
      <c r="BR317" s="1468"/>
      <c r="BS317" s="1468"/>
      <c r="BT317" s="1468"/>
      <c r="BU317" s="1468"/>
      <c r="BV317" s="1468"/>
      <c r="BW317" s="1468"/>
      <c r="BX317" s="1468"/>
      <c r="BY317" s="1468"/>
      <c r="BZ317" s="1468"/>
      <c r="CA317" s="1468"/>
      <c r="CB317" s="1468"/>
      <c r="CC317" s="1468"/>
      <c r="CD317" s="1468"/>
      <c r="CE317" s="1468"/>
      <c r="CF317" s="1468"/>
      <c r="CG317" s="1468"/>
      <c r="CH317" s="1468"/>
      <c r="CI317" s="1468"/>
      <c r="CJ317" s="1468"/>
      <c r="CK317" s="1468"/>
      <c r="CL317" s="1468"/>
      <c r="CM317" s="1468"/>
      <c r="CN317" s="1468"/>
      <c r="CO317" s="1468"/>
      <c r="CP317" s="1468"/>
      <c r="CQ317" s="1468"/>
      <c r="CR317" s="1468"/>
      <c r="CS317" s="1468"/>
      <c r="CT317" s="1468"/>
      <c r="CU317" s="1468"/>
      <c r="CV317" s="1468"/>
      <c r="CW317" s="1468"/>
      <c r="CX317" s="1468"/>
      <c r="CY317" s="1468"/>
      <c r="CZ317" s="1468"/>
      <c r="DA317" s="1468"/>
      <c r="DB317" s="1468"/>
      <c r="DC317" s="1468"/>
      <c r="DD317" s="1468"/>
      <c r="DE317" s="1468"/>
      <c r="DF317" s="1468"/>
      <c r="DG317" s="1468"/>
      <c r="DH317" s="1468"/>
      <c r="DI317" s="1468"/>
      <c r="DJ317" s="1468"/>
      <c r="DK317" s="1468"/>
      <c r="DL317" s="1468"/>
      <c r="DM317" s="1468"/>
      <c r="DN317" s="1468"/>
      <c r="DO317" s="1468"/>
      <c r="DP317" s="1468"/>
      <c r="DQ317" s="1468"/>
      <c r="DR317" s="1468"/>
      <c r="DS317" s="1468"/>
      <c r="DT317" s="1468"/>
      <c r="DU317" s="1468"/>
      <c r="DV317" s="1468"/>
      <c r="DW317" s="1468"/>
      <c r="DX317" s="1468"/>
      <c r="DY317" s="1468"/>
      <c r="DZ317" s="1468"/>
      <c r="EA317" s="1468"/>
      <c r="EB317" s="1468"/>
      <c r="EC317" s="1468"/>
      <c r="ED317" s="1468"/>
      <c r="EE317" s="1468"/>
      <c r="EF317" s="1468"/>
      <c r="EG317" s="1468"/>
      <c r="EH317" s="1468"/>
      <c r="EI317" s="1468"/>
      <c r="EJ317" s="1468"/>
      <c r="EK317" s="1468"/>
      <c r="EL317" s="1468"/>
      <c r="EM317" s="1468"/>
      <c r="EN317" s="1468"/>
      <c r="EO317" s="1468"/>
      <c r="EP317" s="1468"/>
      <c r="EQ317" s="1468"/>
      <c r="ER317" s="1468"/>
      <c r="ES317" s="1468"/>
      <c r="ET317" s="1468"/>
      <c r="EU317" s="1468"/>
      <c r="EV317" s="1468"/>
      <c r="EW317" s="1468"/>
      <c r="EX317" s="1468"/>
      <c r="EY317" s="1468"/>
      <c r="EZ317" s="1468"/>
      <c r="FA317" s="1468"/>
      <c r="FB317" s="1468"/>
      <c r="FC317" s="1468"/>
      <c r="FD317" s="1468"/>
      <c r="FE317" s="1468"/>
      <c r="FF317" s="1468"/>
    </row>
    <row r="319" spans="6:162" s="1470" customFormat="1" ht="15.75" customHeight="1">
      <c r="F319" s="1468"/>
      <c r="G319" s="1468"/>
      <c r="H319" s="1468"/>
      <c r="I319" s="1468"/>
      <c r="J319" s="1468"/>
      <c r="K319" s="1468"/>
      <c r="L319" s="1468"/>
      <c r="M319" s="1468"/>
      <c r="N319" s="1468"/>
      <c r="O319" s="1468"/>
      <c r="P319" s="1468"/>
      <c r="Q319" s="1468"/>
      <c r="R319" s="1468"/>
      <c r="S319" s="1468"/>
      <c r="T319" s="1468"/>
      <c r="U319" s="1468"/>
      <c r="V319" s="1468"/>
      <c r="W319" s="1468"/>
      <c r="X319" s="1468"/>
      <c r="Y319" s="1468"/>
      <c r="AA319" s="1468"/>
      <c r="AC319" s="1468"/>
      <c r="AD319" s="1468"/>
      <c r="AE319" s="1468"/>
      <c r="AF319" s="1468"/>
      <c r="AG319" s="1468"/>
      <c r="AH319" s="1469"/>
      <c r="AI319" s="1469"/>
      <c r="AJ319" s="1468"/>
      <c r="AK319" s="1468"/>
      <c r="AL319" s="1468"/>
      <c r="AM319" s="1468"/>
      <c r="AN319" s="1468"/>
      <c r="AO319" s="1468"/>
      <c r="AP319" s="1468"/>
      <c r="AQ319" s="1468"/>
      <c r="AR319" s="1468"/>
      <c r="AS319" s="1468"/>
      <c r="AT319" s="1468"/>
      <c r="AU319" s="1468"/>
      <c r="AV319" s="1468"/>
      <c r="AW319" s="1468"/>
      <c r="AX319" s="1468"/>
      <c r="AY319" s="1468"/>
      <c r="AZ319" s="1468"/>
      <c r="BA319" s="1468"/>
      <c r="BB319" s="1468"/>
      <c r="BC319" s="1468"/>
      <c r="BD319" s="1468"/>
      <c r="BE319" s="1468"/>
      <c r="BF319" s="1468"/>
      <c r="BG319" s="1468"/>
      <c r="BH319" s="1468"/>
      <c r="BI319" s="1468"/>
      <c r="BJ319" s="1468"/>
      <c r="BK319" s="1468"/>
      <c r="BL319" s="1468"/>
      <c r="BM319" s="1468"/>
      <c r="BN319" s="1468"/>
      <c r="BO319" s="1468"/>
      <c r="BP319" s="1468"/>
      <c r="BQ319" s="1468"/>
      <c r="BR319" s="1468"/>
      <c r="BS319" s="1468"/>
      <c r="BT319" s="1468"/>
      <c r="BU319" s="1468"/>
      <c r="BV319" s="1468"/>
      <c r="BW319" s="1468"/>
      <c r="BX319" s="1468"/>
      <c r="BY319" s="1468"/>
      <c r="BZ319" s="1468"/>
      <c r="CA319" s="1468"/>
      <c r="CB319" s="1468"/>
      <c r="CC319" s="1468"/>
      <c r="CD319" s="1468"/>
      <c r="CE319" s="1468"/>
      <c r="CF319" s="1468"/>
      <c r="CG319" s="1468"/>
      <c r="CH319" s="1468"/>
      <c r="CI319" s="1468"/>
      <c r="CJ319" s="1468"/>
      <c r="CK319" s="1468"/>
      <c r="CL319" s="1468"/>
      <c r="CM319" s="1468"/>
      <c r="CN319" s="1468"/>
      <c r="CO319" s="1468"/>
      <c r="CP319" s="1468"/>
      <c r="CQ319" s="1468"/>
      <c r="CR319" s="1468"/>
      <c r="CS319" s="1468"/>
      <c r="CT319" s="1468"/>
      <c r="CU319" s="1468"/>
      <c r="CV319" s="1468"/>
      <c r="CW319" s="1468"/>
      <c r="CX319" s="1468"/>
      <c r="CY319" s="1468"/>
      <c r="CZ319" s="1468"/>
      <c r="DA319" s="1468"/>
      <c r="DB319" s="1468"/>
      <c r="DC319" s="1468"/>
      <c r="DD319" s="1468"/>
      <c r="DE319" s="1468"/>
      <c r="DF319" s="1468"/>
      <c r="DG319" s="1468"/>
      <c r="DH319" s="1468"/>
      <c r="DI319" s="1468"/>
      <c r="DJ319" s="1468"/>
      <c r="DK319" s="1468"/>
      <c r="DL319" s="1468"/>
      <c r="DM319" s="1468"/>
      <c r="DN319" s="1468"/>
      <c r="DO319" s="1468"/>
      <c r="DP319" s="1468"/>
      <c r="DQ319" s="1468"/>
      <c r="DR319" s="1468"/>
      <c r="DS319" s="1468"/>
      <c r="DT319" s="1468"/>
      <c r="DU319" s="1468"/>
      <c r="DV319" s="1468"/>
      <c r="DW319" s="1468"/>
      <c r="DX319" s="1468"/>
      <c r="DY319" s="1468"/>
      <c r="DZ319" s="1468"/>
      <c r="EA319" s="1468"/>
      <c r="EB319" s="1468"/>
      <c r="EC319" s="1468"/>
      <c r="ED319" s="1468"/>
      <c r="EE319" s="1468"/>
      <c r="EF319" s="1468"/>
      <c r="EG319" s="1468"/>
      <c r="EH319" s="1468"/>
      <c r="EI319" s="1468"/>
      <c r="EJ319" s="1468"/>
      <c r="EK319" s="1468"/>
      <c r="EL319" s="1468"/>
      <c r="EM319" s="1468"/>
      <c r="EN319" s="1468"/>
      <c r="EO319" s="1468"/>
      <c r="EP319" s="1468"/>
      <c r="EQ319" s="1468"/>
      <c r="ER319" s="1468"/>
      <c r="ES319" s="1468"/>
      <c r="ET319" s="1468"/>
      <c r="EU319" s="1468"/>
      <c r="EV319" s="1468"/>
      <c r="EW319" s="1468"/>
      <c r="EX319" s="1468"/>
      <c r="EY319" s="1468"/>
      <c r="EZ319" s="1468"/>
      <c r="FA319" s="1468"/>
      <c r="FB319" s="1468"/>
      <c r="FC319" s="1468"/>
      <c r="FD319" s="1468"/>
      <c r="FE319" s="1468"/>
      <c r="FF319" s="1468"/>
    </row>
    <row r="321" spans="6:162" s="1470" customFormat="1" ht="15.75" customHeight="1">
      <c r="F321" s="1468"/>
      <c r="G321" s="1468"/>
      <c r="H321" s="1468"/>
      <c r="I321" s="1468"/>
      <c r="J321" s="1468"/>
      <c r="K321" s="1468"/>
      <c r="L321" s="1468"/>
      <c r="M321" s="1468"/>
      <c r="N321" s="1468"/>
      <c r="O321" s="1468"/>
      <c r="P321" s="1468"/>
      <c r="Q321" s="1468"/>
      <c r="R321" s="1468"/>
      <c r="S321" s="1468"/>
      <c r="T321" s="1468"/>
      <c r="U321" s="1468"/>
      <c r="V321" s="1468"/>
      <c r="W321" s="1468"/>
      <c r="X321" s="1468"/>
      <c r="Y321" s="1468"/>
      <c r="AA321" s="1468"/>
      <c r="AC321" s="1468"/>
      <c r="AD321" s="1468"/>
      <c r="AE321" s="1468"/>
      <c r="AF321" s="1468"/>
      <c r="AG321" s="1468"/>
      <c r="AH321" s="1469"/>
      <c r="AI321" s="1469"/>
      <c r="AJ321" s="1468"/>
      <c r="AK321" s="1468"/>
      <c r="AL321" s="1468"/>
      <c r="AM321" s="1468"/>
      <c r="AN321" s="1468"/>
      <c r="AO321" s="1468"/>
      <c r="AP321" s="1468"/>
      <c r="AQ321" s="1468"/>
      <c r="AR321" s="1468"/>
      <c r="AS321" s="1468"/>
      <c r="AT321" s="1468"/>
      <c r="AU321" s="1468"/>
      <c r="AV321" s="1468"/>
      <c r="AW321" s="1468"/>
      <c r="AX321" s="1468"/>
      <c r="AY321" s="1468"/>
      <c r="AZ321" s="1468"/>
      <c r="BA321" s="1468"/>
      <c r="BB321" s="1468"/>
      <c r="BC321" s="1468"/>
      <c r="BD321" s="1468"/>
      <c r="BE321" s="1468"/>
      <c r="BF321" s="1468"/>
      <c r="BG321" s="1468"/>
      <c r="BH321" s="1468"/>
      <c r="BI321" s="1468"/>
      <c r="BJ321" s="1468"/>
      <c r="BK321" s="1468"/>
      <c r="BL321" s="1468"/>
      <c r="BM321" s="1468"/>
      <c r="BN321" s="1468"/>
      <c r="BO321" s="1468"/>
      <c r="BP321" s="1468"/>
      <c r="BQ321" s="1468"/>
      <c r="BR321" s="1468"/>
      <c r="BS321" s="1468"/>
      <c r="BT321" s="1468"/>
      <c r="BU321" s="1468"/>
      <c r="BV321" s="1468"/>
      <c r="BW321" s="1468"/>
      <c r="BX321" s="1468"/>
      <c r="BY321" s="1468"/>
      <c r="BZ321" s="1468"/>
      <c r="CA321" s="1468"/>
      <c r="CB321" s="1468"/>
      <c r="CC321" s="1468"/>
      <c r="CD321" s="1468"/>
      <c r="CE321" s="1468"/>
      <c r="CF321" s="1468"/>
      <c r="CG321" s="1468"/>
      <c r="CH321" s="1468"/>
      <c r="CI321" s="1468"/>
      <c r="CJ321" s="1468"/>
      <c r="CK321" s="1468"/>
      <c r="CL321" s="1468"/>
      <c r="CM321" s="1468"/>
      <c r="CN321" s="1468"/>
      <c r="CO321" s="1468"/>
      <c r="CP321" s="1468"/>
      <c r="CQ321" s="1468"/>
      <c r="CR321" s="1468"/>
      <c r="CS321" s="1468"/>
      <c r="CT321" s="1468"/>
      <c r="CU321" s="1468"/>
      <c r="CV321" s="1468"/>
      <c r="CW321" s="1468"/>
      <c r="CX321" s="1468"/>
      <c r="CY321" s="1468"/>
      <c r="CZ321" s="1468"/>
      <c r="DA321" s="1468"/>
      <c r="DB321" s="1468"/>
      <c r="DC321" s="1468"/>
      <c r="DD321" s="1468"/>
      <c r="DE321" s="1468"/>
      <c r="DF321" s="1468"/>
      <c r="DG321" s="1468"/>
      <c r="DH321" s="1468"/>
      <c r="DI321" s="1468"/>
      <c r="DJ321" s="1468"/>
      <c r="DK321" s="1468"/>
      <c r="DL321" s="1468"/>
      <c r="DM321" s="1468"/>
      <c r="DN321" s="1468"/>
      <c r="DO321" s="1468"/>
      <c r="DP321" s="1468"/>
      <c r="DQ321" s="1468"/>
      <c r="DR321" s="1468"/>
      <c r="DS321" s="1468"/>
      <c r="DT321" s="1468"/>
      <c r="DU321" s="1468"/>
      <c r="DV321" s="1468"/>
      <c r="DW321" s="1468"/>
      <c r="DX321" s="1468"/>
      <c r="DY321" s="1468"/>
      <c r="DZ321" s="1468"/>
      <c r="EA321" s="1468"/>
      <c r="EB321" s="1468"/>
      <c r="EC321" s="1468"/>
      <c r="ED321" s="1468"/>
      <c r="EE321" s="1468"/>
      <c r="EF321" s="1468"/>
      <c r="EG321" s="1468"/>
      <c r="EH321" s="1468"/>
      <c r="EI321" s="1468"/>
      <c r="EJ321" s="1468"/>
      <c r="EK321" s="1468"/>
      <c r="EL321" s="1468"/>
      <c r="EM321" s="1468"/>
      <c r="EN321" s="1468"/>
      <c r="EO321" s="1468"/>
      <c r="EP321" s="1468"/>
      <c r="EQ321" s="1468"/>
      <c r="ER321" s="1468"/>
      <c r="ES321" s="1468"/>
      <c r="ET321" s="1468"/>
      <c r="EU321" s="1468"/>
      <c r="EV321" s="1468"/>
      <c r="EW321" s="1468"/>
      <c r="EX321" s="1468"/>
      <c r="EY321" s="1468"/>
      <c r="EZ321" s="1468"/>
      <c r="FA321" s="1468"/>
      <c r="FB321" s="1468"/>
      <c r="FC321" s="1468"/>
      <c r="FD321" s="1468"/>
      <c r="FE321" s="1468"/>
      <c r="FF321" s="1468"/>
    </row>
    <row r="323" spans="6:162" s="1470" customFormat="1" ht="15.75" customHeight="1">
      <c r="F323" s="1468"/>
      <c r="G323" s="1468"/>
      <c r="H323" s="1468"/>
      <c r="I323" s="1468"/>
      <c r="J323" s="1468"/>
      <c r="K323" s="1468"/>
      <c r="L323" s="1468"/>
      <c r="M323" s="1468"/>
      <c r="N323" s="1468"/>
      <c r="O323" s="1468"/>
      <c r="P323" s="1468"/>
      <c r="Q323" s="1468"/>
      <c r="R323" s="1468"/>
      <c r="S323" s="1468"/>
      <c r="T323" s="1468"/>
      <c r="U323" s="1468"/>
      <c r="V323" s="1468"/>
      <c r="W323" s="1468"/>
      <c r="X323" s="1468"/>
      <c r="Y323" s="1468"/>
      <c r="AA323" s="1468"/>
      <c r="AC323" s="1468"/>
      <c r="AD323" s="1468"/>
      <c r="AE323" s="1468"/>
      <c r="AF323" s="1468"/>
      <c r="AG323" s="1468"/>
      <c r="AH323" s="1469"/>
      <c r="AI323" s="1469"/>
      <c r="AJ323" s="1468"/>
      <c r="AK323" s="1468"/>
      <c r="AL323" s="1468"/>
      <c r="AM323" s="1468"/>
      <c r="AN323" s="1468"/>
      <c r="AO323" s="1468"/>
      <c r="AP323" s="1468"/>
      <c r="AQ323" s="1468"/>
      <c r="AR323" s="1468"/>
      <c r="AS323" s="1468"/>
      <c r="AT323" s="1468"/>
      <c r="AU323" s="1468"/>
      <c r="AV323" s="1468"/>
      <c r="AW323" s="1468"/>
      <c r="AX323" s="1468"/>
      <c r="AY323" s="1468"/>
      <c r="AZ323" s="1468"/>
      <c r="BA323" s="1468"/>
      <c r="BB323" s="1468"/>
      <c r="BC323" s="1468"/>
      <c r="BD323" s="1468"/>
      <c r="BE323" s="1468"/>
      <c r="BF323" s="1468"/>
      <c r="BG323" s="1468"/>
      <c r="BH323" s="1468"/>
      <c r="BI323" s="1468"/>
      <c r="BJ323" s="1468"/>
      <c r="BK323" s="1468"/>
      <c r="BL323" s="1468"/>
      <c r="BM323" s="1468"/>
      <c r="BN323" s="1468"/>
      <c r="BO323" s="1468"/>
      <c r="BP323" s="1468"/>
      <c r="BQ323" s="1468"/>
      <c r="BR323" s="1468"/>
      <c r="BS323" s="1468"/>
      <c r="BT323" s="1468"/>
      <c r="BU323" s="1468"/>
      <c r="BV323" s="1468"/>
      <c r="BW323" s="1468"/>
      <c r="BX323" s="1468"/>
      <c r="BY323" s="1468"/>
      <c r="BZ323" s="1468"/>
      <c r="CA323" s="1468"/>
      <c r="CB323" s="1468"/>
      <c r="CC323" s="1468"/>
      <c r="CD323" s="1468"/>
      <c r="CE323" s="1468"/>
      <c r="CF323" s="1468"/>
      <c r="CG323" s="1468"/>
      <c r="CH323" s="1468"/>
      <c r="CI323" s="1468"/>
      <c r="CJ323" s="1468"/>
      <c r="CK323" s="1468"/>
      <c r="CL323" s="1468"/>
      <c r="CM323" s="1468"/>
      <c r="CN323" s="1468"/>
      <c r="CO323" s="1468"/>
      <c r="CP323" s="1468"/>
      <c r="CQ323" s="1468"/>
      <c r="CR323" s="1468"/>
      <c r="CS323" s="1468"/>
      <c r="CT323" s="1468"/>
      <c r="CU323" s="1468"/>
      <c r="CV323" s="1468"/>
      <c r="CW323" s="1468"/>
      <c r="CX323" s="1468"/>
      <c r="CY323" s="1468"/>
      <c r="CZ323" s="1468"/>
      <c r="DA323" s="1468"/>
      <c r="DB323" s="1468"/>
      <c r="DC323" s="1468"/>
      <c r="DD323" s="1468"/>
      <c r="DE323" s="1468"/>
      <c r="DF323" s="1468"/>
      <c r="DG323" s="1468"/>
      <c r="DH323" s="1468"/>
      <c r="DI323" s="1468"/>
      <c r="DJ323" s="1468"/>
      <c r="DK323" s="1468"/>
      <c r="DL323" s="1468"/>
      <c r="DM323" s="1468"/>
      <c r="DN323" s="1468"/>
      <c r="DO323" s="1468"/>
      <c r="DP323" s="1468"/>
      <c r="DQ323" s="1468"/>
      <c r="DR323" s="1468"/>
      <c r="DS323" s="1468"/>
      <c r="DT323" s="1468"/>
      <c r="DU323" s="1468"/>
      <c r="DV323" s="1468"/>
      <c r="DW323" s="1468"/>
      <c r="DX323" s="1468"/>
      <c r="DY323" s="1468"/>
      <c r="DZ323" s="1468"/>
      <c r="EA323" s="1468"/>
      <c r="EB323" s="1468"/>
      <c r="EC323" s="1468"/>
      <c r="ED323" s="1468"/>
      <c r="EE323" s="1468"/>
      <c r="EF323" s="1468"/>
      <c r="EG323" s="1468"/>
      <c r="EH323" s="1468"/>
      <c r="EI323" s="1468"/>
      <c r="EJ323" s="1468"/>
      <c r="EK323" s="1468"/>
      <c r="EL323" s="1468"/>
      <c r="EM323" s="1468"/>
      <c r="EN323" s="1468"/>
      <c r="EO323" s="1468"/>
      <c r="EP323" s="1468"/>
      <c r="EQ323" s="1468"/>
      <c r="ER323" s="1468"/>
      <c r="ES323" s="1468"/>
      <c r="ET323" s="1468"/>
      <c r="EU323" s="1468"/>
      <c r="EV323" s="1468"/>
      <c r="EW323" s="1468"/>
      <c r="EX323" s="1468"/>
      <c r="EY323" s="1468"/>
      <c r="EZ323" s="1468"/>
      <c r="FA323" s="1468"/>
      <c r="FB323" s="1468"/>
      <c r="FC323" s="1468"/>
      <c r="FD323" s="1468"/>
      <c r="FE323" s="1468"/>
      <c r="FF323" s="1468"/>
    </row>
    <row r="325" spans="6:162" s="1470" customFormat="1" ht="15.75" customHeight="1">
      <c r="F325" s="1468"/>
      <c r="G325" s="1468"/>
      <c r="H325" s="1468"/>
      <c r="I325" s="1468"/>
      <c r="J325" s="1468"/>
      <c r="K325" s="1468"/>
      <c r="L325" s="1468"/>
      <c r="M325" s="1468"/>
      <c r="N325" s="1468"/>
      <c r="O325" s="1468"/>
      <c r="P325" s="1468"/>
      <c r="Q325" s="1468"/>
      <c r="R325" s="1468"/>
      <c r="S325" s="1468"/>
      <c r="T325" s="1468"/>
      <c r="U325" s="1468"/>
      <c r="V325" s="1468"/>
      <c r="W325" s="1468"/>
      <c r="X325" s="1468"/>
      <c r="Y325" s="1468"/>
      <c r="AA325" s="1468"/>
      <c r="AC325" s="1468"/>
      <c r="AD325" s="1468"/>
      <c r="AE325" s="1468"/>
      <c r="AF325" s="1468"/>
      <c r="AG325" s="1468"/>
      <c r="AH325" s="1469"/>
      <c r="AI325" s="1469"/>
      <c r="AJ325" s="1468"/>
      <c r="AK325" s="1468"/>
      <c r="AL325" s="1468"/>
      <c r="AM325" s="1468"/>
      <c r="AN325" s="1468"/>
      <c r="AO325" s="1468"/>
      <c r="AP325" s="1468"/>
      <c r="AQ325" s="1468"/>
      <c r="AR325" s="1468"/>
      <c r="AS325" s="1468"/>
      <c r="AT325" s="1468"/>
      <c r="AU325" s="1468"/>
      <c r="AV325" s="1468"/>
      <c r="AW325" s="1468"/>
      <c r="AX325" s="1468"/>
      <c r="AY325" s="1468"/>
      <c r="AZ325" s="1468"/>
      <c r="BA325" s="1468"/>
      <c r="BB325" s="1468"/>
      <c r="BC325" s="1468"/>
      <c r="BD325" s="1468"/>
      <c r="BE325" s="1468"/>
      <c r="BF325" s="1468"/>
      <c r="BG325" s="1468"/>
      <c r="BH325" s="1468"/>
      <c r="BI325" s="1468"/>
      <c r="BJ325" s="1468"/>
      <c r="BK325" s="1468"/>
      <c r="BL325" s="1468"/>
      <c r="BM325" s="1468"/>
      <c r="BN325" s="1468"/>
      <c r="BO325" s="1468"/>
      <c r="BP325" s="1468"/>
      <c r="BQ325" s="1468"/>
      <c r="BR325" s="1468"/>
      <c r="BS325" s="1468"/>
      <c r="BT325" s="1468"/>
      <c r="BU325" s="1468"/>
      <c r="BV325" s="1468"/>
      <c r="BW325" s="1468"/>
      <c r="BX325" s="1468"/>
      <c r="BY325" s="1468"/>
      <c r="BZ325" s="1468"/>
      <c r="CA325" s="1468"/>
      <c r="CB325" s="1468"/>
      <c r="CC325" s="1468"/>
      <c r="CD325" s="1468"/>
      <c r="CE325" s="1468"/>
      <c r="CF325" s="1468"/>
      <c r="CG325" s="1468"/>
      <c r="CH325" s="1468"/>
      <c r="CI325" s="1468"/>
      <c r="CJ325" s="1468"/>
      <c r="CK325" s="1468"/>
      <c r="CL325" s="1468"/>
      <c r="CM325" s="1468"/>
      <c r="CN325" s="1468"/>
      <c r="CO325" s="1468"/>
      <c r="CP325" s="1468"/>
      <c r="CQ325" s="1468"/>
      <c r="CR325" s="1468"/>
      <c r="CS325" s="1468"/>
      <c r="CT325" s="1468"/>
      <c r="CU325" s="1468"/>
      <c r="CV325" s="1468"/>
      <c r="CW325" s="1468"/>
      <c r="CX325" s="1468"/>
      <c r="CY325" s="1468"/>
      <c r="CZ325" s="1468"/>
      <c r="DA325" s="1468"/>
      <c r="DB325" s="1468"/>
      <c r="DC325" s="1468"/>
      <c r="DD325" s="1468"/>
      <c r="DE325" s="1468"/>
      <c r="DF325" s="1468"/>
      <c r="DG325" s="1468"/>
      <c r="DH325" s="1468"/>
      <c r="DI325" s="1468"/>
      <c r="DJ325" s="1468"/>
      <c r="DK325" s="1468"/>
      <c r="DL325" s="1468"/>
      <c r="DM325" s="1468"/>
      <c r="DN325" s="1468"/>
      <c r="DO325" s="1468"/>
      <c r="DP325" s="1468"/>
      <c r="DQ325" s="1468"/>
      <c r="DR325" s="1468"/>
      <c r="DS325" s="1468"/>
      <c r="DT325" s="1468"/>
      <c r="DU325" s="1468"/>
      <c r="DV325" s="1468"/>
      <c r="DW325" s="1468"/>
      <c r="DX325" s="1468"/>
      <c r="DY325" s="1468"/>
      <c r="DZ325" s="1468"/>
      <c r="EA325" s="1468"/>
      <c r="EB325" s="1468"/>
      <c r="EC325" s="1468"/>
      <c r="ED325" s="1468"/>
      <c r="EE325" s="1468"/>
      <c r="EF325" s="1468"/>
      <c r="EG325" s="1468"/>
      <c r="EH325" s="1468"/>
      <c r="EI325" s="1468"/>
      <c r="EJ325" s="1468"/>
      <c r="EK325" s="1468"/>
      <c r="EL325" s="1468"/>
      <c r="EM325" s="1468"/>
      <c r="EN325" s="1468"/>
      <c r="EO325" s="1468"/>
      <c r="EP325" s="1468"/>
      <c r="EQ325" s="1468"/>
      <c r="ER325" s="1468"/>
      <c r="ES325" s="1468"/>
      <c r="ET325" s="1468"/>
      <c r="EU325" s="1468"/>
      <c r="EV325" s="1468"/>
      <c r="EW325" s="1468"/>
      <c r="EX325" s="1468"/>
      <c r="EY325" s="1468"/>
      <c r="EZ325" s="1468"/>
      <c r="FA325" s="1468"/>
      <c r="FB325" s="1468"/>
      <c r="FC325" s="1468"/>
      <c r="FD325" s="1468"/>
      <c r="FE325" s="1468"/>
      <c r="FF325" s="1468"/>
    </row>
    <row r="327" spans="6:162" s="1470" customFormat="1" ht="15.75" customHeight="1">
      <c r="F327" s="1468"/>
      <c r="G327" s="1468"/>
      <c r="H327" s="1468"/>
      <c r="I327" s="1468"/>
      <c r="J327" s="1468"/>
      <c r="K327" s="1468"/>
      <c r="L327" s="1468"/>
      <c r="M327" s="1468"/>
      <c r="N327" s="1468"/>
      <c r="O327" s="1468"/>
      <c r="P327" s="1468"/>
      <c r="Q327" s="1468"/>
      <c r="R327" s="1468"/>
      <c r="S327" s="1468"/>
      <c r="T327" s="1468"/>
      <c r="U327" s="1468"/>
      <c r="V327" s="1468"/>
      <c r="W327" s="1468"/>
      <c r="X327" s="1468"/>
      <c r="Y327" s="1468"/>
      <c r="AA327" s="1468"/>
      <c r="AC327" s="1468"/>
      <c r="AD327" s="1468"/>
      <c r="AE327" s="1468"/>
      <c r="AF327" s="1468"/>
      <c r="AG327" s="1468"/>
      <c r="AH327" s="1469"/>
      <c r="AI327" s="1469"/>
      <c r="AJ327" s="1468"/>
      <c r="AK327" s="1468"/>
      <c r="AL327" s="1468"/>
      <c r="AM327" s="1468"/>
      <c r="AN327" s="1468"/>
      <c r="AO327" s="1468"/>
      <c r="AP327" s="1468"/>
      <c r="AQ327" s="1468"/>
      <c r="AR327" s="1468"/>
      <c r="AS327" s="1468"/>
      <c r="AT327" s="1468"/>
      <c r="AU327" s="1468"/>
      <c r="AV327" s="1468"/>
      <c r="AW327" s="1468"/>
      <c r="AX327" s="1468"/>
      <c r="AY327" s="1468"/>
      <c r="AZ327" s="1468"/>
      <c r="BA327" s="1468"/>
      <c r="BB327" s="1468"/>
      <c r="BC327" s="1468"/>
      <c r="BD327" s="1468"/>
      <c r="BE327" s="1468"/>
      <c r="BF327" s="1468"/>
      <c r="BG327" s="1468"/>
      <c r="BH327" s="1468"/>
      <c r="BI327" s="1468"/>
      <c r="BJ327" s="1468"/>
      <c r="BK327" s="1468"/>
      <c r="BL327" s="1468"/>
      <c r="BM327" s="1468"/>
      <c r="BN327" s="1468"/>
      <c r="BO327" s="1468"/>
      <c r="BP327" s="1468"/>
      <c r="BQ327" s="1468"/>
      <c r="BR327" s="1468"/>
      <c r="BS327" s="1468"/>
      <c r="BT327" s="1468"/>
      <c r="BU327" s="1468"/>
      <c r="BV327" s="1468"/>
      <c r="BW327" s="1468"/>
      <c r="BX327" s="1468"/>
      <c r="BY327" s="1468"/>
      <c r="BZ327" s="1468"/>
      <c r="CA327" s="1468"/>
      <c r="CB327" s="1468"/>
      <c r="CC327" s="1468"/>
      <c r="CD327" s="1468"/>
      <c r="CE327" s="1468"/>
      <c r="CF327" s="1468"/>
      <c r="CG327" s="1468"/>
      <c r="CH327" s="1468"/>
      <c r="CI327" s="1468"/>
      <c r="CJ327" s="1468"/>
      <c r="CK327" s="1468"/>
      <c r="CL327" s="1468"/>
      <c r="CM327" s="1468"/>
      <c r="CN327" s="1468"/>
      <c r="CO327" s="1468"/>
      <c r="CP327" s="1468"/>
      <c r="CQ327" s="1468"/>
      <c r="CR327" s="1468"/>
      <c r="CS327" s="1468"/>
      <c r="CT327" s="1468"/>
      <c r="CU327" s="1468"/>
      <c r="CV327" s="1468"/>
      <c r="CW327" s="1468"/>
      <c r="CX327" s="1468"/>
      <c r="CY327" s="1468"/>
      <c r="CZ327" s="1468"/>
      <c r="DA327" s="1468"/>
      <c r="DB327" s="1468"/>
      <c r="DC327" s="1468"/>
      <c r="DD327" s="1468"/>
      <c r="DE327" s="1468"/>
      <c r="DF327" s="1468"/>
      <c r="DG327" s="1468"/>
      <c r="DH327" s="1468"/>
      <c r="DI327" s="1468"/>
      <c r="DJ327" s="1468"/>
      <c r="DK327" s="1468"/>
      <c r="DL327" s="1468"/>
      <c r="DM327" s="1468"/>
      <c r="DN327" s="1468"/>
      <c r="DO327" s="1468"/>
      <c r="DP327" s="1468"/>
      <c r="DQ327" s="1468"/>
      <c r="DR327" s="1468"/>
      <c r="DS327" s="1468"/>
      <c r="DT327" s="1468"/>
      <c r="DU327" s="1468"/>
      <c r="DV327" s="1468"/>
      <c r="DW327" s="1468"/>
      <c r="DX327" s="1468"/>
      <c r="DY327" s="1468"/>
      <c r="DZ327" s="1468"/>
      <c r="EA327" s="1468"/>
      <c r="EB327" s="1468"/>
      <c r="EC327" s="1468"/>
      <c r="ED327" s="1468"/>
      <c r="EE327" s="1468"/>
      <c r="EF327" s="1468"/>
      <c r="EG327" s="1468"/>
      <c r="EH327" s="1468"/>
      <c r="EI327" s="1468"/>
      <c r="EJ327" s="1468"/>
      <c r="EK327" s="1468"/>
      <c r="EL327" s="1468"/>
      <c r="EM327" s="1468"/>
      <c r="EN327" s="1468"/>
      <c r="EO327" s="1468"/>
      <c r="EP327" s="1468"/>
      <c r="EQ327" s="1468"/>
      <c r="ER327" s="1468"/>
      <c r="ES327" s="1468"/>
      <c r="ET327" s="1468"/>
      <c r="EU327" s="1468"/>
      <c r="EV327" s="1468"/>
      <c r="EW327" s="1468"/>
      <c r="EX327" s="1468"/>
      <c r="EY327" s="1468"/>
      <c r="EZ327" s="1468"/>
      <c r="FA327" s="1468"/>
      <c r="FB327" s="1468"/>
      <c r="FC327" s="1468"/>
      <c r="FD327" s="1468"/>
      <c r="FE327" s="1468"/>
      <c r="FF327" s="1468"/>
    </row>
    <row r="329" spans="6:162" s="1470" customFormat="1" ht="15.75" customHeight="1">
      <c r="F329" s="1468"/>
      <c r="G329" s="1468"/>
      <c r="H329" s="1468"/>
      <c r="I329" s="1468"/>
      <c r="J329" s="1468"/>
      <c r="K329" s="1468"/>
      <c r="L329" s="1468"/>
      <c r="M329" s="1468"/>
      <c r="N329" s="1468"/>
      <c r="O329" s="1468"/>
      <c r="P329" s="1468"/>
      <c r="Q329" s="1468"/>
      <c r="R329" s="1468"/>
      <c r="S329" s="1468"/>
      <c r="T329" s="1468"/>
      <c r="U329" s="1468"/>
      <c r="V329" s="1468"/>
      <c r="W329" s="1468"/>
      <c r="X329" s="1468"/>
      <c r="Y329" s="1468"/>
      <c r="AA329" s="1468"/>
      <c r="AC329" s="1468"/>
      <c r="AD329" s="1468"/>
      <c r="AE329" s="1468"/>
      <c r="AF329" s="1468"/>
      <c r="AG329" s="1468"/>
      <c r="AH329" s="1469"/>
      <c r="AI329" s="1469"/>
      <c r="AJ329" s="1468"/>
      <c r="AK329" s="1468"/>
      <c r="AL329" s="1468"/>
      <c r="AM329" s="1468"/>
      <c r="AN329" s="1468"/>
      <c r="AO329" s="1468"/>
      <c r="AP329" s="1468"/>
      <c r="AQ329" s="1468"/>
      <c r="AR329" s="1468"/>
      <c r="AS329" s="1468"/>
      <c r="AT329" s="1468"/>
      <c r="AU329" s="1468"/>
      <c r="AV329" s="1468"/>
      <c r="AW329" s="1468"/>
      <c r="AX329" s="1468"/>
      <c r="AY329" s="1468"/>
      <c r="AZ329" s="1468"/>
      <c r="BA329" s="1468"/>
      <c r="BB329" s="1468"/>
      <c r="BC329" s="1468"/>
      <c r="BD329" s="1468"/>
      <c r="BE329" s="1468"/>
      <c r="BF329" s="1468"/>
      <c r="BG329" s="1468"/>
      <c r="BH329" s="1468"/>
      <c r="BI329" s="1468"/>
      <c r="BJ329" s="1468"/>
      <c r="BK329" s="1468"/>
      <c r="BL329" s="1468"/>
      <c r="BM329" s="1468"/>
      <c r="BN329" s="1468"/>
      <c r="BO329" s="1468"/>
      <c r="BP329" s="1468"/>
      <c r="BQ329" s="1468"/>
      <c r="BR329" s="1468"/>
      <c r="BS329" s="1468"/>
      <c r="BT329" s="1468"/>
      <c r="BU329" s="1468"/>
      <c r="BV329" s="1468"/>
      <c r="BW329" s="1468"/>
      <c r="BX329" s="1468"/>
      <c r="BY329" s="1468"/>
      <c r="BZ329" s="1468"/>
      <c r="CA329" s="1468"/>
      <c r="CB329" s="1468"/>
      <c r="CC329" s="1468"/>
      <c r="CD329" s="1468"/>
      <c r="CE329" s="1468"/>
      <c r="CF329" s="1468"/>
      <c r="CG329" s="1468"/>
      <c r="CH329" s="1468"/>
      <c r="CI329" s="1468"/>
      <c r="CJ329" s="1468"/>
      <c r="CK329" s="1468"/>
      <c r="CL329" s="1468"/>
      <c r="CM329" s="1468"/>
      <c r="CN329" s="1468"/>
      <c r="CO329" s="1468"/>
      <c r="CP329" s="1468"/>
      <c r="CQ329" s="1468"/>
      <c r="CR329" s="1468"/>
      <c r="CS329" s="1468"/>
      <c r="CT329" s="1468"/>
      <c r="CU329" s="1468"/>
      <c r="CV329" s="1468"/>
      <c r="CW329" s="1468"/>
      <c r="CX329" s="1468"/>
      <c r="CY329" s="1468"/>
      <c r="CZ329" s="1468"/>
      <c r="DA329" s="1468"/>
      <c r="DB329" s="1468"/>
      <c r="DC329" s="1468"/>
      <c r="DD329" s="1468"/>
      <c r="DE329" s="1468"/>
      <c r="DF329" s="1468"/>
      <c r="DG329" s="1468"/>
      <c r="DH329" s="1468"/>
      <c r="DI329" s="1468"/>
      <c r="DJ329" s="1468"/>
      <c r="DK329" s="1468"/>
      <c r="DL329" s="1468"/>
      <c r="DM329" s="1468"/>
      <c r="DN329" s="1468"/>
      <c r="DO329" s="1468"/>
      <c r="DP329" s="1468"/>
      <c r="DQ329" s="1468"/>
      <c r="DR329" s="1468"/>
      <c r="DS329" s="1468"/>
      <c r="DT329" s="1468"/>
      <c r="DU329" s="1468"/>
      <c r="DV329" s="1468"/>
      <c r="DW329" s="1468"/>
      <c r="DX329" s="1468"/>
      <c r="DY329" s="1468"/>
      <c r="DZ329" s="1468"/>
      <c r="EA329" s="1468"/>
      <c r="EB329" s="1468"/>
      <c r="EC329" s="1468"/>
      <c r="ED329" s="1468"/>
      <c r="EE329" s="1468"/>
      <c r="EF329" s="1468"/>
      <c r="EG329" s="1468"/>
      <c r="EH329" s="1468"/>
      <c r="EI329" s="1468"/>
      <c r="EJ329" s="1468"/>
      <c r="EK329" s="1468"/>
      <c r="EL329" s="1468"/>
      <c r="EM329" s="1468"/>
      <c r="EN329" s="1468"/>
      <c r="EO329" s="1468"/>
      <c r="EP329" s="1468"/>
      <c r="EQ329" s="1468"/>
      <c r="ER329" s="1468"/>
      <c r="ES329" s="1468"/>
      <c r="ET329" s="1468"/>
      <c r="EU329" s="1468"/>
      <c r="EV329" s="1468"/>
      <c r="EW329" s="1468"/>
      <c r="EX329" s="1468"/>
      <c r="EY329" s="1468"/>
      <c r="EZ329" s="1468"/>
      <c r="FA329" s="1468"/>
      <c r="FB329" s="1468"/>
      <c r="FC329" s="1468"/>
      <c r="FD329" s="1468"/>
      <c r="FE329" s="1468"/>
      <c r="FF329" s="1468"/>
    </row>
    <row r="331" spans="6:162" s="1470" customFormat="1" ht="15.75" customHeight="1">
      <c r="F331" s="1468"/>
      <c r="G331" s="1468"/>
      <c r="H331" s="1468"/>
      <c r="I331" s="1468"/>
      <c r="J331" s="1468"/>
      <c r="K331" s="1468"/>
      <c r="L331" s="1468"/>
      <c r="M331" s="1468"/>
      <c r="N331" s="1468"/>
      <c r="O331" s="1468"/>
      <c r="P331" s="1468"/>
      <c r="Q331" s="1468"/>
      <c r="R331" s="1468"/>
      <c r="S331" s="1468"/>
      <c r="T331" s="1468"/>
      <c r="U331" s="1468"/>
      <c r="V331" s="1468"/>
      <c r="W331" s="1468"/>
      <c r="X331" s="1468"/>
      <c r="Y331" s="1468"/>
      <c r="AA331" s="1468"/>
      <c r="AC331" s="1468"/>
      <c r="AD331" s="1468"/>
      <c r="AE331" s="1468"/>
      <c r="AF331" s="1468"/>
      <c r="AG331" s="1468"/>
      <c r="AH331" s="1469"/>
      <c r="AI331" s="1469"/>
      <c r="AJ331" s="1468"/>
      <c r="AK331" s="1468"/>
      <c r="AL331" s="1468"/>
      <c r="AM331" s="1468"/>
      <c r="AN331" s="1468"/>
      <c r="AO331" s="1468"/>
      <c r="AP331" s="1468"/>
      <c r="AQ331" s="1468"/>
      <c r="AR331" s="1468"/>
      <c r="AS331" s="1468"/>
      <c r="AT331" s="1468"/>
      <c r="AU331" s="1468"/>
      <c r="AV331" s="1468"/>
      <c r="AW331" s="1468"/>
      <c r="AX331" s="1468"/>
      <c r="AY331" s="1468"/>
      <c r="AZ331" s="1468"/>
      <c r="BA331" s="1468"/>
      <c r="BB331" s="1468"/>
      <c r="BC331" s="1468"/>
      <c r="BD331" s="1468"/>
      <c r="BE331" s="1468"/>
      <c r="BF331" s="1468"/>
      <c r="BG331" s="1468"/>
      <c r="BH331" s="1468"/>
      <c r="BI331" s="1468"/>
      <c r="BJ331" s="1468"/>
      <c r="BK331" s="1468"/>
      <c r="BL331" s="1468"/>
      <c r="BM331" s="1468"/>
      <c r="BN331" s="1468"/>
      <c r="BO331" s="1468"/>
      <c r="BP331" s="1468"/>
      <c r="BQ331" s="1468"/>
      <c r="BR331" s="1468"/>
      <c r="BS331" s="1468"/>
      <c r="BT331" s="1468"/>
      <c r="BU331" s="1468"/>
      <c r="BV331" s="1468"/>
      <c r="BW331" s="1468"/>
      <c r="BX331" s="1468"/>
      <c r="BY331" s="1468"/>
      <c r="BZ331" s="1468"/>
      <c r="CA331" s="1468"/>
      <c r="CB331" s="1468"/>
      <c r="CC331" s="1468"/>
      <c r="CD331" s="1468"/>
      <c r="CE331" s="1468"/>
      <c r="CF331" s="1468"/>
      <c r="CG331" s="1468"/>
      <c r="CH331" s="1468"/>
      <c r="CI331" s="1468"/>
      <c r="CJ331" s="1468"/>
      <c r="CK331" s="1468"/>
      <c r="CL331" s="1468"/>
      <c r="CM331" s="1468"/>
      <c r="CN331" s="1468"/>
      <c r="CO331" s="1468"/>
      <c r="CP331" s="1468"/>
      <c r="CQ331" s="1468"/>
      <c r="CR331" s="1468"/>
      <c r="CS331" s="1468"/>
      <c r="CT331" s="1468"/>
      <c r="CU331" s="1468"/>
      <c r="CV331" s="1468"/>
      <c r="CW331" s="1468"/>
      <c r="CX331" s="1468"/>
      <c r="CY331" s="1468"/>
      <c r="CZ331" s="1468"/>
      <c r="DA331" s="1468"/>
      <c r="DB331" s="1468"/>
      <c r="DC331" s="1468"/>
      <c r="DD331" s="1468"/>
      <c r="DE331" s="1468"/>
      <c r="DF331" s="1468"/>
      <c r="DG331" s="1468"/>
      <c r="DH331" s="1468"/>
      <c r="DI331" s="1468"/>
      <c r="DJ331" s="1468"/>
      <c r="DK331" s="1468"/>
      <c r="DL331" s="1468"/>
      <c r="DM331" s="1468"/>
      <c r="DN331" s="1468"/>
      <c r="DO331" s="1468"/>
      <c r="DP331" s="1468"/>
      <c r="DQ331" s="1468"/>
      <c r="DR331" s="1468"/>
      <c r="DS331" s="1468"/>
      <c r="DT331" s="1468"/>
      <c r="DU331" s="1468"/>
      <c r="DV331" s="1468"/>
      <c r="DW331" s="1468"/>
      <c r="DX331" s="1468"/>
      <c r="DY331" s="1468"/>
      <c r="DZ331" s="1468"/>
      <c r="EA331" s="1468"/>
      <c r="EB331" s="1468"/>
      <c r="EC331" s="1468"/>
      <c r="ED331" s="1468"/>
      <c r="EE331" s="1468"/>
      <c r="EF331" s="1468"/>
      <c r="EG331" s="1468"/>
      <c r="EH331" s="1468"/>
      <c r="EI331" s="1468"/>
      <c r="EJ331" s="1468"/>
      <c r="EK331" s="1468"/>
      <c r="EL331" s="1468"/>
      <c r="EM331" s="1468"/>
      <c r="EN331" s="1468"/>
      <c r="EO331" s="1468"/>
      <c r="EP331" s="1468"/>
      <c r="EQ331" s="1468"/>
      <c r="ER331" s="1468"/>
      <c r="ES331" s="1468"/>
      <c r="ET331" s="1468"/>
      <c r="EU331" s="1468"/>
      <c r="EV331" s="1468"/>
      <c r="EW331" s="1468"/>
      <c r="EX331" s="1468"/>
      <c r="EY331" s="1468"/>
      <c r="EZ331" s="1468"/>
      <c r="FA331" s="1468"/>
      <c r="FB331" s="1468"/>
      <c r="FC331" s="1468"/>
      <c r="FD331" s="1468"/>
      <c r="FE331" s="1468"/>
      <c r="FF331" s="1468"/>
    </row>
    <row r="333" spans="6:162" s="1470" customFormat="1" ht="15.75" customHeight="1">
      <c r="F333" s="1468"/>
      <c r="G333" s="1468"/>
      <c r="H333" s="1468"/>
      <c r="I333" s="1468"/>
      <c r="J333" s="1468"/>
      <c r="K333" s="1468"/>
      <c r="L333" s="1468"/>
      <c r="M333" s="1468"/>
      <c r="N333" s="1468"/>
      <c r="O333" s="1468"/>
      <c r="P333" s="1468"/>
      <c r="Q333" s="1468"/>
      <c r="R333" s="1468"/>
      <c r="S333" s="1468"/>
      <c r="T333" s="1468"/>
      <c r="U333" s="1468"/>
      <c r="V333" s="1468"/>
      <c r="W333" s="1468"/>
      <c r="X333" s="1468"/>
      <c r="Y333" s="1468"/>
      <c r="AA333" s="1468"/>
      <c r="AC333" s="1468"/>
      <c r="AD333" s="1468"/>
      <c r="AE333" s="1468"/>
      <c r="AF333" s="1468"/>
      <c r="AG333" s="1468"/>
      <c r="AH333" s="1469"/>
      <c r="AI333" s="1469"/>
      <c r="AJ333" s="1468"/>
      <c r="AK333" s="1468"/>
      <c r="AL333" s="1468"/>
      <c r="AM333" s="1468"/>
      <c r="AN333" s="1468"/>
      <c r="AO333" s="1468"/>
      <c r="AP333" s="1468"/>
      <c r="AQ333" s="1468"/>
      <c r="AR333" s="1468"/>
      <c r="AS333" s="1468"/>
      <c r="AT333" s="1468"/>
      <c r="AU333" s="1468"/>
      <c r="AV333" s="1468"/>
      <c r="AW333" s="1468"/>
      <c r="AX333" s="1468"/>
      <c r="AY333" s="1468"/>
      <c r="AZ333" s="1468"/>
      <c r="BA333" s="1468"/>
      <c r="BB333" s="1468"/>
      <c r="BC333" s="1468"/>
      <c r="BD333" s="1468"/>
      <c r="BE333" s="1468"/>
      <c r="BF333" s="1468"/>
      <c r="BG333" s="1468"/>
      <c r="BH333" s="1468"/>
      <c r="BI333" s="1468"/>
      <c r="BJ333" s="1468"/>
      <c r="BK333" s="1468"/>
      <c r="BL333" s="1468"/>
      <c r="BM333" s="1468"/>
      <c r="BN333" s="1468"/>
      <c r="BO333" s="1468"/>
      <c r="BP333" s="1468"/>
      <c r="BQ333" s="1468"/>
      <c r="BR333" s="1468"/>
      <c r="BS333" s="1468"/>
      <c r="BT333" s="1468"/>
      <c r="BU333" s="1468"/>
      <c r="BV333" s="1468"/>
      <c r="BW333" s="1468"/>
      <c r="BX333" s="1468"/>
      <c r="BY333" s="1468"/>
      <c r="BZ333" s="1468"/>
      <c r="CA333" s="1468"/>
      <c r="CB333" s="1468"/>
      <c r="CC333" s="1468"/>
      <c r="CD333" s="1468"/>
      <c r="CE333" s="1468"/>
      <c r="CF333" s="1468"/>
      <c r="CG333" s="1468"/>
      <c r="CH333" s="1468"/>
      <c r="CI333" s="1468"/>
      <c r="CJ333" s="1468"/>
      <c r="CK333" s="1468"/>
      <c r="CL333" s="1468"/>
      <c r="CM333" s="1468"/>
      <c r="CN333" s="1468"/>
      <c r="CO333" s="1468"/>
      <c r="CP333" s="1468"/>
      <c r="CQ333" s="1468"/>
      <c r="CR333" s="1468"/>
      <c r="CS333" s="1468"/>
      <c r="CT333" s="1468"/>
      <c r="CU333" s="1468"/>
      <c r="CV333" s="1468"/>
      <c r="CW333" s="1468"/>
      <c r="CX333" s="1468"/>
      <c r="CY333" s="1468"/>
      <c r="CZ333" s="1468"/>
      <c r="DA333" s="1468"/>
      <c r="DB333" s="1468"/>
      <c r="DC333" s="1468"/>
      <c r="DD333" s="1468"/>
      <c r="DE333" s="1468"/>
      <c r="DF333" s="1468"/>
      <c r="DG333" s="1468"/>
      <c r="DH333" s="1468"/>
      <c r="DI333" s="1468"/>
      <c r="DJ333" s="1468"/>
      <c r="DK333" s="1468"/>
      <c r="DL333" s="1468"/>
      <c r="DM333" s="1468"/>
      <c r="DN333" s="1468"/>
      <c r="DO333" s="1468"/>
      <c r="DP333" s="1468"/>
      <c r="DQ333" s="1468"/>
      <c r="DR333" s="1468"/>
      <c r="DS333" s="1468"/>
      <c r="DT333" s="1468"/>
      <c r="DU333" s="1468"/>
      <c r="DV333" s="1468"/>
      <c r="DW333" s="1468"/>
      <c r="DX333" s="1468"/>
      <c r="DY333" s="1468"/>
      <c r="DZ333" s="1468"/>
      <c r="EA333" s="1468"/>
      <c r="EB333" s="1468"/>
      <c r="EC333" s="1468"/>
      <c r="ED333" s="1468"/>
      <c r="EE333" s="1468"/>
      <c r="EF333" s="1468"/>
      <c r="EG333" s="1468"/>
      <c r="EH333" s="1468"/>
      <c r="EI333" s="1468"/>
      <c r="EJ333" s="1468"/>
      <c r="EK333" s="1468"/>
      <c r="EL333" s="1468"/>
      <c r="EM333" s="1468"/>
      <c r="EN333" s="1468"/>
      <c r="EO333" s="1468"/>
      <c r="EP333" s="1468"/>
      <c r="EQ333" s="1468"/>
      <c r="ER333" s="1468"/>
      <c r="ES333" s="1468"/>
      <c r="ET333" s="1468"/>
      <c r="EU333" s="1468"/>
      <c r="EV333" s="1468"/>
      <c r="EW333" s="1468"/>
      <c r="EX333" s="1468"/>
      <c r="EY333" s="1468"/>
      <c r="EZ333" s="1468"/>
      <c r="FA333" s="1468"/>
      <c r="FB333" s="1468"/>
      <c r="FC333" s="1468"/>
      <c r="FD333" s="1468"/>
      <c r="FE333" s="1468"/>
      <c r="FF333" s="1468"/>
    </row>
    <row r="335" spans="6:162" s="1470" customFormat="1" ht="15.75" customHeight="1">
      <c r="F335" s="1468"/>
      <c r="G335" s="1468"/>
      <c r="H335" s="1468"/>
      <c r="I335" s="1468"/>
      <c r="J335" s="1468"/>
      <c r="K335" s="1468"/>
      <c r="L335" s="1468"/>
      <c r="M335" s="1468"/>
      <c r="N335" s="1468"/>
      <c r="O335" s="1468"/>
      <c r="P335" s="1468"/>
      <c r="Q335" s="1468"/>
      <c r="R335" s="1468"/>
      <c r="S335" s="1468"/>
      <c r="T335" s="1468"/>
      <c r="U335" s="1468"/>
      <c r="V335" s="1468"/>
      <c r="W335" s="1468"/>
      <c r="X335" s="1468"/>
      <c r="Y335" s="1468"/>
      <c r="AA335" s="1468"/>
      <c r="AC335" s="1468"/>
      <c r="AD335" s="1468"/>
      <c r="AE335" s="1468"/>
      <c r="AF335" s="1468"/>
      <c r="AG335" s="1468"/>
      <c r="AH335" s="1469"/>
      <c r="AI335" s="1469"/>
      <c r="AJ335" s="1468"/>
      <c r="AK335" s="1468"/>
      <c r="AL335" s="1468"/>
      <c r="AM335" s="1468"/>
      <c r="AN335" s="1468"/>
      <c r="AO335" s="1468"/>
      <c r="AP335" s="1468"/>
      <c r="AQ335" s="1468"/>
      <c r="AR335" s="1468"/>
      <c r="AS335" s="1468"/>
      <c r="AT335" s="1468"/>
      <c r="AU335" s="1468"/>
      <c r="AV335" s="1468"/>
      <c r="AW335" s="1468"/>
      <c r="AX335" s="1468"/>
      <c r="AY335" s="1468"/>
      <c r="AZ335" s="1468"/>
      <c r="BA335" s="1468"/>
      <c r="BB335" s="1468"/>
      <c r="BC335" s="1468"/>
      <c r="BD335" s="1468"/>
      <c r="BE335" s="1468"/>
      <c r="BF335" s="1468"/>
      <c r="BG335" s="1468"/>
      <c r="BH335" s="1468"/>
      <c r="BI335" s="1468"/>
      <c r="BJ335" s="1468"/>
      <c r="BK335" s="1468"/>
      <c r="BL335" s="1468"/>
      <c r="BM335" s="1468"/>
      <c r="BN335" s="1468"/>
      <c r="BO335" s="1468"/>
      <c r="BP335" s="1468"/>
      <c r="BQ335" s="1468"/>
      <c r="BR335" s="1468"/>
      <c r="BS335" s="1468"/>
      <c r="BT335" s="1468"/>
      <c r="BU335" s="1468"/>
      <c r="BV335" s="1468"/>
      <c r="BW335" s="1468"/>
      <c r="BX335" s="1468"/>
      <c r="BY335" s="1468"/>
      <c r="BZ335" s="1468"/>
      <c r="CA335" s="1468"/>
      <c r="CB335" s="1468"/>
      <c r="CC335" s="1468"/>
      <c r="CD335" s="1468"/>
      <c r="CE335" s="1468"/>
      <c r="CF335" s="1468"/>
      <c r="CG335" s="1468"/>
      <c r="CH335" s="1468"/>
      <c r="CI335" s="1468"/>
      <c r="CJ335" s="1468"/>
      <c r="CK335" s="1468"/>
      <c r="CL335" s="1468"/>
      <c r="CM335" s="1468"/>
      <c r="CN335" s="1468"/>
      <c r="CO335" s="1468"/>
      <c r="CP335" s="1468"/>
      <c r="CQ335" s="1468"/>
      <c r="CR335" s="1468"/>
      <c r="CS335" s="1468"/>
      <c r="CT335" s="1468"/>
      <c r="CU335" s="1468"/>
      <c r="CV335" s="1468"/>
      <c r="CW335" s="1468"/>
      <c r="CX335" s="1468"/>
      <c r="CY335" s="1468"/>
      <c r="CZ335" s="1468"/>
      <c r="DA335" s="1468"/>
      <c r="DB335" s="1468"/>
      <c r="DC335" s="1468"/>
      <c r="DD335" s="1468"/>
      <c r="DE335" s="1468"/>
      <c r="DF335" s="1468"/>
      <c r="DG335" s="1468"/>
      <c r="DH335" s="1468"/>
      <c r="DI335" s="1468"/>
      <c r="DJ335" s="1468"/>
      <c r="DK335" s="1468"/>
      <c r="DL335" s="1468"/>
      <c r="DM335" s="1468"/>
      <c r="DN335" s="1468"/>
      <c r="DO335" s="1468"/>
      <c r="DP335" s="1468"/>
      <c r="DQ335" s="1468"/>
      <c r="DR335" s="1468"/>
      <c r="DS335" s="1468"/>
      <c r="DT335" s="1468"/>
      <c r="DU335" s="1468"/>
      <c r="DV335" s="1468"/>
      <c r="DW335" s="1468"/>
      <c r="DX335" s="1468"/>
      <c r="DY335" s="1468"/>
      <c r="DZ335" s="1468"/>
      <c r="EA335" s="1468"/>
      <c r="EB335" s="1468"/>
      <c r="EC335" s="1468"/>
      <c r="ED335" s="1468"/>
      <c r="EE335" s="1468"/>
      <c r="EF335" s="1468"/>
      <c r="EG335" s="1468"/>
      <c r="EH335" s="1468"/>
      <c r="EI335" s="1468"/>
      <c r="EJ335" s="1468"/>
      <c r="EK335" s="1468"/>
      <c r="EL335" s="1468"/>
      <c r="EM335" s="1468"/>
      <c r="EN335" s="1468"/>
      <c r="EO335" s="1468"/>
      <c r="EP335" s="1468"/>
      <c r="EQ335" s="1468"/>
      <c r="ER335" s="1468"/>
      <c r="ES335" s="1468"/>
      <c r="ET335" s="1468"/>
      <c r="EU335" s="1468"/>
      <c r="EV335" s="1468"/>
      <c r="EW335" s="1468"/>
      <c r="EX335" s="1468"/>
      <c r="EY335" s="1468"/>
      <c r="EZ335" s="1468"/>
      <c r="FA335" s="1468"/>
      <c r="FB335" s="1468"/>
      <c r="FC335" s="1468"/>
      <c r="FD335" s="1468"/>
      <c r="FE335" s="1468"/>
      <c r="FF335" s="1468"/>
    </row>
    <row r="337" spans="6:162" s="1470" customFormat="1" ht="15.75" customHeight="1">
      <c r="F337" s="1468"/>
      <c r="G337" s="1468"/>
      <c r="H337" s="1468"/>
      <c r="I337" s="1468"/>
      <c r="J337" s="1468"/>
      <c r="K337" s="1468"/>
      <c r="L337" s="1468"/>
      <c r="M337" s="1468"/>
      <c r="N337" s="1468"/>
      <c r="O337" s="1468"/>
      <c r="P337" s="1468"/>
      <c r="Q337" s="1468"/>
      <c r="R337" s="1468"/>
      <c r="S337" s="1468"/>
      <c r="T337" s="1468"/>
      <c r="U337" s="1468"/>
      <c r="V337" s="1468"/>
      <c r="W337" s="1468"/>
      <c r="X337" s="1468"/>
      <c r="Y337" s="1468"/>
      <c r="AA337" s="1468"/>
      <c r="AC337" s="1468"/>
      <c r="AD337" s="1468"/>
      <c r="AE337" s="1468"/>
      <c r="AF337" s="1468"/>
      <c r="AG337" s="1468"/>
      <c r="AH337" s="1469"/>
      <c r="AI337" s="1469"/>
      <c r="AJ337" s="1468"/>
      <c r="AK337" s="1468"/>
      <c r="AL337" s="1468"/>
      <c r="AM337" s="1468"/>
      <c r="AN337" s="1468"/>
      <c r="AO337" s="1468"/>
      <c r="AP337" s="1468"/>
      <c r="AQ337" s="1468"/>
      <c r="AR337" s="1468"/>
      <c r="AS337" s="1468"/>
      <c r="AT337" s="1468"/>
      <c r="AU337" s="1468"/>
      <c r="AV337" s="1468"/>
      <c r="AW337" s="1468"/>
      <c r="AX337" s="1468"/>
      <c r="AY337" s="1468"/>
      <c r="AZ337" s="1468"/>
      <c r="BA337" s="1468"/>
      <c r="BB337" s="1468"/>
      <c r="BC337" s="1468"/>
      <c r="BD337" s="1468"/>
      <c r="BE337" s="1468"/>
      <c r="BF337" s="1468"/>
      <c r="BG337" s="1468"/>
      <c r="BH337" s="1468"/>
      <c r="BI337" s="1468"/>
      <c r="BJ337" s="1468"/>
      <c r="BK337" s="1468"/>
      <c r="BL337" s="1468"/>
      <c r="BM337" s="1468"/>
      <c r="BN337" s="1468"/>
      <c r="BO337" s="1468"/>
      <c r="BP337" s="1468"/>
      <c r="BQ337" s="1468"/>
      <c r="BR337" s="1468"/>
      <c r="BS337" s="1468"/>
      <c r="BT337" s="1468"/>
      <c r="BU337" s="1468"/>
      <c r="BV337" s="1468"/>
      <c r="BW337" s="1468"/>
      <c r="BX337" s="1468"/>
      <c r="BY337" s="1468"/>
      <c r="BZ337" s="1468"/>
      <c r="CA337" s="1468"/>
      <c r="CB337" s="1468"/>
      <c r="CC337" s="1468"/>
      <c r="CD337" s="1468"/>
      <c r="CE337" s="1468"/>
      <c r="CF337" s="1468"/>
      <c r="CG337" s="1468"/>
      <c r="CH337" s="1468"/>
      <c r="CI337" s="1468"/>
      <c r="CJ337" s="1468"/>
      <c r="CK337" s="1468"/>
      <c r="CL337" s="1468"/>
      <c r="CM337" s="1468"/>
      <c r="CN337" s="1468"/>
      <c r="CO337" s="1468"/>
      <c r="CP337" s="1468"/>
      <c r="CQ337" s="1468"/>
      <c r="CR337" s="1468"/>
      <c r="CS337" s="1468"/>
      <c r="CT337" s="1468"/>
      <c r="CU337" s="1468"/>
      <c r="CV337" s="1468"/>
      <c r="CW337" s="1468"/>
      <c r="CX337" s="1468"/>
      <c r="CY337" s="1468"/>
      <c r="CZ337" s="1468"/>
      <c r="DA337" s="1468"/>
      <c r="DB337" s="1468"/>
      <c r="DC337" s="1468"/>
      <c r="DD337" s="1468"/>
      <c r="DE337" s="1468"/>
      <c r="DF337" s="1468"/>
      <c r="DG337" s="1468"/>
      <c r="DH337" s="1468"/>
      <c r="DI337" s="1468"/>
      <c r="DJ337" s="1468"/>
      <c r="DK337" s="1468"/>
      <c r="DL337" s="1468"/>
      <c r="DM337" s="1468"/>
      <c r="DN337" s="1468"/>
      <c r="DO337" s="1468"/>
      <c r="DP337" s="1468"/>
      <c r="DQ337" s="1468"/>
      <c r="DR337" s="1468"/>
      <c r="DS337" s="1468"/>
      <c r="DT337" s="1468"/>
      <c r="DU337" s="1468"/>
      <c r="DV337" s="1468"/>
      <c r="DW337" s="1468"/>
      <c r="DX337" s="1468"/>
      <c r="DY337" s="1468"/>
      <c r="DZ337" s="1468"/>
      <c r="EA337" s="1468"/>
      <c r="EB337" s="1468"/>
      <c r="EC337" s="1468"/>
      <c r="ED337" s="1468"/>
      <c r="EE337" s="1468"/>
      <c r="EF337" s="1468"/>
      <c r="EG337" s="1468"/>
      <c r="EH337" s="1468"/>
      <c r="EI337" s="1468"/>
      <c r="EJ337" s="1468"/>
      <c r="EK337" s="1468"/>
      <c r="EL337" s="1468"/>
      <c r="EM337" s="1468"/>
      <c r="EN337" s="1468"/>
      <c r="EO337" s="1468"/>
      <c r="EP337" s="1468"/>
      <c r="EQ337" s="1468"/>
      <c r="ER337" s="1468"/>
      <c r="ES337" s="1468"/>
      <c r="ET337" s="1468"/>
      <c r="EU337" s="1468"/>
      <c r="EV337" s="1468"/>
      <c r="EW337" s="1468"/>
      <c r="EX337" s="1468"/>
      <c r="EY337" s="1468"/>
      <c r="EZ337" s="1468"/>
      <c r="FA337" s="1468"/>
      <c r="FB337" s="1468"/>
      <c r="FC337" s="1468"/>
      <c r="FD337" s="1468"/>
      <c r="FE337" s="1468"/>
      <c r="FF337" s="1468"/>
    </row>
    <row r="339" spans="6:162" s="1470" customFormat="1" ht="15.75" customHeight="1">
      <c r="F339" s="1468"/>
      <c r="G339" s="1468"/>
      <c r="H339" s="1468"/>
      <c r="I339" s="1468"/>
      <c r="J339" s="1468"/>
      <c r="K339" s="1468"/>
      <c r="L339" s="1468"/>
      <c r="M339" s="1468"/>
      <c r="N339" s="1468"/>
      <c r="O339" s="1468"/>
      <c r="P339" s="1468"/>
      <c r="Q339" s="1468"/>
      <c r="R339" s="1468"/>
      <c r="S339" s="1468"/>
      <c r="T339" s="1468"/>
      <c r="U339" s="1468"/>
      <c r="V339" s="1468"/>
      <c r="W339" s="1468"/>
      <c r="X339" s="1468"/>
      <c r="Y339" s="1468"/>
      <c r="AA339" s="1468"/>
      <c r="AC339" s="1468"/>
      <c r="AD339" s="1468"/>
      <c r="AE339" s="1468"/>
      <c r="AF339" s="1468"/>
      <c r="AG339" s="1468"/>
      <c r="AH339" s="1469"/>
      <c r="AI339" s="1469"/>
      <c r="AJ339" s="1468"/>
      <c r="AK339" s="1468"/>
      <c r="AL339" s="1468"/>
      <c r="AM339" s="1468"/>
      <c r="AN339" s="1468"/>
      <c r="AO339" s="1468"/>
      <c r="AP339" s="1468"/>
      <c r="AQ339" s="1468"/>
      <c r="AR339" s="1468"/>
      <c r="AS339" s="1468"/>
      <c r="AT339" s="1468"/>
      <c r="AU339" s="1468"/>
      <c r="AV339" s="1468"/>
      <c r="AW339" s="1468"/>
      <c r="AX339" s="1468"/>
      <c r="AY339" s="1468"/>
      <c r="AZ339" s="1468"/>
      <c r="BA339" s="1468"/>
      <c r="BB339" s="1468"/>
      <c r="BC339" s="1468"/>
      <c r="BD339" s="1468"/>
      <c r="BE339" s="1468"/>
      <c r="BF339" s="1468"/>
      <c r="BG339" s="1468"/>
      <c r="BH339" s="1468"/>
      <c r="BI339" s="1468"/>
      <c r="BJ339" s="1468"/>
      <c r="BK339" s="1468"/>
      <c r="BL339" s="1468"/>
      <c r="BM339" s="1468"/>
      <c r="BN339" s="1468"/>
      <c r="BO339" s="1468"/>
      <c r="BP339" s="1468"/>
      <c r="BQ339" s="1468"/>
      <c r="BR339" s="1468"/>
      <c r="BS339" s="1468"/>
      <c r="BT339" s="1468"/>
      <c r="BU339" s="1468"/>
      <c r="BV339" s="1468"/>
      <c r="BW339" s="1468"/>
      <c r="BX339" s="1468"/>
      <c r="BY339" s="1468"/>
      <c r="BZ339" s="1468"/>
      <c r="CA339" s="1468"/>
      <c r="CB339" s="1468"/>
      <c r="CC339" s="1468"/>
      <c r="CD339" s="1468"/>
      <c r="CE339" s="1468"/>
      <c r="CF339" s="1468"/>
      <c r="CG339" s="1468"/>
      <c r="CH339" s="1468"/>
      <c r="CI339" s="1468"/>
      <c r="CJ339" s="1468"/>
      <c r="CK339" s="1468"/>
      <c r="CL339" s="1468"/>
      <c r="CM339" s="1468"/>
      <c r="CN339" s="1468"/>
      <c r="CO339" s="1468"/>
      <c r="CP339" s="1468"/>
      <c r="CQ339" s="1468"/>
      <c r="CR339" s="1468"/>
      <c r="CS339" s="1468"/>
      <c r="CT339" s="1468"/>
      <c r="CU339" s="1468"/>
      <c r="CV339" s="1468"/>
      <c r="CW339" s="1468"/>
      <c r="CX339" s="1468"/>
      <c r="CY339" s="1468"/>
      <c r="CZ339" s="1468"/>
      <c r="DA339" s="1468"/>
      <c r="DB339" s="1468"/>
      <c r="DC339" s="1468"/>
      <c r="DD339" s="1468"/>
      <c r="DE339" s="1468"/>
      <c r="DF339" s="1468"/>
      <c r="DG339" s="1468"/>
      <c r="DH339" s="1468"/>
      <c r="DI339" s="1468"/>
      <c r="DJ339" s="1468"/>
      <c r="DK339" s="1468"/>
      <c r="DL339" s="1468"/>
      <c r="DM339" s="1468"/>
      <c r="DN339" s="1468"/>
      <c r="DO339" s="1468"/>
      <c r="DP339" s="1468"/>
      <c r="DQ339" s="1468"/>
      <c r="DR339" s="1468"/>
      <c r="DS339" s="1468"/>
      <c r="DT339" s="1468"/>
      <c r="DU339" s="1468"/>
      <c r="DV339" s="1468"/>
      <c r="DW339" s="1468"/>
      <c r="DX339" s="1468"/>
      <c r="DY339" s="1468"/>
      <c r="DZ339" s="1468"/>
      <c r="EA339" s="1468"/>
      <c r="EB339" s="1468"/>
      <c r="EC339" s="1468"/>
      <c r="ED339" s="1468"/>
      <c r="EE339" s="1468"/>
      <c r="EF339" s="1468"/>
      <c r="EG339" s="1468"/>
      <c r="EH339" s="1468"/>
      <c r="EI339" s="1468"/>
      <c r="EJ339" s="1468"/>
      <c r="EK339" s="1468"/>
      <c r="EL339" s="1468"/>
      <c r="EM339" s="1468"/>
      <c r="EN339" s="1468"/>
      <c r="EO339" s="1468"/>
      <c r="EP339" s="1468"/>
      <c r="EQ339" s="1468"/>
      <c r="ER339" s="1468"/>
      <c r="ES339" s="1468"/>
      <c r="ET339" s="1468"/>
      <c r="EU339" s="1468"/>
      <c r="EV339" s="1468"/>
      <c r="EW339" s="1468"/>
      <c r="EX339" s="1468"/>
      <c r="EY339" s="1468"/>
      <c r="EZ339" s="1468"/>
      <c r="FA339" s="1468"/>
      <c r="FB339" s="1468"/>
      <c r="FC339" s="1468"/>
      <c r="FD339" s="1468"/>
      <c r="FE339" s="1468"/>
      <c r="FF339" s="1468"/>
    </row>
    <row r="341" spans="6:162" s="1470" customFormat="1" ht="15.75" customHeight="1">
      <c r="F341" s="1468"/>
      <c r="G341" s="1468"/>
      <c r="H341" s="1468"/>
      <c r="I341" s="1468"/>
      <c r="J341" s="1468"/>
      <c r="K341" s="1468"/>
      <c r="L341" s="1468"/>
      <c r="M341" s="1468"/>
      <c r="N341" s="1468"/>
      <c r="O341" s="1468"/>
      <c r="P341" s="1468"/>
      <c r="Q341" s="1468"/>
      <c r="R341" s="1468"/>
      <c r="S341" s="1468"/>
      <c r="T341" s="1468"/>
      <c r="U341" s="1468"/>
      <c r="V341" s="1468"/>
      <c r="W341" s="1468"/>
      <c r="X341" s="1468"/>
      <c r="Y341" s="1468"/>
      <c r="AA341" s="1468"/>
      <c r="AC341" s="1468"/>
      <c r="AD341" s="1468"/>
      <c r="AE341" s="1468"/>
      <c r="AF341" s="1468"/>
      <c r="AG341" s="1468"/>
      <c r="AH341" s="1469"/>
      <c r="AI341" s="1469"/>
      <c r="AJ341" s="1468"/>
      <c r="AK341" s="1468"/>
      <c r="AL341" s="1468"/>
      <c r="AM341" s="1468"/>
      <c r="AN341" s="1468"/>
      <c r="AO341" s="1468"/>
      <c r="AP341" s="1468"/>
      <c r="AQ341" s="1468"/>
      <c r="AR341" s="1468"/>
      <c r="AS341" s="1468"/>
      <c r="AT341" s="1468"/>
      <c r="AU341" s="1468"/>
      <c r="AV341" s="1468"/>
      <c r="AW341" s="1468"/>
      <c r="AX341" s="1468"/>
      <c r="AY341" s="1468"/>
      <c r="AZ341" s="1468"/>
      <c r="BA341" s="1468"/>
      <c r="BB341" s="1468"/>
      <c r="BC341" s="1468"/>
      <c r="BD341" s="1468"/>
      <c r="BE341" s="1468"/>
      <c r="BF341" s="1468"/>
      <c r="BG341" s="1468"/>
      <c r="BH341" s="1468"/>
      <c r="BI341" s="1468"/>
      <c r="BJ341" s="1468"/>
      <c r="BK341" s="1468"/>
      <c r="BL341" s="1468"/>
      <c r="BM341" s="1468"/>
      <c r="BN341" s="1468"/>
      <c r="BO341" s="1468"/>
      <c r="BP341" s="1468"/>
      <c r="BQ341" s="1468"/>
      <c r="BR341" s="1468"/>
      <c r="BS341" s="1468"/>
      <c r="BT341" s="1468"/>
      <c r="BU341" s="1468"/>
      <c r="BV341" s="1468"/>
      <c r="BW341" s="1468"/>
      <c r="BX341" s="1468"/>
      <c r="BY341" s="1468"/>
      <c r="BZ341" s="1468"/>
      <c r="CA341" s="1468"/>
      <c r="CB341" s="1468"/>
      <c r="CC341" s="1468"/>
      <c r="CD341" s="1468"/>
      <c r="CE341" s="1468"/>
      <c r="CF341" s="1468"/>
      <c r="CG341" s="1468"/>
      <c r="CH341" s="1468"/>
      <c r="CI341" s="1468"/>
      <c r="CJ341" s="1468"/>
      <c r="CK341" s="1468"/>
      <c r="CL341" s="1468"/>
      <c r="CM341" s="1468"/>
      <c r="CN341" s="1468"/>
      <c r="CO341" s="1468"/>
      <c r="CP341" s="1468"/>
      <c r="CQ341" s="1468"/>
      <c r="CR341" s="1468"/>
      <c r="CS341" s="1468"/>
      <c r="CT341" s="1468"/>
      <c r="CU341" s="1468"/>
      <c r="CV341" s="1468"/>
      <c r="CW341" s="1468"/>
      <c r="CX341" s="1468"/>
      <c r="CY341" s="1468"/>
      <c r="CZ341" s="1468"/>
      <c r="DA341" s="1468"/>
      <c r="DB341" s="1468"/>
      <c r="DC341" s="1468"/>
      <c r="DD341" s="1468"/>
      <c r="DE341" s="1468"/>
      <c r="DF341" s="1468"/>
      <c r="DG341" s="1468"/>
      <c r="DH341" s="1468"/>
      <c r="DI341" s="1468"/>
      <c r="DJ341" s="1468"/>
      <c r="DK341" s="1468"/>
      <c r="DL341" s="1468"/>
      <c r="DM341" s="1468"/>
      <c r="DN341" s="1468"/>
      <c r="DO341" s="1468"/>
      <c r="DP341" s="1468"/>
      <c r="DQ341" s="1468"/>
      <c r="DR341" s="1468"/>
      <c r="DS341" s="1468"/>
      <c r="DT341" s="1468"/>
      <c r="DU341" s="1468"/>
      <c r="DV341" s="1468"/>
      <c r="DW341" s="1468"/>
      <c r="DX341" s="1468"/>
      <c r="DY341" s="1468"/>
      <c r="DZ341" s="1468"/>
      <c r="EA341" s="1468"/>
      <c r="EB341" s="1468"/>
      <c r="EC341" s="1468"/>
      <c r="ED341" s="1468"/>
      <c r="EE341" s="1468"/>
      <c r="EF341" s="1468"/>
      <c r="EG341" s="1468"/>
      <c r="EH341" s="1468"/>
      <c r="EI341" s="1468"/>
      <c r="EJ341" s="1468"/>
      <c r="EK341" s="1468"/>
      <c r="EL341" s="1468"/>
      <c r="EM341" s="1468"/>
      <c r="EN341" s="1468"/>
      <c r="EO341" s="1468"/>
      <c r="EP341" s="1468"/>
      <c r="EQ341" s="1468"/>
      <c r="ER341" s="1468"/>
      <c r="ES341" s="1468"/>
      <c r="ET341" s="1468"/>
      <c r="EU341" s="1468"/>
      <c r="EV341" s="1468"/>
      <c r="EW341" s="1468"/>
      <c r="EX341" s="1468"/>
      <c r="EY341" s="1468"/>
      <c r="EZ341" s="1468"/>
      <c r="FA341" s="1468"/>
      <c r="FB341" s="1468"/>
      <c r="FC341" s="1468"/>
      <c r="FD341" s="1468"/>
      <c r="FE341" s="1468"/>
      <c r="FF341" s="1468"/>
    </row>
    <row r="343" spans="6:162" s="1470" customFormat="1" ht="15.75" customHeight="1">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AA343" s="1468"/>
      <c r="AC343" s="1468"/>
      <c r="AD343" s="1468"/>
      <c r="AE343" s="1468"/>
      <c r="AF343" s="1468"/>
      <c r="AG343" s="1468"/>
      <c r="AH343" s="1469"/>
      <c r="AI343" s="1469"/>
      <c r="AJ343" s="1468"/>
      <c r="AK343" s="1468"/>
      <c r="AL343" s="1468"/>
      <c r="AM343" s="1468"/>
      <c r="AN343" s="1468"/>
      <c r="AO343" s="1468"/>
      <c r="AP343" s="1468"/>
      <c r="AQ343" s="1468"/>
      <c r="AR343" s="1468"/>
      <c r="AS343" s="1468"/>
      <c r="AT343" s="1468"/>
      <c r="AU343" s="1468"/>
      <c r="AV343" s="1468"/>
      <c r="AW343" s="1468"/>
      <c r="AX343" s="1468"/>
      <c r="AY343" s="1468"/>
      <c r="AZ343" s="1468"/>
      <c r="BA343" s="1468"/>
      <c r="BB343" s="1468"/>
      <c r="BC343" s="1468"/>
      <c r="BD343" s="1468"/>
      <c r="BE343" s="1468"/>
      <c r="BF343" s="1468"/>
      <c r="BG343" s="1468"/>
      <c r="BH343" s="1468"/>
      <c r="BI343" s="1468"/>
      <c r="BJ343" s="1468"/>
      <c r="BK343" s="1468"/>
      <c r="BL343" s="1468"/>
      <c r="BM343" s="1468"/>
      <c r="BN343" s="1468"/>
      <c r="BO343" s="1468"/>
      <c r="BP343" s="1468"/>
      <c r="BQ343" s="1468"/>
      <c r="BR343" s="1468"/>
      <c r="BS343" s="1468"/>
      <c r="BT343" s="1468"/>
      <c r="BU343" s="1468"/>
      <c r="BV343" s="1468"/>
      <c r="BW343" s="1468"/>
      <c r="BX343" s="1468"/>
      <c r="BY343" s="1468"/>
      <c r="BZ343" s="1468"/>
      <c r="CA343" s="1468"/>
      <c r="CB343" s="1468"/>
      <c r="CC343" s="1468"/>
      <c r="CD343" s="1468"/>
      <c r="CE343" s="1468"/>
      <c r="CF343" s="1468"/>
      <c r="CG343" s="1468"/>
      <c r="CH343" s="1468"/>
      <c r="CI343" s="1468"/>
      <c r="CJ343" s="1468"/>
      <c r="CK343" s="1468"/>
      <c r="CL343" s="1468"/>
      <c r="CM343" s="1468"/>
      <c r="CN343" s="1468"/>
      <c r="CO343" s="1468"/>
      <c r="CP343" s="1468"/>
      <c r="CQ343" s="1468"/>
      <c r="CR343" s="1468"/>
      <c r="CS343" s="1468"/>
      <c r="CT343" s="1468"/>
      <c r="CU343" s="1468"/>
      <c r="CV343" s="1468"/>
      <c r="CW343" s="1468"/>
      <c r="CX343" s="1468"/>
      <c r="CY343" s="1468"/>
      <c r="CZ343" s="1468"/>
      <c r="DA343" s="1468"/>
      <c r="DB343" s="1468"/>
      <c r="DC343" s="1468"/>
      <c r="DD343" s="1468"/>
      <c r="DE343" s="1468"/>
      <c r="DF343" s="1468"/>
      <c r="DG343" s="1468"/>
      <c r="DH343" s="1468"/>
      <c r="DI343" s="1468"/>
      <c r="DJ343" s="1468"/>
      <c r="DK343" s="1468"/>
      <c r="DL343" s="1468"/>
      <c r="DM343" s="1468"/>
      <c r="DN343" s="1468"/>
      <c r="DO343" s="1468"/>
      <c r="DP343" s="1468"/>
      <c r="DQ343" s="1468"/>
      <c r="DR343" s="1468"/>
      <c r="DS343" s="1468"/>
      <c r="DT343" s="1468"/>
      <c r="DU343" s="1468"/>
      <c r="DV343" s="1468"/>
      <c r="DW343" s="1468"/>
      <c r="DX343" s="1468"/>
      <c r="DY343" s="1468"/>
      <c r="DZ343" s="1468"/>
      <c r="EA343" s="1468"/>
      <c r="EB343" s="1468"/>
      <c r="EC343" s="1468"/>
      <c r="ED343" s="1468"/>
      <c r="EE343" s="1468"/>
      <c r="EF343" s="1468"/>
      <c r="EG343" s="1468"/>
      <c r="EH343" s="1468"/>
      <c r="EI343" s="1468"/>
      <c r="EJ343" s="1468"/>
      <c r="EK343" s="1468"/>
      <c r="EL343" s="1468"/>
      <c r="EM343" s="1468"/>
      <c r="EN343" s="1468"/>
      <c r="EO343" s="1468"/>
      <c r="EP343" s="1468"/>
      <c r="EQ343" s="1468"/>
      <c r="ER343" s="1468"/>
      <c r="ES343" s="1468"/>
      <c r="ET343" s="1468"/>
      <c r="EU343" s="1468"/>
      <c r="EV343" s="1468"/>
      <c r="EW343" s="1468"/>
      <c r="EX343" s="1468"/>
      <c r="EY343" s="1468"/>
      <c r="EZ343" s="1468"/>
      <c r="FA343" s="1468"/>
      <c r="FB343" s="1468"/>
      <c r="FC343" s="1468"/>
      <c r="FD343" s="1468"/>
      <c r="FE343" s="1468"/>
      <c r="FF343" s="1468"/>
    </row>
    <row r="345" spans="6:162" s="1470" customFormat="1" ht="15.75" customHeight="1">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AA345" s="1468"/>
      <c r="AC345" s="1468"/>
      <c r="AD345" s="1468"/>
      <c r="AE345" s="1468"/>
      <c r="AF345" s="1468"/>
      <c r="AG345" s="1468"/>
      <c r="AH345" s="1469"/>
      <c r="AI345" s="1469"/>
      <c r="AJ345" s="1468"/>
      <c r="AK345" s="1468"/>
      <c r="AL345" s="1468"/>
      <c r="AM345" s="1468"/>
      <c r="AN345" s="1468"/>
      <c r="AO345" s="1468"/>
      <c r="AP345" s="1468"/>
      <c r="AQ345" s="1468"/>
      <c r="AR345" s="1468"/>
      <c r="AS345" s="1468"/>
      <c r="AT345" s="1468"/>
      <c r="AU345" s="1468"/>
      <c r="AV345" s="1468"/>
      <c r="AW345" s="1468"/>
      <c r="AX345" s="1468"/>
      <c r="AY345" s="1468"/>
      <c r="AZ345" s="1468"/>
      <c r="BA345" s="1468"/>
      <c r="BB345" s="1468"/>
      <c r="BC345" s="1468"/>
      <c r="BD345" s="1468"/>
      <c r="BE345" s="1468"/>
      <c r="BF345" s="1468"/>
      <c r="BG345" s="1468"/>
      <c r="BH345" s="1468"/>
      <c r="BI345" s="1468"/>
      <c r="BJ345" s="1468"/>
      <c r="BK345" s="1468"/>
      <c r="BL345" s="1468"/>
      <c r="BM345" s="1468"/>
      <c r="BN345" s="1468"/>
      <c r="BO345" s="1468"/>
      <c r="BP345" s="1468"/>
      <c r="BQ345" s="1468"/>
      <c r="BR345" s="1468"/>
      <c r="BS345" s="1468"/>
      <c r="BT345" s="1468"/>
      <c r="BU345" s="1468"/>
      <c r="BV345" s="1468"/>
      <c r="BW345" s="1468"/>
      <c r="BX345" s="1468"/>
      <c r="BY345" s="1468"/>
      <c r="BZ345" s="1468"/>
      <c r="CA345" s="1468"/>
      <c r="CB345" s="1468"/>
      <c r="CC345" s="1468"/>
      <c r="CD345" s="1468"/>
      <c r="CE345" s="1468"/>
      <c r="CF345" s="1468"/>
      <c r="CG345" s="1468"/>
      <c r="CH345" s="1468"/>
      <c r="CI345" s="1468"/>
      <c r="CJ345" s="1468"/>
      <c r="CK345" s="1468"/>
      <c r="CL345" s="1468"/>
      <c r="CM345" s="1468"/>
      <c r="CN345" s="1468"/>
      <c r="CO345" s="1468"/>
      <c r="CP345" s="1468"/>
      <c r="CQ345" s="1468"/>
      <c r="CR345" s="1468"/>
      <c r="CS345" s="1468"/>
      <c r="CT345" s="1468"/>
      <c r="CU345" s="1468"/>
      <c r="CV345" s="1468"/>
      <c r="CW345" s="1468"/>
      <c r="CX345" s="1468"/>
      <c r="CY345" s="1468"/>
      <c r="CZ345" s="1468"/>
      <c r="DA345" s="1468"/>
      <c r="DB345" s="1468"/>
      <c r="DC345" s="1468"/>
      <c r="DD345" s="1468"/>
      <c r="DE345" s="1468"/>
      <c r="DF345" s="1468"/>
      <c r="DG345" s="1468"/>
      <c r="DH345" s="1468"/>
      <c r="DI345" s="1468"/>
      <c r="DJ345" s="1468"/>
      <c r="DK345" s="1468"/>
      <c r="DL345" s="1468"/>
      <c r="DM345" s="1468"/>
      <c r="DN345" s="1468"/>
      <c r="DO345" s="1468"/>
      <c r="DP345" s="1468"/>
      <c r="DQ345" s="1468"/>
      <c r="DR345" s="1468"/>
      <c r="DS345" s="1468"/>
      <c r="DT345" s="1468"/>
      <c r="DU345" s="1468"/>
      <c r="DV345" s="1468"/>
      <c r="DW345" s="1468"/>
      <c r="DX345" s="1468"/>
      <c r="DY345" s="1468"/>
      <c r="DZ345" s="1468"/>
      <c r="EA345" s="1468"/>
      <c r="EB345" s="1468"/>
      <c r="EC345" s="1468"/>
      <c r="ED345" s="1468"/>
      <c r="EE345" s="1468"/>
      <c r="EF345" s="1468"/>
      <c r="EG345" s="1468"/>
      <c r="EH345" s="1468"/>
      <c r="EI345" s="1468"/>
      <c r="EJ345" s="1468"/>
      <c r="EK345" s="1468"/>
      <c r="EL345" s="1468"/>
      <c r="EM345" s="1468"/>
      <c r="EN345" s="1468"/>
      <c r="EO345" s="1468"/>
      <c r="EP345" s="1468"/>
      <c r="EQ345" s="1468"/>
      <c r="ER345" s="1468"/>
      <c r="ES345" s="1468"/>
      <c r="ET345" s="1468"/>
      <c r="EU345" s="1468"/>
      <c r="EV345" s="1468"/>
      <c r="EW345" s="1468"/>
      <c r="EX345" s="1468"/>
      <c r="EY345" s="1468"/>
      <c r="EZ345" s="1468"/>
      <c r="FA345" s="1468"/>
      <c r="FB345" s="1468"/>
      <c r="FC345" s="1468"/>
      <c r="FD345" s="1468"/>
      <c r="FE345" s="1468"/>
      <c r="FF345" s="1468"/>
    </row>
    <row r="347" spans="6:162" s="1470" customFormat="1" ht="15.75" customHeight="1">
      <c r="F347" s="1468"/>
      <c r="G347" s="1468"/>
      <c r="H347" s="1468"/>
      <c r="I347" s="1468"/>
      <c r="J347" s="1468"/>
      <c r="K347" s="1468"/>
      <c r="L347" s="1468"/>
      <c r="M347" s="1468"/>
      <c r="N347" s="1468"/>
      <c r="O347" s="1468"/>
      <c r="P347" s="1468"/>
      <c r="Q347" s="1468"/>
      <c r="R347" s="1468"/>
      <c r="S347" s="1468"/>
      <c r="T347" s="1468"/>
      <c r="U347" s="1468"/>
      <c r="V347" s="1468"/>
      <c r="W347" s="1468"/>
      <c r="X347" s="1468"/>
      <c r="Y347" s="1468"/>
      <c r="AA347" s="1468"/>
      <c r="AC347" s="1468"/>
      <c r="AD347" s="1468"/>
      <c r="AE347" s="1468"/>
      <c r="AF347" s="1468"/>
      <c r="AG347" s="1468"/>
      <c r="AH347" s="1469"/>
      <c r="AI347" s="1469"/>
      <c r="AJ347" s="1468"/>
      <c r="AK347" s="1468"/>
      <c r="AL347" s="1468"/>
      <c r="AM347" s="1468"/>
      <c r="AN347" s="1468"/>
      <c r="AO347" s="1468"/>
      <c r="AP347" s="1468"/>
      <c r="AQ347" s="1468"/>
      <c r="AR347" s="1468"/>
      <c r="AS347" s="1468"/>
      <c r="AT347" s="1468"/>
      <c r="AU347" s="1468"/>
      <c r="AV347" s="1468"/>
      <c r="AW347" s="1468"/>
      <c r="AX347" s="1468"/>
      <c r="AY347" s="1468"/>
      <c r="AZ347" s="1468"/>
      <c r="BA347" s="1468"/>
      <c r="BB347" s="1468"/>
      <c r="BC347" s="1468"/>
      <c r="BD347" s="1468"/>
      <c r="BE347" s="1468"/>
      <c r="BF347" s="1468"/>
      <c r="BG347" s="1468"/>
      <c r="BH347" s="1468"/>
      <c r="BI347" s="1468"/>
      <c r="BJ347" s="1468"/>
      <c r="BK347" s="1468"/>
      <c r="BL347" s="1468"/>
      <c r="BM347" s="1468"/>
      <c r="BN347" s="1468"/>
      <c r="BO347" s="1468"/>
      <c r="BP347" s="1468"/>
      <c r="BQ347" s="1468"/>
      <c r="BR347" s="1468"/>
      <c r="BS347" s="1468"/>
      <c r="BT347" s="1468"/>
      <c r="BU347" s="1468"/>
      <c r="BV347" s="1468"/>
      <c r="BW347" s="1468"/>
      <c r="BX347" s="1468"/>
      <c r="BY347" s="1468"/>
      <c r="BZ347" s="1468"/>
      <c r="CA347" s="1468"/>
      <c r="CB347" s="1468"/>
      <c r="CC347" s="1468"/>
      <c r="CD347" s="1468"/>
      <c r="CE347" s="1468"/>
      <c r="CF347" s="1468"/>
      <c r="CG347" s="1468"/>
      <c r="CH347" s="1468"/>
      <c r="CI347" s="1468"/>
      <c r="CJ347" s="1468"/>
      <c r="CK347" s="1468"/>
      <c r="CL347" s="1468"/>
      <c r="CM347" s="1468"/>
      <c r="CN347" s="1468"/>
      <c r="CO347" s="1468"/>
      <c r="CP347" s="1468"/>
      <c r="CQ347" s="1468"/>
      <c r="CR347" s="1468"/>
      <c r="CS347" s="1468"/>
      <c r="CT347" s="1468"/>
      <c r="CU347" s="1468"/>
      <c r="CV347" s="1468"/>
      <c r="CW347" s="1468"/>
      <c r="CX347" s="1468"/>
      <c r="CY347" s="1468"/>
      <c r="CZ347" s="1468"/>
      <c r="DA347" s="1468"/>
      <c r="DB347" s="1468"/>
      <c r="DC347" s="1468"/>
      <c r="DD347" s="1468"/>
      <c r="DE347" s="1468"/>
      <c r="DF347" s="1468"/>
      <c r="DG347" s="1468"/>
      <c r="DH347" s="1468"/>
      <c r="DI347" s="1468"/>
      <c r="DJ347" s="1468"/>
      <c r="DK347" s="1468"/>
      <c r="DL347" s="1468"/>
      <c r="DM347" s="1468"/>
      <c r="DN347" s="1468"/>
      <c r="DO347" s="1468"/>
      <c r="DP347" s="1468"/>
      <c r="DQ347" s="1468"/>
      <c r="DR347" s="1468"/>
      <c r="DS347" s="1468"/>
      <c r="DT347" s="1468"/>
      <c r="DU347" s="1468"/>
      <c r="DV347" s="1468"/>
      <c r="DW347" s="1468"/>
      <c r="DX347" s="1468"/>
      <c r="DY347" s="1468"/>
      <c r="DZ347" s="1468"/>
      <c r="EA347" s="1468"/>
      <c r="EB347" s="1468"/>
      <c r="EC347" s="1468"/>
      <c r="ED347" s="1468"/>
      <c r="EE347" s="1468"/>
      <c r="EF347" s="1468"/>
      <c r="EG347" s="1468"/>
      <c r="EH347" s="1468"/>
      <c r="EI347" s="1468"/>
      <c r="EJ347" s="1468"/>
      <c r="EK347" s="1468"/>
      <c r="EL347" s="1468"/>
      <c r="EM347" s="1468"/>
      <c r="EN347" s="1468"/>
      <c r="EO347" s="1468"/>
      <c r="EP347" s="1468"/>
      <c r="EQ347" s="1468"/>
      <c r="ER347" s="1468"/>
      <c r="ES347" s="1468"/>
      <c r="ET347" s="1468"/>
      <c r="EU347" s="1468"/>
      <c r="EV347" s="1468"/>
      <c r="EW347" s="1468"/>
      <c r="EX347" s="1468"/>
      <c r="EY347" s="1468"/>
      <c r="EZ347" s="1468"/>
      <c r="FA347" s="1468"/>
      <c r="FB347" s="1468"/>
      <c r="FC347" s="1468"/>
      <c r="FD347" s="1468"/>
      <c r="FE347" s="1468"/>
      <c r="FF347" s="1468"/>
    </row>
    <row r="349" spans="6:162" s="1470" customFormat="1" ht="15.75" customHeight="1">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AA349" s="1468"/>
      <c r="AC349" s="1468"/>
      <c r="AD349" s="1468"/>
      <c r="AE349" s="1468"/>
      <c r="AF349" s="1468"/>
      <c r="AG349" s="1468"/>
      <c r="AH349" s="1469"/>
      <c r="AI349" s="1469"/>
      <c r="AJ349" s="1468"/>
      <c r="AK349" s="1468"/>
      <c r="AL349" s="1468"/>
      <c r="AM349" s="1468"/>
      <c r="AN349" s="1468"/>
      <c r="AO349" s="1468"/>
      <c r="AP349" s="1468"/>
      <c r="AQ349" s="1468"/>
      <c r="AR349" s="1468"/>
      <c r="AS349" s="1468"/>
      <c r="AT349" s="1468"/>
      <c r="AU349" s="1468"/>
      <c r="AV349" s="1468"/>
      <c r="AW349" s="1468"/>
      <c r="AX349" s="1468"/>
      <c r="AY349" s="1468"/>
      <c r="AZ349" s="1468"/>
      <c r="BA349" s="1468"/>
      <c r="BB349" s="1468"/>
      <c r="BC349" s="1468"/>
      <c r="BD349" s="1468"/>
      <c r="BE349" s="1468"/>
      <c r="BF349" s="1468"/>
      <c r="BG349" s="1468"/>
      <c r="BH349" s="1468"/>
      <c r="BI349" s="1468"/>
      <c r="BJ349" s="1468"/>
      <c r="BK349" s="1468"/>
      <c r="BL349" s="1468"/>
      <c r="BM349" s="1468"/>
      <c r="BN349" s="1468"/>
      <c r="BO349" s="1468"/>
      <c r="BP349" s="1468"/>
      <c r="BQ349" s="1468"/>
      <c r="BR349" s="1468"/>
      <c r="BS349" s="1468"/>
      <c r="BT349" s="1468"/>
      <c r="BU349" s="1468"/>
      <c r="BV349" s="1468"/>
      <c r="BW349" s="1468"/>
      <c r="BX349" s="1468"/>
      <c r="BY349" s="1468"/>
      <c r="BZ349" s="1468"/>
      <c r="CA349" s="1468"/>
      <c r="CB349" s="1468"/>
      <c r="CC349" s="1468"/>
      <c r="CD349" s="1468"/>
      <c r="CE349" s="1468"/>
      <c r="CF349" s="1468"/>
      <c r="CG349" s="1468"/>
      <c r="CH349" s="1468"/>
      <c r="CI349" s="1468"/>
      <c r="CJ349" s="1468"/>
      <c r="CK349" s="1468"/>
      <c r="CL349" s="1468"/>
      <c r="CM349" s="1468"/>
      <c r="CN349" s="1468"/>
      <c r="CO349" s="1468"/>
      <c r="CP349" s="1468"/>
      <c r="CQ349" s="1468"/>
      <c r="CR349" s="1468"/>
      <c r="CS349" s="1468"/>
      <c r="CT349" s="1468"/>
      <c r="CU349" s="1468"/>
      <c r="CV349" s="1468"/>
      <c r="CW349" s="1468"/>
      <c r="CX349" s="1468"/>
      <c r="CY349" s="1468"/>
      <c r="CZ349" s="1468"/>
      <c r="DA349" s="1468"/>
      <c r="DB349" s="1468"/>
      <c r="DC349" s="1468"/>
      <c r="DD349" s="1468"/>
      <c r="DE349" s="1468"/>
      <c r="DF349" s="1468"/>
      <c r="DG349" s="1468"/>
      <c r="DH349" s="1468"/>
      <c r="DI349" s="1468"/>
      <c r="DJ349" s="1468"/>
      <c r="DK349" s="1468"/>
      <c r="DL349" s="1468"/>
      <c r="DM349" s="1468"/>
      <c r="DN349" s="1468"/>
      <c r="DO349" s="1468"/>
      <c r="DP349" s="1468"/>
      <c r="DQ349" s="1468"/>
      <c r="DR349" s="1468"/>
      <c r="DS349" s="1468"/>
      <c r="DT349" s="1468"/>
      <c r="DU349" s="1468"/>
      <c r="DV349" s="1468"/>
      <c r="DW349" s="1468"/>
      <c r="DX349" s="1468"/>
      <c r="DY349" s="1468"/>
      <c r="DZ349" s="1468"/>
      <c r="EA349" s="1468"/>
      <c r="EB349" s="1468"/>
      <c r="EC349" s="1468"/>
      <c r="ED349" s="1468"/>
      <c r="EE349" s="1468"/>
      <c r="EF349" s="1468"/>
      <c r="EG349" s="1468"/>
      <c r="EH349" s="1468"/>
      <c r="EI349" s="1468"/>
      <c r="EJ349" s="1468"/>
      <c r="EK349" s="1468"/>
      <c r="EL349" s="1468"/>
      <c r="EM349" s="1468"/>
      <c r="EN349" s="1468"/>
      <c r="EO349" s="1468"/>
      <c r="EP349" s="1468"/>
      <c r="EQ349" s="1468"/>
      <c r="ER349" s="1468"/>
      <c r="ES349" s="1468"/>
      <c r="ET349" s="1468"/>
      <c r="EU349" s="1468"/>
      <c r="EV349" s="1468"/>
      <c r="EW349" s="1468"/>
      <c r="EX349" s="1468"/>
      <c r="EY349" s="1468"/>
      <c r="EZ349" s="1468"/>
      <c r="FA349" s="1468"/>
      <c r="FB349" s="1468"/>
      <c r="FC349" s="1468"/>
      <c r="FD349" s="1468"/>
      <c r="FE349" s="1468"/>
      <c r="FF349" s="1468"/>
    </row>
    <row r="351" spans="6:162" s="1470" customFormat="1" ht="15.75" customHeight="1">
      <c r="F351" s="1468"/>
      <c r="G351" s="1468"/>
      <c r="H351" s="1468"/>
      <c r="I351" s="1468"/>
      <c r="J351" s="1468"/>
      <c r="K351" s="1468"/>
      <c r="L351" s="1468"/>
      <c r="M351" s="1468"/>
      <c r="N351" s="1468"/>
      <c r="O351" s="1468"/>
      <c r="P351" s="1468"/>
      <c r="Q351" s="1468"/>
      <c r="R351" s="1468"/>
      <c r="S351" s="1468"/>
      <c r="T351" s="1468"/>
      <c r="U351" s="1468"/>
      <c r="V351" s="1468"/>
      <c r="W351" s="1468"/>
      <c r="X351" s="1468"/>
      <c r="Y351" s="1468"/>
      <c r="AA351" s="1468"/>
      <c r="AC351" s="1468"/>
      <c r="AD351" s="1468"/>
      <c r="AE351" s="1468"/>
      <c r="AF351" s="1468"/>
      <c r="AG351" s="1468"/>
      <c r="AH351" s="1469"/>
      <c r="AI351" s="1469"/>
      <c r="AJ351" s="1468"/>
      <c r="AK351" s="1468"/>
      <c r="AL351" s="1468"/>
      <c r="AM351" s="1468"/>
      <c r="AN351" s="1468"/>
      <c r="AO351" s="1468"/>
      <c r="AP351" s="1468"/>
      <c r="AQ351" s="1468"/>
      <c r="AR351" s="1468"/>
      <c r="AS351" s="1468"/>
      <c r="AT351" s="1468"/>
      <c r="AU351" s="1468"/>
      <c r="AV351" s="1468"/>
      <c r="AW351" s="1468"/>
      <c r="AX351" s="1468"/>
      <c r="AY351" s="1468"/>
      <c r="AZ351" s="1468"/>
      <c r="BA351" s="1468"/>
      <c r="BB351" s="1468"/>
      <c r="BC351" s="1468"/>
      <c r="BD351" s="1468"/>
      <c r="BE351" s="1468"/>
      <c r="BF351" s="1468"/>
      <c r="BG351" s="1468"/>
      <c r="BH351" s="1468"/>
      <c r="BI351" s="1468"/>
      <c r="BJ351" s="1468"/>
      <c r="BK351" s="1468"/>
      <c r="BL351" s="1468"/>
      <c r="BM351" s="1468"/>
      <c r="BN351" s="1468"/>
      <c r="BO351" s="1468"/>
      <c r="BP351" s="1468"/>
      <c r="BQ351" s="1468"/>
      <c r="BR351" s="1468"/>
      <c r="BS351" s="1468"/>
      <c r="BT351" s="1468"/>
      <c r="BU351" s="1468"/>
      <c r="BV351" s="1468"/>
      <c r="BW351" s="1468"/>
      <c r="BX351" s="1468"/>
      <c r="BY351" s="1468"/>
      <c r="BZ351" s="1468"/>
      <c r="CA351" s="1468"/>
      <c r="CB351" s="1468"/>
      <c r="CC351" s="1468"/>
      <c r="CD351" s="1468"/>
      <c r="CE351" s="1468"/>
      <c r="CF351" s="1468"/>
      <c r="CG351" s="1468"/>
      <c r="CH351" s="1468"/>
      <c r="CI351" s="1468"/>
      <c r="CJ351" s="1468"/>
      <c r="CK351" s="1468"/>
      <c r="CL351" s="1468"/>
      <c r="CM351" s="1468"/>
      <c r="CN351" s="1468"/>
      <c r="CO351" s="1468"/>
      <c r="CP351" s="1468"/>
      <c r="CQ351" s="1468"/>
      <c r="CR351" s="1468"/>
      <c r="CS351" s="1468"/>
      <c r="CT351" s="1468"/>
      <c r="CU351" s="1468"/>
      <c r="CV351" s="1468"/>
      <c r="CW351" s="1468"/>
      <c r="CX351" s="1468"/>
      <c r="CY351" s="1468"/>
      <c r="CZ351" s="1468"/>
      <c r="DA351" s="1468"/>
      <c r="DB351" s="1468"/>
      <c r="DC351" s="1468"/>
      <c r="DD351" s="1468"/>
      <c r="DE351" s="1468"/>
      <c r="DF351" s="1468"/>
      <c r="DG351" s="1468"/>
      <c r="DH351" s="1468"/>
      <c r="DI351" s="1468"/>
      <c r="DJ351" s="1468"/>
      <c r="DK351" s="1468"/>
      <c r="DL351" s="1468"/>
      <c r="DM351" s="1468"/>
      <c r="DN351" s="1468"/>
      <c r="DO351" s="1468"/>
      <c r="DP351" s="1468"/>
      <c r="DQ351" s="1468"/>
      <c r="DR351" s="1468"/>
      <c r="DS351" s="1468"/>
      <c r="DT351" s="1468"/>
      <c r="DU351" s="1468"/>
      <c r="DV351" s="1468"/>
      <c r="DW351" s="1468"/>
      <c r="DX351" s="1468"/>
      <c r="DY351" s="1468"/>
      <c r="DZ351" s="1468"/>
      <c r="EA351" s="1468"/>
      <c r="EB351" s="1468"/>
      <c r="EC351" s="1468"/>
      <c r="ED351" s="1468"/>
      <c r="EE351" s="1468"/>
      <c r="EF351" s="1468"/>
      <c r="EG351" s="1468"/>
      <c r="EH351" s="1468"/>
      <c r="EI351" s="1468"/>
      <c r="EJ351" s="1468"/>
      <c r="EK351" s="1468"/>
      <c r="EL351" s="1468"/>
      <c r="EM351" s="1468"/>
      <c r="EN351" s="1468"/>
      <c r="EO351" s="1468"/>
      <c r="EP351" s="1468"/>
      <c r="EQ351" s="1468"/>
      <c r="ER351" s="1468"/>
      <c r="ES351" s="1468"/>
      <c r="ET351" s="1468"/>
      <c r="EU351" s="1468"/>
      <c r="EV351" s="1468"/>
      <c r="EW351" s="1468"/>
      <c r="EX351" s="1468"/>
      <c r="EY351" s="1468"/>
      <c r="EZ351" s="1468"/>
      <c r="FA351" s="1468"/>
      <c r="FB351" s="1468"/>
      <c r="FC351" s="1468"/>
      <c r="FD351" s="1468"/>
      <c r="FE351" s="1468"/>
      <c r="FF351" s="1468"/>
    </row>
    <row r="353" spans="6:162" s="1470" customFormat="1" ht="15.75" customHeight="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AA353" s="1468"/>
      <c r="AC353" s="1468"/>
      <c r="AD353" s="1468"/>
      <c r="AE353" s="1468"/>
      <c r="AF353" s="1468"/>
      <c r="AG353" s="1468"/>
      <c r="AH353" s="1469"/>
      <c r="AI353" s="1469"/>
      <c r="AJ353" s="1468"/>
      <c r="AK353" s="1468"/>
      <c r="AL353" s="1468"/>
      <c r="AM353" s="1468"/>
      <c r="AN353" s="1468"/>
      <c r="AO353" s="1468"/>
      <c r="AP353" s="1468"/>
      <c r="AQ353" s="1468"/>
      <c r="AR353" s="1468"/>
      <c r="AS353" s="1468"/>
      <c r="AT353" s="1468"/>
      <c r="AU353" s="1468"/>
      <c r="AV353" s="1468"/>
      <c r="AW353" s="1468"/>
      <c r="AX353" s="1468"/>
      <c r="AY353" s="1468"/>
      <c r="AZ353" s="1468"/>
      <c r="BA353" s="1468"/>
      <c r="BB353" s="1468"/>
      <c r="BC353" s="1468"/>
      <c r="BD353" s="1468"/>
      <c r="BE353" s="1468"/>
      <c r="BF353" s="1468"/>
      <c r="BG353" s="1468"/>
      <c r="BH353" s="1468"/>
      <c r="BI353" s="1468"/>
      <c r="BJ353" s="1468"/>
      <c r="BK353" s="1468"/>
      <c r="BL353" s="1468"/>
      <c r="BM353" s="1468"/>
      <c r="BN353" s="1468"/>
      <c r="BO353" s="1468"/>
      <c r="BP353" s="1468"/>
      <c r="BQ353" s="1468"/>
      <c r="BR353" s="1468"/>
      <c r="BS353" s="1468"/>
      <c r="BT353" s="1468"/>
      <c r="BU353" s="1468"/>
      <c r="BV353" s="1468"/>
      <c r="BW353" s="1468"/>
      <c r="BX353" s="1468"/>
      <c r="BY353" s="1468"/>
      <c r="BZ353" s="1468"/>
      <c r="CA353" s="1468"/>
      <c r="CB353" s="1468"/>
      <c r="CC353" s="1468"/>
      <c r="CD353" s="1468"/>
      <c r="CE353" s="1468"/>
      <c r="CF353" s="1468"/>
      <c r="CG353" s="1468"/>
      <c r="CH353" s="1468"/>
      <c r="CI353" s="1468"/>
      <c r="CJ353" s="1468"/>
      <c r="CK353" s="1468"/>
      <c r="CL353" s="1468"/>
      <c r="CM353" s="1468"/>
      <c r="CN353" s="1468"/>
      <c r="CO353" s="1468"/>
      <c r="CP353" s="1468"/>
      <c r="CQ353" s="1468"/>
      <c r="CR353" s="1468"/>
      <c r="CS353" s="1468"/>
      <c r="CT353" s="1468"/>
      <c r="CU353" s="1468"/>
      <c r="CV353" s="1468"/>
      <c r="CW353" s="1468"/>
      <c r="CX353" s="1468"/>
      <c r="CY353" s="1468"/>
      <c r="CZ353" s="1468"/>
      <c r="DA353" s="1468"/>
      <c r="DB353" s="1468"/>
      <c r="DC353" s="1468"/>
      <c r="DD353" s="1468"/>
      <c r="DE353" s="1468"/>
      <c r="DF353" s="1468"/>
      <c r="DG353" s="1468"/>
      <c r="DH353" s="1468"/>
      <c r="DI353" s="1468"/>
      <c r="DJ353" s="1468"/>
      <c r="DK353" s="1468"/>
      <c r="DL353" s="1468"/>
      <c r="DM353" s="1468"/>
      <c r="DN353" s="1468"/>
      <c r="DO353" s="1468"/>
      <c r="DP353" s="1468"/>
      <c r="DQ353" s="1468"/>
      <c r="DR353" s="1468"/>
      <c r="DS353" s="1468"/>
      <c r="DT353" s="1468"/>
      <c r="DU353" s="1468"/>
      <c r="DV353" s="1468"/>
      <c r="DW353" s="1468"/>
      <c r="DX353" s="1468"/>
      <c r="DY353" s="1468"/>
      <c r="DZ353" s="1468"/>
      <c r="EA353" s="1468"/>
      <c r="EB353" s="1468"/>
      <c r="EC353" s="1468"/>
      <c r="ED353" s="1468"/>
      <c r="EE353" s="1468"/>
      <c r="EF353" s="1468"/>
      <c r="EG353" s="1468"/>
      <c r="EH353" s="1468"/>
      <c r="EI353" s="1468"/>
      <c r="EJ353" s="1468"/>
      <c r="EK353" s="1468"/>
      <c r="EL353" s="1468"/>
      <c r="EM353" s="1468"/>
      <c r="EN353" s="1468"/>
      <c r="EO353" s="1468"/>
      <c r="EP353" s="1468"/>
      <c r="EQ353" s="1468"/>
      <c r="ER353" s="1468"/>
      <c r="ES353" s="1468"/>
      <c r="ET353" s="1468"/>
      <c r="EU353" s="1468"/>
      <c r="EV353" s="1468"/>
      <c r="EW353" s="1468"/>
      <c r="EX353" s="1468"/>
      <c r="EY353" s="1468"/>
      <c r="EZ353" s="1468"/>
      <c r="FA353" s="1468"/>
      <c r="FB353" s="1468"/>
      <c r="FC353" s="1468"/>
      <c r="FD353" s="1468"/>
      <c r="FE353" s="1468"/>
      <c r="FF353" s="1468"/>
    </row>
    <row r="355" spans="6:162" s="1470" customFormat="1" ht="15.75" customHeight="1">
      <c r="F355" s="1468"/>
      <c r="G355" s="1468"/>
      <c r="H355" s="1468"/>
      <c r="I355" s="1468"/>
      <c r="J355" s="1468"/>
      <c r="K355" s="1468"/>
      <c r="L355" s="1468"/>
      <c r="M355" s="1468"/>
      <c r="N355" s="1468"/>
      <c r="O355" s="1468"/>
      <c r="P355" s="1468"/>
      <c r="Q355" s="1468"/>
      <c r="R355" s="1468"/>
      <c r="S355" s="1468"/>
      <c r="T355" s="1468"/>
      <c r="U355" s="1468"/>
      <c r="V355" s="1468"/>
      <c r="W355" s="1468"/>
      <c r="X355" s="1468"/>
      <c r="Y355" s="1468"/>
      <c r="AA355" s="1468"/>
      <c r="AC355" s="1468"/>
      <c r="AD355" s="1468"/>
      <c r="AE355" s="1468"/>
      <c r="AF355" s="1468"/>
      <c r="AG355" s="1468"/>
      <c r="AH355" s="1469"/>
      <c r="AI355" s="1469"/>
      <c r="AJ355" s="1468"/>
      <c r="AK355" s="1468"/>
      <c r="AL355" s="1468"/>
      <c r="AM355" s="1468"/>
      <c r="AN355" s="1468"/>
      <c r="AO355" s="1468"/>
      <c r="AP355" s="1468"/>
      <c r="AQ355" s="1468"/>
      <c r="AR355" s="1468"/>
      <c r="AS355" s="1468"/>
      <c r="AT355" s="1468"/>
      <c r="AU355" s="1468"/>
      <c r="AV355" s="1468"/>
      <c r="AW355" s="1468"/>
      <c r="AX355" s="1468"/>
      <c r="AY355" s="1468"/>
      <c r="AZ355" s="1468"/>
      <c r="BA355" s="1468"/>
      <c r="BB355" s="1468"/>
      <c r="BC355" s="1468"/>
      <c r="BD355" s="1468"/>
      <c r="BE355" s="1468"/>
      <c r="BF355" s="1468"/>
      <c r="BG355" s="1468"/>
      <c r="BH355" s="1468"/>
      <c r="BI355" s="1468"/>
      <c r="BJ355" s="1468"/>
      <c r="BK355" s="1468"/>
      <c r="BL355" s="1468"/>
      <c r="BM355" s="1468"/>
      <c r="BN355" s="1468"/>
      <c r="BO355" s="1468"/>
      <c r="BP355" s="1468"/>
      <c r="BQ355" s="1468"/>
      <c r="BR355" s="1468"/>
      <c r="BS355" s="1468"/>
      <c r="BT355" s="1468"/>
      <c r="BU355" s="1468"/>
      <c r="BV355" s="1468"/>
      <c r="BW355" s="1468"/>
      <c r="BX355" s="1468"/>
      <c r="BY355" s="1468"/>
      <c r="BZ355" s="1468"/>
      <c r="CA355" s="1468"/>
      <c r="CB355" s="1468"/>
      <c r="CC355" s="1468"/>
      <c r="CD355" s="1468"/>
      <c r="CE355" s="1468"/>
      <c r="CF355" s="1468"/>
      <c r="CG355" s="1468"/>
      <c r="CH355" s="1468"/>
      <c r="CI355" s="1468"/>
      <c r="CJ355" s="1468"/>
      <c r="CK355" s="1468"/>
      <c r="CL355" s="1468"/>
      <c r="CM355" s="1468"/>
      <c r="CN355" s="1468"/>
      <c r="CO355" s="1468"/>
      <c r="CP355" s="1468"/>
      <c r="CQ355" s="1468"/>
      <c r="CR355" s="1468"/>
      <c r="CS355" s="1468"/>
      <c r="CT355" s="1468"/>
      <c r="CU355" s="1468"/>
      <c r="CV355" s="1468"/>
      <c r="CW355" s="1468"/>
      <c r="CX355" s="1468"/>
      <c r="CY355" s="1468"/>
      <c r="CZ355" s="1468"/>
      <c r="DA355" s="1468"/>
      <c r="DB355" s="1468"/>
      <c r="DC355" s="1468"/>
      <c r="DD355" s="1468"/>
      <c r="DE355" s="1468"/>
      <c r="DF355" s="1468"/>
      <c r="DG355" s="1468"/>
      <c r="DH355" s="1468"/>
      <c r="DI355" s="1468"/>
      <c r="DJ355" s="1468"/>
      <c r="DK355" s="1468"/>
      <c r="DL355" s="1468"/>
      <c r="DM355" s="1468"/>
      <c r="DN355" s="1468"/>
      <c r="DO355" s="1468"/>
      <c r="DP355" s="1468"/>
      <c r="DQ355" s="1468"/>
      <c r="DR355" s="1468"/>
      <c r="DS355" s="1468"/>
      <c r="DT355" s="1468"/>
      <c r="DU355" s="1468"/>
      <c r="DV355" s="1468"/>
      <c r="DW355" s="1468"/>
      <c r="DX355" s="1468"/>
      <c r="DY355" s="1468"/>
      <c r="DZ355" s="1468"/>
      <c r="EA355" s="1468"/>
      <c r="EB355" s="1468"/>
      <c r="EC355" s="1468"/>
      <c r="ED355" s="1468"/>
      <c r="EE355" s="1468"/>
      <c r="EF355" s="1468"/>
      <c r="EG355" s="1468"/>
      <c r="EH355" s="1468"/>
      <c r="EI355" s="1468"/>
      <c r="EJ355" s="1468"/>
      <c r="EK355" s="1468"/>
      <c r="EL355" s="1468"/>
      <c r="EM355" s="1468"/>
      <c r="EN355" s="1468"/>
      <c r="EO355" s="1468"/>
      <c r="EP355" s="1468"/>
      <c r="EQ355" s="1468"/>
      <c r="ER355" s="1468"/>
      <c r="ES355" s="1468"/>
      <c r="ET355" s="1468"/>
      <c r="EU355" s="1468"/>
      <c r="EV355" s="1468"/>
      <c r="EW355" s="1468"/>
      <c r="EX355" s="1468"/>
      <c r="EY355" s="1468"/>
      <c r="EZ355" s="1468"/>
      <c r="FA355" s="1468"/>
      <c r="FB355" s="1468"/>
      <c r="FC355" s="1468"/>
      <c r="FD355" s="1468"/>
      <c r="FE355" s="1468"/>
      <c r="FF355" s="1468"/>
    </row>
    <row r="357" spans="6:162" s="1470" customFormat="1" ht="15.75" customHeight="1">
      <c r="F357" s="1468"/>
      <c r="G357" s="1468"/>
      <c r="H357" s="1468"/>
      <c r="I357" s="1468"/>
      <c r="J357" s="1468"/>
      <c r="K357" s="1468"/>
      <c r="L357" s="1468"/>
      <c r="M357" s="1468"/>
      <c r="N357" s="1468"/>
      <c r="O357" s="1468"/>
      <c r="P357" s="1468"/>
      <c r="Q357" s="1468"/>
      <c r="R357" s="1468"/>
      <c r="S357" s="1468"/>
      <c r="T357" s="1468"/>
      <c r="U357" s="1468"/>
      <c r="V357" s="1468"/>
      <c r="W357" s="1468"/>
      <c r="X357" s="1468"/>
      <c r="Y357" s="1468"/>
      <c r="AA357" s="1468"/>
      <c r="AC357" s="1468"/>
      <c r="AD357" s="1468"/>
      <c r="AE357" s="1468"/>
      <c r="AF357" s="1468"/>
      <c r="AG357" s="1468"/>
      <c r="AH357" s="1469"/>
      <c r="AI357" s="1469"/>
      <c r="AJ357" s="1468"/>
      <c r="AK357" s="1468"/>
      <c r="AL357" s="1468"/>
      <c r="AM357" s="1468"/>
      <c r="AN357" s="1468"/>
      <c r="AO357" s="1468"/>
      <c r="AP357" s="1468"/>
      <c r="AQ357" s="1468"/>
      <c r="AR357" s="1468"/>
      <c r="AS357" s="1468"/>
      <c r="AT357" s="1468"/>
      <c r="AU357" s="1468"/>
      <c r="AV357" s="1468"/>
      <c r="AW357" s="1468"/>
      <c r="AX357" s="1468"/>
      <c r="AY357" s="1468"/>
      <c r="AZ357" s="1468"/>
      <c r="BA357" s="1468"/>
      <c r="BB357" s="1468"/>
      <c r="BC357" s="1468"/>
      <c r="BD357" s="1468"/>
      <c r="BE357" s="1468"/>
      <c r="BF357" s="1468"/>
      <c r="BG357" s="1468"/>
      <c r="BH357" s="1468"/>
      <c r="BI357" s="1468"/>
      <c r="BJ357" s="1468"/>
      <c r="BK357" s="1468"/>
      <c r="BL357" s="1468"/>
      <c r="BM357" s="1468"/>
      <c r="BN357" s="1468"/>
      <c r="BO357" s="1468"/>
      <c r="BP357" s="1468"/>
      <c r="BQ357" s="1468"/>
      <c r="BR357" s="1468"/>
      <c r="BS357" s="1468"/>
      <c r="BT357" s="1468"/>
      <c r="BU357" s="1468"/>
      <c r="BV357" s="1468"/>
      <c r="BW357" s="1468"/>
      <c r="BX357" s="1468"/>
      <c r="BY357" s="1468"/>
      <c r="BZ357" s="1468"/>
      <c r="CA357" s="1468"/>
      <c r="CB357" s="1468"/>
      <c r="CC357" s="1468"/>
      <c r="CD357" s="1468"/>
      <c r="CE357" s="1468"/>
      <c r="CF357" s="1468"/>
      <c r="CG357" s="1468"/>
      <c r="CH357" s="1468"/>
      <c r="CI357" s="1468"/>
      <c r="CJ357" s="1468"/>
      <c r="CK357" s="1468"/>
      <c r="CL357" s="1468"/>
      <c r="CM357" s="1468"/>
      <c r="CN357" s="1468"/>
      <c r="CO357" s="1468"/>
      <c r="CP357" s="1468"/>
      <c r="CQ357" s="1468"/>
      <c r="CR357" s="1468"/>
      <c r="CS357" s="1468"/>
      <c r="CT357" s="1468"/>
      <c r="CU357" s="1468"/>
      <c r="CV357" s="1468"/>
      <c r="CW357" s="1468"/>
      <c r="CX357" s="1468"/>
      <c r="CY357" s="1468"/>
      <c r="CZ357" s="1468"/>
      <c r="DA357" s="1468"/>
      <c r="DB357" s="1468"/>
      <c r="DC357" s="1468"/>
      <c r="DD357" s="1468"/>
      <c r="DE357" s="1468"/>
      <c r="DF357" s="1468"/>
      <c r="DG357" s="1468"/>
      <c r="DH357" s="1468"/>
      <c r="DI357" s="1468"/>
      <c r="DJ357" s="1468"/>
      <c r="DK357" s="1468"/>
      <c r="DL357" s="1468"/>
      <c r="DM357" s="1468"/>
      <c r="DN357" s="1468"/>
      <c r="DO357" s="1468"/>
      <c r="DP357" s="1468"/>
      <c r="DQ357" s="1468"/>
      <c r="DR357" s="1468"/>
      <c r="DS357" s="1468"/>
      <c r="DT357" s="1468"/>
      <c r="DU357" s="1468"/>
      <c r="DV357" s="1468"/>
      <c r="DW357" s="1468"/>
      <c r="DX357" s="1468"/>
      <c r="DY357" s="1468"/>
      <c r="DZ357" s="1468"/>
      <c r="EA357" s="1468"/>
      <c r="EB357" s="1468"/>
      <c r="EC357" s="1468"/>
      <c r="ED357" s="1468"/>
      <c r="EE357" s="1468"/>
      <c r="EF357" s="1468"/>
      <c r="EG357" s="1468"/>
      <c r="EH357" s="1468"/>
      <c r="EI357" s="1468"/>
      <c r="EJ357" s="1468"/>
      <c r="EK357" s="1468"/>
      <c r="EL357" s="1468"/>
      <c r="EM357" s="1468"/>
      <c r="EN357" s="1468"/>
      <c r="EO357" s="1468"/>
      <c r="EP357" s="1468"/>
      <c r="EQ357" s="1468"/>
      <c r="ER357" s="1468"/>
      <c r="ES357" s="1468"/>
      <c r="ET357" s="1468"/>
      <c r="EU357" s="1468"/>
      <c r="EV357" s="1468"/>
      <c r="EW357" s="1468"/>
      <c r="EX357" s="1468"/>
      <c r="EY357" s="1468"/>
      <c r="EZ357" s="1468"/>
      <c r="FA357" s="1468"/>
      <c r="FB357" s="1468"/>
      <c r="FC357" s="1468"/>
      <c r="FD357" s="1468"/>
      <c r="FE357" s="1468"/>
      <c r="FF357" s="1468"/>
    </row>
    <row r="359" spans="6:162" s="1470" customFormat="1" ht="15.75" customHeight="1">
      <c r="F359" s="1468"/>
      <c r="G359" s="1468"/>
      <c r="H359" s="1468"/>
      <c r="I359" s="1468"/>
      <c r="J359" s="1468"/>
      <c r="K359" s="1468"/>
      <c r="L359" s="1468"/>
      <c r="M359" s="1468"/>
      <c r="N359" s="1468"/>
      <c r="O359" s="1468"/>
      <c r="P359" s="1468"/>
      <c r="Q359" s="1468"/>
      <c r="R359" s="1468"/>
      <c r="S359" s="1468"/>
      <c r="T359" s="1468"/>
      <c r="U359" s="1468"/>
      <c r="V359" s="1468"/>
      <c r="W359" s="1468"/>
      <c r="X359" s="1468"/>
      <c r="Y359" s="1468"/>
      <c r="AA359" s="1468"/>
      <c r="AC359" s="1468"/>
      <c r="AD359" s="1468"/>
      <c r="AE359" s="1468"/>
      <c r="AF359" s="1468"/>
      <c r="AG359" s="1468"/>
      <c r="AH359" s="1469"/>
      <c r="AI359" s="1469"/>
      <c r="AJ359" s="1468"/>
      <c r="AK359" s="1468"/>
      <c r="AL359" s="1468"/>
      <c r="AM359" s="1468"/>
      <c r="AN359" s="1468"/>
      <c r="AO359" s="1468"/>
      <c r="AP359" s="1468"/>
      <c r="AQ359" s="1468"/>
      <c r="AR359" s="1468"/>
      <c r="AS359" s="1468"/>
      <c r="AT359" s="1468"/>
      <c r="AU359" s="1468"/>
      <c r="AV359" s="1468"/>
      <c r="AW359" s="1468"/>
      <c r="AX359" s="1468"/>
      <c r="AY359" s="1468"/>
      <c r="AZ359" s="1468"/>
      <c r="BA359" s="1468"/>
      <c r="BB359" s="1468"/>
      <c r="BC359" s="1468"/>
      <c r="BD359" s="1468"/>
      <c r="BE359" s="1468"/>
      <c r="BF359" s="1468"/>
      <c r="BG359" s="1468"/>
      <c r="BH359" s="1468"/>
      <c r="BI359" s="1468"/>
      <c r="BJ359" s="1468"/>
      <c r="BK359" s="1468"/>
      <c r="BL359" s="1468"/>
      <c r="BM359" s="1468"/>
      <c r="BN359" s="1468"/>
      <c r="BO359" s="1468"/>
      <c r="BP359" s="1468"/>
      <c r="BQ359" s="1468"/>
      <c r="BR359" s="1468"/>
      <c r="BS359" s="1468"/>
      <c r="BT359" s="1468"/>
      <c r="BU359" s="1468"/>
      <c r="BV359" s="1468"/>
      <c r="BW359" s="1468"/>
      <c r="BX359" s="1468"/>
      <c r="BY359" s="1468"/>
      <c r="BZ359" s="1468"/>
      <c r="CA359" s="1468"/>
      <c r="CB359" s="1468"/>
      <c r="CC359" s="1468"/>
      <c r="CD359" s="1468"/>
      <c r="CE359" s="1468"/>
      <c r="CF359" s="1468"/>
      <c r="CG359" s="1468"/>
      <c r="CH359" s="1468"/>
      <c r="CI359" s="1468"/>
      <c r="CJ359" s="1468"/>
      <c r="CK359" s="1468"/>
      <c r="CL359" s="1468"/>
      <c r="CM359" s="1468"/>
      <c r="CN359" s="1468"/>
      <c r="CO359" s="1468"/>
      <c r="CP359" s="1468"/>
      <c r="CQ359" s="1468"/>
      <c r="CR359" s="1468"/>
      <c r="CS359" s="1468"/>
      <c r="CT359" s="1468"/>
      <c r="CU359" s="1468"/>
      <c r="CV359" s="1468"/>
      <c r="CW359" s="1468"/>
      <c r="CX359" s="1468"/>
      <c r="CY359" s="1468"/>
      <c r="CZ359" s="1468"/>
      <c r="DA359" s="1468"/>
      <c r="DB359" s="1468"/>
      <c r="DC359" s="1468"/>
      <c r="DD359" s="1468"/>
      <c r="DE359" s="1468"/>
      <c r="DF359" s="1468"/>
      <c r="DG359" s="1468"/>
      <c r="DH359" s="1468"/>
      <c r="DI359" s="1468"/>
      <c r="DJ359" s="1468"/>
      <c r="DK359" s="1468"/>
      <c r="DL359" s="1468"/>
      <c r="DM359" s="1468"/>
      <c r="DN359" s="1468"/>
      <c r="DO359" s="1468"/>
      <c r="DP359" s="1468"/>
      <c r="DQ359" s="1468"/>
      <c r="DR359" s="1468"/>
      <c r="DS359" s="1468"/>
      <c r="DT359" s="1468"/>
      <c r="DU359" s="1468"/>
      <c r="DV359" s="1468"/>
      <c r="DW359" s="1468"/>
      <c r="DX359" s="1468"/>
      <c r="DY359" s="1468"/>
      <c r="DZ359" s="1468"/>
      <c r="EA359" s="1468"/>
      <c r="EB359" s="1468"/>
      <c r="EC359" s="1468"/>
      <c r="ED359" s="1468"/>
      <c r="EE359" s="1468"/>
      <c r="EF359" s="1468"/>
      <c r="EG359" s="1468"/>
      <c r="EH359" s="1468"/>
      <c r="EI359" s="1468"/>
      <c r="EJ359" s="1468"/>
      <c r="EK359" s="1468"/>
      <c r="EL359" s="1468"/>
      <c r="EM359" s="1468"/>
      <c r="EN359" s="1468"/>
      <c r="EO359" s="1468"/>
      <c r="EP359" s="1468"/>
      <c r="EQ359" s="1468"/>
      <c r="ER359" s="1468"/>
      <c r="ES359" s="1468"/>
      <c r="ET359" s="1468"/>
      <c r="EU359" s="1468"/>
      <c r="EV359" s="1468"/>
      <c r="EW359" s="1468"/>
      <c r="EX359" s="1468"/>
      <c r="EY359" s="1468"/>
      <c r="EZ359" s="1468"/>
      <c r="FA359" s="1468"/>
      <c r="FB359" s="1468"/>
      <c r="FC359" s="1468"/>
      <c r="FD359" s="1468"/>
      <c r="FE359" s="1468"/>
      <c r="FF359" s="1468"/>
    </row>
    <row r="361" spans="6:162" s="1470" customFormat="1" ht="15.75" customHeight="1">
      <c r="F361" s="1468"/>
      <c r="G361" s="1468"/>
      <c r="H361" s="1468"/>
      <c r="I361" s="1468"/>
      <c r="J361" s="1468"/>
      <c r="K361" s="1468"/>
      <c r="L361" s="1468"/>
      <c r="M361" s="1468"/>
      <c r="N361" s="1468"/>
      <c r="O361" s="1468"/>
      <c r="P361" s="1468"/>
      <c r="Q361" s="1468"/>
      <c r="R361" s="1468"/>
      <c r="S361" s="1468"/>
      <c r="T361" s="1468"/>
      <c r="U361" s="1468"/>
      <c r="V361" s="1468"/>
      <c r="W361" s="1468"/>
      <c r="X361" s="1468"/>
      <c r="Y361" s="1468"/>
      <c r="AA361" s="1468"/>
      <c r="AC361" s="1468"/>
      <c r="AD361" s="1468"/>
      <c r="AE361" s="1468"/>
      <c r="AF361" s="1468"/>
      <c r="AG361" s="1468"/>
      <c r="AH361" s="1469"/>
      <c r="AI361" s="1469"/>
      <c r="AJ361" s="1468"/>
      <c r="AK361" s="1468"/>
      <c r="AL361" s="1468"/>
      <c r="AM361" s="1468"/>
      <c r="AN361" s="1468"/>
      <c r="AO361" s="1468"/>
      <c r="AP361" s="1468"/>
      <c r="AQ361" s="1468"/>
      <c r="AR361" s="1468"/>
      <c r="AS361" s="1468"/>
      <c r="AT361" s="1468"/>
      <c r="AU361" s="1468"/>
      <c r="AV361" s="1468"/>
      <c r="AW361" s="1468"/>
      <c r="AX361" s="1468"/>
      <c r="AY361" s="1468"/>
      <c r="AZ361" s="1468"/>
      <c r="BA361" s="1468"/>
      <c r="BB361" s="1468"/>
      <c r="BC361" s="1468"/>
      <c r="BD361" s="1468"/>
      <c r="BE361" s="1468"/>
      <c r="BF361" s="1468"/>
      <c r="BG361" s="1468"/>
      <c r="BH361" s="1468"/>
      <c r="BI361" s="1468"/>
      <c r="BJ361" s="1468"/>
      <c r="BK361" s="1468"/>
      <c r="BL361" s="1468"/>
      <c r="BM361" s="1468"/>
      <c r="BN361" s="1468"/>
      <c r="BO361" s="1468"/>
      <c r="BP361" s="1468"/>
      <c r="BQ361" s="1468"/>
      <c r="BR361" s="1468"/>
      <c r="BS361" s="1468"/>
      <c r="BT361" s="1468"/>
      <c r="BU361" s="1468"/>
      <c r="BV361" s="1468"/>
      <c r="BW361" s="1468"/>
      <c r="BX361" s="1468"/>
      <c r="BY361" s="1468"/>
      <c r="BZ361" s="1468"/>
      <c r="CA361" s="1468"/>
      <c r="CB361" s="1468"/>
      <c r="CC361" s="1468"/>
      <c r="CD361" s="1468"/>
      <c r="CE361" s="1468"/>
      <c r="CF361" s="1468"/>
      <c r="CG361" s="1468"/>
      <c r="CH361" s="1468"/>
      <c r="CI361" s="1468"/>
      <c r="CJ361" s="1468"/>
      <c r="CK361" s="1468"/>
      <c r="CL361" s="1468"/>
      <c r="CM361" s="1468"/>
      <c r="CN361" s="1468"/>
      <c r="CO361" s="1468"/>
      <c r="CP361" s="1468"/>
      <c r="CQ361" s="1468"/>
      <c r="CR361" s="1468"/>
      <c r="CS361" s="1468"/>
      <c r="CT361" s="1468"/>
      <c r="CU361" s="1468"/>
      <c r="CV361" s="1468"/>
      <c r="CW361" s="1468"/>
      <c r="CX361" s="1468"/>
      <c r="CY361" s="1468"/>
      <c r="CZ361" s="1468"/>
      <c r="DA361" s="1468"/>
      <c r="DB361" s="1468"/>
      <c r="DC361" s="1468"/>
      <c r="DD361" s="1468"/>
      <c r="DE361" s="1468"/>
      <c r="DF361" s="1468"/>
      <c r="DG361" s="1468"/>
      <c r="DH361" s="1468"/>
      <c r="DI361" s="1468"/>
      <c r="DJ361" s="1468"/>
      <c r="DK361" s="1468"/>
      <c r="DL361" s="1468"/>
      <c r="DM361" s="1468"/>
      <c r="DN361" s="1468"/>
      <c r="DO361" s="1468"/>
      <c r="DP361" s="1468"/>
      <c r="DQ361" s="1468"/>
      <c r="DR361" s="1468"/>
      <c r="DS361" s="1468"/>
      <c r="DT361" s="1468"/>
      <c r="DU361" s="1468"/>
      <c r="DV361" s="1468"/>
      <c r="DW361" s="1468"/>
      <c r="DX361" s="1468"/>
      <c r="DY361" s="1468"/>
      <c r="DZ361" s="1468"/>
      <c r="EA361" s="1468"/>
      <c r="EB361" s="1468"/>
      <c r="EC361" s="1468"/>
      <c r="ED361" s="1468"/>
      <c r="EE361" s="1468"/>
      <c r="EF361" s="1468"/>
      <c r="EG361" s="1468"/>
      <c r="EH361" s="1468"/>
      <c r="EI361" s="1468"/>
      <c r="EJ361" s="1468"/>
      <c r="EK361" s="1468"/>
      <c r="EL361" s="1468"/>
      <c r="EM361" s="1468"/>
      <c r="EN361" s="1468"/>
      <c r="EO361" s="1468"/>
      <c r="EP361" s="1468"/>
      <c r="EQ361" s="1468"/>
      <c r="ER361" s="1468"/>
      <c r="ES361" s="1468"/>
      <c r="ET361" s="1468"/>
      <c r="EU361" s="1468"/>
      <c r="EV361" s="1468"/>
      <c r="EW361" s="1468"/>
      <c r="EX361" s="1468"/>
      <c r="EY361" s="1468"/>
      <c r="EZ361" s="1468"/>
      <c r="FA361" s="1468"/>
      <c r="FB361" s="1468"/>
      <c r="FC361" s="1468"/>
      <c r="FD361" s="1468"/>
      <c r="FE361" s="1468"/>
      <c r="FF361" s="1468"/>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view="pageBreakPreview" topLeftCell="A15" zoomScale="60" zoomScaleNormal="100" workbookViewId="0">
      <selection activeCell="J140" sqref="J140:L140"/>
    </sheetView>
  </sheetViews>
  <sheetFormatPr defaultRowHeight="14.5"/>
  <cols>
    <col min="1" max="2" width="4.7265625" customWidth="1"/>
    <col min="3" max="3" width="59.81640625" customWidth="1"/>
    <col min="4" max="4" width="3.1796875" customWidth="1"/>
    <col min="5" max="5" width="14.453125" style="201"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778" t="s">
        <v>1551</v>
      </c>
      <c r="B1" s="1778"/>
      <c r="C1" s="1778"/>
      <c r="D1" s="1778"/>
      <c r="E1" s="1778"/>
      <c r="F1" s="1778"/>
      <c r="G1" s="1778"/>
      <c r="H1" s="1779"/>
    </row>
    <row r="2" spans="1:8">
      <c r="A2" s="1"/>
    </row>
    <row r="3" spans="1:8" ht="15.5">
      <c r="A3" s="1780" t="s">
        <v>231</v>
      </c>
      <c r="B3" s="1781"/>
      <c r="C3" s="1781"/>
      <c r="D3" s="1781"/>
      <c r="E3" s="1781"/>
      <c r="F3" s="1779"/>
      <c r="G3" s="1779"/>
      <c r="H3" s="1779"/>
    </row>
    <row r="5" spans="1:8">
      <c r="D5" s="4"/>
      <c r="G5" s="966"/>
    </row>
    <row r="7" spans="1:8">
      <c r="D7" s="368"/>
      <c r="E7" s="368" t="s">
        <v>232</v>
      </c>
      <c r="F7" s="368"/>
      <c r="G7" s="368" t="s">
        <v>233</v>
      </c>
      <c r="H7" s="368"/>
    </row>
    <row r="8" spans="1:8">
      <c r="A8" s="369" t="s">
        <v>234</v>
      </c>
      <c r="B8" s="369"/>
      <c r="D8" s="368"/>
      <c r="E8" s="368" t="s">
        <v>235</v>
      </c>
      <c r="F8" s="368" t="s">
        <v>236</v>
      </c>
      <c r="G8" s="368" t="s">
        <v>109</v>
      </c>
      <c r="H8" s="368"/>
    </row>
    <row r="9" spans="1:8">
      <c r="A9" s="369"/>
      <c r="B9" s="369"/>
      <c r="D9" s="368"/>
      <c r="E9" s="370"/>
      <c r="F9" s="368"/>
      <c r="G9" s="368"/>
      <c r="H9" s="368"/>
    </row>
    <row r="10" spans="1:8">
      <c r="A10" s="369"/>
      <c r="B10" s="369"/>
      <c r="D10" s="368"/>
      <c r="E10" s="370"/>
      <c r="F10" s="368"/>
      <c r="G10" s="368"/>
      <c r="H10" s="368"/>
    </row>
    <row r="11" spans="1:8">
      <c r="D11" s="368"/>
      <c r="E11" s="370"/>
      <c r="G11" s="368"/>
      <c r="H11" s="371"/>
    </row>
    <row r="12" spans="1:8">
      <c r="B12" s="369" t="s">
        <v>110</v>
      </c>
      <c r="D12" s="368"/>
      <c r="E12" s="372"/>
      <c r="F12" s="373" t="s">
        <v>237</v>
      </c>
      <c r="G12" s="368"/>
      <c r="H12" s="371"/>
    </row>
    <row r="13" spans="1:8">
      <c r="D13" s="368"/>
      <c r="E13" s="372"/>
      <c r="F13" s="368"/>
      <c r="G13" s="368"/>
      <c r="H13" s="371"/>
    </row>
    <row r="14" spans="1:8" ht="19.5" customHeight="1">
      <c r="B14" s="1247">
        <v>1</v>
      </c>
      <c r="C14" s="1528" t="s">
        <v>1554</v>
      </c>
      <c r="D14" s="330"/>
      <c r="E14" s="1520">
        <v>2193719.41</v>
      </c>
      <c r="G14" s="374"/>
      <c r="H14" s="330"/>
    </row>
    <row r="15" spans="1:8" ht="12.75" customHeight="1">
      <c r="B15" s="1247">
        <v>2</v>
      </c>
      <c r="C15" s="1528" t="s">
        <v>1555</v>
      </c>
      <c r="D15" s="330"/>
      <c r="E15" s="1520">
        <v>0</v>
      </c>
      <c r="G15" s="374"/>
      <c r="H15" s="330"/>
    </row>
    <row r="16" spans="1:8" ht="12.75" customHeight="1">
      <c r="B16" s="1247">
        <v>3</v>
      </c>
      <c r="C16" s="1529" t="s">
        <v>1556</v>
      </c>
      <c r="D16" s="330"/>
      <c r="E16" s="375">
        <v>0</v>
      </c>
      <c r="G16" s="374"/>
      <c r="H16" s="330"/>
    </row>
    <row r="17" spans="2:9" ht="12.75" customHeight="1">
      <c r="B17" s="1247">
        <v>4</v>
      </c>
      <c r="C17" s="1529" t="s">
        <v>1557</v>
      </c>
      <c r="D17" s="330"/>
      <c r="E17" s="375"/>
      <c r="G17" s="374"/>
      <c r="H17" s="330"/>
    </row>
    <row r="18" spans="2:9" ht="12.75" customHeight="1">
      <c r="E18"/>
    </row>
    <row r="19" spans="2:9" ht="12.75" customHeight="1">
      <c r="B19" s="369" t="s">
        <v>238</v>
      </c>
      <c r="D19" s="330"/>
      <c r="E19" s="377">
        <f>SUM(E14:E17)</f>
        <v>2193719.41</v>
      </c>
      <c r="F19" s="376">
        <f>+'ATT H-1A'!H37</f>
        <v>0.37285862840743444</v>
      </c>
      <c r="G19" s="377">
        <f>+E19*F19</f>
        <v>817947.21032336634</v>
      </c>
      <c r="H19" s="330"/>
      <c r="I19" s="377"/>
    </row>
    <row r="20" spans="2:9" ht="12.75" customHeight="1">
      <c r="D20" s="330"/>
      <c r="E20" s="378"/>
      <c r="F20" s="330"/>
      <c r="G20" s="330"/>
      <c r="H20" s="330"/>
    </row>
    <row r="21" spans="2:9" ht="12.75" customHeight="1">
      <c r="D21" s="330"/>
      <c r="E21" s="378"/>
      <c r="F21" s="330"/>
      <c r="G21" s="330"/>
      <c r="H21" s="330"/>
    </row>
    <row r="22" spans="2:9" ht="12.75" customHeight="1">
      <c r="B22" s="369" t="s">
        <v>239</v>
      </c>
      <c r="D22" s="330"/>
      <c r="E22" s="378"/>
      <c r="F22" s="379" t="s">
        <v>240</v>
      </c>
      <c r="G22" s="330"/>
      <c r="H22" s="330"/>
    </row>
    <row r="23" spans="2:9" ht="12.75" customHeight="1">
      <c r="B23" s="369"/>
      <c r="D23" s="330"/>
      <c r="G23" s="330"/>
      <c r="H23" s="330"/>
    </row>
    <row r="24" spans="2:9" ht="12.75" customHeight="1">
      <c r="B24" s="1247">
        <v>5</v>
      </c>
      <c r="C24" s="1529" t="s">
        <v>1796</v>
      </c>
      <c r="D24" s="1530"/>
      <c r="E24" s="1531">
        <f>2994485.25-E43</f>
        <v>2983462.5</v>
      </c>
      <c r="F24" s="337"/>
      <c r="G24" s="337"/>
      <c r="H24" s="337"/>
    </row>
    <row r="25" spans="2:9">
      <c r="B25" s="1247">
        <v>6</v>
      </c>
      <c r="C25" s="1529"/>
      <c r="D25" s="1521"/>
      <c r="E25" s="1531"/>
    </row>
    <row r="26" spans="2:9">
      <c r="E26"/>
    </row>
    <row r="27" spans="2:9">
      <c r="B27" s="369" t="s">
        <v>241</v>
      </c>
      <c r="E27" s="377">
        <f>SUM(E24:E26)</f>
        <v>2983462.5</v>
      </c>
      <c r="F27" s="376">
        <f>'ATT H-1A'!H16</f>
        <v>0.13888944064369446</v>
      </c>
      <c r="G27" s="377">
        <f>+F27*E27</f>
        <v>414371.43780643831</v>
      </c>
    </row>
    <row r="28" spans="2:9">
      <c r="B28" s="369"/>
      <c r="C28" s="378"/>
      <c r="F28" s="5"/>
    </row>
    <row r="30" spans="2:9">
      <c r="B30" s="369" t="s">
        <v>242</v>
      </c>
      <c r="F30" s="373" t="s">
        <v>237</v>
      </c>
    </row>
    <row r="32" spans="2:9">
      <c r="B32">
        <v>7</v>
      </c>
      <c r="C32" s="380" t="s">
        <v>243</v>
      </c>
      <c r="E32" s="1534"/>
    </row>
    <row r="33" spans="2:20">
      <c r="E33"/>
    </row>
    <row r="34" spans="2:20">
      <c r="B34" s="369" t="s">
        <v>244</v>
      </c>
      <c r="E34" s="377">
        <f>SUM(E32:E33)</f>
        <v>0</v>
      </c>
      <c r="F34" s="376">
        <f>'ATT H-1A'!H37</f>
        <v>0.37285862840743444</v>
      </c>
      <c r="G34" s="377">
        <f>+F34*E34</f>
        <v>0</v>
      </c>
    </row>
    <row r="36" spans="2:20">
      <c r="B36" s="369" t="s">
        <v>245</v>
      </c>
      <c r="G36" s="377">
        <f>+G34+G27+G19</f>
        <v>1232318.6481298045</v>
      </c>
    </row>
    <row r="37" spans="2:20">
      <c r="C37" s="381"/>
    </row>
    <row r="38" spans="2:20">
      <c r="B38" s="1247"/>
      <c r="C38" s="1532" t="s">
        <v>1246</v>
      </c>
      <c r="D38" s="1247"/>
      <c r="E38" s="1533"/>
    </row>
    <row r="39" spans="2:20">
      <c r="B39" s="1247">
        <v>8</v>
      </c>
      <c r="C39" s="1529" t="s">
        <v>1558</v>
      </c>
      <c r="D39" s="1247"/>
      <c r="E39" s="1534">
        <v>0</v>
      </c>
    </row>
    <row r="40" spans="2:20">
      <c r="B40" s="1247">
        <v>9</v>
      </c>
      <c r="C40" s="1529" t="s">
        <v>1559</v>
      </c>
      <c r="D40" s="1535"/>
      <c r="E40" s="1534">
        <v>0</v>
      </c>
    </row>
    <row r="41" spans="2:20">
      <c r="B41" s="1247">
        <v>10</v>
      </c>
      <c r="C41" s="1529" t="s">
        <v>1560</v>
      </c>
      <c r="D41" s="1521"/>
      <c r="E41" s="1536">
        <v>-691370</v>
      </c>
      <c r="G41" s="382"/>
      <c r="H41" s="5"/>
      <c r="I41" s="5"/>
      <c r="J41" s="383"/>
    </row>
    <row r="42" spans="2:20">
      <c r="B42" s="1247">
        <v>10.1</v>
      </c>
      <c r="C42" s="1529" t="s">
        <v>1795</v>
      </c>
      <c r="D42" s="1521"/>
      <c r="E42" s="1536">
        <v>3126601</v>
      </c>
      <c r="F42" s="332"/>
      <c r="H42" s="381"/>
      <c r="I42" s="5"/>
      <c r="J42" s="383"/>
      <c r="K42" s="5"/>
      <c r="L42" s="5"/>
      <c r="M42" s="5"/>
      <c r="N42" s="5"/>
      <c r="O42" s="5"/>
      <c r="P42" s="5"/>
      <c r="Q42" s="5"/>
      <c r="R42" s="5"/>
      <c r="S42" s="5"/>
      <c r="T42" s="5"/>
    </row>
    <row r="43" spans="2:20">
      <c r="B43" s="1247">
        <v>10.199999999999999</v>
      </c>
      <c r="C43" s="1709" t="s">
        <v>1794</v>
      </c>
      <c r="D43" s="1247"/>
      <c r="E43" s="1536">
        <v>11022.75</v>
      </c>
      <c r="F43" s="332"/>
      <c r="H43" s="381"/>
      <c r="I43" s="5"/>
      <c r="J43" s="383"/>
      <c r="K43" s="5"/>
      <c r="L43" s="5"/>
      <c r="M43" s="5"/>
      <c r="N43" s="5"/>
      <c r="O43" s="5"/>
      <c r="P43" s="5"/>
      <c r="Q43" s="5"/>
      <c r="R43" s="5"/>
      <c r="S43" s="5"/>
      <c r="T43" s="5"/>
    </row>
    <row r="44" spans="2:20" s="1247" customFormat="1">
      <c r="C44" s="1537"/>
      <c r="E44" s="1533"/>
      <c r="F44" s="332"/>
      <c r="H44" s="381"/>
      <c r="I44" s="5"/>
      <c r="J44" s="383"/>
      <c r="K44" s="5"/>
      <c r="L44" s="5"/>
      <c r="M44" s="5"/>
      <c r="N44" s="5"/>
      <c r="O44" s="5"/>
      <c r="P44" s="5"/>
      <c r="Q44" s="5"/>
      <c r="R44" s="5"/>
      <c r="S44" s="5"/>
      <c r="T44" s="5"/>
    </row>
    <row r="45" spans="2:20">
      <c r="B45" s="1247">
        <v>11</v>
      </c>
      <c r="C45" s="1247" t="s">
        <v>246</v>
      </c>
      <c r="D45" s="1521"/>
      <c r="E45" s="1538">
        <f>E19+E27+E34+E39+E40+E41+E42+E43</f>
        <v>7623435.6600000001</v>
      </c>
      <c r="H45" s="381"/>
      <c r="I45" s="5"/>
      <c r="J45" s="383"/>
      <c r="K45" s="5"/>
      <c r="L45" s="5"/>
      <c r="M45" s="5"/>
      <c r="N45" s="5"/>
      <c r="O45" s="5"/>
      <c r="P45" s="5"/>
      <c r="Q45" s="5"/>
      <c r="R45" s="5"/>
      <c r="S45" s="5"/>
      <c r="T45" s="5"/>
    </row>
    <row r="46" spans="2:20">
      <c r="B46" s="1247"/>
      <c r="C46" s="44"/>
      <c r="D46" s="1521"/>
      <c r="E46" s="1538"/>
      <c r="H46" s="381"/>
      <c r="I46" s="5"/>
      <c r="J46" s="383"/>
      <c r="K46" s="5"/>
      <c r="L46" s="5"/>
      <c r="M46" s="5"/>
      <c r="N46" s="5"/>
      <c r="O46" s="5"/>
      <c r="P46" s="5"/>
      <c r="Q46" s="5"/>
      <c r="R46" s="5"/>
      <c r="S46" s="5"/>
      <c r="T46" s="5"/>
    </row>
    <row r="47" spans="2:20">
      <c r="B47" s="1247">
        <v>12</v>
      </c>
      <c r="C47" s="44" t="s">
        <v>247</v>
      </c>
      <c r="D47" s="1539"/>
      <c r="E47" s="1540">
        <v>7623436</v>
      </c>
    </row>
    <row r="48" spans="2:20">
      <c r="B48" s="1247"/>
      <c r="C48" s="1521"/>
      <c r="D48" s="1521"/>
      <c r="E48" s="1538"/>
    </row>
    <row r="49" spans="1:8">
      <c r="B49" s="1247">
        <v>13</v>
      </c>
      <c r="C49" s="1521" t="s">
        <v>248</v>
      </c>
      <c r="D49" s="1541"/>
      <c r="E49" s="1538">
        <f>+E45-E47</f>
        <v>-0.33999999985098839</v>
      </c>
    </row>
    <row r="50" spans="1:8">
      <c r="C50" s="386"/>
      <c r="D50" s="387"/>
      <c r="E50" s="388"/>
      <c r="F50" s="384"/>
      <c r="G50" s="384"/>
      <c r="H50" s="385"/>
    </row>
    <row r="51" spans="1:8">
      <c r="B51" s="1247" t="s">
        <v>249</v>
      </c>
      <c r="C51" s="44"/>
      <c r="D51" s="5"/>
      <c r="E51" s="389"/>
      <c r="F51" s="332"/>
      <c r="G51" s="332"/>
      <c r="H51" s="332"/>
    </row>
    <row r="52" spans="1:8">
      <c r="B52" s="1247" t="s">
        <v>9</v>
      </c>
      <c r="C52" s="44" t="s">
        <v>250</v>
      </c>
      <c r="D52" s="5"/>
      <c r="E52" s="389"/>
      <c r="F52" s="332"/>
      <c r="G52" s="332"/>
      <c r="H52" s="332"/>
    </row>
    <row r="53" spans="1:8">
      <c r="B53" s="1247"/>
      <c r="C53" s="13" t="s">
        <v>251</v>
      </c>
      <c r="D53" s="5"/>
      <c r="E53" s="389"/>
      <c r="F53" s="5"/>
      <c r="G53" s="332"/>
      <c r="H53" s="332"/>
    </row>
    <row r="54" spans="1:8">
      <c r="B54" s="1247" t="s">
        <v>10</v>
      </c>
      <c r="C54" s="44" t="s">
        <v>252</v>
      </c>
      <c r="D54" s="5"/>
      <c r="E54" s="389"/>
      <c r="F54" s="5"/>
      <c r="G54" s="332"/>
      <c r="H54" s="332"/>
    </row>
    <row r="55" spans="1:8">
      <c r="B55" s="1247"/>
      <c r="C55" s="13" t="s">
        <v>251</v>
      </c>
      <c r="D55" s="5"/>
      <c r="E55" s="389"/>
      <c r="F55" s="5"/>
      <c r="G55" s="332"/>
      <c r="H55" s="332"/>
    </row>
    <row r="56" spans="1:8">
      <c r="B56" s="1247" t="s">
        <v>11</v>
      </c>
      <c r="C56" s="44" t="s">
        <v>253</v>
      </c>
      <c r="D56" s="5"/>
      <c r="E56" s="389"/>
      <c r="F56" s="5"/>
      <c r="G56" s="332"/>
      <c r="H56" s="332"/>
    </row>
    <row r="57" spans="1:8">
      <c r="B57" s="1247" t="s">
        <v>14</v>
      </c>
      <c r="C57" s="13" t="s">
        <v>254</v>
      </c>
      <c r="D57" s="5"/>
      <c r="E57" s="389"/>
      <c r="F57" s="5"/>
      <c r="G57" s="332"/>
      <c r="H57" s="332"/>
    </row>
    <row r="58" spans="1:8">
      <c r="B58" s="1247"/>
      <c r="C58" s="44" t="s">
        <v>255</v>
      </c>
      <c r="D58" s="5"/>
      <c r="E58" s="389"/>
      <c r="F58" s="5"/>
      <c r="G58" s="5"/>
      <c r="H58" s="5"/>
    </row>
    <row r="59" spans="1:8">
      <c r="B59" s="1247"/>
      <c r="C59" s="1247" t="s">
        <v>256</v>
      </c>
    </row>
    <row r="60" spans="1:8">
      <c r="B60" s="1247" t="s">
        <v>138</v>
      </c>
      <c r="C60" s="44" t="s">
        <v>257</v>
      </c>
    </row>
    <row r="63" spans="1:8">
      <c r="A63" s="965"/>
    </row>
    <row r="288" spans="3:3" ht="15.5">
      <c r="C288"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73"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C114" zoomScaleNormal="100" workbookViewId="0">
      <selection activeCell="J140" sqref="J140:L140"/>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324"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78" t="s">
        <v>1551</v>
      </c>
      <c r="B1" s="1778"/>
      <c r="C1" s="1778"/>
      <c r="D1" s="1778"/>
      <c r="E1" s="1778"/>
      <c r="F1" s="1778"/>
      <c r="G1" s="1778"/>
      <c r="H1" s="5"/>
    </row>
    <row r="2" spans="1:15">
      <c r="A2" s="322"/>
      <c r="G2" s="323"/>
      <c r="H2" s="5"/>
    </row>
    <row r="3" spans="1:15" ht="15.5">
      <c r="A3" s="1780" t="s">
        <v>159</v>
      </c>
      <c r="B3" s="1781"/>
      <c r="C3" s="1781"/>
      <c r="D3" s="1781"/>
      <c r="E3" s="1781"/>
      <c r="F3" s="1781"/>
      <c r="G3" s="1781"/>
      <c r="H3" s="5"/>
    </row>
    <row r="4" spans="1:15">
      <c r="B4" s="2"/>
      <c r="C4" s="3"/>
      <c r="D4" s="1002"/>
      <c r="E4" s="1002"/>
      <c r="F4" s="1002"/>
      <c r="G4" s="968"/>
      <c r="H4" s="325"/>
    </row>
    <row r="5" spans="1:15" ht="26.5">
      <c r="B5" s="326"/>
      <c r="C5" s="3"/>
      <c r="D5" s="1003" t="s">
        <v>1045</v>
      </c>
      <c r="E5" s="1003" t="s">
        <v>1046</v>
      </c>
      <c r="F5" s="1003" t="s">
        <v>1047</v>
      </c>
      <c r="G5" s="1003" t="s">
        <v>1048</v>
      </c>
      <c r="H5" s="325"/>
    </row>
    <row r="6" spans="1:15">
      <c r="A6"/>
      <c r="B6" s="327" t="s">
        <v>198</v>
      </c>
      <c r="H6" s="5"/>
    </row>
    <row r="7" spans="1:15">
      <c r="A7">
        <v>1</v>
      </c>
      <c r="B7" s="13" t="s">
        <v>199</v>
      </c>
      <c r="C7" s="328"/>
      <c r="D7" s="329">
        <v>1217503</v>
      </c>
      <c r="E7" s="340" t="s">
        <v>228</v>
      </c>
      <c r="F7" s="1004">
        <v>1</v>
      </c>
      <c r="G7" s="1005">
        <f>D7*F7</f>
        <v>1217503</v>
      </c>
      <c r="H7" s="973"/>
    </row>
    <row r="8" spans="1:15" s="2" customFormat="1">
      <c r="A8" s="44">
        <v>2</v>
      </c>
      <c r="B8" s="13" t="s">
        <v>200</v>
      </c>
      <c r="C8" s="44" t="s">
        <v>201</v>
      </c>
      <c r="D8" s="1267">
        <f>SUM(D7)</f>
        <v>1217503</v>
      </c>
      <c r="E8" s="344"/>
      <c r="F8" s="344"/>
      <c r="G8" s="1005">
        <f>G7</f>
        <v>1217503</v>
      </c>
      <c r="H8" s="331"/>
      <c r="I8"/>
      <c r="J8"/>
      <c r="K8"/>
      <c r="L8"/>
      <c r="M8"/>
      <c r="N8"/>
      <c r="O8"/>
    </row>
    <row r="9" spans="1:15">
      <c r="A9"/>
      <c r="B9" s="10"/>
      <c r="C9" s="10"/>
      <c r="D9" s="1001"/>
      <c r="E9" s="218"/>
      <c r="F9" s="218"/>
      <c r="G9" s="333"/>
      <c r="H9" s="333"/>
    </row>
    <row r="10" spans="1:15">
      <c r="A10" s="5"/>
      <c r="B10" s="327" t="s">
        <v>202</v>
      </c>
      <c r="C10" s="10"/>
      <c r="D10" s="1001"/>
      <c r="E10" s="218"/>
      <c r="F10" s="218"/>
      <c r="G10" s="334"/>
      <c r="H10" s="334"/>
    </row>
    <row r="11" spans="1:15">
      <c r="A11" s="5"/>
      <c r="B11" s="336"/>
      <c r="C11" s="337"/>
      <c r="D11" s="337"/>
      <c r="E11" s="1006"/>
      <c r="F11" s="1006"/>
      <c r="G11" s="338"/>
      <c r="H11" s="338"/>
    </row>
    <row r="12" spans="1:15">
      <c r="A12" s="5">
        <v>3</v>
      </c>
      <c r="B12" s="13" t="s">
        <v>203</v>
      </c>
      <c r="C12" s="330"/>
      <c r="D12" s="329">
        <v>810951.19</v>
      </c>
      <c r="E12" s="340" t="s">
        <v>228</v>
      </c>
      <c r="F12" s="1004">
        <v>1</v>
      </c>
      <c r="G12" s="1005">
        <f>D12*F12</f>
        <v>810951.19</v>
      </c>
      <c r="H12" s="974"/>
    </row>
    <row r="13" spans="1:15" ht="43.5">
      <c r="A13" s="339">
        <v>4</v>
      </c>
      <c r="B13" s="330" t="s">
        <v>204</v>
      </c>
      <c r="C13" s="330"/>
      <c r="D13" s="329"/>
      <c r="E13" s="340" t="s">
        <v>228</v>
      </c>
      <c r="F13" s="1004">
        <v>1</v>
      </c>
      <c r="G13" s="1005">
        <f>D13*F13</f>
        <v>0</v>
      </c>
      <c r="H13" s="340"/>
    </row>
    <row r="14" spans="1:15">
      <c r="A14" s="5">
        <v>5</v>
      </c>
      <c r="B14" s="10" t="s">
        <v>205</v>
      </c>
      <c r="C14" s="330"/>
      <c r="D14" s="329">
        <v>1816356.4</v>
      </c>
      <c r="E14" s="340" t="s">
        <v>228</v>
      </c>
      <c r="F14" s="1004">
        <v>1</v>
      </c>
      <c r="G14" s="1005">
        <f>D14*F14</f>
        <v>1816356.4</v>
      </c>
      <c r="H14" s="974"/>
    </row>
    <row r="15" spans="1:15">
      <c r="A15">
        <v>6</v>
      </c>
      <c r="B15" s="10" t="s">
        <v>206</v>
      </c>
      <c r="C15" s="341"/>
      <c r="D15" s="329"/>
      <c r="E15" s="340" t="s">
        <v>228</v>
      </c>
      <c r="F15" s="1004">
        <v>1</v>
      </c>
      <c r="G15" s="1005">
        <f t="shared" ref="G15:G20" si="0">D15*F15</f>
        <v>0</v>
      </c>
      <c r="H15" s="342"/>
    </row>
    <row r="16" spans="1:15">
      <c r="A16">
        <v>7</v>
      </c>
      <c r="B16" s="10" t="s">
        <v>207</v>
      </c>
      <c r="C16" s="330"/>
      <c r="D16" s="329"/>
      <c r="E16" s="340" t="s">
        <v>228</v>
      </c>
      <c r="F16" s="1004">
        <v>1</v>
      </c>
      <c r="G16" s="1005">
        <f t="shared" si="0"/>
        <v>0</v>
      </c>
      <c r="H16" s="340"/>
    </row>
    <row r="17" spans="1:18">
      <c r="A17">
        <v>8</v>
      </c>
      <c r="B17" s="10" t="s">
        <v>208</v>
      </c>
      <c r="C17" s="328"/>
      <c r="D17" s="329"/>
      <c r="E17" s="340" t="s">
        <v>228</v>
      </c>
      <c r="F17" s="1004">
        <v>1</v>
      </c>
      <c r="G17" s="1005">
        <f t="shared" si="0"/>
        <v>0</v>
      </c>
      <c r="H17" s="343"/>
    </row>
    <row r="18" spans="1:18">
      <c r="A18">
        <v>9</v>
      </c>
      <c r="B18" s="10" t="s">
        <v>209</v>
      </c>
      <c r="C18" s="344"/>
      <c r="D18" s="329">
        <v>619380</v>
      </c>
      <c r="E18" s="340" t="s">
        <v>228</v>
      </c>
      <c r="F18" s="1004">
        <v>1</v>
      </c>
      <c r="G18" s="1005">
        <f t="shared" si="0"/>
        <v>619380</v>
      </c>
      <c r="H18" s="343"/>
    </row>
    <row r="19" spans="1:18">
      <c r="A19">
        <v>10</v>
      </c>
      <c r="B19" s="10" t="s">
        <v>210</v>
      </c>
      <c r="C19" s="344"/>
      <c r="D19" s="329"/>
      <c r="E19" s="340" t="s">
        <v>228</v>
      </c>
      <c r="F19" s="1004">
        <v>1</v>
      </c>
      <c r="G19" s="1005">
        <f t="shared" si="0"/>
        <v>0</v>
      </c>
      <c r="H19" s="343"/>
    </row>
    <row r="20" spans="1:18">
      <c r="A20" s="5">
        <f t="shared" ref="A20" si="1">+A19+1</f>
        <v>11</v>
      </c>
      <c r="B20" t="s">
        <v>1243</v>
      </c>
      <c r="C20" s="344"/>
      <c r="D20" s="1145">
        <v>1996958.78</v>
      </c>
      <c r="E20" s="1007" t="s">
        <v>1049</v>
      </c>
      <c r="F20" s="1008">
        <f>+'ATT H-1A'!H16</f>
        <v>0.13888944064369446</v>
      </c>
      <c r="G20" s="1005">
        <f t="shared" si="0"/>
        <v>277356.48794271454</v>
      </c>
      <c r="H20" s="343"/>
    </row>
    <row r="21" spans="1:18">
      <c r="A21" t="s">
        <v>866</v>
      </c>
      <c r="B21" t="s">
        <v>1187</v>
      </c>
      <c r="C21" s="344"/>
      <c r="D21" s="1145">
        <f>+'5 - Cost Support 1'!G140</f>
        <v>444706.95</v>
      </c>
      <c r="E21" s="1007" t="s">
        <v>1192</v>
      </c>
      <c r="F21" s="1008"/>
      <c r="G21" s="1005">
        <f>+'5 - Cost Support 1'!G140</f>
        <v>444706.95</v>
      </c>
      <c r="H21" s="343"/>
    </row>
    <row r="22" spans="1:18">
      <c r="A22"/>
      <c r="B22" s="10"/>
      <c r="C22" s="344"/>
      <c r="D22" s="344"/>
      <c r="E22" s="344"/>
      <c r="F22" s="344"/>
      <c r="G22" s="343"/>
      <c r="H22" s="343"/>
    </row>
    <row r="23" spans="1:18">
      <c r="A23" s="5">
        <v>12</v>
      </c>
      <c r="B23" s="10" t="s">
        <v>211</v>
      </c>
      <c r="C23" s="44" t="s">
        <v>1050</v>
      </c>
      <c r="D23" s="1267">
        <f>SUM(D8:D22)</f>
        <v>6905856.3200000003</v>
      </c>
      <c r="E23" s="344"/>
      <c r="F23" s="344"/>
      <c r="G23" s="1005">
        <f>SUM(G8:G22)</f>
        <v>5186254.0279427143</v>
      </c>
      <c r="H23" s="334"/>
    </row>
    <row r="24" spans="1:18">
      <c r="A24" s="5">
        <v>13</v>
      </c>
      <c r="B24" s="218" t="s">
        <v>1051</v>
      </c>
      <c r="C24" s="344"/>
      <c r="D24" s="329">
        <f>+D39</f>
        <v>-779871.54665000003</v>
      </c>
      <c r="E24" s="340" t="s">
        <v>228</v>
      </c>
      <c r="F24" s="1004">
        <v>1</v>
      </c>
      <c r="G24" s="1005">
        <f t="shared" ref="G24" si="2">D24*F24</f>
        <v>-779871.54665000003</v>
      </c>
      <c r="H24" s="334"/>
    </row>
    <row r="25" spans="1:18">
      <c r="A25" s="5">
        <v>14</v>
      </c>
      <c r="B25" s="218" t="s">
        <v>212</v>
      </c>
      <c r="C25" s="344"/>
      <c r="D25" s="344"/>
      <c r="E25" s="344"/>
      <c r="F25" s="344"/>
      <c r="G25" s="1005">
        <f>+G23+G24</f>
        <v>4406382.4812927144</v>
      </c>
    </row>
    <row r="26" spans="1:18">
      <c r="A26"/>
      <c r="B26" s="10"/>
      <c r="G26" s="334"/>
      <c r="H26" s="334"/>
      <c r="P26" s="42"/>
      <c r="R26" s="42"/>
    </row>
    <row r="27" spans="1:18">
      <c r="A27"/>
      <c r="B27" s="345" t="s">
        <v>213</v>
      </c>
      <c r="G27" s="346"/>
      <c r="P27" s="42"/>
      <c r="R27" s="42"/>
    </row>
    <row r="28" spans="1:18" ht="51">
      <c r="A28" s="339">
        <v>15</v>
      </c>
      <c r="B28" s="347" t="s">
        <v>214</v>
      </c>
      <c r="G28" s="334"/>
      <c r="P28" s="42"/>
    </row>
    <row r="29" spans="1:18">
      <c r="A29" s="348"/>
      <c r="B29" s="10"/>
      <c r="H29" s="334"/>
      <c r="P29" s="42"/>
      <c r="R29" s="42"/>
    </row>
    <row r="30" spans="1:18" ht="51">
      <c r="A30" s="348">
        <v>16</v>
      </c>
      <c r="B30" s="1011" t="s">
        <v>215</v>
      </c>
      <c r="G30" s="335"/>
      <c r="H30" s="343"/>
      <c r="P30" s="42"/>
    </row>
    <row r="31" spans="1:18">
      <c r="A31" s="348"/>
      <c r="B31" s="10"/>
      <c r="H31" s="334"/>
      <c r="P31" s="42"/>
    </row>
    <row r="32" spans="1:18" ht="150">
      <c r="A32" s="349">
        <v>17</v>
      </c>
      <c r="B32" s="200" t="s">
        <v>1059</v>
      </c>
      <c r="C32" s="350"/>
      <c r="D32" s="350"/>
      <c r="E32" s="350"/>
      <c r="F32" s="350"/>
      <c r="G32" s="351"/>
      <c r="H32" s="351"/>
      <c r="P32" s="42"/>
    </row>
    <row r="33" spans="1:14" ht="15.5">
      <c r="A33" s="349" t="s">
        <v>1052</v>
      </c>
      <c r="B33" s="200" t="s">
        <v>217</v>
      </c>
      <c r="C33" s="350"/>
      <c r="D33" s="329">
        <f>G8+G17+G19</f>
        <v>1217503</v>
      </c>
      <c r="E33" s="350"/>
      <c r="F33" s="350"/>
      <c r="H33" s="353"/>
    </row>
    <row r="34" spans="1:14" s="2" customFormat="1" ht="15.5">
      <c r="A34" s="349" t="s">
        <v>1053</v>
      </c>
      <c r="B34" s="200" t="s">
        <v>1060</v>
      </c>
      <c r="C34" s="355" t="s">
        <v>48</v>
      </c>
      <c r="D34" s="329">
        <f>'5 - Cost Support 1'!E234</f>
        <v>342240.09330000001</v>
      </c>
      <c r="E34" s="355"/>
      <c r="F34" s="355"/>
      <c r="H34" s="356"/>
      <c r="I34"/>
      <c r="J34"/>
      <c r="K34"/>
      <c r="L34"/>
      <c r="M34"/>
      <c r="N34"/>
    </row>
    <row r="35" spans="1:14" ht="15.5">
      <c r="A35" s="349" t="s">
        <v>1054</v>
      </c>
      <c r="B35" s="200" t="s">
        <v>1061</v>
      </c>
      <c r="C35" s="350"/>
      <c r="D35" s="365">
        <f>+D33-D34</f>
        <v>875262.90669999993</v>
      </c>
      <c r="E35" s="350"/>
      <c r="F35" s="350"/>
      <c r="H35" s="357"/>
    </row>
    <row r="36" spans="1:14" s="2" customFormat="1" ht="15.5">
      <c r="A36" s="349" t="s">
        <v>1055</v>
      </c>
      <c r="B36" s="200" t="s">
        <v>1062</v>
      </c>
      <c r="C36" s="350"/>
      <c r="D36" s="365">
        <f>+D35/2</f>
        <v>437631.45334999997</v>
      </c>
      <c r="E36" s="350"/>
      <c r="F36" s="350"/>
      <c r="H36" s="357"/>
      <c r="I36"/>
      <c r="J36"/>
      <c r="K36"/>
      <c r="L36"/>
      <c r="M36"/>
      <c r="N36"/>
    </row>
    <row r="37" spans="1:14" ht="37.5">
      <c r="A37" s="349" t="s">
        <v>1056</v>
      </c>
      <c r="B37" s="200" t="s">
        <v>221</v>
      </c>
      <c r="C37" s="350"/>
      <c r="D37" s="352">
        <v>0</v>
      </c>
      <c r="E37" s="350"/>
      <c r="F37" s="350"/>
      <c r="H37" s="357"/>
    </row>
    <row r="38" spans="1:14" ht="15.5">
      <c r="A38" s="349" t="s">
        <v>1057</v>
      </c>
      <c r="B38" s="328" t="s">
        <v>1063</v>
      </c>
      <c r="C38" s="344"/>
      <c r="D38" s="365">
        <f>+D36+D37</f>
        <v>437631.45334999997</v>
      </c>
      <c r="E38" s="344"/>
      <c r="F38" s="344"/>
      <c r="H38" s="359"/>
    </row>
    <row r="39" spans="1:14" ht="15.5">
      <c r="A39" s="349" t="s">
        <v>1058</v>
      </c>
      <c r="B39" s="328" t="s">
        <v>1064</v>
      </c>
      <c r="C39" s="344"/>
      <c r="D39" s="365">
        <f>+D38-D33</f>
        <v>-779871.54665000003</v>
      </c>
      <c r="E39" s="344"/>
      <c r="F39" s="344"/>
      <c r="H39" s="359"/>
    </row>
    <row r="40" spans="1:14" ht="63.5">
      <c r="A40" s="360">
        <v>19</v>
      </c>
      <c r="B40" s="1009" t="s">
        <v>1065</v>
      </c>
      <c r="C40" s="355"/>
      <c r="D40" s="361">
        <f>8283173+6129013+132438237-D42-D23</f>
        <v>2957703.4299999997</v>
      </c>
      <c r="E40" s="355"/>
      <c r="F40" s="355"/>
      <c r="H40" s="362"/>
    </row>
    <row r="41" spans="1:14">
      <c r="C41" s="363"/>
      <c r="D41" s="324"/>
      <c r="E41" s="363"/>
      <c r="F41" s="363"/>
      <c r="H41" s="334"/>
    </row>
    <row r="42" spans="1:14">
      <c r="A42" s="3">
        <v>20</v>
      </c>
      <c r="B42" s="1010" t="s">
        <v>224</v>
      </c>
      <c r="C42" s="363"/>
      <c r="D42" s="361">
        <v>136986863.25</v>
      </c>
      <c r="E42" s="363"/>
      <c r="F42" s="363"/>
      <c r="H42" s="362"/>
    </row>
    <row r="43" spans="1:14">
      <c r="B43" s="1010"/>
      <c r="D43" s="364"/>
      <c r="H43" s="346"/>
    </row>
    <row r="44" spans="1:14">
      <c r="A44" s="3">
        <v>21</v>
      </c>
      <c r="B44" s="344" t="s">
        <v>225</v>
      </c>
      <c r="C44" s="344"/>
      <c r="D44" s="365">
        <f>+D23+D28+D40+D42</f>
        <v>146850423</v>
      </c>
      <c r="E44" s="344"/>
      <c r="F44" s="344"/>
      <c r="H44" s="366"/>
    </row>
    <row r="45" spans="1:14">
      <c r="A45" s="3">
        <v>22</v>
      </c>
      <c r="B45" s="344" t="s">
        <v>226</v>
      </c>
      <c r="H45" s="358"/>
    </row>
    <row r="46" spans="1:14">
      <c r="H46" s="354"/>
    </row>
    <row r="48" spans="1:14">
      <c r="B48" s="965"/>
    </row>
    <row r="49" spans="3:8">
      <c r="C49" s="363"/>
      <c r="D49" s="363"/>
      <c r="E49" s="363"/>
      <c r="F49" s="363"/>
      <c r="G49" s="346"/>
      <c r="H49" s="45"/>
    </row>
    <row r="50" spans="3:8">
      <c r="G50" s="346"/>
      <c r="H50" s="45"/>
    </row>
    <row r="51" spans="3:8">
      <c r="G51" s="346"/>
      <c r="H51" s="45"/>
    </row>
    <row r="52" spans="3:8">
      <c r="G52" s="346"/>
      <c r="H52" s="45"/>
    </row>
    <row r="53" spans="3:8">
      <c r="G53" s="346"/>
      <c r="H53" s="45"/>
    </row>
    <row r="291" spans="3:6" ht="15.5">
      <c r="C291" s="8" t="s">
        <v>227</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vt:i4>
      </vt:variant>
    </vt:vector>
  </HeadingPairs>
  <TitlesOfParts>
    <vt:vector size="36"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'ATT H-1A'!Print_Area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2021-05-14T18:38:23Z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ies>
</file>