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20" windowWidth="12240" windowHeight="9240" tabRatio="753" activeTab="0"/>
  </bookViews>
  <sheets>
    <sheet name="UCAP Oblig-ZCP" sheetId="1" r:id="rId1"/>
    <sheet name="SummaryResults" sheetId="2" r:id="rId2"/>
    <sheet name="BRA Resource Clearing Results" sheetId="3" r:id="rId3"/>
    <sheet name="BRA Load Pricing Results" sheetId="4" r:id="rId4"/>
    <sheet name="BRA CTRs" sheetId="5" r:id="rId5"/>
    <sheet name="BRA ICTRs" sheetId="6" r:id="rId6"/>
    <sheet name="1stIA Resource Clearing Results" sheetId="7" r:id="rId7"/>
    <sheet name="1st IA Load Pricing Results" sheetId="8" r:id="rId8"/>
    <sheet name="1st IA CTRs" sheetId="9" r:id="rId9"/>
    <sheet name="1st IA ICTRs" sheetId="10" r:id="rId10"/>
    <sheet name="2ndIA Resource Clearing Results" sheetId="11" r:id="rId11"/>
    <sheet name="2nd IA Load Pricing Results" sheetId="12" r:id="rId12"/>
    <sheet name="2nd IA CTRs" sheetId="13" r:id="rId13"/>
    <sheet name="2nd IA ICTRs" sheetId="14" r:id="rId14"/>
    <sheet name="3rdIA Resource Clearing Results" sheetId="15" r:id="rId15"/>
    <sheet name="3rd IA Load Pricing Results" sheetId="16" r:id="rId16"/>
    <sheet name="3rd IA CTRs" sheetId="17" r:id="rId17"/>
    <sheet name="3rd IA ICTRs" sheetId="18" r:id="rId18"/>
  </sheets>
  <definedNames>
    <definedName name="_xlnm.Print_Area" localSheetId="8">'1st IA CTRs'!$A$1:$T$40</definedName>
    <definedName name="_xlnm.Print_Area" localSheetId="9">'1st IA ICTRs'!$A$1:$I$84</definedName>
    <definedName name="_xlnm.Print_Area" localSheetId="7">'1st IA Load Pricing Results'!$A$1:$L$58</definedName>
    <definedName name="_xlnm.Print_Area" localSheetId="6">'1stIA Resource Clearing Results'!$A$1:$Y$65</definedName>
    <definedName name="_xlnm.Print_Area" localSheetId="12">'2nd IA CTRs'!$A$1:$T$40</definedName>
    <definedName name="_xlnm.Print_Area" localSheetId="13">'2nd IA ICTRs'!$A$1:$I$84</definedName>
    <definedName name="_xlnm.Print_Area" localSheetId="11">'2nd IA Load Pricing Results'!$A$1:$L$58</definedName>
    <definedName name="_xlnm.Print_Area" localSheetId="10">'2ndIA Resource Clearing Results'!$A$1:$Y$52</definedName>
    <definedName name="_xlnm.Print_Area" localSheetId="16">'3rd IA CTRs'!$A$1:$T$40</definedName>
    <definedName name="_xlnm.Print_Area" localSheetId="17">'3rd IA ICTRs'!$A$1:$I$84</definedName>
    <definedName name="_xlnm.Print_Area" localSheetId="15">'3rd IA Load Pricing Results'!$A$1:$O$56</definedName>
    <definedName name="_xlnm.Print_Area" localSheetId="14">'3rdIA Resource Clearing Results'!$A$1:$Y$65</definedName>
    <definedName name="_xlnm.Print_Area" localSheetId="4">'BRA CTRs'!$A$1:$T$36</definedName>
    <definedName name="_xlnm.Print_Area" localSheetId="5">'BRA ICTRs'!$A$1:$I$75</definedName>
    <definedName name="_xlnm.Print_Area" localSheetId="3">'BRA Load Pricing Results'!$A$1:$L$59</definedName>
    <definedName name="_xlnm.Print_Area" localSheetId="2">'BRA Resource Clearing Results'!$A$1:$I$59</definedName>
    <definedName name="_xlnm.Print_Area" localSheetId="1">'SummaryResults'!$N$45:$R$67</definedName>
    <definedName name="_xlnm.Print_Area" localSheetId="0">'UCAP Oblig-ZCP'!$A$1:$R$26</definedName>
  </definedNames>
  <calcPr fullCalcOnLoad="1"/>
</workbook>
</file>

<file path=xl/sharedStrings.xml><?xml version="1.0" encoding="utf-8"?>
<sst xmlns="http://schemas.openxmlformats.org/spreadsheetml/2006/main" count="2560" uniqueCount="333">
  <si>
    <t>RPM Parameters</t>
  </si>
  <si>
    <t>IRM</t>
  </si>
  <si>
    <t>Pool Average EFORd</t>
  </si>
  <si>
    <t>LDA</t>
  </si>
  <si>
    <t>FPR</t>
  </si>
  <si>
    <t>SWMAAC</t>
  </si>
  <si>
    <t>RTO</t>
  </si>
  <si>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</si>
  <si>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</si>
  <si>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</si>
  <si>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</si>
  <si>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</si>
  <si>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</si>
  <si>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</si>
  <si>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</si>
  <si>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</si>
  <si>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</si>
  <si>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</si>
  <si>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</si>
  <si>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</si>
  <si>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</si>
  <si>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</si>
  <si>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>Zonal Forecast Peak Load Scaling Factor</t>
  </si>
  <si>
    <t>Obligation Peak Load Scaling Factor</t>
  </si>
  <si>
    <t xml:space="preserve"> </t>
  </si>
  <si>
    <t>Base Zonal RPM Scaling Factor</t>
  </si>
  <si>
    <t>Base Zonal UCAP Obligation    [MW]</t>
  </si>
  <si>
    <t>LDA2</t>
  </si>
  <si>
    <t>LDA1</t>
  </si>
  <si>
    <t>* Locational Price Adder is with respect to the immediate higher level LDA.</t>
  </si>
  <si>
    <t>MAAC</t>
  </si>
  <si>
    <t>Short-Term Resource Procurement Target [MW]</t>
  </si>
  <si>
    <t>AEP</t>
  </si>
  <si>
    <t>DOM</t>
  </si>
  <si>
    <t>Preliminary Zonal Capacity Price [$/MW-day]</t>
  </si>
  <si>
    <t xml:space="preserve">  </t>
  </si>
  <si>
    <t>LDA3</t>
  </si>
  <si>
    <t>Preliminary Zonal Capacity Price           [$/MW-day]</t>
  </si>
  <si>
    <t>RTO Reliability Requirement [MW]</t>
  </si>
  <si>
    <t>Short-Term Resource Target [%]</t>
  </si>
  <si>
    <t>Short-Term Resource Target [MW]</t>
  </si>
  <si>
    <t>EMAAC</t>
  </si>
  <si>
    <t>PSNORTH</t>
  </si>
  <si>
    <t>DPLSOUTH</t>
  </si>
  <si>
    <t>Rest of DPL</t>
  </si>
  <si>
    <t>Rest of PS</t>
  </si>
  <si>
    <t>Remaining CTRs for LSEs [MW]</t>
  </si>
  <si>
    <t>NEPTUNE</t>
  </si>
  <si>
    <t>DPL Equivalent</t>
  </si>
  <si>
    <t>Preliminary Zonal Results</t>
  </si>
  <si>
    <t>PS Equivalent</t>
  </si>
  <si>
    <t>Locational Price Adder</t>
  </si>
  <si>
    <t>DLCO</t>
  </si>
  <si>
    <t>ATSI</t>
  </si>
  <si>
    <t>Rest of RTO</t>
  </si>
  <si>
    <t>Rest of SWMAAC</t>
  </si>
  <si>
    <t>Rest of EMAAC</t>
  </si>
  <si>
    <t>Rest of MAAC</t>
  </si>
  <si>
    <t>East Coast Power</t>
  </si>
  <si>
    <t>Total</t>
  </si>
  <si>
    <t>AEP **</t>
  </si>
  <si>
    <t>** Obligation affected by FRR quantities</t>
  </si>
  <si>
    <t>Base Zonal CTR Credit Rate [$/MW UCAP Obligation per Day]</t>
  </si>
  <si>
    <t>Annual Resource Price Adder          [$/MW-day]</t>
  </si>
  <si>
    <t>Annual Resource Clearing Price [$/MW-day]</t>
  </si>
  <si>
    <t>Annual Resources Cleared [MW]</t>
  </si>
  <si>
    <t>Limited Resource Clearing Price [$/MW-day]</t>
  </si>
  <si>
    <t>Extended Summer Resources Cleared [MW]</t>
  </si>
  <si>
    <t>Total Resources Cleared        [MW]</t>
  </si>
  <si>
    <t>DEOK **</t>
  </si>
  <si>
    <t>2010 W/N Coincident Peak Load [MW]</t>
  </si>
  <si>
    <t>DEOK</t>
  </si>
  <si>
    <t>2014/2015 Prelim. Zonal Peak Load Forecast [MW]</t>
  </si>
  <si>
    <t>b0497: Install Second Conastone-Graceton 230 kV circuit; Replace Conastone 230 kV breaker 2323/2302</t>
  </si>
  <si>
    <t>b0457: Dooms-Lexington circuit wave traps</t>
  </si>
  <si>
    <t>b0559: Capacitor at Meadow Brook substation</t>
  </si>
  <si>
    <t>Total Resource Credits [$/day]</t>
  </si>
  <si>
    <t>Resource Credits</t>
  </si>
  <si>
    <t>LDA Capacity Price Components</t>
  </si>
  <si>
    <t>Resource Clearing Prices</t>
  </si>
  <si>
    <t>Cleared &amp; Make-Whole MWs</t>
  </si>
  <si>
    <t>Sub-Zone/Zone</t>
  </si>
  <si>
    <t>LDA Base UCAP Obligation [MW]</t>
  </si>
  <si>
    <t>System Marginal Price [$/MW-day]</t>
  </si>
  <si>
    <t>2014/2015 DY BRA Load Pricing Results</t>
  </si>
  <si>
    <t>2014/2015 DY BRA Resource Clearing Results</t>
  </si>
  <si>
    <t>Make-whole Credits for Annual Resources [$/day]</t>
  </si>
  <si>
    <t>Make-whole Credits for Extended Summer Resources [$/day]</t>
  </si>
  <si>
    <t>Make-whole Credits for Limited Resources [$/day]</t>
  </si>
  <si>
    <t xml:space="preserve">2014/2015 DY BRA ICTRs </t>
  </si>
  <si>
    <t>Zone/Responsible Customer</t>
  </si>
  <si>
    <t>Upgrade b0497</t>
  </si>
  <si>
    <t>Total ICTRs [MW]</t>
  </si>
  <si>
    <t>500 kV or Greater Upgrades*</t>
  </si>
  <si>
    <t>2014/2015 DY BRA CTRs</t>
  </si>
  <si>
    <t>Allocation of Req Transmission Enhancement ICTRs to Zone/Responsible Customer</t>
  </si>
  <si>
    <t>M05:  Replace Wave Traps at Bedington and Black Oak 500 KV</t>
  </si>
  <si>
    <t>Incremental Capacity Transfer Rights (ICTRs)</t>
  </si>
  <si>
    <t>Cost Allocation Percentages for Required Transmission Upgrades</t>
  </si>
  <si>
    <t>ICTR Credits</t>
  </si>
  <si>
    <t>QTU Credits</t>
  </si>
  <si>
    <t>Sink LDA</t>
  </si>
  <si>
    <t>Qualifying Transmission Upgrade (QTU) -Import Capability Cleared into Sink LDA  [MW]</t>
  </si>
  <si>
    <t>QTU Credits [$/day]</t>
  </si>
  <si>
    <t>LDA CTRs</t>
  </si>
  <si>
    <t>Base UCAP Obligation [MW]</t>
  </si>
  <si>
    <t>Internal  Resources Cleared in LDA</t>
  </si>
  <si>
    <t>Total CTRs [MW]</t>
  </si>
  <si>
    <t>QTU Equivalents [MW]</t>
  </si>
  <si>
    <t>Totals</t>
  </si>
  <si>
    <t>Notes:</t>
  </si>
  <si>
    <t>Locational Price Adder is respect to immediate higher level LDA.</t>
  </si>
  <si>
    <t>A Weighted Locational Price Adder is used in the case of PS or DPL Equivalent.</t>
  </si>
  <si>
    <t>Economic Value of CTRs = CTRs Allocated * Locational Price Adder</t>
  </si>
  <si>
    <t>CTRs Allocated, Economic Value of CTRs, CTR Credit Rates, and CTR Settlement Rates are not final and may change to due Incremental Auction results.</t>
  </si>
  <si>
    <t xml:space="preserve">Note:  Cost Allocation Percentages for 500 kv or Greater Upgrades are based on 2011 cost responsibility assignments from the tariff.  The allocation is updated annually. </t>
  </si>
  <si>
    <t>Economic Value of ICTRs [$/day]</t>
  </si>
  <si>
    <t>Economic Value of ICTRs = Total ICTRs * Locational Price Adder.</t>
  </si>
  <si>
    <t>Customer-Funded Upgrades ICTRs [MW]</t>
  </si>
  <si>
    <t>Customer-Funded Upgrades</t>
  </si>
  <si>
    <t>Required Transmission Enhancements - Below 500 kV</t>
  </si>
  <si>
    <t>ICTRs allocated and  Economic Value of CTRs are not final and are subject to change due to Incremental Auction results.</t>
  </si>
  <si>
    <t>Customer-Funded ICTR Credits [$/day]</t>
  </si>
  <si>
    <t xml:space="preserve">The load charges for Base Zonal UCAP Obligations at the Preliminary Zonal Capacity Prices exceed the sum of Resource Credits, Make-Whole Payments, QTU Credits and CTR/ICTR Credits as the Base Zonal UCAP Obligations include uncleared Short-Term Resource Procurement Target with no Resource Credits.  </t>
  </si>
  <si>
    <t>Locational Price Adder *     [$/MW-day]</t>
  </si>
  <si>
    <t>Extended Summer Resource Price Adder        [$/MW-day]</t>
  </si>
  <si>
    <t>Extended Summer Resource Clearing Price              [$/MW-day]</t>
  </si>
  <si>
    <t>Calculation of Zonal Capacity Prices for PS and DPL</t>
  </si>
  <si>
    <t>Cleared Capacity     [MW]</t>
  </si>
  <si>
    <t>Remaining CTRs for Required Transmission Enhancements, Customer-Funded Upgrades, &amp; LSEs [MW]</t>
  </si>
  <si>
    <t>CTRs Allocated to LSEs           [MW]</t>
  </si>
  <si>
    <t>CTRs Allocated to LSEs                 [MW]</t>
  </si>
  <si>
    <t>CTRs Allocated to LSEs        [MW]</t>
  </si>
  <si>
    <t>CTRs Allocated to LSEs            [MW]</t>
  </si>
  <si>
    <t>Required Transmission Upgrades ICTR Credits [$/day]</t>
  </si>
  <si>
    <t>Additional Locational Price Adder with respect to EMAAC      [$/MW-day]</t>
  </si>
  <si>
    <t>Make-Whole Credits</t>
  </si>
  <si>
    <t>Total Make-Whole Credits [$/day]</t>
  </si>
  <si>
    <t>Extended Summer Resources Make-whole [MW]</t>
  </si>
  <si>
    <t>Annual Resources Make-whole [MW]</t>
  </si>
  <si>
    <t>Total Make-whole [MW]</t>
  </si>
  <si>
    <t>Extended Summer Resource Make-whole [MW]</t>
  </si>
  <si>
    <t>Annual Resource Make-whole [MW]</t>
  </si>
  <si>
    <t>Locational Price Adder* Applicable to LDA         [$/MW-day]</t>
  </si>
  <si>
    <t>Additional Make-whole Adjustments due to NEPA [$/day)</t>
  </si>
  <si>
    <t>Preliminary CTRs Allocated = Max of the LDA CTRs Allocated to LSEs [MW]</t>
  </si>
  <si>
    <t>Preliminary Zonal CTR Settlement Rate [$/MW CTR per day]</t>
  </si>
  <si>
    <t>ICTRs for 500 kV or Greater Upgrades [MW[</t>
  </si>
  <si>
    <t>ICTRs for Below 500 kV Upgrades [MW]</t>
  </si>
  <si>
    <t>ICTRs for Customer-Funded Upgrades [MW]</t>
  </si>
  <si>
    <t>Total ICTRs into Sink LDA [MW]</t>
  </si>
  <si>
    <t>Allocation of ICTRs for 500 KV or Greater Upgrades [MW]</t>
  </si>
  <si>
    <t>Allocation of ICTRs for Below 500 KV Upgrades [MW[</t>
  </si>
  <si>
    <t>Allocation of LSE CTRs, Economic Value of LSE CTRs, Zonal CTR Credit Rates, &amp; Zonal CTR Settlement Rates</t>
  </si>
  <si>
    <t>Economic Value of LSE CTRs [$/day]</t>
  </si>
  <si>
    <t>Total Preliminary Economic Value of LSE CTRs [$/day]</t>
  </si>
  <si>
    <t>Additional Make-whole Costs with respect to  EMAAC  [$/day]</t>
  </si>
  <si>
    <t>Component due to Extended Summer Price Adder [$/MW-day]</t>
  </si>
  <si>
    <t>LDA Capacity Price [$/MW-day]</t>
  </si>
  <si>
    <t>*Locational Price Adder with respect to RTO</t>
  </si>
  <si>
    <t>Resource Credits for Limited Resources [$/day]</t>
  </si>
  <si>
    <t>Additional Component due to Extended Resource Price Adder with respect to EMAAC [$/MW-day]</t>
  </si>
  <si>
    <t>Additional Component due to Annual Resource Price Adder with respect to EMAAC [$/MW-day]</t>
  </si>
  <si>
    <t>LDA Capacity Price in EMAAC [MW]</t>
  </si>
  <si>
    <t>Resource Credits for Extended Summer Resources [$/day]</t>
  </si>
  <si>
    <t>Resource Credits for Annual Resources [$/day]</t>
  </si>
  <si>
    <t>Additional Costs due to Extended Resource Price Adder with respect to EMAAC [$/day]</t>
  </si>
  <si>
    <t>Additional Costs due to Annual Resource Price Adder with respect to EMAAC [$/day]</t>
  </si>
  <si>
    <t>Component due to Annual Resource Price Adder  [$/MW-day]</t>
  </si>
  <si>
    <t>Component due to Make-Whole [$/MW-day]</t>
  </si>
  <si>
    <t>Additional Component due to Make-whole with respect to EMAAC  [$/MW-day]</t>
  </si>
  <si>
    <t>Locational Price Adder w/r/t immediate higher level LDA:</t>
  </si>
  <si>
    <t>Certified ICTR [MW]</t>
  </si>
  <si>
    <t>Adjusted ICTR**[MW]</t>
  </si>
  <si>
    <t>Transmission Upgrades</t>
  </si>
  <si>
    <t>Limited Resources Cleared [MW]</t>
  </si>
  <si>
    <t>Limited Resources Make-whole [MW]</t>
  </si>
  <si>
    <t>Limited Resource Make-whole [MW]</t>
  </si>
  <si>
    <t>Costs due to Extended Summer Resource Price Adder in constrained LDA [$/day]</t>
  </si>
  <si>
    <t>Costs due to Annual Resource Price Adder in constrained LDA [$/day]</t>
  </si>
  <si>
    <t xml:space="preserve"> Required Transmission Enhancements ICTRs [MW]</t>
  </si>
  <si>
    <t>Required Transmission Enhancements -  500 kV or Greater</t>
  </si>
  <si>
    <t>PJMDOCS-#645749v4</t>
  </si>
  <si>
    <t>*Certified ICTRs in MAAC adjusted since the Remaining CTRs for Required Transmission Enhancements, Customer Funded-Upgrades, and LSEs in MAAC are less than the Total Certified ICTRs into MAAC.</t>
  </si>
  <si>
    <t>QTU Clearing Price **      [$/MW-Day]</t>
  </si>
  <si>
    <t>** Locational Price Adder with respect to the immediate higher level LDA.</t>
  </si>
  <si>
    <t>Participant Buy Bids Cleared [MW]</t>
  </si>
  <si>
    <t>Participant Sell Offers Cleared [MW]</t>
  </si>
  <si>
    <t>Net Participant Buy Bid/Sell Offers Cleared [MW]</t>
  </si>
  <si>
    <t>Make-whole [MW]</t>
  </si>
  <si>
    <t>Limited Resources</t>
  </si>
  <si>
    <t>Extended Summer Resources</t>
  </si>
  <si>
    <t>Annual Resources</t>
  </si>
  <si>
    <t>Total Resources</t>
  </si>
  <si>
    <t>Auction Charge for Participant Buy Bids [$/MW-Day]</t>
  </si>
  <si>
    <t>Auction Credit for Participant Sell Offer [$/MW-Day]</t>
  </si>
  <si>
    <t>Make-whole Credits [$/Day]</t>
  </si>
  <si>
    <t>0.8* BRA STRPT</t>
  </si>
  <si>
    <t>Updated LDA UCAP Obligation [MW]</t>
  </si>
  <si>
    <t>Weighted System Marginal Price [$/MW-day]</t>
  </si>
  <si>
    <t>Weighted Locational Price Adder* Applicable to LDA             [$/MW-day]</t>
  </si>
  <si>
    <t>Cumulative (BRA &amp; IA) Make Whole Costs                      ($/day)</t>
  </si>
  <si>
    <t>Component due to Make-Whole    [$/MW-day]</t>
  </si>
  <si>
    <t>Adjusted LDA Capacity Price [$/MW-day]</t>
  </si>
  <si>
    <t>Additional Weighted Locational Price Adder with respect to EMAAC  [$/MW-day]</t>
  </si>
  <si>
    <t>Additional Cumulative (BRA &amp; IA) Make-whole Costs with respect to  EMAAC              [$/day]</t>
  </si>
  <si>
    <t>Adjusted Zonal Capacity Price [$/MW-day]</t>
  </si>
  <si>
    <t>Updated Zonal RPM Scaling Factor</t>
  </si>
  <si>
    <t>Updated Zonal UCAP Obligation    [MW]</t>
  </si>
  <si>
    <t>Weighted Locational Price Adder</t>
  </si>
  <si>
    <t>Updated CTRs Allocated = Max of the LDA CTRs Allocated to LSEs [MW]</t>
  </si>
  <si>
    <t>Updated Zonal CTR Credit Rate [$/MW UCAP Obligation per Day]</t>
  </si>
  <si>
    <t>Updated Zonal CTR Settlement Rate [$/MW CTR per day]</t>
  </si>
  <si>
    <t>Updated Zonal Results</t>
  </si>
  <si>
    <t>2014/2015 DY 1st Incremental Auction Load Pricing Results</t>
  </si>
  <si>
    <t>2014/2015 DY 1st Incremental Auction CTRs</t>
  </si>
  <si>
    <t xml:space="preserve">2014/2015 DY 1st IA ICTRs </t>
  </si>
  <si>
    <t>CONED</t>
  </si>
  <si>
    <t xml:space="preserve">Note:  Cost Allocation Percentages are based on 2012 cost responsibility assignments from the tariff.  The allocation is updated annually. </t>
  </si>
  <si>
    <t>500 kV or Greater Upgrades</t>
  </si>
  <si>
    <t>Total Updated Economic Value of LSE CTRs [$/day]</t>
  </si>
  <si>
    <t>Total Updated CTRs [MW] *</t>
  </si>
  <si>
    <t>Base Residual Auction</t>
  </si>
  <si>
    <t>1st Incremental Auction</t>
  </si>
  <si>
    <t>Zonal UCAP Obligations, Zonal Capacity Prices, &amp; Zonal CTR Credit Rates</t>
  </si>
  <si>
    <t>Base Zonal UCAP Obligation (MW)</t>
  </si>
  <si>
    <t>Preliminary Zonal Capacity Price ($/MW-day)</t>
  </si>
  <si>
    <t>Base Zonal CTR Credit Rate ($/MW-UCAP Obligation-day)</t>
  </si>
  <si>
    <t>Preliminary Zonal Net Load Price ($/MW-day)</t>
  </si>
  <si>
    <t>Adjusted Zonal UCAP Obligation</t>
  </si>
  <si>
    <t>Adjusted Zonal Capacity Price ($/MW-day)</t>
  </si>
  <si>
    <t>Adjusted Zonal CTR Credit Rate ($/MW-UCAP Obligation-day)</t>
  </si>
  <si>
    <t>Adjusted Zonal Net Load Price ($/MW-day)</t>
  </si>
  <si>
    <t>2014/2015 Delivery Year Summary of Auction Results</t>
  </si>
  <si>
    <t xml:space="preserve">The load charges for Updated Zonal UCAP Obligations at the Adjusted Zonal Capacity Prices exceed the sum of Resource Credits, Make-Whole Payments, QTU Credits and CTR/ICTR Credits as the Zonal UCAP Obligations include uncleared Short-Term Resource Procurement Target with no Resource Credits.  </t>
  </si>
  <si>
    <t>Locational Price Adder *       [$/MW-day]</t>
  </si>
  <si>
    <t>Extended Summer Resource Price Adder         [$/MW-day]</t>
  </si>
  <si>
    <t>Net Auction Charge/Credit for Participant Buy Bid/Sell Offer [$/MW-Day]</t>
  </si>
  <si>
    <t>Component due to Annual Resource Price Adder         [$/MW-day]</t>
  </si>
  <si>
    <t>Component due to Extended Summer Price Adder         [$/MW-day]</t>
  </si>
  <si>
    <t>Component due to Annual Resource Price Adder          [$/MW-day]</t>
  </si>
  <si>
    <t>Additional Component due to Make-whole with respect to EMAAC       [$/MW-day]</t>
  </si>
  <si>
    <t>2011 W/N Coincident Peak Load              [MW]</t>
  </si>
  <si>
    <t>1st IA 2014/2015 Zonal Peak Load Forecast        [MW]</t>
  </si>
  <si>
    <t>1st IAShort-Term Resource Procurement Target           [MW]</t>
  </si>
  <si>
    <t>1st IA Short-Term Resource Procurement Target          [MW]</t>
  </si>
  <si>
    <t>Net Participant Buy Bid/Sell Offers Cleared</t>
  </si>
  <si>
    <t xml:space="preserve"> Required Transmission Enhancements ICTRs           [MW]</t>
  </si>
  <si>
    <t>Remaining CTRs for LSEs        [MW]</t>
  </si>
  <si>
    <t>Weighted Locational Price Adder is with respect to immediate higher level LDA.</t>
  </si>
  <si>
    <t>CTRs Allocated, Economic Value of CTRs, CTR Credit Rates, and CTR Settlement Rates are not final and may change due to future Incremental Auction results.</t>
  </si>
  <si>
    <t>2014/2015 DY 1st IA Resource Clearing Results</t>
  </si>
  <si>
    <t>Participant Buy Bids/Sell Offers Cleared</t>
  </si>
  <si>
    <t>PJM Buy Bids/Sell Offers Cleared</t>
  </si>
  <si>
    <t>*A positive net particpant buy bid/sell offer cleared represents a net purchase of capacity by participants.  A negative net participant buy bid/sell offer cleared represents a net sale of capacity by participants.</t>
  </si>
  <si>
    <t>Net PJM Buy Bids/Sell Offers Cleared**</t>
  </si>
  <si>
    <t>Total Make-whole</t>
  </si>
  <si>
    <t>Net Participant Buy Bids/Sell Offers Cleared* [MW]</t>
  </si>
  <si>
    <t xml:space="preserve">Total Resources </t>
  </si>
  <si>
    <t>Limited Resource</t>
  </si>
  <si>
    <t>Extended Summer Resource</t>
  </si>
  <si>
    <t>Annual Resource</t>
  </si>
  <si>
    <t>Resource Clearing Prices [$/MW-day]</t>
  </si>
  <si>
    <t>Participant Buy Bids/Sell Offers Cleared &amp; Make-Whole MWs</t>
  </si>
  <si>
    <t>PJM Buy Bids Cleared [MW]</t>
  </si>
  <si>
    <t>PJM Sell Offers Cleared [MW]</t>
  </si>
  <si>
    <t>Net PJM Buy Bid/Sell Offers Cleared [MW]</t>
  </si>
  <si>
    <t>Make-whole Costs assessed to LSEs through Zonal Capacity Price [$/day]</t>
  </si>
  <si>
    <t>Make-whole Costs to Participant Buy Bids [$/day]</t>
  </si>
  <si>
    <t>Auction Credits/Charges</t>
  </si>
  <si>
    <t xml:space="preserve"> Defined PJM Buy Bids/Sell Offers only apply in Incremental Auctions.  Variable Resource Requirement Curve (VRR) used in the clearing of the Base Residual Auction. </t>
  </si>
  <si>
    <t>AEP #</t>
  </si>
  <si>
    <t>DEOK #</t>
  </si>
  <si>
    <t># Obligation affected by FRR quantities</t>
  </si>
  <si>
    <t>BRA &amp; 1st IA Net Participant Buy Bid/Sell Offers Cleared</t>
  </si>
  <si>
    <t>Weighted Locational Price Adder w/r/t immediate higher level LDA:</t>
  </si>
  <si>
    <t>Economic Value of ICTRs = Total ICTRs * Weighted Locational Price Adder.</t>
  </si>
  <si>
    <t>DOCS#710806-v4</t>
  </si>
  <si>
    <t>**A positive net PJM buy bid/sell offer cleared represents a net purchase of capacity by PJM.  A negative net PJM buy bid/sell offer cleared represents a net release of committed capacity by PJM.</t>
  </si>
  <si>
    <t>2014/2015 DY 2nd IA Resource Clearing Results</t>
  </si>
  <si>
    <t>2014/2015 DY 2nd Incremental Auction Load Pricing Results</t>
  </si>
  <si>
    <t>0.6* BRA STRPT</t>
  </si>
  <si>
    <t>2012 W/N Coincident Peak Load              [MW]</t>
  </si>
  <si>
    <t>2nd IA 2014/2015 Zonal Peak Load Forecast        [MW]</t>
  </si>
  <si>
    <t>BRA, 1st, 2nd IA Net Participant Buy Bid/Sell Offers Cleared</t>
  </si>
  <si>
    <t>2014/2015 DY 2nd Incremental Auction CTRs</t>
  </si>
  <si>
    <t xml:space="preserve">Note:  Cost Allocation Percentages are based on 2013 cost responsibility assignments from the tariff.  The Cost Allocation Percentages may change during the actual Delivery Year. </t>
  </si>
  <si>
    <t xml:space="preserve">2014/2015 DY 2nd IA ICTRs </t>
  </si>
  <si>
    <t>2nd Incremental Auction</t>
  </si>
  <si>
    <t>** Obligation affected by FRR quantities.</t>
  </si>
  <si>
    <t>Costs due to Extended Summer Resource Price Adder in Rest of constrained LDA** [$/day]</t>
  </si>
  <si>
    <t>Costs due to Annual Resource Price Adder in Rest of constrained LDA** [$/day]</t>
  </si>
  <si>
    <t>Costs due to Extended Summer Resource Price Adder in constrained LDA** [$/day]</t>
  </si>
  <si>
    <t>Costs due to Annual Resource Price Adder in constrained LDA** [$/day]</t>
  </si>
  <si>
    <t>**Costs associated with Extended Summer and Annual Price Adders, if any, are adjusted slightly to accommodate certain grandfathered arrangements.</t>
  </si>
  <si>
    <t>Adjusted Zonal Capacity Price           [$/MW-day]</t>
  </si>
  <si>
    <t>* CTR MWs are adjusted slightly to accommodate certain grandfathered arrangements.</t>
  </si>
  <si>
    <t>Adjusted ICTR*[MW]</t>
  </si>
  <si>
    <t>*Certified ICTRs are adjusted to 0 MWs since there is a negative weighted average locational price adder in MAAC.</t>
  </si>
  <si>
    <t xml:space="preserve">Weighted Locational Price Adder w/r/t immediate higher level LDA:
</t>
  </si>
  <si>
    <t>*Certified ICTRs are adjusted to 0 MWs in MAAC since there is a negative weighted average locational price adder in MAAC.</t>
  </si>
  <si>
    <t>Base Zonal UCAP Obligation</t>
  </si>
  <si>
    <t>2014/2015 DY 3rd IA Resource Clearing Results</t>
  </si>
  <si>
    <t>2014/2015 DY 3rd Incremental Auction Load Pricing Results</t>
  </si>
  <si>
    <t>0* BRA STRPT</t>
  </si>
  <si>
    <t>BRA,1st,2nd,3rd IA Net Participant Buy Bid/Sell Offers Cleared</t>
  </si>
  <si>
    <t>Additional Weighted Locational Price Adder with respect to EMAAC       [$/MW-day]</t>
  </si>
  <si>
    <t>2013 W/N Coincident Peak Load              [MW]</t>
  </si>
  <si>
    <t>3rd IA 2014/2015 Zonal Peak Load Forecast        [MW]</t>
  </si>
  <si>
    <t>3rd IAShort-Term Resource Procurement Target           [MW]</t>
  </si>
  <si>
    <t>2014/2015 DY 3rd Incremental Auction CTRs</t>
  </si>
  <si>
    <t>3rd IA Short-Term Resource Procurement Target          [MW]</t>
  </si>
  <si>
    <t>CTRs Allocated, Economic Value of CTRs, CTR Credit Rates, and CTR Settlement Rates are final.</t>
  </si>
  <si>
    <t xml:space="preserve">2014/2015 DY 3rd IA ICTRs </t>
  </si>
  <si>
    <t xml:space="preserve">Note:  Cost Allocation Percentages are based on 2014 cost responsibility assignments from the tariff.  The Cost Allocation Percentages may change during the actual Delivery Year. </t>
  </si>
  <si>
    <t>2014/2015 DY BRA, 1st IA, 2nd IA, &amp; 3rd IA Zonal UCAP Obligations, Zonal Capacity Prices, &amp; Zonal CTR Credit Rates</t>
  </si>
  <si>
    <t>3rd Incremental Auction</t>
  </si>
  <si>
    <t>Final Zonal UCAP Obligation</t>
  </si>
  <si>
    <t>3rd Incremental Auction Adjusted Zonal Capacity Prices &amp; Adjusted Zonal CTR Credit Rates are determined based on the results of the Base Residual Auction and 1st, 2nd, and 3rd Incremental Auctions for the DY.</t>
  </si>
  <si>
    <t>Final Zonal CTR Credit Rate ($/MW-UCAP Obligation-day)</t>
  </si>
  <si>
    <t>Final Zonal CTR Credit Rate [$/MW UCAP Obligation per Day]</t>
  </si>
  <si>
    <t>Final Zonal CTR Settlement Rate [$/MW CTR per day]</t>
  </si>
  <si>
    <t>* Certified ICTRs are adjusted to 0 MWs since there is a negative weighted average locational price adder in MAAC.</t>
  </si>
  <si>
    <t>Adjusted ICTR [MW] *</t>
  </si>
  <si>
    <t>Final Zonal Capacity Price ($/MW-day) *</t>
  </si>
  <si>
    <t>Final Zonal Net Load Price ($/MW-day) *</t>
  </si>
  <si>
    <t>Final Zonal Capacity Price           [$/MW-day] *</t>
  </si>
  <si>
    <t>Final Zonal UCAP Obligation    [MW]</t>
  </si>
  <si>
    <t>Final Zonal RPM Scaling Factor</t>
  </si>
  <si>
    <t>Total Final Economic Value of LSE CTRs [$/day]</t>
  </si>
  <si>
    <t>Final CTRs Allocated = Max of the LDA CTRs Allocated to LSEs [MW]</t>
  </si>
  <si>
    <t>PJMDOCS-#781305-v2A</t>
  </si>
  <si>
    <t xml:space="preserve">* Final Zonal Capacity Prices may change due to DR Transitional Credits.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</si>
</sst>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$&quot;#,##0.0"/>
    <numFmt numFmtId="168" formatCode="#,##0.000000"/>
    <numFmt numFmtId="169" formatCode="0.000%"/>
    <numFmt numFmtId="170" formatCode="0.00000"/>
    <numFmt numFmtId="171" formatCode="&quot;$&quot;#,##0.000000"/>
    <numFmt numFmtId="172" formatCode="0.0000%"/>
    <numFmt numFmtId="173" formatCode="0.0000"/>
    <numFmt numFmtId="174" formatCode="#,##0.0"/>
    <numFmt numFmtId="175" formatCode="#,##0.00000"/>
    <numFmt numFmtId="176" formatCode="_([$$-409]* #,##0.00_);_([$$-409]* \(#,##0.00\);_([$$-409]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000"/>
    <numFmt numFmtId="182" formatCode="#,##0.0000000"/>
    <numFmt numFmtId="183" formatCode="&quot;$&quot;#,##0.0000000000000"/>
    <numFmt numFmtId="184" formatCode="&quot;$&quot;#,##0.000000000"/>
    <numFmt numFmtId="185" formatCode="&quot;$&quot;#,##0.0000000"/>
    <numFmt numFmtId="186" formatCode="&quot;$&quot;#,##0.00000000"/>
    <numFmt numFmtId="187" formatCode="0.0000000"/>
    <numFmt numFmtId="188" formatCode="0.000000"/>
    <numFmt numFmtId="189" formatCode="0.000"/>
    <numFmt numFmtId="190" formatCode="[$-409]dddd\,\ mmmm\ dd\,\ yyyy"/>
    <numFmt numFmtId="191" formatCode="[$-409]h:mm:ss\ AM/PM"/>
    <numFmt numFmtId="192" formatCode="_(* #,##0.0_);_(* \(#,##0.0\);_(* &quot;-&quot;??_);_(@_)"/>
    <numFmt numFmtId="193" formatCode="_(* #,##0.00000_);_(* \(#,##0.00000\);_(* &quot;-&quot;?????_);_(@_)"/>
    <numFmt numFmtId="194" formatCode="&quot;$&quot;#,##0.000"/>
    <numFmt numFmtId="195" formatCode="&quot;$&quot;#,##0.0000"/>
    <numFmt numFmtId="196" formatCode="&quot;$&quot;#,##0.0000000000"/>
    <numFmt numFmtId="197" formatCode="_(* #,##0.0_);_(* \(#,##0.0\);_(* &quot;-&quot;?_);_(@_)"/>
    <numFmt numFmtId="198" formatCode="_(* #,##0.0000_);_(* \(#,##0.0000\);_(* &quot;-&quot;????_);_(@_)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0.00000000"/>
    <numFmt numFmtId="203" formatCode="&quot;$&quot;#,##0"/>
    <numFmt numFmtId="204" formatCode="_(* #,##0.000_);_(* \(#,##0.000\);_(* &quot;-&quot;?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_(&quot;$&quot;* #,##0.00000_);_(&quot;$&quot;* \(#,##0.00000\);_(&quot;$&quot;* &quot;-&quot;??_);_(@_)"/>
    <numFmt numFmtId="208" formatCode="_(&quot;$&quot;* #,##0.000000_);_(&quot;$&quot;* \(#,##0.000000\);_(&quot;$&quot;* &quot;-&quot;??_);_(@_)"/>
    <numFmt numFmtId="209" formatCode="_(* #,##0.000000000_);_(* \(#,##0.000000000\);_(* &quot;-&quot;??_);_(@_)"/>
    <numFmt numFmtId="210" formatCode="_(* #,##0.000000_);_(* \(#,##0.000000\);_(* &quot;-&quot;??_);_(@_)"/>
    <numFmt numFmtId="211" formatCode="#,##0.0_);\(#,##0.0\)"/>
    <numFmt numFmtId="212" formatCode="_(* #,##0.0000000_);_(* \(#,##0.0000000\);_(* &quot;-&quot;??_);_(@_)"/>
    <numFmt numFmtId="213" formatCode="_(* #,##0.00000000_);_(* \(#,##0.00000000\);_(* &quot;-&quot;??_);_(@_)"/>
    <numFmt numFmtId="214" formatCode="_(* #,##0.00000000_);_(* \(#,##0.00000000\);_(* &quot;-&quot;????????_);_(@_)"/>
    <numFmt numFmtId="215" formatCode="_(* #,##0.0000000000_);_(* \(#,##0.0000000000\);_(* &quot;-&quot;??_);_(@_)"/>
    <numFmt numFmtId="216" formatCode="0.000000000"/>
    <numFmt numFmtId="217" formatCode="0.0000000000"/>
    <numFmt numFmtId="218" formatCode="_(* #,##0.00000000000_);_(* \(#,##0.00000000000\);_(* &quot;-&quot;??_);_(@_)"/>
    <numFmt numFmtId="219" formatCode="_(* #,##0.000000000000_);_(* \(#,##0.000000000000\);_(* &quot;-&quot;??_);_(@_)"/>
    <numFmt numFmtId="220" formatCode="_(* #,##0.000000000000_);_(* \(#,##0.000000000000\);_(* &quot;-&quot;????????????_);_(@_)"/>
    <numFmt numFmtId="221" formatCode="0.00000000000"/>
    <numFmt numFmtId="222" formatCode="0.000000000000"/>
    <numFmt numFmtId="223" formatCode="&quot;$&quot;#,##0.00000000000"/>
  </numFmts>
  <fonts count="60">
    <font>
      <sz val="10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i/>
      <sz val="14"/>
      <color indexed="10"/>
      <name val="Arial"/>
      <family val="2"/>
    </font>
    <font>
      <sz val="11"/>
      <color indexed="56"/>
      <name val="Calibri"/>
      <family val="2"/>
    </font>
    <font>
      <i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4"/>
      <color rgb="FFFF0000"/>
      <name val="Arial"/>
      <family val="2"/>
    </font>
    <font>
      <sz val="11"/>
      <color rgb="FF1F497D"/>
      <name val="Calibri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174" fontId="0" fillId="0" borderId="0" xfId="0" applyNumberFormat="1" applyFont="1" applyBorder="1" applyAlignment="1">
      <alignment horizontal="right"/>
    </xf>
    <xf numFmtId="0" fontId="55" fillId="0" borderId="0" xfId="0" applyFont="1" applyAlignment="1">
      <alignment/>
    </xf>
    <xf numFmtId="192" fontId="0" fillId="0" borderId="0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164" fontId="0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174" fontId="0" fillId="0" borderId="0" xfId="0" applyNumberFormat="1" applyFont="1" applyAlignment="1">
      <alignment/>
    </xf>
    <xf numFmtId="44" fontId="7" fillId="0" borderId="0" xfId="44" applyFont="1" applyBorder="1" applyAlignment="1">
      <alignment horizontal="center"/>
    </xf>
    <xf numFmtId="165" fontId="0" fillId="0" borderId="0" xfId="0" applyNumberFormat="1" applyFont="1" applyBorder="1" applyAlignment="1">
      <alignment horizontal="center" wrapText="1"/>
    </xf>
    <xf numFmtId="165" fontId="0" fillId="0" borderId="0" xfId="42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2" fontId="55" fillId="0" borderId="0" xfId="42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0" fillId="0" borderId="0" xfId="44" applyNumberFormat="1" applyFont="1" applyBorder="1" applyAlignment="1">
      <alignment horizontal="center"/>
    </xf>
    <xf numFmtId="164" fontId="54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164" fontId="10" fillId="0" borderId="0" xfId="0" applyNumberFormat="1" applyFont="1" applyBorder="1" applyAlignment="1">
      <alignment horizontal="center" wrapText="1"/>
    </xf>
    <xf numFmtId="165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88" fontId="4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65" fontId="10" fillId="0" borderId="10" xfId="44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165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93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65" fontId="7" fillId="0" borderId="0" xfId="0" applyNumberFormat="1" applyFont="1" applyBorder="1" applyAlignment="1">
      <alignment/>
    </xf>
    <xf numFmtId="174" fontId="0" fillId="0" borderId="10" xfId="0" applyNumberFormat="1" applyFont="1" applyBorder="1" applyAlignment="1">
      <alignment horizontal="right"/>
    </xf>
    <xf numFmtId="192" fontId="0" fillId="0" borderId="10" xfId="42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5" fontId="0" fillId="0" borderId="10" xfId="44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5" fontId="7" fillId="0" borderId="10" xfId="44" applyNumberFormat="1" applyFont="1" applyBorder="1" applyAlignment="1">
      <alignment horizontal="right"/>
    </xf>
    <xf numFmtId="44" fontId="7" fillId="0" borderId="10" xfId="44" applyFont="1" applyBorder="1" applyAlignment="1">
      <alignment horizontal="right"/>
    </xf>
    <xf numFmtId="10" fontId="0" fillId="0" borderId="10" xfId="59" applyNumberFormat="1" applyFont="1" applyFill="1" applyBorder="1" applyAlignment="1">
      <alignment horizontal="right"/>
    </xf>
    <xf numFmtId="192" fontId="0" fillId="0" borderId="0" xfId="0" applyNumberFormat="1" applyFont="1" applyBorder="1" applyAlignment="1">
      <alignment/>
    </xf>
    <xf numFmtId="17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65" fontId="7" fillId="0" borderId="0" xfId="0" applyNumberFormat="1" applyFont="1" applyBorder="1" applyAlignment="1">
      <alignment horizontal="right"/>
    </xf>
    <xf numFmtId="174" fontId="0" fillId="0" borderId="14" xfId="0" applyNumberFormat="1" applyFont="1" applyBorder="1" applyAlignment="1">
      <alignment/>
    </xf>
    <xf numFmtId="0" fontId="56" fillId="0" borderId="0" xfId="0" applyFont="1" applyFill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0" fillId="0" borderId="0" xfId="0" applyAlignment="1">
      <alignment wrapText="1"/>
    </xf>
    <xf numFmtId="17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4" fontId="0" fillId="0" borderId="0" xfId="44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4" fillId="0" borderId="0" xfId="0" applyNumberFormat="1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right"/>
    </xf>
    <xf numFmtId="192" fontId="7" fillId="0" borderId="15" xfId="42" applyNumberFormat="1" applyFont="1" applyFill="1" applyBorder="1" applyAlignment="1">
      <alignment/>
    </xf>
    <xf numFmtId="192" fontId="7" fillId="0" borderId="15" xfId="42" applyNumberFormat="1" applyFont="1" applyBorder="1" applyAlignment="1">
      <alignment horizontal="left" indent="2"/>
    </xf>
    <xf numFmtId="170" fontId="0" fillId="0" borderId="10" xfId="0" applyNumberFormat="1" applyFont="1" applyFill="1" applyBorder="1" applyAlignment="1">
      <alignment/>
    </xf>
    <xf numFmtId="192" fontId="0" fillId="0" borderId="10" xfId="42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0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 wrapText="1"/>
    </xf>
    <xf numFmtId="165" fontId="0" fillId="0" borderId="10" xfId="42" applyNumberFormat="1" applyFont="1" applyBorder="1" applyAlignment="1">
      <alignment horizontal="right"/>
    </xf>
    <xf numFmtId="0" fontId="12" fillId="6" borderId="16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92" fontId="0" fillId="0" borderId="10" xfId="42" applyNumberFormat="1" applyFont="1" applyFill="1" applyBorder="1" applyAlignment="1">
      <alignment/>
    </xf>
    <xf numFmtId="192" fontId="7" fillId="0" borderId="15" xfId="42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 wrapText="1"/>
    </xf>
    <xf numFmtId="0" fontId="7" fillId="0" borderId="18" xfId="0" applyNumberFormat="1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192" fontId="0" fillId="0" borderId="14" xfId="42" applyNumberFormat="1" applyFont="1" applyFill="1" applyBorder="1" applyAlignment="1">
      <alignment/>
    </xf>
    <xf numFmtId="174" fontId="0" fillId="0" borderId="14" xfId="0" applyNumberFormat="1" applyFont="1" applyFill="1" applyBorder="1" applyAlignment="1">
      <alignment/>
    </xf>
    <xf numFmtId="170" fontId="0" fillId="0" borderId="14" xfId="0" applyNumberFormat="1" applyFont="1" applyBorder="1" applyAlignment="1">
      <alignment/>
    </xf>
    <xf numFmtId="0" fontId="12" fillId="5" borderId="19" xfId="0" applyFont="1" applyFill="1" applyBorder="1" applyAlignment="1">
      <alignment/>
    </xf>
    <xf numFmtId="0" fontId="12" fillId="6" borderId="20" xfId="0" applyFont="1" applyFill="1" applyBorder="1" applyAlignment="1">
      <alignment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164" fontId="0" fillId="0" borderId="14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66" fontId="0" fillId="0" borderId="21" xfId="59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10" fontId="0" fillId="0" borderId="12" xfId="59" applyNumberFormat="1" applyFont="1" applyFill="1" applyBorder="1" applyAlignment="1">
      <alignment horizontal="right"/>
    </xf>
    <xf numFmtId="173" fontId="0" fillId="0" borderId="12" xfId="59" applyNumberFormat="1" applyFont="1" applyFill="1" applyBorder="1" applyAlignment="1">
      <alignment horizontal="right"/>
    </xf>
    <xf numFmtId="192" fontId="0" fillId="0" borderId="12" xfId="42" applyNumberFormat="1" applyFont="1" applyFill="1" applyBorder="1" applyAlignment="1">
      <alignment horizontal="right"/>
    </xf>
    <xf numFmtId="166" fontId="0" fillId="0" borderId="12" xfId="59" applyNumberFormat="1" applyFont="1" applyFill="1" applyBorder="1" applyAlignment="1">
      <alignment horizontal="right"/>
    </xf>
    <xf numFmtId="164" fontId="0" fillId="0" borderId="12" xfId="59" applyNumberFormat="1" applyFont="1" applyFill="1" applyBorder="1" applyAlignment="1">
      <alignment horizontal="right"/>
    </xf>
    <xf numFmtId="170" fontId="0" fillId="0" borderId="22" xfId="59" applyNumberFormat="1" applyFont="1" applyBorder="1" applyAlignment="1">
      <alignment horizontal="right"/>
    </xf>
    <xf numFmtId="0" fontId="12" fillId="7" borderId="19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12" fillId="7" borderId="20" xfId="0" applyFont="1" applyFill="1" applyBorder="1" applyAlignment="1">
      <alignment/>
    </xf>
    <xf numFmtId="0" fontId="7" fillId="0" borderId="21" xfId="0" applyFont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165" fontId="0" fillId="0" borderId="14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17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Border="1" applyAlignment="1">
      <alignment/>
    </xf>
    <xf numFmtId="0" fontId="12" fillId="5" borderId="20" xfId="0" applyFont="1" applyFill="1" applyBorder="1" applyAlignment="1">
      <alignment/>
    </xf>
    <xf numFmtId="165" fontId="0" fillId="0" borderId="12" xfId="0" applyNumberFormat="1" applyFont="1" applyBorder="1" applyAlignment="1">
      <alignment/>
    </xf>
    <xf numFmtId="174" fontId="0" fillId="0" borderId="14" xfId="0" applyNumberFormat="1" applyFont="1" applyBorder="1" applyAlignment="1">
      <alignment horizontal="right"/>
    </xf>
    <xf numFmtId="165" fontId="0" fillId="0" borderId="22" xfId="0" applyNumberFormat="1" applyFont="1" applyBorder="1" applyAlignment="1">
      <alignment/>
    </xf>
    <xf numFmtId="0" fontId="12" fillId="4" borderId="2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 wrapText="1"/>
    </xf>
    <xf numFmtId="165" fontId="11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 wrapText="1"/>
    </xf>
    <xf numFmtId="165" fontId="10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center" wrapText="1"/>
    </xf>
    <xf numFmtId="10" fontId="0" fillId="0" borderId="0" xfId="59" applyNumberFormat="1" applyFont="1" applyFill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0" fontId="13" fillId="6" borderId="19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0" fontId="0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165" fontId="7" fillId="0" borderId="18" xfId="0" applyNumberFormat="1" applyFont="1" applyBorder="1" applyAlignment="1">
      <alignment horizontal="center" wrapText="1"/>
    </xf>
    <xf numFmtId="164" fontId="7" fillId="0" borderId="18" xfId="0" applyNumberFormat="1" applyFont="1" applyBorder="1" applyAlignment="1">
      <alignment horizontal="center" wrapText="1"/>
    </xf>
    <xf numFmtId="164" fontId="7" fillId="0" borderId="21" xfId="0" applyNumberFormat="1" applyFont="1" applyBorder="1" applyAlignment="1">
      <alignment horizontal="center" wrapText="1"/>
    </xf>
    <xf numFmtId="0" fontId="0" fillId="4" borderId="20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12" fillId="3" borderId="19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74" fontId="0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0" fontId="7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92" fontId="0" fillId="0" borderId="12" xfId="42" applyNumberFormat="1" applyFont="1" applyBorder="1" applyAlignment="1">
      <alignment horizontal="right"/>
    </xf>
    <xf numFmtId="164" fontId="0" fillId="0" borderId="14" xfId="0" applyNumberFormat="1" applyBorder="1" applyAlignment="1">
      <alignment/>
    </xf>
    <xf numFmtId="192" fontId="0" fillId="0" borderId="22" xfId="42" applyNumberFormat="1" applyFont="1" applyBorder="1" applyAlignment="1">
      <alignment horizontal="right"/>
    </xf>
    <xf numFmtId="165" fontId="10" fillId="0" borderId="24" xfId="0" applyNumberFormat="1" applyFont="1" applyBorder="1" applyAlignment="1">
      <alignment horizontal="center" wrapText="1"/>
    </xf>
    <xf numFmtId="0" fontId="6" fillId="0" borderId="25" xfId="0" applyNumberFormat="1" applyFont="1" applyFill="1" applyBorder="1" applyAlignment="1">
      <alignment horizontal="center" wrapText="1"/>
    </xf>
    <xf numFmtId="0" fontId="7" fillId="0" borderId="25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10" fontId="7" fillId="0" borderId="16" xfId="0" applyNumberFormat="1" applyFont="1" applyBorder="1" applyAlignment="1">
      <alignment horizontal="right"/>
    </xf>
    <xf numFmtId="10" fontId="7" fillId="0" borderId="27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92" fontId="0" fillId="0" borderId="10" xfId="42" applyNumberFormat="1" applyFont="1" applyBorder="1" applyAlignment="1">
      <alignment/>
    </xf>
    <xf numFmtId="192" fontId="0" fillId="0" borderId="14" xfId="42" applyNumberFormat="1" applyFont="1" applyBorder="1" applyAlignment="1">
      <alignment/>
    </xf>
    <xf numFmtId="0" fontId="7" fillId="0" borderId="29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44" fontId="7" fillId="0" borderId="30" xfId="44" applyFont="1" applyBorder="1" applyAlignment="1">
      <alignment horizontal="center" wrapText="1"/>
    </xf>
    <xf numFmtId="44" fontId="7" fillId="0" borderId="30" xfId="44" applyFont="1" applyFill="1" applyBorder="1" applyAlignment="1">
      <alignment horizontal="center" wrapText="1"/>
    </xf>
    <xf numFmtId="44" fontId="7" fillId="0" borderId="31" xfId="44" applyFont="1" applyBorder="1" applyAlignment="1">
      <alignment horizontal="center" wrapText="1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65" fontId="0" fillId="7" borderId="10" xfId="0" applyNumberFormat="1" applyFont="1" applyFill="1" applyBorder="1" applyAlignment="1">
      <alignment horizontal="right"/>
    </xf>
    <xf numFmtId="165" fontId="0" fillId="7" borderId="14" xfId="0" applyNumberFormat="1" applyFont="1" applyFill="1" applyBorder="1" applyAlignment="1">
      <alignment horizontal="right"/>
    </xf>
    <xf numFmtId="0" fontId="7" fillId="7" borderId="18" xfId="0" applyFont="1" applyFill="1" applyBorder="1" applyAlignment="1">
      <alignment horizontal="center" wrapText="1"/>
    </xf>
    <xf numFmtId="0" fontId="7" fillId="7" borderId="21" xfId="0" applyFont="1" applyFill="1" applyBorder="1" applyAlignment="1">
      <alignment horizontal="center" wrapText="1"/>
    </xf>
    <xf numFmtId="165" fontId="0" fillId="7" borderId="12" xfId="0" applyNumberFormat="1" applyFont="1" applyFill="1" applyBorder="1" applyAlignment="1">
      <alignment horizontal="right"/>
    </xf>
    <xf numFmtId="165" fontId="0" fillId="7" borderId="22" xfId="0" applyNumberFormat="1" applyFont="1" applyFill="1" applyBorder="1" applyAlignment="1">
      <alignment horizontal="right"/>
    </xf>
    <xf numFmtId="0" fontId="7" fillId="5" borderId="21" xfId="0" applyNumberFormat="1" applyFont="1" applyFill="1" applyBorder="1" applyAlignment="1">
      <alignment horizontal="center" wrapText="1"/>
    </xf>
    <xf numFmtId="44" fontId="0" fillId="0" borderId="0" xfId="44" applyFont="1" applyAlignment="1">
      <alignment/>
    </xf>
    <xf numFmtId="44" fontId="0" fillId="0" borderId="0" xfId="0" applyNumberFormat="1" applyFont="1" applyAlignment="1">
      <alignment/>
    </xf>
    <xf numFmtId="192" fontId="0" fillId="0" borderId="10" xfId="42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92" fontId="0" fillId="0" borderId="14" xfId="42" applyNumberFormat="1" applyFont="1" applyFill="1" applyBorder="1" applyAlignment="1">
      <alignment horizontal="right"/>
    </xf>
    <xf numFmtId="0" fontId="54" fillId="0" borderId="10" xfId="0" applyFont="1" applyBorder="1" applyAlignment="1">
      <alignment/>
    </xf>
    <xf numFmtId="0" fontId="12" fillId="4" borderId="16" xfId="0" applyFont="1" applyFill="1" applyBorder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165" fontId="0" fillId="0" borderId="0" xfId="42" applyNumberFormat="1" applyFont="1" applyBorder="1" applyAlignment="1">
      <alignment horizontal="right"/>
    </xf>
    <xf numFmtId="192" fontId="0" fillId="0" borderId="0" xfId="42" applyNumberFormat="1" applyFont="1" applyBorder="1" applyAlignment="1">
      <alignment horizontal="right"/>
    </xf>
    <xf numFmtId="165" fontId="7" fillId="0" borderId="0" xfId="42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2" fontId="0" fillId="0" borderId="0" xfId="42" applyNumberFormat="1" applyFont="1" applyBorder="1" applyAlignment="1">
      <alignment horizontal="right"/>
    </xf>
    <xf numFmtId="165" fontId="0" fillId="5" borderId="12" xfId="0" applyNumberFormat="1" applyFont="1" applyFill="1" applyBorder="1" applyAlignment="1">
      <alignment horizontal="right"/>
    </xf>
    <xf numFmtId="165" fontId="0" fillId="5" borderId="22" xfId="0" applyNumberFormat="1" applyFont="1" applyFill="1" applyBorder="1" applyAlignment="1">
      <alignment horizontal="right"/>
    </xf>
    <xf numFmtId="165" fontId="7" fillId="4" borderId="12" xfId="44" applyNumberFormat="1" applyFont="1" applyFill="1" applyBorder="1" applyAlignment="1">
      <alignment/>
    </xf>
    <xf numFmtId="165" fontId="7" fillId="4" borderId="22" xfId="44" applyNumberFormat="1" applyFont="1" applyFill="1" applyBorder="1" applyAlignment="1">
      <alignment/>
    </xf>
    <xf numFmtId="165" fontId="0" fillId="6" borderId="10" xfId="0" applyNumberFormat="1" applyFont="1" applyFill="1" applyBorder="1" applyAlignment="1">
      <alignment horizontal="right"/>
    </xf>
    <xf numFmtId="171" fontId="0" fillId="6" borderId="10" xfId="0" applyNumberFormat="1" applyFont="1" applyFill="1" applyBorder="1" applyAlignment="1">
      <alignment horizontal="right"/>
    </xf>
    <xf numFmtId="165" fontId="7" fillId="6" borderId="12" xfId="0" applyNumberFormat="1" applyFont="1" applyFill="1" applyBorder="1" applyAlignment="1">
      <alignment horizontal="right"/>
    </xf>
    <xf numFmtId="165" fontId="0" fillId="0" borderId="14" xfId="0" applyNumberFormat="1" applyFont="1" applyBorder="1" applyAlignment="1">
      <alignment horizontal="center"/>
    </xf>
    <xf numFmtId="165" fontId="0" fillId="4" borderId="10" xfId="0" applyNumberFormat="1" applyFont="1" applyFill="1" applyBorder="1" applyAlignment="1">
      <alignment/>
    </xf>
    <xf numFmtId="165" fontId="0" fillId="4" borderId="10" xfId="44" applyNumberFormat="1" applyFont="1" applyFill="1" applyBorder="1" applyAlignment="1">
      <alignment horizontal="right"/>
    </xf>
    <xf numFmtId="165" fontId="0" fillId="4" borderId="10" xfId="42" applyNumberFormat="1" applyFont="1" applyFill="1" applyBorder="1" applyAlignment="1">
      <alignment horizontal="right"/>
    </xf>
    <xf numFmtId="165" fontId="0" fillId="4" borderId="14" xfId="0" applyNumberFormat="1" applyFont="1" applyFill="1" applyBorder="1" applyAlignment="1">
      <alignment/>
    </xf>
    <xf numFmtId="165" fontId="0" fillId="4" borderId="14" xfId="44" applyNumberFormat="1" applyFont="1" applyFill="1" applyBorder="1" applyAlignment="1">
      <alignment horizontal="right"/>
    </xf>
    <xf numFmtId="165" fontId="0" fillId="0" borderId="14" xfId="42" applyNumberFormat="1" applyFont="1" applyBorder="1" applyAlignment="1">
      <alignment horizontal="right"/>
    </xf>
    <xf numFmtId="165" fontId="0" fillId="4" borderId="14" xfId="4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13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wrapText="1" indent="1"/>
    </xf>
    <xf numFmtId="0" fontId="7" fillId="0" borderId="35" xfId="0" applyFont="1" applyFill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164" fontId="0" fillId="0" borderId="12" xfId="0" applyNumberFormat="1" applyBorder="1" applyAlignment="1">
      <alignment/>
    </xf>
    <xf numFmtId="164" fontId="7" fillId="0" borderId="11" xfId="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0" fillId="0" borderId="37" xfId="0" applyBorder="1" applyAlignment="1">
      <alignment/>
    </xf>
    <xf numFmtId="164" fontId="0" fillId="0" borderId="37" xfId="0" applyNumberFormat="1" applyFont="1" applyFill="1" applyBorder="1" applyAlignment="1">
      <alignment horizontal="right"/>
    </xf>
    <xf numFmtId="0" fontId="7" fillId="0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0" fontId="7" fillId="7" borderId="35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center" wrapText="1"/>
    </xf>
    <xf numFmtId="164" fontId="7" fillId="7" borderId="11" xfId="0" applyNumberFormat="1" applyFont="1" applyFill="1" applyBorder="1" applyAlignment="1">
      <alignment horizontal="right"/>
    </xf>
    <xf numFmtId="164" fontId="7" fillId="7" borderId="12" xfId="0" applyNumberFormat="1" applyFont="1" applyFill="1" applyBorder="1" applyAlignment="1">
      <alignment/>
    </xf>
    <xf numFmtId="164" fontId="7" fillId="7" borderId="37" xfId="0" applyNumberFormat="1" applyFont="1" applyFill="1" applyBorder="1" applyAlignment="1">
      <alignment/>
    </xf>
    <xf numFmtId="164" fontId="0" fillId="7" borderId="12" xfId="0" applyNumberFormat="1" applyFill="1" applyBorder="1" applyAlignment="1">
      <alignment/>
    </xf>
    <xf numFmtId="164" fontId="7" fillId="7" borderId="13" xfId="0" applyNumberFormat="1" applyFont="1" applyFill="1" applyBorder="1" applyAlignment="1">
      <alignment horizontal="right"/>
    </xf>
    <xf numFmtId="164" fontId="7" fillId="7" borderId="22" xfId="0" applyNumberFormat="1" applyFont="1" applyFill="1" applyBorder="1" applyAlignment="1">
      <alignment horizontal="right"/>
    </xf>
    <xf numFmtId="164" fontId="7" fillId="7" borderId="38" xfId="0" applyNumberFormat="1" applyFont="1" applyFill="1" applyBorder="1" applyAlignment="1">
      <alignment horizontal="right"/>
    </xf>
    <xf numFmtId="192" fontId="0" fillId="0" borderId="18" xfId="42" applyNumberFormat="1" applyFont="1" applyBorder="1" applyAlignment="1">
      <alignment horizontal="right"/>
    </xf>
    <xf numFmtId="192" fontId="0" fillId="0" borderId="14" xfId="42" applyNumberFormat="1" applyFont="1" applyBorder="1" applyAlignment="1">
      <alignment/>
    </xf>
    <xf numFmtId="192" fontId="0" fillId="0" borderId="18" xfId="42" applyNumberFormat="1" applyFont="1" applyFill="1" applyBorder="1" applyAlignment="1">
      <alignment horizontal="right"/>
    </xf>
    <xf numFmtId="192" fontId="0" fillId="0" borderId="10" xfId="42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164" fontId="0" fillId="0" borderId="10" xfId="42" applyNumberFormat="1" applyFont="1" applyBorder="1" applyAlignment="1">
      <alignment horizontal="right"/>
    </xf>
    <xf numFmtId="174" fontId="7" fillId="0" borderId="14" xfId="0" applyNumberFormat="1" applyFont="1" applyBorder="1" applyAlignment="1">
      <alignment horizontal="right"/>
    </xf>
    <xf numFmtId="209" fontId="0" fillId="0" borderId="0" xfId="0" applyNumberFormat="1" applyFont="1" applyBorder="1" applyAlignment="1">
      <alignment/>
    </xf>
    <xf numFmtId="194" fontId="0" fillId="6" borderId="10" xfId="0" applyNumberFormat="1" applyFont="1" applyFill="1" applyBorder="1" applyAlignment="1">
      <alignment horizontal="right"/>
    </xf>
    <xf numFmtId="0" fontId="7" fillId="0" borderId="30" xfId="0" applyNumberFormat="1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170" fontId="0" fillId="0" borderId="14" xfId="0" applyNumberFormat="1" applyFont="1" applyFill="1" applyBorder="1" applyAlignment="1">
      <alignment/>
    </xf>
    <xf numFmtId="192" fontId="0" fillId="0" borderId="14" xfId="42" applyNumberFormat="1" applyFont="1" applyFill="1" applyBorder="1" applyAlignment="1">
      <alignment/>
    </xf>
    <xf numFmtId="197" fontId="0" fillId="0" borderId="0" xfId="0" applyNumberFormat="1" applyFont="1" applyAlignment="1">
      <alignment/>
    </xf>
    <xf numFmtId="0" fontId="54" fillId="0" borderId="0" xfId="0" applyFont="1" applyFill="1" applyAlignment="1">
      <alignment/>
    </xf>
    <xf numFmtId="192" fontId="0" fillId="0" borderId="10" xfId="42" applyNumberFormat="1" applyFont="1" applyFill="1" applyBorder="1" applyAlignment="1">
      <alignment/>
    </xf>
    <xf numFmtId="0" fontId="13" fillId="6" borderId="20" xfId="0" applyFont="1" applyFill="1" applyBorder="1" applyAlignment="1">
      <alignment horizontal="center" wrapText="1"/>
    </xf>
    <xf numFmtId="43" fontId="0" fillId="0" borderId="0" xfId="0" applyNumberFormat="1" applyFont="1" applyBorder="1" applyAlignment="1">
      <alignment/>
    </xf>
    <xf numFmtId="210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0" fontId="0" fillId="0" borderId="12" xfId="59" applyNumberFormat="1" applyFont="1" applyBorder="1" applyAlignment="1">
      <alignment horizontal="right"/>
    </xf>
    <xf numFmtId="10" fontId="0" fillId="0" borderId="12" xfId="59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165" fontId="7" fillId="0" borderId="22" xfId="0" applyNumberFormat="1" applyFont="1" applyBorder="1" applyAlignment="1">
      <alignment/>
    </xf>
    <xf numFmtId="174" fontId="54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92" fontId="7" fillId="0" borderId="0" xfId="0" applyNumberFormat="1" applyFont="1" applyBorder="1" applyAlignment="1">
      <alignment/>
    </xf>
    <xf numFmtId="0" fontId="54" fillId="0" borderId="0" xfId="0" applyFont="1" applyFill="1" applyBorder="1" applyAlignment="1">
      <alignment/>
    </xf>
    <xf numFmtId="165" fontId="54" fillId="0" borderId="0" xfId="0" applyNumberFormat="1" applyFont="1" applyBorder="1" applyAlignment="1">
      <alignment horizontal="left"/>
    </xf>
    <xf numFmtId="165" fontId="0" fillId="6" borderId="14" xfId="0" applyNumberFormat="1" applyFont="1" applyFill="1" applyBorder="1" applyAlignment="1">
      <alignment horizontal="right"/>
    </xf>
    <xf numFmtId="194" fontId="0" fillId="6" borderId="14" xfId="0" applyNumberFormat="1" applyFont="1" applyFill="1" applyBorder="1" applyAlignment="1">
      <alignment horizontal="right"/>
    </xf>
    <xf numFmtId="165" fontId="7" fillId="6" borderId="22" xfId="0" applyNumberFormat="1" applyFont="1" applyFill="1" applyBorder="1" applyAlignment="1">
      <alignment horizontal="right"/>
    </xf>
    <xf numFmtId="192" fontId="54" fillId="0" borderId="0" xfId="0" applyNumberFormat="1" applyFont="1" applyAlignment="1">
      <alignment horizontal="left"/>
    </xf>
    <xf numFmtId="0" fontId="0" fillId="0" borderId="40" xfId="0" applyFont="1" applyBorder="1" applyAlignment="1">
      <alignment/>
    </xf>
    <xf numFmtId="192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192" fontId="0" fillId="5" borderId="11" xfId="42" applyNumberFormat="1" applyFont="1" applyFill="1" applyBorder="1" applyAlignment="1">
      <alignment/>
    </xf>
    <xf numFmtId="192" fontId="0" fillId="5" borderId="13" xfId="42" applyNumberFormat="1" applyFont="1" applyFill="1" applyBorder="1" applyAlignment="1">
      <alignment/>
    </xf>
    <xf numFmtId="0" fontId="0" fillId="7" borderId="37" xfId="0" applyFont="1" applyFill="1" applyBorder="1" applyAlignment="1">
      <alignment/>
    </xf>
    <xf numFmtId="0" fontId="0" fillId="7" borderId="38" xfId="0" applyFont="1" applyFill="1" applyBorder="1" applyAlignment="1">
      <alignment/>
    </xf>
    <xf numFmtId="0" fontId="0" fillId="7" borderId="41" xfId="0" applyFont="1" applyFill="1" applyBorder="1" applyAlignment="1">
      <alignment/>
    </xf>
    <xf numFmtId="0" fontId="7" fillId="5" borderId="42" xfId="0" applyFont="1" applyFill="1" applyBorder="1" applyAlignment="1">
      <alignment horizontal="center" wrapText="1"/>
    </xf>
    <xf numFmtId="0" fontId="7" fillId="5" borderId="43" xfId="0" applyFont="1" applyFill="1" applyBorder="1" applyAlignment="1">
      <alignment horizontal="center" wrapText="1"/>
    </xf>
    <xf numFmtId="0" fontId="7" fillId="5" borderId="44" xfId="0" applyFont="1" applyFill="1" applyBorder="1" applyAlignment="1">
      <alignment horizontal="center" wrapText="1"/>
    </xf>
    <xf numFmtId="165" fontId="0" fillId="2" borderId="11" xfId="42" applyNumberFormat="1" applyFont="1" applyFill="1" applyBorder="1" applyAlignment="1">
      <alignment/>
    </xf>
    <xf numFmtId="165" fontId="0" fillId="2" borderId="10" xfId="42" applyNumberFormat="1" applyFont="1" applyFill="1" applyBorder="1" applyAlignment="1">
      <alignment/>
    </xf>
    <xf numFmtId="165" fontId="0" fillId="2" borderId="12" xfId="42" applyNumberFormat="1" applyFont="1" applyFill="1" applyBorder="1" applyAlignment="1">
      <alignment/>
    </xf>
    <xf numFmtId="165" fontId="0" fillId="2" borderId="13" xfId="42" applyNumberFormat="1" applyFont="1" applyFill="1" applyBorder="1" applyAlignment="1">
      <alignment/>
    </xf>
    <xf numFmtId="165" fontId="0" fillId="2" borderId="14" xfId="42" applyNumberFormat="1" applyFont="1" applyFill="1" applyBorder="1" applyAlignment="1">
      <alignment/>
    </xf>
    <xf numFmtId="165" fontId="0" fillId="2" borderId="22" xfId="42" applyNumberFormat="1" applyFont="1" applyFill="1" applyBorder="1" applyAlignment="1">
      <alignment/>
    </xf>
    <xf numFmtId="165" fontId="0" fillId="5" borderId="10" xfId="42" applyNumberFormat="1" applyFont="1" applyFill="1" applyBorder="1" applyAlignment="1">
      <alignment/>
    </xf>
    <xf numFmtId="165" fontId="0" fillId="5" borderId="11" xfId="42" applyNumberFormat="1" applyFont="1" applyFill="1" applyBorder="1" applyAlignment="1">
      <alignment/>
    </xf>
    <xf numFmtId="165" fontId="0" fillId="5" borderId="12" xfId="42" applyNumberFormat="1" applyFont="1" applyFill="1" applyBorder="1" applyAlignment="1">
      <alignment/>
    </xf>
    <xf numFmtId="165" fontId="0" fillId="5" borderId="13" xfId="42" applyNumberFormat="1" applyFont="1" applyFill="1" applyBorder="1" applyAlignment="1">
      <alignment/>
    </xf>
    <xf numFmtId="165" fontId="0" fillId="5" borderId="14" xfId="42" applyNumberFormat="1" applyFont="1" applyFill="1" applyBorder="1" applyAlignment="1">
      <alignment/>
    </xf>
    <xf numFmtId="165" fontId="0" fillId="5" borderId="22" xfId="42" applyNumberFormat="1" applyFont="1" applyFill="1" applyBorder="1" applyAlignment="1">
      <alignment/>
    </xf>
    <xf numFmtId="165" fontId="0" fillId="5" borderId="10" xfId="44" applyNumberFormat="1" applyFont="1" applyFill="1" applyBorder="1" applyAlignment="1">
      <alignment/>
    </xf>
    <xf numFmtId="0" fontId="6" fillId="7" borderId="36" xfId="0" applyNumberFormat="1" applyFont="1" applyFill="1" applyBorder="1" applyAlignment="1">
      <alignment horizontal="center" wrapText="1"/>
    </xf>
    <xf numFmtId="165" fontId="0" fillId="5" borderId="14" xfId="44" applyNumberFormat="1" applyFont="1" applyFill="1" applyBorder="1" applyAlignment="1">
      <alignment/>
    </xf>
    <xf numFmtId="192" fontId="7" fillId="5" borderId="25" xfId="0" applyNumberFormat="1" applyFont="1" applyFill="1" applyBorder="1" applyAlignment="1">
      <alignment/>
    </xf>
    <xf numFmtId="192" fontId="0" fillId="0" borderId="0" xfId="42" applyNumberFormat="1" applyFont="1" applyFill="1" applyBorder="1" applyAlignment="1">
      <alignment horizontal="right"/>
    </xf>
    <xf numFmtId="192" fontId="0" fillId="0" borderId="0" xfId="42" applyNumberFormat="1" applyFont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164" fontId="0" fillId="0" borderId="0" xfId="42" applyNumberFormat="1" applyFont="1" applyBorder="1" applyAlignment="1">
      <alignment horizontal="right"/>
    </xf>
    <xf numFmtId="0" fontId="7" fillId="7" borderId="36" xfId="0" applyFont="1" applyFill="1" applyBorder="1" applyAlignment="1">
      <alignment horizontal="center" wrapText="1"/>
    </xf>
    <xf numFmtId="0" fontId="7" fillId="7" borderId="19" xfId="0" applyFont="1" applyFill="1" applyBorder="1" applyAlignment="1">
      <alignment horizontal="center" wrapText="1"/>
    </xf>
    <xf numFmtId="174" fontId="0" fillId="0" borderId="10" xfId="42" applyNumberFormat="1" applyFont="1" applyBorder="1" applyAlignment="1">
      <alignment horizontal="right"/>
    </xf>
    <xf numFmtId="174" fontId="0" fillId="0" borderId="10" xfId="42" applyNumberFormat="1" applyFont="1" applyFill="1" applyBorder="1" applyAlignment="1">
      <alignment horizontal="right"/>
    </xf>
    <xf numFmtId="174" fontId="0" fillId="0" borderId="10" xfId="42" applyNumberFormat="1" applyFont="1" applyBorder="1" applyAlignment="1">
      <alignment/>
    </xf>
    <xf numFmtId="0" fontId="7" fillId="7" borderId="45" xfId="0" applyFont="1" applyFill="1" applyBorder="1" applyAlignment="1">
      <alignment horizontal="center" wrapText="1"/>
    </xf>
    <xf numFmtId="0" fontId="0" fillId="7" borderId="46" xfId="0" applyFont="1" applyFill="1" applyBorder="1" applyAlignment="1">
      <alignment/>
    </xf>
    <xf numFmtId="0" fontId="0" fillId="7" borderId="47" xfId="0" applyFont="1" applyFill="1" applyBorder="1" applyAlignment="1">
      <alignment/>
    </xf>
    <xf numFmtId="0" fontId="0" fillId="7" borderId="48" xfId="0" applyFont="1" applyFill="1" applyBorder="1" applyAlignment="1">
      <alignment/>
    </xf>
    <xf numFmtId="174" fontId="0" fillId="5" borderId="49" xfId="42" applyNumberFormat="1" applyFont="1" applyFill="1" applyBorder="1" applyAlignment="1">
      <alignment/>
    </xf>
    <xf numFmtId="174" fontId="0" fillId="5" borderId="25" xfId="42" applyNumberFormat="1" applyFont="1" applyFill="1" applyBorder="1" applyAlignment="1">
      <alignment/>
    </xf>
    <xf numFmtId="174" fontId="0" fillId="5" borderId="50" xfId="42" applyNumberFormat="1" applyFont="1" applyFill="1" applyBorder="1" applyAlignment="1">
      <alignment/>
    </xf>
    <xf numFmtId="174" fontId="0" fillId="5" borderId="11" xfId="42" applyNumberFormat="1" applyFont="1" applyFill="1" applyBorder="1" applyAlignment="1">
      <alignment/>
    </xf>
    <xf numFmtId="174" fontId="0" fillId="5" borderId="10" xfId="42" applyNumberFormat="1" applyFont="1" applyFill="1" applyBorder="1" applyAlignment="1">
      <alignment/>
    </xf>
    <xf numFmtId="174" fontId="0" fillId="5" borderId="12" xfId="42" applyNumberFormat="1" applyFont="1" applyFill="1" applyBorder="1" applyAlignment="1">
      <alignment/>
    </xf>
    <xf numFmtId="174" fontId="0" fillId="5" borderId="14" xfId="42" applyNumberFormat="1" applyFont="1" applyFill="1" applyBorder="1" applyAlignment="1">
      <alignment/>
    </xf>
    <xf numFmtId="174" fontId="0" fillId="5" borderId="22" xfId="42" applyNumberFormat="1" applyFont="1" applyFill="1" applyBorder="1" applyAlignment="1">
      <alignment/>
    </xf>
    <xf numFmtId="174" fontId="0" fillId="5" borderId="13" xfId="42" applyNumberFormat="1" applyFont="1" applyFill="1" applyBorder="1" applyAlignment="1">
      <alignment/>
    </xf>
    <xf numFmtId="174" fontId="7" fillId="0" borderId="0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/>
    </xf>
    <xf numFmtId="165" fontId="7" fillId="0" borderId="14" xfId="0" applyNumberFormat="1" applyFont="1" applyBorder="1" applyAlignment="1">
      <alignment horizontal="right"/>
    </xf>
    <xf numFmtId="165" fontId="7" fillId="0" borderId="22" xfId="0" applyNumberFormat="1" applyFont="1" applyBorder="1" applyAlignment="1">
      <alignment horizontal="right"/>
    </xf>
    <xf numFmtId="0" fontId="0" fillId="0" borderId="51" xfId="0" applyFont="1" applyBorder="1" applyAlignment="1">
      <alignment/>
    </xf>
    <xf numFmtId="165" fontId="0" fillId="0" borderId="24" xfId="0" applyNumberFormat="1" applyFont="1" applyBorder="1" applyAlignment="1">
      <alignment horizontal="right"/>
    </xf>
    <xf numFmtId="174" fontId="0" fillId="0" borderId="11" xfId="0" applyNumberFormat="1" applyFont="1" applyBorder="1" applyAlignment="1">
      <alignment horizontal="right"/>
    </xf>
    <xf numFmtId="174" fontId="0" fillId="0" borderId="12" xfId="0" applyNumberFormat="1" applyFont="1" applyBorder="1" applyAlignment="1">
      <alignment horizontal="right"/>
    </xf>
    <xf numFmtId="174" fontId="7" fillId="0" borderId="13" xfId="0" applyNumberFormat="1" applyFont="1" applyBorder="1" applyAlignment="1">
      <alignment horizontal="right"/>
    </xf>
    <xf numFmtId="174" fontId="7" fillId="0" borderId="22" xfId="0" applyNumberFormat="1" applyFont="1" applyBorder="1" applyAlignment="1">
      <alignment horizontal="right"/>
    </xf>
    <xf numFmtId="44" fontId="7" fillId="0" borderId="21" xfId="44" applyFont="1" applyBorder="1" applyAlignment="1">
      <alignment horizontal="center" wrapText="1"/>
    </xf>
    <xf numFmtId="165" fontId="0" fillId="0" borderId="11" xfId="0" applyNumberFormat="1" applyFont="1" applyBorder="1" applyAlignment="1">
      <alignment horizontal="right"/>
    </xf>
    <xf numFmtId="165" fontId="7" fillId="0" borderId="13" xfId="0" applyNumberFormat="1" applyFont="1" applyBorder="1" applyAlignment="1">
      <alignment horizontal="right"/>
    </xf>
    <xf numFmtId="165" fontId="0" fillId="0" borderId="13" xfId="0" applyNumberFormat="1" applyBorder="1" applyAlignment="1">
      <alignment/>
    </xf>
    <xf numFmtId="165" fontId="0" fillId="0" borderId="22" xfId="0" applyNumberFormat="1" applyFont="1" applyBorder="1" applyAlignment="1">
      <alignment horizontal="right"/>
    </xf>
    <xf numFmtId="0" fontId="12" fillId="4" borderId="19" xfId="0" applyFont="1" applyFill="1" applyBorder="1" applyAlignment="1">
      <alignment/>
    </xf>
    <xf numFmtId="0" fontId="7" fillId="0" borderId="52" xfId="0" applyFont="1" applyBorder="1" applyAlignment="1">
      <alignment horizontal="center" wrapText="1"/>
    </xf>
    <xf numFmtId="165" fontId="0" fillId="0" borderId="53" xfId="0" applyNumberFormat="1" applyFont="1" applyBorder="1" applyAlignment="1">
      <alignment horizontal="right"/>
    </xf>
    <xf numFmtId="0" fontId="0" fillId="0" borderId="37" xfId="0" applyFont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174" fontId="0" fillId="0" borderId="11" xfId="42" applyNumberFormat="1" applyFont="1" applyBorder="1" applyAlignment="1">
      <alignment horizontal="right"/>
    </xf>
    <xf numFmtId="174" fontId="0" fillId="0" borderId="12" xfId="0" applyNumberFormat="1" applyFont="1" applyFill="1" applyBorder="1" applyAlignment="1">
      <alignment horizontal="right"/>
    </xf>
    <xf numFmtId="174" fontId="0" fillId="0" borderId="13" xfId="42" applyNumberFormat="1" applyFont="1" applyFill="1" applyBorder="1" applyAlignment="1">
      <alignment horizontal="right"/>
    </xf>
    <xf numFmtId="174" fontId="0" fillId="0" borderId="14" xfId="42" applyNumberFormat="1" applyFont="1" applyBorder="1" applyAlignment="1">
      <alignment/>
    </xf>
    <xf numFmtId="174" fontId="0" fillId="0" borderId="14" xfId="42" applyNumberFormat="1" applyFont="1" applyFill="1" applyBorder="1" applyAlignment="1">
      <alignment horizontal="right"/>
    </xf>
    <xf numFmtId="174" fontId="0" fillId="0" borderId="22" xfId="0" applyNumberFormat="1" applyFont="1" applyFill="1" applyBorder="1" applyAlignment="1">
      <alignment horizontal="right"/>
    </xf>
    <xf numFmtId="174" fontId="0" fillId="0" borderId="49" xfId="42" applyNumberFormat="1" applyFont="1" applyBorder="1" applyAlignment="1">
      <alignment horizontal="right"/>
    </xf>
    <xf numFmtId="174" fontId="0" fillId="0" borderId="25" xfId="42" applyNumberFormat="1" applyFont="1" applyBorder="1" applyAlignment="1">
      <alignment horizontal="right"/>
    </xf>
    <xf numFmtId="174" fontId="0" fillId="0" borderId="25" xfId="42" applyNumberFormat="1" applyFont="1" applyFill="1" applyBorder="1" applyAlignment="1">
      <alignment horizontal="right"/>
    </xf>
    <xf numFmtId="174" fontId="0" fillId="0" borderId="50" xfId="0" applyNumberFormat="1" applyFont="1" applyFill="1" applyBorder="1" applyAlignment="1">
      <alignment horizontal="right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174" fontId="0" fillId="0" borderId="17" xfId="42" applyNumberFormat="1" applyFont="1" applyFill="1" applyBorder="1" applyAlignment="1">
      <alignment horizontal="right"/>
    </xf>
    <xf numFmtId="174" fontId="0" fillId="0" borderId="18" xfId="42" applyNumberFormat="1" applyFont="1" applyBorder="1" applyAlignment="1">
      <alignment horizontal="right"/>
    </xf>
    <xf numFmtId="174" fontId="0" fillId="0" borderId="18" xfId="42" applyNumberFormat="1" applyFont="1" applyFill="1" applyBorder="1" applyAlignment="1">
      <alignment horizontal="right"/>
    </xf>
    <xf numFmtId="174" fontId="0" fillId="0" borderId="21" xfId="0" applyNumberFormat="1" applyFont="1" applyFill="1" applyBorder="1" applyAlignment="1">
      <alignment horizontal="right"/>
    </xf>
    <xf numFmtId="174" fontId="0" fillId="0" borderId="11" xfId="42" applyNumberFormat="1" applyFont="1" applyBorder="1" applyAlignment="1">
      <alignment/>
    </xf>
    <xf numFmtId="174" fontId="0" fillId="0" borderId="11" xfId="42" applyNumberFormat="1" applyFont="1" applyFill="1" applyBorder="1" applyAlignment="1">
      <alignment horizontal="right"/>
    </xf>
    <xf numFmtId="174" fontId="0" fillId="0" borderId="17" xfId="42" applyNumberFormat="1" applyFont="1" applyBorder="1" applyAlignment="1">
      <alignment horizontal="right"/>
    </xf>
    <xf numFmtId="174" fontId="0" fillId="0" borderId="13" xfId="42" applyNumberFormat="1" applyFont="1" applyBorder="1" applyAlignment="1">
      <alignment horizontal="right"/>
    </xf>
    <xf numFmtId="174" fontId="0" fillId="0" borderId="14" xfId="42" applyNumberFormat="1" applyFont="1" applyBorder="1" applyAlignment="1">
      <alignment horizontal="right"/>
    </xf>
    <xf numFmtId="0" fontId="7" fillId="0" borderId="44" xfId="0" applyFont="1" applyFill="1" applyBorder="1" applyAlignment="1">
      <alignment horizontal="center" wrapText="1"/>
    </xf>
    <xf numFmtId="174" fontId="0" fillId="0" borderId="17" xfId="0" applyNumberFormat="1" applyFont="1" applyBorder="1" applyAlignment="1">
      <alignment/>
    </xf>
    <xf numFmtId="174" fontId="0" fillId="0" borderId="18" xfId="0" applyNumberFormat="1" applyFont="1" applyBorder="1" applyAlignment="1">
      <alignment/>
    </xf>
    <xf numFmtId="174" fontId="0" fillId="0" borderId="21" xfId="0" applyNumberFormat="1" applyFont="1" applyFill="1" applyBorder="1" applyAlignment="1">
      <alignment/>
    </xf>
    <xf numFmtId="174" fontId="0" fillId="0" borderId="11" xfId="0" applyNumberFormat="1" applyFont="1" applyBorder="1" applyAlignment="1">
      <alignment/>
    </xf>
    <xf numFmtId="174" fontId="0" fillId="0" borderId="12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4" fontId="0" fillId="0" borderId="22" xfId="0" applyNumberFormat="1" applyFont="1" applyFill="1" applyBorder="1" applyAlignment="1">
      <alignment/>
    </xf>
    <xf numFmtId="0" fontId="0" fillId="0" borderId="41" xfId="0" applyFont="1" applyBorder="1" applyAlignment="1">
      <alignment horizontal="left"/>
    </xf>
    <xf numFmtId="165" fontId="0" fillId="0" borderId="54" xfId="0" applyNumberFormat="1" applyFont="1" applyBorder="1" applyAlignment="1">
      <alignment horizontal="right"/>
    </xf>
    <xf numFmtId="165" fontId="0" fillId="0" borderId="25" xfId="0" applyNumberFormat="1" applyFont="1" applyBorder="1" applyAlignment="1">
      <alignment horizontal="right"/>
    </xf>
    <xf numFmtId="165" fontId="0" fillId="7" borderId="25" xfId="0" applyNumberFormat="1" applyFont="1" applyFill="1" applyBorder="1" applyAlignment="1">
      <alignment horizontal="right"/>
    </xf>
    <xf numFmtId="165" fontId="0" fillId="7" borderId="50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7" borderId="43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 wrapText="1"/>
    </xf>
    <xf numFmtId="0" fontId="0" fillId="0" borderId="4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/>
    </xf>
    <xf numFmtId="174" fontId="0" fillId="0" borderId="17" xfId="0" applyNumberFormat="1" applyFont="1" applyBorder="1" applyAlignment="1">
      <alignment horizontal="right"/>
    </xf>
    <xf numFmtId="174" fontId="0" fillId="0" borderId="18" xfId="0" applyNumberFormat="1" applyFont="1" applyBorder="1" applyAlignment="1">
      <alignment horizontal="right"/>
    </xf>
    <xf numFmtId="174" fontId="0" fillId="0" borderId="21" xfId="0" applyNumberFormat="1" applyFont="1" applyBorder="1" applyAlignment="1">
      <alignment/>
    </xf>
    <xf numFmtId="174" fontId="0" fillId="0" borderId="12" xfId="0" applyNumberFormat="1" applyFont="1" applyBorder="1" applyAlignment="1">
      <alignment/>
    </xf>
    <xf numFmtId="174" fontId="7" fillId="0" borderId="22" xfId="0" applyNumberFormat="1" applyFont="1" applyBorder="1" applyAlignment="1">
      <alignment/>
    </xf>
    <xf numFmtId="164" fontId="0" fillId="0" borderId="17" xfId="42" applyNumberFormat="1" applyFont="1" applyBorder="1" applyAlignment="1">
      <alignment horizontal="right"/>
    </xf>
    <xf numFmtId="164" fontId="0" fillId="0" borderId="18" xfId="42" applyNumberFormat="1" applyFont="1" applyBorder="1" applyAlignment="1">
      <alignment horizontal="right"/>
    </xf>
    <xf numFmtId="164" fontId="0" fillId="0" borderId="11" xfId="42" applyNumberFormat="1" applyFont="1" applyBorder="1" applyAlignment="1">
      <alignment horizontal="right"/>
    </xf>
    <xf numFmtId="192" fontId="0" fillId="0" borderId="11" xfId="42" applyNumberFormat="1" applyFont="1" applyBorder="1" applyAlignment="1">
      <alignment horizontal="right"/>
    </xf>
    <xf numFmtId="165" fontId="0" fillId="0" borderId="11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65" fontId="0" fillId="0" borderId="49" xfId="0" applyNumberFormat="1" applyFont="1" applyBorder="1" applyAlignment="1">
      <alignment/>
    </xf>
    <xf numFmtId="165" fontId="0" fillId="0" borderId="25" xfId="0" applyNumberFormat="1" applyFont="1" applyBorder="1" applyAlignment="1">
      <alignment/>
    </xf>
    <xf numFmtId="165" fontId="0" fillId="0" borderId="50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0" fontId="0" fillId="0" borderId="56" xfId="0" applyFont="1" applyBorder="1" applyAlignment="1">
      <alignment/>
    </xf>
    <xf numFmtId="174" fontId="0" fillId="6" borderId="11" xfId="42" applyNumberFormat="1" applyFont="1" applyFill="1" applyBorder="1" applyAlignment="1">
      <alignment/>
    </xf>
    <xf numFmtId="174" fontId="0" fillId="6" borderId="10" xfId="42" applyNumberFormat="1" applyFont="1" applyFill="1" applyBorder="1" applyAlignment="1">
      <alignment/>
    </xf>
    <xf numFmtId="174" fontId="0" fillId="6" borderId="12" xfId="42" applyNumberFormat="1" applyFont="1" applyFill="1" applyBorder="1" applyAlignment="1">
      <alignment/>
    </xf>
    <xf numFmtId="174" fontId="0" fillId="6" borderId="13" xfId="42" applyNumberFormat="1" applyFont="1" applyFill="1" applyBorder="1" applyAlignment="1">
      <alignment/>
    </xf>
    <xf numFmtId="174" fontId="0" fillId="6" borderId="14" xfId="42" applyNumberFormat="1" applyFont="1" applyFill="1" applyBorder="1" applyAlignment="1">
      <alignment/>
    </xf>
    <xf numFmtId="174" fontId="0" fillId="6" borderId="22" xfId="42" applyNumberFormat="1" applyFont="1" applyFill="1" applyBorder="1" applyAlignment="1">
      <alignment/>
    </xf>
    <xf numFmtId="192" fontId="0" fillId="6" borderId="11" xfId="42" applyNumberFormat="1" applyFont="1" applyFill="1" applyBorder="1" applyAlignment="1">
      <alignment/>
    </xf>
    <xf numFmtId="165" fontId="0" fillId="6" borderId="10" xfId="44" applyNumberFormat="1" applyFont="1" applyFill="1" applyBorder="1" applyAlignment="1">
      <alignment/>
    </xf>
    <xf numFmtId="192" fontId="0" fillId="6" borderId="13" xfId="42" applyNumberFormat="1" applyFont="1" applyFill="1" applyBorder="1" applyAlignment="1">
      <alignment/>
    </xf>
    <xf numFmtId="165" fontId="0" fillId="6" borderId="14" xfId="44" applyNumberFormat="1" applyFont="1" applyFill="1" applyBorder="1" applyAlignment="1">
      <alignment/>
    </xf>
    <xf numFmtId="192" fontId="7" fillId="6" borderId="25" xfId="0" applyNumberFormat="1" applyFont="1" applyFill="1" applyBorder="1" applyAlignment="1">
      <alignment/>
    </xf>
    <xf numFmtId="201" fontId="0" fillId="0" borderId="0" xfId="42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43" fontId="0" fillId="0" borderId="0" xfId="0" applyNumberFormat="1" applyAlignment="1">
      <alignment/>
    </xf>
    <xf numFmtId="192" fontId="7" fillId="0" borderId="0" xfId="42" applyNumberFormat="1" applyFont="1" applyFill="1" applyBorder="1" applyAlignment="1">
      <alignment/>
    </xf>
    <xf numFmtId="192" fontId="7" fillId="0" borderId="0" xfId="42" applyNumberFormat="1" applyFont="1" applyFill="1" applyBorder="1" applyAlignment="1">
      <alignment/>
    </xf>
    <xf numFmtId="192" fontId="7" fillId="0" borderId="0" xfId="42" applyNumberFormat="1" applyFont="1" applyBorder="1" applyAlignment="1">
      <alignment horizontal="left" indent="2"/>
    </xf>
    <xf numFmtId="44" fontId="0" fillId="0" borderId="0" xfId="0" applyNumberFormat="1" applyAlignment="1">
      <alignment/>
    </xf>
    <xf numFmtId="4" fontId="0" fillId="0" borderId="0" xfId="42" applyNumberFormat="1" applyFont="1" applyAlignment="1">
      <alignment/>
    </xf>
    <xf numFmtId="174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19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right"/>
    </xf>
    <xf numFmtId="165" fontId="54" fillId="0" borderId="0" xfId="0" applyNumberFormat="1" applyFont="1" applyFill="1" applyBorder="1" applyAlignment="1">
      <alignment horizontal="left" vertical="top" wrapText="1"/>
    </xf>
    <xf numFmtId="0" fontId="54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44" fontId="7" fillId="0" borderId="0" xfId="44" applyFont="1" applyFill="1" applyBorder="1" applyAlignment="1">
      <alignment/>
    </xf>
    <xf numFmtId="0" fontId="7" fillId="0" borderId="29" xfId="0" applyNumberFormat="1" applyFont="1" applyFill="1" applyBorder="1" applyAlignment="1">
      <alignment horizontal="center" wrapText="1"/>
    </xf>
    <xf numFmtId="0" fontId="7" fillId="0" borderId="30" xfId="0" applyNumberFormat="1" applyFont="1" applyBorder="1" applyAlignment="1">
      <alignment horizontal="center" wrapText="1"/>
    </xf>
    <xf numFmtId="0" fontId="7" fillId="5" borderId="31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92" fontId="0" fillId="0" borderId="18" xfId="42" applyNumberFormat="1" applyFont="1" applyFill="1" applyBorder="1" applyAlignment="1">
      <alignment/>
    </xf>
    <xf numFmtId="170" fontId="0" fillId="0" borderId="18" xfId="0" applyNumberFormat="1" applyFont="1" applyFill="1" applyBorder="1" applyAlignment="1">
      <alignment/>
    </xf>
    <xf numFmtId="192" fontId="0" fillId="0" borderId="18" xfId="42" applyNumberFormat="1" applyFont="1" applyFill="1" applyBorder="1" applyAlignment="1">
      <alignment/>
    </xf>
    <xf numFmtId="174" fontId="0" fillId="0" borderId="52" xfId="0" applyNumberFormat="1" applyFont="1" applyFill="1" applyBorder="1" applyAlignment="1">
      <alignment/>
    </xf>
    <xf numFmtId="170" fontId="0" fillId="0" borderId="18" xfId="0" applyNumberFormat="1" applyFont="1" applyBorder="1" applyAlignment="1">
      <alignment/>
    </xf>
    <xf numFmtId="174" fontId="0" fillId="0" borderId="53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 horizontal="left" vertical="top" wrapText="1"/>
    </xf>
    <xf numFmtId="192" fontId="7" fillId="0" borderId="19" xfId="42" applyNumberFormat="1" applyFont="1" applyBorder="1" applyAlignment="1">
      <alignment horizontal="left" indent="2"/>
    </xf>
    <xf numFmtId="0" fontId="7" fillId="0" borderId="36" xfId="0" applyFont="1" applyFill="1" applyBorder="1" applyAlignment="1">
      <alignment horizontal="center" wrapText="1"/>
    </xf>
    <xf numFmtId="0" fontId="0" fillId="0" borderId="58" xfId="0" applyFont="1" applyFill="1" applyBorder="1" applyAlignment="1">
      <alignment vertical="center"/>
    </xf>
    <xf numFmtId="192" fontId="0" fillId="5" borderId="10" xfId="42" applyNumberFormat="1" applyFont="1" applyFill="1" applyBorder="1" applyAlignment="1">
      <alignment/>
    </xf>
    <xf numFmtId="0" fontId="6" fillId="7" borderId="17" xfId="0" applyNumberFormat="1" applyFont="1" applyFill="1" applyBorder="1" applyAlignment="1">
      <alignment horizontal="center" wrapText="1"/>
    </xf>
    <xf numFmtId="0" fontId="0" fillId="7" borderId="11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192" fontId="0" fillId="5" borderId="14" xfId="42" applyNumberFormat="1" applyFont="1" applyFill="1" applyBorder="1" applyAlignment="1">
      <alignment/>
    </xf>
    <xf numFmtId="192" fontId="7" fillId="5" borderId="19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16" fillId="0" borderId="0" xfId="0" applyFont="1" applyAlignment="1">
      <alignment/>
    </xf>
    <xf numFmtId="192" fontId="0" fillId="0" borderId="14" xfId="42" applyNumberFormat="1" applyFont="1" applyFill="1" applyBorder="1" applyAlignment="1">
      <alignment/>
    </xf>
    <xf numFmtId="164" fontId="0" fillId="0" borderId="14" xfId="42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165" fontId="10" fillId="0" borderId="26" xfId="0" applyNumberFormat="1" applyFont="1" applyBorder="1" applyAlignment="1">
      <alignment horizontal="center" wrapText="1"/>
    </xf>
    <xf numFmtId="165" fontId="10" fillId="0" borderId="16" xfId="0" applyNumberFormat="1" applyFont="1" applyBorder="1" applyAlignment="1">
      <alignment horizontal="center" vertical="center"/>
    </xf>
    <xf numFmtId="165" fontId="10" fillId="0" borderId="59" xfId="0" applyNumberFormat="1" applyFont="1" applyBorder="1" applyAlignment="1">
      <alignment horizontal="center" wrapText="1"/>
    </xf>
    <xf numFmtId="165" fontId="0" fillId="0" borderId="16" xfId="0" applyNumberFormat="1" applyFont="1" applyBorder="1" applyAlignment="1">
      <alignment horizontal="center" vertical="center"/>
    </xf>
    <xf numFmtId="165" fontId="10" fillId="0" borderId="16" xfId="44" applyNumberFormat="1" applyFont="1" applyBorder="1" applyAlignment="1">
      <alignment horizontal="center" vertical="center"/>
    </xf>
    <xf numFmtId="165" fontId="0" fillId="0" borderId="27" xfId="0" applyNumberFormat="1" applyFont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wrapText="1"/>
    </xf>
    <xf numFmtId="165" fontId="0" fillId="0" borderId="12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64" fontId="0" fillId="0" borderId="16" xfId="0" applyNumberFormat="1" applyFont="1" applyBorder="1" applyAlignment="1">
      <alignment horizontal="right"/>
    </xf>
    <xf numFmtId="165" fontId="0" fillId="0" borderId="16" xfId="44" applyNumberFormat="1" applyFont="1" applyBorder="1" applyAlignment="1">
      <alignment horizontal="right"/>
    </xf>
    <xf numFmtId="174" fontId="0" fillId="0" borderId="16" xfId="0" applyNumberFormat="1" applyFont="1" applyBorder="1" applyAlignment="1">
      <alignment horizontal="right"/>
    </xf>
    <xf numFmtId="165" fontId="0" fillId="0" borderId="16" xfId="0" applyNumberFormat="1" applyFont="1" applyBorder="1" applyAlignment="1">
      <alignment horizontal="right"/>
    </xf>
    <xf numFmtId="165" fontId="0" fillId="0" borderId="27" xfId="0" applyNumberFormat="1" applyFont="1" applyBorder="1" applyAlignment="1">
      <alignment horizontal="right"/>
    </xf>
    <xf numFmtId="164" fontId="7" fillId="0" borderId="43" xfId="0" applyNumberFormat="1" applyFont="1" applyBorder="1" applyAlignment="1">
      <alignment horizontal="right"/>
    </xf>
    <xf numFmtId="165" fontId="7" fillId="0" borderId="43" xfId="44" applyNumberFormat="1" applyFont="1" applyBorder="1" applyAlignment="1">
      <alignment horizontal="right"/>
    </xf>
    <xf numFmtId="174" fontId="0" fillId="0" borderId="43" xfId="0" applyNumberFormat="1" applyFont="1" applyBorder="1" applyAlignment="1">
      <alignment horizontal="right"/>
    </xf>
    <xf numFmtId="44" fontId="7" fillId="0" borderId="43" xfId="44" applyFont="1" applyBorder="1" applyAlignment="1">
      <alignment horizontal="right"/>
    </xf>
    <xf numFmtId="44" fontId="7" fillId="0" borderId="44" xfId="44" applyFont="1" applyBorder="1" applyAlignment="1">
      <alignment horizontal="right"/>
    </xf>
    <xf numFmtId="0" fontId="7" fillId="0" borderId="20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 indent="1"/>
    </xf>
    <xf numFmtId="0" fontId="7" fillId="7" borderId="40" xfId="0" applyFont="1" applyFill="1" applyBorder="1" applyAlignment="1">
      <alignment horizontal="left" wrapText="1"/>
    </xf>
    <xf numFmtId="0" fontId="7" fillId="0" borderId="40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left" wrapText="1"/>
    </xf>
    <xf numFmtId="0" fontId="7" fillId="7" borderId="51" xfId="0" applyFont="1" applyFill="1" applyBorder="1" applyAlignment="1">
      <alignment horizontal="left" wrapText="1"/>
    </xf>
    <xf numFmtId="0" fontId="0" fillId="0" borderId="26" xfId="0" applyFont="1" applyBorder="1" applyAlignment="1">
      <alignment/>
    </xf>
    <xf numFmtId="10" fontId="0" fillId="0" borderId="16" xfId="59" applyNumberFormat="1" applyFont="1" applyFill="1" applyBorder="1" applyAlignment="1">
      <alignment horizontal="right"/>
    </xf>
    <xf numFmtId="10" fontId="0" fillId="0" borderId="27" xfId="59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10" fontId="7" fillId="0" borderId="43" xfId="0" applyNumberFormat="1" applyFont="1" applyBorder="1" applyAlignment="1">
      <alignment horizontal="right"/>
    </xf>
    <xf numFmtId="10" fontId="7" fillId="0" borderId="44" xfId="0" applyNumberFormat="1" applyFont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5" fontId="0" fillId="0" borderId="16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0" fontId="7" fillId="0" borderId="42" xfId="0" applyFont="1" applyBorder="1" applyAlignment="1">
      <alignment horizontal="center"/>
    </xf>
    <xf numFmtId="164" fontId="7" fillId="0" borderId="43" xfId="0" applyNumberFormat="1" applyFont="1" applyFill="1" applyBorder="1" applyAlignment="1">
      <alignment horizontal="right"/>
    </xf>
    <xf numFmtId="165" fontId="7" fillId="0" borderId="43" xfId="0" applyNumberFormat="1" applyFont="1" applyBorder="1" applyAlignment="1">
      <alignment/>
    </xf>
    <xf numFmtId="165" fontId="7" fillId="0" borderId="44" xfId="0" applyNumberFormat="1" applyFont="1" applyBorder="1" applyAlignment="1">
      <alignment/>
    </xf>
    <xf numFmtId="192" fontId="0" fillId="33" borderId="10" xfId="42" applyNumberFormat="1" applyFont="1" applyFill="1" applyBorder="1" applyAlignment="1">
      <alignment/>
    </xf>
    <xf numFmtId="165" fontId="0" fillId="33" borderId="10" xfId="42" applyNumberFormat="1" applyFont="1" applyFill="1" applyBorder="1" applyAlignment="1">
      <alignment/>
    </xf>
    <xf numFmtId="165" fontId="0" fillId="33" borderId="12" xfId="42" applyNumberFormat="1" applyFont="1" applyFill="1" applyBorder="1" applyAlignment="1">
      <alignment/>
    </xf>
    <xf numFmtId="192" fontId="0" fillId="33" borderId="14" xfId="42" applyNumberFormat="1" applyFont="1" applyFill="1" applyBorder="1" applyAlignment="1">
      <alignment/>
    </xf>
    <xf numFmtId="165" fontId="0" fillId="33" borderId="14" xfId="42" applyNumberFormat="1" applyFont="1" applyFill="1" applyBorder="1" applyAlignment="1">
      <alignment/>
    </xf>
    <xf numFmtId="165" fontId="0" fillId="33" borderId="22" xfId="42" applyNumberFormat="1" applyFont="1" applyFill="1" applyBorder="1" applyAlignment="1">
      <alignment/>
    </xf>
    <xf numFmtId="192" fontId="7" fillId="33" borderId="19" xfId="0" applyNumberFormat="1" applyFont="1" applyFill="1" applyBorder="1" applyAlignment="1">
      <alignment/>
    </xf>
    <xf numFmtId="10" fontId="0" fillId="0" borderId="0" xfId="59" applyNumberFormat="1" applyFont="1" applyBorder="1" applyAlignment="1">
      <alignment/>
    </xf>
    <xf numFmtId="10" fontId="0" fillId="0" borderId="10" xfId="59" applyNumberFormat="1" applyFont="1" applyBorder="1" applyAlignment="1">
      <alignment/>
    </xf>
    <xf numFmtId="0" fontId="0" fillId="0" borderId="28" xfId="0" applyFont="1" applyFill="1" applyBorder="1" applyAlignment="1">
      <alignment/>
    </xf>
    <xf numFmtId="0" fontId="7" fillId="5" borderId="29" xfId="0" applyFont="1" applyFill="1" applyBorder="1" applyAlignment="1">
      <alignment horizontal="center" wrapText="1"/>
    </xf>
    <xf numFmtId="0" fontId="7" fillId="5" borderId="30" xfId="0" applyFont="1" applyFill="1" applyBorder="1" applyAlignment="1">
      <alignment horizontal="center" wrapText="1"/>
    </xf>
    <xf numFmtId="0" fontId="7" fillId="5" borderId="31" xfId="0" applyFont="1" applyFill="1" applyBorder="1" applyAlignment="1">
      <alignment horizontal="center" wrapText="1"/>
    </xf>
    <xf numFmtId="174" fontId="0" fillId="6" borderId="49" xfId="42" applyNumberFormat="1" applyFont="1" applyFill="1" applyBorder="1" applyAlignment="1">
      <alignment/>
    </xf>
    <xf numFmtId="174" fontId="0" fillId="6" borderId="25" xfId="42" applyNumberFormat="1" applyFont="1" applyFill="1" applyBorder="1" applyAlignment="1">
      <alignment/>
    </xf>
    <xf numFmtId="174" fontId="0" fillId="6" borderId="50" xfId="42" applyNumberFormat="1" applyFont="1" applyFill="1" applyBorder="1" applyAlignment="1">
      <alignment/>
    </xf>
    <xf numFmtId="0" fontId="7" fillId="6" borderId="42" xfId="0" applyFont="1" applyFill="1" applyBorder="1" applyAlignment="1">
      <alignment horizontal="center" wrapText="1"/>
    </xf>
    <xf numFmtId="0" fontId="7" fillId="6" borderId="43" xfId="0" applyFont="1" applyFill="1" applyBorder="1" applyAlignment="1">
      <alignment horizontal="center" wrapText="1"/>
    </xf>
    <xf numFmtId="0" fontId="7" fillId="6" borderId="44" xfId="0" applyFont="1" applyFill="1" applyBorder="1" applyAlignment="1">
      <alignment horizontal="center" wrapText="1"/>
    </xf>
    <xf numFmtId="165" fontId="0" fillId="2" borderId="49" xfId="42" applyNumberFormat="1" applyFont="1" applyFill="1" applyBorder="1" applyAlignment="1">
      <alignment/>
    </xf>
    <xf numFmtId="165" fontId="0" fillId="2" borderId="25" xfId="42" applyNumberFormat="1" applyFont="1" applyFill="1" applyBorder="1" applyAlignment="1">
      <alignment/>
    </xf>
    <xf numFmtId="165" fontId="0" fillId="2" borderId="50" xfId="42" applyNumberFormat="1" applyFont="1" applyFill="1" applyBorder="1" applyAlignment="1">
      <alignment/>
    </xf>
    <xf numFmtId="165" fontId="0" fillId="5" borderId="49" xfId="42" applyNumberFormat="1" applyFont="1" applyFill="1" applyBorder="1" applyAlignment="1">
      <alignment/>
    </xf>
    <xf numFmtId="165" fontId="0" fillId="5" borderId="25" xfId="42" applyNumberFormat="1" applyFont="1" applyFill="1" applyBorder="1" applyAlignment="1">
      <alignment/>
    </xf>
    <xf numFmtId="165" fontId="0" fillId="5" borderId="50" xfId="42" applyNumberFormat="1" applyFont="1" applyFill="1" applyBorder="1" applyAlignment="1">
      <alignment/>
    </xf>
    <xf numFmtId="0" fontId="7" fillId="2" borderId="42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192" fontId="0" fillId="5" borderId="17" xfId="42" applyNumberFormat="1" applyFont="1" applyFill="1" applyBorder="1" applyAlignment="1">
      <alignment/>
    </xf>
    <xf numFmtId="165" fontId="0" fillId="5" borderId="18" xfId="44" applyNumberFormat="1" applyFont="1" applyFill="1" applyBorder="1" applyAlignment="1">
      <alignment/>
    </xf>
    <xf numFmtId="0" fontId="7" fillId="6" borderId="29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6" borderId="31" xfId="0" applyFont="1" applyFill="1" applyBorder="1" applyAlignment="1">
      <alignment horizontal="center" wrapText="1"/>
    </xf>
    <xf numFmtId="192" fontId="0" fillId="6" borderId="17" xfId="42" applyNumberFormat="1" applyFont="1" applyFill="1" applyBorder="1" applyAlignment="1">
      <alignment/>
    </xf>
    <xf numFmtId="165" fontId="0" fillId="6" borderId="18" xfId="44" applyNumberFormat="1" applyFont="1" applyFill="1" applyBorder="1" applyAlignment="1">
      <alignment/>
    </xf>
    <xf numFmtId="0" fontId="7" fillId="4" borderId="42" xfId="0" applyFont="1" applyFill="1" applyBorder="1" applyAlignment="1">
      <alignment horizontal="center" wrapText="1"/>
    </xf>
    <xf numFmtId="0" fontId="7" fillId="4" borderId="43" xfId="0" applyFont="1" applyFill="1" applyBorder="1" applyAlignment="1">
      <alignment horizontal="center" wrapText="1"/>
    </xf>
    <xf numFmtId="0" fontId="7" fillId="4" borderId="44" xfId="0" applyFont="1" applyFill="1" applyBorder="1" applyAlignment="1">
      <alignment horizontal="center" wrapText="1"/>
    </xf>
    <xf numFmtId="165" fontId="0" fillId="4" borderId="49" xfId="42" applyNumberFormat="1" applyFont="1" applyFill="1" applyBorder="1" applyAlignment="1">
      <alignment/>
    </xf>
    <xf numFmtId="165" fontId="0" fillId="4" borderId="25" xfId="42" applyNumberFormat="1" applyFont="1" applyFill="1" applyBorder="1" applyAlignment="1">
      <alignment/>
    </xf>
    <xf numFmtId="165" fontId="0" fillId="4" borderId="50" xfId="42" applyNumberFormat="1" applyFont="1" applyFill="1" applyBorder="1" applyAlignment="1">
      <alignment/>
    </xf>
    <xf numFmtId="165" fontId="0" fillId="4" borderId="11" xfId="42" applyNumberFormat="1" applyFont="1" applyFill="1" applyBorder="1" applyAlignment="1">
      <alignment/>
    </xf>
    <xf numFmtId="165" fontId="0" fillId="4" borderId="10" xfId="42" applyNumberFormat="1" applyFont="1" applyFill="1" applyBorder="1" applyAlignment="1">
      <alignment/>
    </xf>
    <xf numFmtId="165" fontId="0" fillId="4" borderId="12" xfId="42" applyNumberFormat="1" applyFont="1" applyFill="1" applyBorder="1" applyAlignment="1">
      <alignment/>
    </xf>
    <xf numFmtId="165" fontId="0" fillId="4" borderId="13" xfId="42" applyNumberFormat="1" applyFont="1" applyFill="1" applyBorder="1" applyAlignment="1">
      <alignment/>
    </xf>
    <xf numFmtId="165" fontId="0" fillId="4" borderId="14" xfId="42" applyNumberFormat="1" applyFont="1" applyFill="1" applyBorder="1" applyAlignment="1">
      <alignment/>
    </xf>
    <xf numFmtId="165" fontId="0" fillId="4" borderId="22" xfId="42" applyNumberFormat="1" applyFont="1" applyFill="1" applyBorder="1" applyAlignment="1">
      <alignment/>
    </xf>
    <xf numFmtId="174" fontId="0" fillId="4" borderId="17" xfId="42" applyNumberFormat="1" applyFont="1" applyFill="1" applyBorder="1" applyAlignment="1">
      <alignment/>
    </xf>
    <xf numFmtId="174" fontId="0" fillId="4" borderId="18" xfId="42" applyNumberFormat="1" applyFont="1" applyFill="1" applyBorder="1" applyAlignment="1">
      <alignment/>
    </xf>
    <xf numFmtId="174" fontId="0" fillId="4" borderId="49" xfId="42" applyNumberFormat="1" applyFont="1" applyFill="1" applyBorder="1" applyAlignment="1">
      <alignment/>
    </xf>
    <xf numFmtId="174" fontId="0" fillId="4" borderId="25" xfId="42" applyNumberFormat="1" applyFont="1" applyFill="1" applyBorder="1" applyAlignment="1">
      <alignment/>
    </xf>
    <xf numFmtId="174" fontId="0" fillId="4" borderId="61" xfId="42" applyNumberFormat="1" applyFont="1" applyFill="1" applyBorder="1" applyAlignment="1">
      <alignment/>
    </xf>
    <xf numFmtId="174" fontId="0" fillId="4" borderId="62" xfId="42" applyNumberFormat="1" applyFont="1" applyFill="1" applyBorder="1" applyAlignment="1">
      <alignment/>
    </xf>
    <xf numFmtId="0" fontId="7" fillId="4" borderId="29" xfId="0" applyFont="1" applyFill="1" applyBorder="1" applyAlignment="1">
      <alignment horizontal="center" wrapText="1"/>
    </xf>
    <xf numFmtId="0" fontId="7" fillId="4" borderId="30" xfId="0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center" wrapText="1"/>
    </xf>
    <xf numFmtId="174" fontId="0" fillId="4" borderId="11" xfId="42" applyNumberFormat="1" applyFont="1" applyFill="1" applyBorder="1" applyAlignment="1">
      <alignment/>
    </xf>
    <xf numFmtId="174" fontId="0" fillId="4" borderId="10" xfId="42" applyNumberFormat="1" applyFont="1" applyFill="1" applyBorder="1" applyAlignment="1">
      <alignment/>
    </xf>
    <xf numFmtId="174" fontId="0" fillId="4" borderId="13" xfId="42" applyNumberFormat="1" applyFont="1" applyFill="1" applyBorder="1" applyAlignment="1">
      <alignment/>
    </xf>
    <xf numFmtId="174" fontId="0" fillId="4" borderId="14" xfId="42" applyNumberFormat="1" applyFont="1" applyFill="1" applyBorder="1" applyAlignment="1">
      <alignment/>
    </xf>
    <xf numFmtId="192" fontId="0" fillId="4" borderId="17" xfId="42" applyNumberFormat="1" applyFont="1" applyFill="1" applyBorder="1" applyAlignment="1">
      <alignment/>
    </xf>
    <xf numFmtId="165" fontId="0" fillId="4" borderId="18" xfId="44" applyNumberFormat="1" applyFont="1" applyFill="1" applyBorder="1" applyAlignment="1">
      <alignment/>
    </xf>
    <xf numFmtId="192" fontId="0" fillId="4" borderId="11" xfId="42" applyNumberFormat="1" applyFont="1" applyFill="1" applyBorder="1" applyAlignment="1">
      <alignment/>
    </xf>
    <xf numFmtId="165" fontId="0" fillId="4" borderId="10" xfId="44" applyNumberFormat="1" applyFont="1" applyFill="1" applyBorder="1" applyAlignment="1">
      <alignment/>
    </xf>
    <xf numFmtId="192" fontId="0" fillId="4" borderId="13" xfId="42" applyNumberFormat="1" applyFont="1" applyFill="1" applyBorder="1" applyAlignment="1">
      <alignment/>
    </xf>
    <xf numFmtId="165" fontId="0" fillId="4" borderId="14" xfId="44" applyNumberFormat="1" applyFont="1" applyFill="1" applyBorder="1" applyAlignment="1">
      <alignment/>
    </xf>
    <xf numFmtId="192" fontId="7" fillId="4" borderId="25" xfId="0" applyNumberFormat="1" applyFont="1" applyFill="1" applyBorder="1" applyAlignment="1">
      <alignment/>
    </xf>
    <xf numFmtId="192" fontId="0" fillId="4" borderId="10" xfId="42" applyNumberFormat="1" applyFont="1" applyFill="1" applyBorder="1" applyAlignment="1">
      <alignment/>
    </xf>
    <xf numFmtId="192" fontId="0" fillId="4" borderId="14" xfId="42" applyNumberFormat="1" applyFont="1" applyFill="1" applyBorder="1" applyAlignment="1">
      <alignment/>
    </xf>
    <xf numFmtId="192" fontId="7" fillId="4" borderId="19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0" fillId="0" borderId="63" xfId="0" applyFont="1" applyFill="1" applyBorder="1" applyAlignment="1">
      <alignment horizontal="left"/>
    </xf>
    <xf numFmtId="165" fontId="0" fillId="5" borderId="2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6" fillId="0" borderId="0" xfId="0" applyFont="1" applyBorder="1" applyAlignment="1">
      <alignment horizontal="left"/>
    </xf>
    <xf numFmtId="174" fontId="0" fillId="0" borderId="18" xfId="0" applyNumberFormat="1" applyFont="1" applyFill="1" applyBorder="1" applyAlignment="1">
      <alignment/>
    </xf>
    <xf numFmtId="195" fontId="0" fillId="0" borderId="0" xfId="0" applyNumberFormat="1" applyAlignment="1">
      <alignment/>
    </xf>
    <xf numFmtId="197" fontId="0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65" fontId="0" fillId="6" borderId="57" xfId="0" applyNumberFormat="1" applyFill="1" applyBorder="1" applyAlignment="1">
      <alignment/>
    </xf>
    <xf numFmtId="165" fontId="0" fillId="6" borderId="35" xfId="0" applyNumberFormat="1" applyFill="1" applyBorder="1" applyAlignment="1">
      <alignment/>
    </xf>
    <xf numFmtId="165" fontId="0" fillId="6" borderId="39" xfId="0" applyNumberFormat="1" applyFill="1" applyBorder="1" applyAlignment="1">
      <alignment/>
    </xf>
    <xf numFmtId="165" fontId="0" fillId="5" borderId="57" xfId="0" applyNumberFormat="1" applyFill="1" applyBorder="1" applyAlignment="1">
      <alignment/>
    </xf>
    <xf numFmtId="165" fontId="0" fillId="5" borderId="35" xfId="0" applyNumberFormat="1" applyFill="1" applyBorder="1" applyAlignment="1">
      <alignment/>
    </xf>
    <xf numFmtId="165" fontId="0" fillId="5" borderId="39" xfId="0" applyNumberForma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Fill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64" fontId="54" fillId="0" borderId="0" xfId="0" applyNumberFormat="1" applyFont="1" applyBorder="1" applyAlignment="1">
      <alignment/>
    </xf>
    <xf numFmtId="165" fontId="0" fillId="0" borderId="14" xfId="44" applyNumberFormat="1" applyFont="1" applyFill="1" applyBorder="1" applyAlignment="1">
      <alignment horizontal="right"/>
    </xf>
    <xf numFmtId="164" fontId="7" fillId="0" borderId="21" xfId="0" applyNumberFormat="1" applyFont="1" applyFill="1" applyBorder="1" applyAlignment="1">
      <alignment horizontal="center" wrapText="1"/>
    </xf>
    <xf numFmtId="10" fontId="0" fillId="0" borderId="12" xfId="59" applyNumberFormat="1" applyFont="1" applyFill="1" applyBorder="1" applyAlignment="1">
      <alignment/>
    </xf>
    <xf numFmtId="10" fontId="0" fillId="0" borderId="27" xfId="59" applyNumberFormat="1" applyFont="1" applyFill="1" applyBorder="1" applyAlignment="1">
      <alignment/>
    </xf>
    <xf numFmtId="165" fontId="0" fillId="0" borderId="10" xfId="44" applyNumberFormat="1" applyFont="1" applyFill="1" applyBorder="1" applyAlignment="1">
      <alignment horizontal="right"/>
    </xf>
    <xf numFmtId="174" fontId="0" fillId="0" borderId="16" xfId="0" applyNumberFormat="1" applyFont="1" applyFill="1" applyBorder="1" applyAlignment="1">
      <alignment/>
    </xf>
    <xf numFmtId="164" fontId="7" fillId="0" borderId="19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7" fillId="4" borderId="64" xfId="0" applyFont="1" applyFill="1" applyBorder="1" applyAlignment="1">
      <alignment horizontal="center" wrapText="1"/>
    </xf>
    <xf numFmtId="174" fontId="0" fillId="4" borderId="57" xfId="42" applyNumberFormat="1" applyFont="1" applyFill="1" applyBorder="1" applyAlignment="1">
      <alignment/>
    </xf>
    <xf numFmtId="174" fontId="0" fillId="4" borderId="34" xfId="42" applyNumberFormat="1" applyFont="1" applyFill="1" applyBorder="1" applyAlignment="1">
      <alignment/>
    </xf>
    <xf numFmtId="174" fontId="0" fillId="4" borderId="65" xfId="42" applyNumberFormat="1" applyFont="1" applyFill="1" applyBorder="1" applyAlignment="1">
      <alignment/>
    </xf>
    <xf numFmtId="0" fontId="7" fillId="4" borderId="66" xfId="0" applyFont="1" applyFill="1" applyBorder="1" applyAlignment="1">
      <alignment horizontal="center" wrapText="1"/>
    </xf>
    <xf numFmtId="174" fontId="0" fillId="4" borderId="35" xfId="42" applyNumberFormat="1" applyFont="1" applyFill="1" applyBorder="1" applyAlignment="1">
      <alignment/>
    </xf>
    <xf numFmtId="174" fontId="0" fillId="4" borderId="39" xfId="42" applyNumberFormat="1" applyFont="1" applyFill="1" applyBorder="1" applyAlignment="1">
      <alignment/>
    </xf>
    <xf numFmtId="165" fontId="0" fillId="4" borderId="35" xfId="0" applyNumberFormat="1" applyFill="1" applyBorder="1" applyAlignment="1">
      <alignment/>
    </xf>
    <xf numFmtId="165" fontId="0" fillId="4" borderId="39" xfId="0" applyNumberFormat="1" applyFill="1" applyBorder="1" applyAlignment="1">
      <alignment/>
    </xf>
    <xf numFmtId="165" fontId="0" fillId="4" borderId="57" xfId="0" applyNumberFormat="1" applyFill="1" applyBorder="1" applyAlignment="1">
      <alignment/>
    </xf>
    <xf numFmtId="0" fontId="7" fillId="9" borderId="42" xfId="0" applyFont="1" applyFill="1" applyBorder="1" applyAlignment="1">
      <alignment horizontal="center" wrapText="1"/>
    </xf>
    <xf numFmtId="0" fontId="7" fillId="9" borderId="43" xfId="0" applyFont="1" applyFill="1" applyBorder="1" applyAlignment="1">
      <alignment horizontal="center" wrapText="1"/>
    </xf>
    <xf numFmtId="0" fontId="7" fillId="9" borderId="44" xfId="0" applyFont="1" applyFill="1" applyBorder="1" applyAlignment="1">
      <alignment horizontal="center" wrapText="1"/>
    </xf>
    <xf numFmtId="165" fontId="0" fillId="9" borderId="49" xfId="42" applyNumberFormat="1" applyFont="1" applyFill="1" applyBorder="1" applyAlignment="1">
      <alignment/>
    </xf>
    <xf numFmtId="165" fontId="0" fillId="9" borderId="25" xfId="42" applyNumberFormat="1" applyFont="1" applyFill="1" applyBorder="1" applyAlignment="1">
      <alignment/>
    </xf>
    <xf numFmtId="165" fontId="0" fillId="9" borderId="50" xfId="42" applyNumberFormat="1" applyFont="1" applyFill="1" applyBorder="1" applyAlignment="1">
      <alignment/>
    </xf>
    <xf numFmtId="165" fontId="0" fillId="9" borderId="11" xfId="42" applyNumberFormat="1" applyFont="1" applyFill="1" applyBorder="1" applyAlignment="1">
      <alignment/>
    </xf>
    <xf numFmtId="165" fontId="0" fillId="9" borderId="10" xfId="42" applyNumberFormat="1" applyFont="1" applyFill="1" applyBorder="1" applyAlignment="1">
      <alignment/>
    </xf>
    <xf numFmtId="165" fontId="0" fillId="9" borderId="12" xfId="42" applyNumberFormat="1" applyFont="1" applyFill="1" applyBorder="1" applyAlignment="1">
      <alignment/>
    </xf>
    <xf numFmtId="165" fontId="0" fillId="9" borderId="13" xfId="42" applyNumberFormat="1" applyFont="1" applyFill="1" applyBorder="1" applyAlignment="1">
      <alignment/>
    </xf>
    <xf numFmtId="165" fontId="0" fillId="9" borderId="14" xfId="42" applyNumberFormat="1" applyFont="1" applyFill="1" applyBorder="1" applyAlignment="1">
      <alignment/>
    </xf>
    <xf numFmtId="165" fontId="0" fillId="9" borderId="22" xfId="42" applyNumberFormat="1" applyFont="1" applyFill="1" applyBorder="1" applyAlignment="1">
      <alignment/>
    </xf>
    <xf numFmtId="174" fontId="0" fillId="9" borderId="17" xfId="42" applyNumberFormat="1" applyFont="1" applyFill="1" applyBorder="1" applyAlignment="1">
      <alignment/>
    </xf>
    <xf numFmtId="174" fontId="0" fillId="9" borderId="18" xfId="42" applyNumberFormat="1" applyFont="1" applyFill="1" applyBorder="1" applyAlignment="1">
      <alignment/>
    </xf>
    <xf numFmtId="174" fontId="0" fillId="9" borderId="21" xfId="42" applyNumberFormat="1" applyFont="1" applyFill="1" applyBorder="1" applyAlignment="1">
      <alignment/>
    </xf>
    <xf numFmtId="174" fontId="0" fillId="9" borderId="11" xfId="42" applyNumberFormat="1" applyFont="1" applyFill="1" applyBorder="1" applyAlignment="1">
      <alignment/>
    </xf>
    <xf numFmtId="174" fontId="0" fillId="9" borderId="10" xfId="42" applyNumberFormat="1" applyFont="1" applyFill="1" applyBorder="1" applyAlignment="1">
      <alignment/>
    </xf>
    <xf numFmtId="174" fontId="0" fillId="9" borderId="12" xfId="42" applyNumberFormat="1" applyFont="1" applyFill="1" applyBorder="1" applyAlignment="1">
      <alignment/>
    </xf>
    <xf numFmtId="174" fontId="0" fillId="9" borderId="13" xfId="42" applyNumberFormat="1" applyFont="1" applyFill="1" applyBorder="1" applyAlignment="1">
      <alignment/>
    </xf>
    <xf numFmtId="174" fontId="0" fillId="9" borderId="14" xfId="42" applyNumberFormat="1" applyFont="1" applyFill="1" applyBorder="1" applyAlignment="1">
      <alignment/>
    </xf>
    <xf numFmtId="174" fontId="0" fillId="9" borderId="22" xfId="42" applyNumberFormat="1" applyFont="1" applyFill="1" applyBorder="1" applyAlignment="1">
      <alignment/>
    </xf>
    <xf numFmtId="0" fontId="7" fillId="9" borderId="29" xfId="0" applyFont="1" applyFill="1" applyBorder="1" applyAlignment="1">
      <alignment horizontal="center" wrapText="1"/>
    </xf>
    <xf numFmtId="0" fontId="7" fillId="9" borderId="30" xfId="0" applyFont="1" applyFill="1" applyBorder="1" applyAlignment="1">
      <alignment horizontal="center" wrapText="1"/>
    </xf>
    <xf numFmtId="0" fontId="7" fillId="9" borderId="31" xfId="0" applyFont="1" applyFill="1" applyBorder="1" applyAlignment="1">
      <alignment horizontal="center" wrapText="1"/>
    </xf>
    <xf numFmtId="165" fontId="0" fillId="9" borderId="30" xfId="44" applyNumberFormat="1" applyFont="1" applyFill="1" applyBorder="1" applyAlignment="1">
      <alignment/>
    </xf>
    <xf numFmtId="192" fontId="0" fillId="9" borderId="11" xfId="42" applyNumberFormat="1" applyFont="1" applyFill="1" applyBorder="1" applyAlignment="1">
      <alignment/>
    </xf>
    <xf numFmtId="165" fontId="0" fillId="9" borderId="10" xfId="44" applyNumberFormat="1" applyFont="1" applyFill="1" applyBorder="1" applyAlignment="1">
      <alignment/>
    </xf>
    <xf numFmtId="192" fontId="0" fillId="9" borderId="13" xfId="42" applyNumberFormat="1" applyFont="1" applyFill="1" applyBorder="1" applyAlignment="1">
      <alignment/>
    </xf>
    <xf numFmtId="165" fontId="0" fillId="9" borderId="14" xfId="44" applyNumberFormat="1" applyFont="1" applyFill="1" applyBorder="1" applyAlignment="1">
      <alignment/>
    </xf>
    <xf numFmtId="0" fontId="0" fillId="7" borderId="49" xfId="0" applyFont="1" applyFill="1" applyBorder="1" applyAlignment="1">
      <alignment/>
    </xf>
    <xf numFmtId="0" fontId="6" fillId="7" borderId="19" xfId="0" applyNumberFormat="1" applyFont="1" applyFill="1" applyBorder="1" applyAlignment="1">
      <alignment horizontal="center" wrapText="1"/>
    </xf>
    <xf numFmtId="192" fontId="0" fillId="33" borderId="25" xfId="42" applyNumberFormat="1" applyFont="1" applyFill="1" applyBorder="1" applyAlignment="1">
      <alignment/>
    </xf>
    <xf numFmtId="165" fontId="0" fillId="33" borderId="25" xfId="42" applyNumberFormat="1" applyFont="1" applyFill="1" applyBorder="1" applyAlignment="1">
      <alignment/>
    </xf>
    <xf numFmtId="165" fontId="0" fillId="33" borderId="50" xfId="42" applyNumberFormat="1" applyFont="1" applyFill="1" applyBorder="1" applyAlignment="1">
      <alignment/>
    </xf>
    <xf numFmtId="0" fontId="7" fillId="33" borderId="42" xfId="0" applyFont="1" applyFill="1" applyBorder="1" applyAlignment="1">
      <alignment horizontal="center" wrapText="1"/>
    </xf>
    <xf numFmtId="0" fontId="7" fillId="33" borderId="43" xfId="0" applyFont="1" applyFill="1" applyBorder="1" applyAlignment="1">
      <alignment horizontal="center" wrapText="1"/>
    </xf>
    <xf numFmtId="0" fontId="7" fillId="33" borderId="44" xfId="0" applyFont="1" applyFill="1" applyBorder="1" applyAlignment="1">
      <alignment horizontal="center" wrapText="1"/>
    </xf>
    <xf numFmtId="192" fontId="0" fillId="5" borderId="25" xfId="42" applyNumberFormat="1" applyFont="1" applyFill="1" applyBorder="1" applyAlignment="1">
      <alignment/>
    </xf>
    <xf numFmtId="192" fontId="0" fillId="4" borderId="25" xfId="42" applyNumberFormat="1" applyFont="1" applyFill="1" applyBorder="1" applyAlignment="1">
      <alignment/>
    </xf>
    <xf numFmtId="192" fontId="7" fillId="9" borderId="15" xfId="0" applyNumberFormat="1" applyFont="1" applyFill="1" applyBorder="1" applyAlignment="1">
      <alignment/>
    </xf>
    <xf numFmtId="192" fontId="0" fillId="9" borderId="17" xfId="42" applyNumberFormat="1" applyFont="1" applyFill="1" applyBorder="1" applyAlignment="1">
      <alignment/>
    </xf>
    <xf numFmtId="165" fontId="0" fillId="9" borderId="18" xfId="42" applyNumberFormat="1" applyFont="1" applyFill="1" applyBorder="1" applyAlignment="1">
      <alignment/>
    </xf>
    <xf numFmtId="165" fontId="0" fillId="9" borderId="21" xfId="42" applyNumberFormat="1" applyFont="1" applyFill="1" applyBorder="1" applyAlignment="1">
      <alignment/>
    </xf>
    <xf numFmtId="192" fontId="0" fillId="0" borderId="0" xfId="0" applyNumberFormat="1" applyFont="1" applyAlignment="1">
      <alignment/>
    </xf>
    <xf numFmtId="0" fontId="0" fillId="0" borderId="49" xfId="0" applyFont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92" fontId="0" fillId="0" borderId="25" xfId="42" applyNumberFormat="1" applyFont="1" applyFill="1" applyBorder="1" applyAlignment="1">
      <alignment/>
    </xf>
    <xf numFmtId="170" fontId="0" fillId="0" borderId="25" xfId="0" applyNumberFormat="1" applyFont="1" applyFill="1" applyBorder="1" applyAlignment="1">
      <alignment/>
    </xf>
    <xf numFmtId="192" fontId="0" fillId="0" borderId="25" xfId="42" applyNumberFormat="1" applyFont="1" applyFill="1" applyBorder="1" applyAlignment="1">
      <alignment/>
    </xf>
    <xf numFmtId="174" fontId="0" fillId="0" borderId="25" xfId="0" applyNumberFormat="1" applyFont="1" applyFill="1" applyBorder="1" applyAlignment="1">
      <alignment/>
    </xf>
    <xf numFmtId="170" fontId="0" fillId="0" borderId="25" xfId="0" applyNumberFormat="1" applyFont="1" applyBorder="1" applyAlignment="1">
      <alignment/>
    </xf>
    <xf numFmtId="165" fontId="0" fillId="5" borderId="50" xfId="0" applyNumberFormat="1" applyFont="1" applyFill="1" applyBorder="1" applyAlignment="1">
      <alignment horizontal="right"/>
    </xf>
    <xf numFmtId="0" fontId="7" fillId="0" borderId="42" xfId="0" applyNumberFormat="1" applyFont="1" applyFill="1" applyBorder="1" applyAlignment="1">
      <alignment horizontal="center" wrapText="1"/>
    </xf>
    <xf numFmtId="0" fontId="7" fillId="0" borderId="43" xfId="0" applyNumberFormat="1" applyFont="1" applyFill="1" applyBorder="1" applyAlignment="1">
      <alignment horizontal="center" wrapText="1"/>
    </xf>
    <xf numFmtId="0" fontId="7" fillId="0" borderId="43" xfId="0" applyNumberFormat="1" applyFont="1" applyBorder="1" applyAlignment="1">
      <alignment horizontal="center" wrapText="1"/>
    </xf>
    <xf numFmtId="0" fontId="7" fillId="5" borderId="44" xfId="0" applyNumberFormat="1" applyFont="1" applyFill="1" applyBorder="1" applyAlignment="1">
      <alignment horizontal="center" wrapText="1"/>
    </xf>
    <xf numFmtId="0" fontId="7" fillId="0" borderId="19" xfId="0" applyNumberFormat="1" applyFont="1" applyFill="1" applyBorder="1" applyAlignment="1">
      <alignment horizontal="center" wrapText="1"/>
    </xf>
    <xf numFmtId="215" fontId="54" fillId="0" borderId="0" xfId="0" applyNumberFormat="1" applyFont="1" applyAlignment="1">
      <alignment horizontal="left"/>
    </xf>
    <xf numFmtId="0" fontId="54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219" fontId="54" fillId="0" borderId="0" xfId="0" applyNumberFormat="1" applyFont="1" applyAlignment="1">
      <alignment horizontal="left"/>
    </xf>
    <xf numFmtId="192" fontId="0" fillId="9" borderId="29" xfId="42" applyNumberFormat="1" applyFont="1" applyFill="1" applyBorder="1" applyAlignment="1">
      <alignment/>
    </xf>
    <xf numFmtId="192" fontId="7" fillId="9" borderId="25" xfId="0" applyNumberFormat="1" applyFont="1" applyFill="1" applyBorder="1" applyAlignment="1">
      <alignment/>
    </xf>
    <xf numFmtId="165" fontId="0" fillId="9" borderId="31" xfId="0" applyNumberFormat="1" applyFill="1" applyBorder="1" applyAlignment="1">
      <alignment/>
    </xf>
    <xf numFmtId="165" fontId="0" fillId="9" borderId="12" xfId="0" applyNumberFormat="1" applyFill="1" applyBorder="1" applyAlignment="1">
      <alignment/>
    </xf>
    <xf numFmtId="165" fontId="0" fillId="9" borderId="22" xfId="0" applyNumberFormat="1" applyFill="1" applyBorder="1" applyAlignment="1">
      <alignment/>
    </xf>
    <xf numFmtId="0" fontId="7" fillId="5" borderId="42" xfId="0" applyFont="1" applyFill="1" applyBorder="1" applyAlignment="1">
      <alignment horizontal="center"/>
    </xf>
    <xf numFmtId="0" fontId="7" fillId="5" borderId="43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7" fillId="33" borderId="67" xfId="0" applyFont="1" applyFill="1" applyBorder="1" applyAlignment="1">
      <alignment horizontal="center"/>
    </xf>
    <xf numFmtId="0" fontId="7" fillId="33" borderId="68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0" borderId="34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9" borderId="42" xfId="0" applyFont="1" applyFill="1" applyBorder="1" applyAlignment="1">
      <alignment horizontal="center"/>
    </xf>
    <xf numFmtId="0" fontId="7" fillId="9" borderId="43" xfId="0" applyFont="1" applyFill="1" applyBorder="1" applyAlignment="1">
      <alignment horizontal="center"/>
    </xf>
    <xf numFmtId="0" fontId="7" fillId="9" borderId="44" xfId="0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7" fillId="4" borderId="67" xfId="0" applyFont="1" applyFill="1" applyBorder="1" applyAlignment="1">
      <alignment horizontal="center"/>
    </xf>
    <xf numFmtId="0" fontId="7" fillId="4" borderId="68" xfId="0" applyFont="1" applyFill="1" applyBorder="1" applyAlignment="1">
      <alignment horizontal="center"/>
    </xf>
    <xf numFmtId="192" fontId="7" fillId="4" borderId="17" xfId="42" applyNumberFormat="1" applyFont="1" applyFill="1" applyBorder="1" applyAlignment="1">
      <alignment horizontal="center"/>
    </xf>
    <xf numFmtId="192" fontId="7" fillId="4" borderId="18" xfId="42" applyNumberFormat="1" applyFont="1" applyFill="1" applyBorder="1" applyAlignment="1">
      <alignment horizontal="center"/>
    </xf>
    <xf numFmtId="192" fontId="7" fillId="4" borderId="21" xfId="42" applyNumberFormat="1" applyFont="1" applyFill="1" applyBorder="1" applyAlignment="1">
      <alignment horizontal="center"/>
    </xf>
    <xf numFmtId="192" fontId="7" fillId="2" borderId="42" xfId="42" applyNumberFormat="1" applyFont="1" applyFill="1" applyBorder="1" applyAlignment="1">
      <alignment horizontal="center"/>
    </xf>
    <xf numFmtId="192" fontId="7" fillId="2" borderId="43" xfId="42" applyNumberFormat="1" applyFont="1" applyFill="1" applyBorder="1" applyAlignment="1">
      <alignment horizontal="center"/>
    </xf>
    <xf numFmtId="192" fontId="7" fillId="2" borderId="44" xfId="42" applyNumberFormat="1" applyFont="1" applyFill="1" applyBorder="1" applyAlignment="1">
      <alignment horizontal="center"/>
    </xf>
    <xf numFmtId="0" fontId="7" fillId="5" borderId="67" xfId="0" applyFont="1" applyFill="1" applyBorder="1" applyAlignment="1">
      <alignment horizontal="center"/>
    </xf>
    <xf numFmtId="0" fontId="7" fillId="5" borderId="68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192" fontId="7" fillId="5" borderId="17" xfId="42" applyNumberFormat="1" applyFont="1" applyFill="1" applyBorder="1" applyAlignment="1">
      <alignment horizontal="center"/>
    </xf>
    <xf numFmtId="192" fontId="7" fillId="5" borderId="18" xfId="42" applyNumberFormat="1" applyFont="1" applyFill="1" applyBorder="1" applyAlignment="1">
      <alignment horizontal="center"/>
    </xf>
    <xf numFmtId="192" fontId="7" fillId="5" borderId="21" xfId="42" applyNumberFormat="1" applyFont="1" applyFill="1" applyBorder="1" applyAlignment="1">
      <alignment horizontal="center"/>
    </xf>
    <xf numFmtId="192" fontId="7" fillId="9" borderId="17" xfId="42" applyNumberFormat="1" applyFont="1" applyFill="1" applyBorder="1" applyAlignment="1">
      <alignment horizontal="center"/>
    </xf>
    <xf numFmtId="192" fontId="7" fillId="9" borderId="18" xfId="42" applyNumberFormat="1" applyFont="1" applyFill="1" applyBorder="1" applyAlignment="1">
      <alignment horizontal="center"/>
    </xf>
    <xf numFmtId="192" fontId="7" fillId="9" borderId="21" xfId="42" applyNumberFormat="1" applyFont="1" applyFill="1" applyBorder="1" applyAlignment="1">
      <alignment horizontal="center"/>
    </xf>
    <xf numFmtId="192" fontId="7" fillId="2" borderId="67" xfId="42" applyNumberFormat="1" applyFont="1" applyFill="1" applyBorder="1" applyAlignment="1">
      <alignment horizontal="center"/>
    </xf>
    <xf numFmtId="192" fontId="7" fillId="2" borderId="68" xfId="42" applyNumberFormat="1" applyFont="1" applyFill="1" applyBorder="1" applyAlignment="1">
      <alignment horizontal="center"/>
    </xf>
    <xf numFmtId="192" fontId="7" fillId="2" borderId="45" xfId="42" applyNumberFormat="1" applyFont="1" applyFill="1" applyBorder="1" applyAlignment="1">
      <alignment horizontal="center"/>
    </xf>
    <xf numFmtId="192" fontId="7" fillId="5" borderId="67" xfId="42" applyNumberFormat="1" applyFont="1" applyFill="1" applyBorder="1" applyAlignment="1">
      <alignment horizontal="center"/>
    </xf>
    <xf numFmtId="192" fontId="7" fillId="5" borderId="68" xfId="42" applyNumberFormat="1" applyFont="1" applyFill="1" applyBorder="1" applyAlignment="1">
      <alignment horizontal="center"/>
    </xf>
    <xf numFmtId="192" fontId="7" fillId="5" borderId="45" xfId="42" applyNumberFormat="1" applyFont="1" applyFill="1" applyBorder="1" applyAlignment="1">
      <alignment horizontal="center"/>
    </xf>
    <xf numFmtId="192" fontId="7" fillId="4" borderId="67" xfId="42" applyNumberFormat="1" applyFont="1" applyFill="1" applyBorder="1" applyAlignment="1">
      <alignment horizontal="center"/>
    </xf>
    <xf numFmtId="192" fontId="7" fillId="4" borderId="68" xfId="42" applyNumberFormat="1" applyFont="1" applyFill="1" applyBorder="1" applyAlignment="1">
      <alignment horizontal="center"/>
    </xf>
    <xf numFmtId="192" fontId="7" fillId="4" borderId="45" xfId="42" applyNumberFormat="1" applyFont="1" applyFill="1" applyBorder="1" applyAlignment="1">
      <alignment horizontal="center"/>
    </xf>
    <xf numFmtId="192" fontId="7" fillId="5" borderId="42" xfId="42" applyNumberFormat="1" applyFont="1" applyFill="1" applyBorder="1" applyAlignment="1">
      <alignment horizontal="center"/>
    </xf>
    <xf numFmtId="192" fontId="7" fillId="5" borderId="43" xfId="42" applyNumberFormat="1" applyFont="1" applyFill="1" applyBorder="1" applyAlignment="1">
      <alignment horizontal="center"/>
    </xf>
    <xf numFmtId="192" fontId="7" fillId="5" borderId="44" xfId="42" applyNumberFormat="1" applyFont="1" applyFill="1" applyBorder="1" applyAlignment="1">
      <alignment horizontal="center"/>
    </xf>
    <xf numFmtId="0" fontId="7" fillId="6" borderId="67" xfId="0" applyFont="1" applyFill="1" applyBorder="1" applyAlignment="1">
      <alignment horizontal="center"/>
    </xf>
    <xf numFmtId="0" fontId="7" fillId="6" borderId="68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192" fontId="7" fillId="4" borderId="69" xfId="42" applyNumberFormat="1" applyFont="1" applyFill="1" applyBorder="1" applyAlignment="1">
      <alignment horizontal="center"/>
    </xf>
    <xf numFmtId="192" fontId="7" fillId="4" borderId="63" xfId="42" applyNumberFormat="1" applyFont="1" applyFill="1" applyBorder="1" applyAlignment="1">
      <alignment horizontal="center"/>
    </xf>
    <xf numFmtId="192" fontId="7" fillId="9" borderId="67" xfId="42" applyNumberFormat="1" applyFont="1" applyFill="1" applyBorder="1" applyAlignment="1">
      <alignment horizontal="center"/>
    </xf>
    <xf numFmtId="192" fontId="7" fillId="9" borderId="68" xfId="42" applyNumberFormat="1" applyFont="1" applyFill="1" applyBorder="1" applyAlignment="1">
      <alignment horizontal="center"/>
    </xf>
    <xf numFmtId="192" fontId="7" fillId="9" borderId="45" xfId="42" applyNumberFormat="1" applyFont="1" applyFill="1" applyBorder="1" applyAlignment="1">
      <alignment horizontal="center"/>
    </xf>
    <xf numFmtId="192" fontId="7" fillId="6" borderId="67" xfId="42" applyNumberFormat="1" applyFont="1" applyFill="1" applyBorder="1" applyAlignment="1">
      <alignment horizontal="center"/>
    </xf>
    <xf numFmtId="192" fontId="7" fillId="6" borderId="68" xfId="42" applyNumberFormat="1" applyFont="1" applyFill="1" applyBorder="1" applyAlignment="1">
      <alignment horizontal="center"/>
    </xf>
    <xf numFmtId="192" fontId="7" fillId="6" borderId="45" xfId="42" applyNumberFormat="1" applyFont="1" applyFill="1" applyBorder="1" applyAlignment="1">
      <alignment horizontal="center"/>
    </xf>
    <xf numFmtId="192" fontId="7" fillId="6" borderId="69" xfId="42" applyNumberFormat="1" applyFont="1" applyFill="1" applyBorder="1" applyAlignment="1">
      <alignment horizontal="center" vertical="center" wrapText="1"/>
    </xf>
    <xf numFmtId="192" fontId="7" fillId="6" borderId="63" xfId="42" applyNumberFormat="1" applyFont="1" applyFill="1" applyBorder="1" applyAlignment="1">
      <alignment horizontal="center" vertical="center" wrapText="1"/>
    </xf>
    <xf numFmtId="192" fontId="7" fillId="6" borderId="70" xfId="42" applyNumberFormat="1" applyFont="1" applyFill="1" applyBorder="1" applyAlignment="1">
      <alignment horizontal="center" vertical="center" wrapText="1"/>
    </xf>
    <xf numFmtId="192" fontId="7" fillId="6" borderId="28" xfId="42" applyNumberFormat="1" applyFont="1" applyFill="1" applyBorder="1" applyAlignment="1">
      <alignment horizontal="center" vertical="center" wrapText="1"/>
    </xf>
    <xf numFmtId="192" fontId="7" fillId="6" borderId="0" xfId="42" applyNumberFormat="1" applyFont="1" applyFill="1" applyBorder="1" applyAlignment="1">
      <alignment horizontal="center" vertical="center" wrapText="1"/>
    </xf>
    <xf numFmtId="192" fontId="7" fillId="6" borderId="71" xfId="42" applyNumberFormat="1" applyFont="1" applyFill="1" applyBorder="1" applyAlignment="1">
      <alignment horizontal="center" vertical="center" wrapText="1"/>
    </xf>
    <xf numFmtId="192" fontId="7" fillId="6" borderId="72" xfId="42" applyNumberFormat="1" applyFont="1" applyFill="1" applyBorder="1" applyAlignment="1">
      <alignment horizontal="center" vertical="center" wrapText="1"/>
    </xf>
    <xf numFmtId="192" fontId="7" fillId="4" borderId="42" xfId="42" applyNumberFormat="1" applyFont="1" applyFill="1" applyBorder="1" applyAlignment="1">
      <alignment horizontal="center"/>
    </xf>
    <xf numFmtId="192" fontId="7" fillId="4" borderId="43" xfId="42" applyNumberFormat="1" applyFont="1" applyFill="1" applyBorder="1" applyAlignment="1">
      <alignment horizontal="center"/>
    </xf>
    <xf numFmtId="192" fontId="7" fillId="4" borderId="64" xfId="42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7" fillId="9" borderId="29" xfId="0" applyFont="1" applyFill="1" applyBorder="1" applyAlignment="1">
      <alignment horizontal="center"/>
    </xf>
    <xf numFmtId="0" fontId="7" fillId="9" borderId="30" xfId="0" applyFont="1" applyFill="1" applyBorder="1" applyAlignment="1">
      <alignment horizontal="center"/>
    </xf>
    <xf numFmtId="0" fontId="7" fillId="9" borderId="31" xfId="0" applyFont="1" applyFill="1" applyBorder="1" applyAlignment="1">
      <alignment horizontal="center"/>
    </xf>
    <xf numFmtId="192" fontId="7" fillId="9" borderId="42" xfId="42" applyNumberFormat="1" applyFont="1" applyFill="1" applyBorder="1" applyAlignment="1">
      <alignment horizontal="center"/>
    </xf>
    <xf numFmtId="192" fontId="7" fillId="9" borderId="43" xfId="42" applyNumberFormat="1" applyFont="1" applyFill="1" applyBorder="1" applyAlignment="1">
      <alignment horizontal="center"/>
    </xf>
    <xf numFmtId="192" fontId="7" fillId="9" borderId="44" xfId="42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192" fontId="7" fillId="5" borderId="69" xfId="42" applyNumberFormat="1" applyFont="1" applyFill="1" applyBorder="1" applyAlignment="1">
      <alignment horizontal="center"/>
    </xf>
    <xf numFmtId="192" fontId="7" fillId="5" borderId="63" xfId="42" applyNumberFormat="1" applyFont="1" applyFill="1" applyBorder="1" applyAlignment="1">
      <alignment horizontal="center"/>
    </xf>
    <xf numFmtId="192" fontId="7" fillId="5" borderId="70" xfId="42" applyNumberFormat="1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0" fontId="12" fillId="6" borderId="69" xfId="0" applyFont="1" applyFill="1" applyBorder="1" applyAlignment="1">
      <alignment vertical="center" wrapText="1"/>
    </xf>
    <xf numFmtId="0" fontId="12" fillId="6" borderId="63" xfId="0" applyFont="1" applyFill="1" applyBorder="1" applyAlignment="1">
      <alignment vertical="center" wrapText="1"/>
    </xf>
    <xf numFmtId="0" fontId="12" fillId="6" borderId="70" xfId="0" applyFont="1" applyFill="1" applyBorder="1" applyAlignment="1">
      <alignment vertical="center" wrapText="1"/>
    </xf>
    <xf numFmtId="0" fontId="12" fillId="6" borderId="28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2" fillId="6" borderId="74" xfId="0" applyFont="1" applyFill="1" applyBorder="1" applyAlignment="1">
      <alignment vertical="center" wrapText="1"/>
    </xf>
    <xf numFmtId="0" fontId="12" fillId="6" borderId="71" xfId="0" applyFont="1" applyFill="1" applyBorder="1" applyAlignment="1">
      <alignment vertical="center" wrapText="1"/>
    </xf>
    <xf numFmtId="0" fontId="12" fillId="6" borderId="72" xfId="0" applyFont="1" applyFill="1" applyBorder="1" applyAlignment="1">
      <alignment vertical="center" wrapText="1"/>
    </xf>
    <xf numFmtId="0" fontId="12" fillId="6" borderId="75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3" fillId="7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65" fontId="10" fillId="0" borderId="68" xfId="0" applyNumberFormat="1" applyFont="1" applyBorder="1" applyAlignment="1">
      <alignment horizontal="center" wrapText="1"/>
    </xf>
    <xf numFmtId="165" fontId="10" fillId="0" borderId="45" xfId="0" applyNumberFormat="1" applyFont="1" applyBorder="1" applyAlignment="1">
      <alignment horizontal="center" wrapText="1"/>
    </xf>
    <xf numFmtId="165" fontId="10" fillId="0" borderId="67" xfId="0" applyNumberFormat="1" applyFont="1" applyBorder="1" applyAlignment="1">
      <alignment horizont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0" fillId="0" borderId="68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13" fillId="5" borderId="20" xfId="0" applyFont="1" applyFill="1" applyBorder="1" applyAlignment="1">
      <alignment horizontal="center" wrapText="1"/>
    </xf>
    <xf numFmtId="0" fontId="13" fillId="5" borderId="76" xfId="0" applyFont="1" applyFill="1" applyBorder="1" applyAlignment="1">
      <alignment horizontal="center" wrapText="1"/>
    </xf>
    <xf numFmtId="0" fontId="13" fillId="5" borderId="15" xfId="0" applyFont="1" applyFill="1" applyBorder="1" applyAlignment="1">
      <alignment horizontal="center" wrapText="1"/>
    </xf>
    <xf numFmtId="0" fontId="15" fillId="0" borderId="77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164" fontId="7" fillId="0" borderId="43" xfId="0" applyNumberFormat="1" applyFont="1" applyBorder="1" applyAlignment="1">
      <alignment horizontal="center"/>
    </xf>
    <xf numFmtId="164" fontId="7" fillId="0" borderId="44" xfId="0" applyNumberFormat="1" applyFont="1" applyBorder="1" applyAlignment="1">
      <alignment horizontal="center"/>
    </xf>
    <xf numFmtId="165" fontId="7" fillId="0" borderId="42" xfId="0" applyNumberFormat="1" applyFont="1" applyBorder="1" applyAlignment="1">
      <alignment horizontal="center"/>
    </xf>
    <xf numFmtId="165" fontId="7" fillId="0" borderId="43" xfId="0" applyNumberFormat="1" applyFont="1" applyBorder="1" applyAlignment="1">
      <alignment horizontal="center"/>
    </xf>
    <xf numFmtId="165" fontId="7" fillId="0" borderId="44" xfId="0" applyNumberFormat="1" applyFont="1" applyBorder="1" applyAlignment="1">
      <alignment horizontal="center"/>
    </xf>
    <xf numFmtId="0" fontId="12" fillId="6" borderId="67" xfId="0" applyFont="1" applyFill="1" applyBorder="1" applyAlignment="1">
      <alignment horizontal="left"/>
    </xf>
    <xf numFmtId="0" fontId="12" fillId="6" borderId="63" xfId="0" applyFont="1" applyFill="1" applyBorder="1" applyAlignment="1">
      <alignment horizontal="left"/>
    </xf>
    <xf numFmtId="0" fontId="12" fillId="6" borderId="7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165" fontId="7" fillId="0" borderId="78" xfId="0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5" fontId="7" fillId="0" borderId="66" xfId="0" applyNumberFormat="1" applyFont="1" applyBorder="1" applyAlignment="1">
      <alignment horizontal="center"/>
    </xf>
    <xf numFmtId="165" fontId="7" fillId="0" borderId="69" xfId="0" applyNumberFormat="1" applyFont="1" applyBorder="1" applyAlignment="1">
      <alignment horizontal="center"/>
    </xf>
    <xf numFmtId="165" fontId="7" fillId="0" borderId="63" xfId="0" applyNumberFormat="1" applyFont="1" applyBorder="1" applyAlignment="1">
      <alignment horizontal="center"/>
    </xf>
    <xf numFmtId="165" fontId="7" fillId="0" borderId="70" xfId="0" applyNumberFormat="1" applyFont="1" applyBorder="1" applyAlignment="1">
      <alignment horizontal="center"/>
    </xf>
    <xf numFmtId="0" fontId="12" fillId="5" borderId="67" xfId="0" applyFont="1" applyFill="1" applyBorder="1" applyAlignment="1">
      <alignment horizontal="left"/>
    </xf>
    <xf numFmtId="0" fontId="12" fillId="5" borderId="7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7" fillId="0" borderId="67" xfId="0" applyFont="1" applyFill="1" applyBorder="1" applyAlignment="1">
      <alignment horizontal="right"/>
    </xf>
    <xf numFmtId="0" fontId="7" fillId="0" borderId="68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right"/>
    </xf>
    <xf numFmtId="0" fontId="11" fillId="0" borderId="17" xfId="0" applyFont="1" applyBorder="1" applyAlignment="1">
      <alignment horizontal="center"/>
    </xf>
    <xf numFmtId="165" fontId="11" fillId="0" borderId="68" xfId="0" applyNumberFormat="1" applyFont="1" applyBorder="1" applyAlignment="1">
      <alignment horizontal="center" wrapText="1"/>
    </xf>
    <xf numFmtId="165" fontId="11" fillId="0" borderId="45" xfId="0" applyNumberFormat="1" applyFont="1" applyBorder="1" applyAlignment="1">
      <alignment horizontal="center" wrapText="1"/>
    </xf>
    <xf numFmtId="165" fontId="11" fillId="0" borderId="67" xfId="0" applyNumberFormat="1" applyFont="1" applyBorder="1" applyAlignment="1">
      <alignment horizont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right" vertical="center" wrapText="1"/>
    </xf>
    <xf numFmtId="0" fontId="0" fillId="0" borderId="68" xfId="0" applyFont="1" applyBorder="1" applyAlignment="1">
      <alignment horizontal="right" vertical="center" wrapText="1"/>
    </xf>
    <xf numFmtId="0" fontId="0" fillId="0" borderId="45" xfId="0" applyFont="1" applyBorder="1" applyAlignment="1">
      <alignment horizontal="right" vertical="center" wrapText="1"/>
    </xf>
    <xf numFmtId="0" fontId="0" fillId="0" borderId="76" xfId="0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vertical="center" wrapText="1"/>
    </xf>
    <xf numFmtId="0" fontId="12" fillId="6" borderId="69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wrapText="1"/>
    </xf>
    <xf numFmtId="165" fontId="7" fillId="0" borderId="17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8" width="15.7109375" style="0" customWidth="1"/>
  </cols>
  <sheetData>
    <row r="1" spans="1:18" ht="24.75" customHeight="1">
      <c r="A1" s="733" t="s">
        <v>315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</row>
    <row r="2" spans="1:6" ht="19.5" customHeight="1">
      <c r="A2" s="725" t="s">
        <v>331</v>
      </c>
      <c r="B2" s="726"/>
      <c r="C2" s="21"/>
      <c r="D2" s="21"/>
      <c r="E2" s="21"/>
      <c r="F2" s="21"/>
    </row>
    <row r="3" spans="1:5" ht="13.5" thickBot="1">
      <c r="A3" s="4"/>
      <c r="B3" s="4"/>
      <c r="C3" s="4"/>
      <c r="D3" s="4"/>
      <c r="E3" s="4"/>
    </row>
    <row r="4" spans="1:17" ht="13.5" thickBot="1">
      <c r="A4" s="300"/>
      <c r="B4" s="722" t="s">
        <v>222</v>
      </c>
      <c r="C4" s="723"/>
      <c r="D4" s="723"/>
      <c r="E4" s="724"/>
      <c r="F4" s="719" t="s">
        <v>223</v>
      </c>
      <c r="G4" s="720"/>
      <c r="H4" s="720"/>
      <c r="I4" s="721"/>
      <c r="J4" s="727" t="s">
        <v>288</v>
      </c>
      <c r="K4" s="728"/>
      <c r="L4" s="728"/>
      <c r="M4" s="729"/>
      <c r="N4" s="730" t="s">
        <v>316</v>
      </c>
      <c r="O4" s="731"/>
      <c r="P4" s="731"/>
      <c r="Q4" s="732"/>
    </row>
    <row r="5" spans="1:18" ht="60" customHeight="1" thickBot="1">
      <c r="A5" s="682" t="s">
        <v>7</v>
      </c>
      <c r="B5" s="686" t="s">
        <v>301</v>
      </c>
      <c r="C5" s="687" t="s">
        <v>226</v>
      </c>
      <c r="D5" s="687" t="s">
        <v>227</v>
      </c>
      <c r="E5" s="688" t="s">
        <v>228</v>
      </c>
      <c r="F5" s="320" t="s">
        <v>229</v>
      </c>
      <c r="G5" s="321" t="s">
        <v>230</v>
      </c>
      <c r="H5" s="321" t="s">
        <v>231</v>
      </c>
      <c r="I5" s="322" t="s">
        <v>232</v>
      </c>
      <c r="J5" s="577" t="s">
        <v>229</v>
      </c>
      <c r="K5" s="578" t="s">
        <v>230</v>
      </c>
      <c r="L5" s="578" t="s">
        <v>231</v>
      </c>
      <c r="M5" s="579" t="s">
        <v>232</v>
      </c>
      <c r="N5" s="652" t="s">
        <v>317</v>
      </c>
      <c r="O5" s="653" t="s">
        <v>324</v>
      </c>
      <c r="P5" s="653" t="s">
        <v>319</v>
      </c>
      <c r="Q5" s="654" t="s">
        <v>325</v>
      </c>
      <c r="R5" s="489" t="s">
        <v>7</v>
      </c>
    </row>
    <row r="6" spans="1:18" ht="12.75">
      <c r="A6" s="681" t="s">
        <v>16</v>
      </c>
      <c r="B6" s="683">
        <f>SummaryResults!B47</f>
        <v>3105.6464461683</v>
      </c>
      <c r="C6" s="684">
        <f>SummaryResults!C47</f>
        <v>135.25292381190783</v>
      </c>
      <c r="D6" s="684">
        <f>SummaryResults!D47</f>
        <v>0</v>
      </c>
      <c r="E6" s="685">
        <f>SummaryResults!E47</f>
        <v>135.25292381190783</v>
      </c>
      <c r="F6" s="689">
        <f>SummaryResults!F47</f>
        <v>3031.925703453835</v>
      </c>
      <c r="G6" s="565">
        <f>SummaryResults!G47</f>
        <v>137.6054258720096</v>
      </c>
      <c r="H6" s="565">
        <f>SummaryResults!H47</f>
        <v>-0.0005343983677738604</v>
      </c>
      <c r="I6" s="566">
        <f>SummaryResults!I47</f>
        <v>137.60596027037735</v>
      </c>
      <c r="J6" s="690">
        <f>SummaryResults!J47</f>
        <v>3024.209239247981</v>
      </c>
      <c r="K6" s="581">
        <f>SummaryResults!K47</f>
        <v>138.35814854444348</v>
      </c>
      <c r="L6" s="581">
        <f>SummaryResults!L47</f>
        <v>-0.006352407911762489</v>
      </c>
      <c r="M6" s="582">
        <f>SummaryResults!M47</f>
        <v>138.36450095235523</v>
      </c>
      <c r="N6" s="692">
        <f>SummaryResults!N47</f>
        <v>2992.807804339643</v>
      </c>
      <c r="O6" s="693">
        <f>SummaryResults!O47</f>
        <v>137.5187147772715</v>
      </c>
      <c r="P6" s="693">
        <f>SummaryResults!P47</f>
        <v>-0.010859797994722063</v>
      </c>
      <c r="Q6" s="694">
        <f>SummaryResults!Q47</f>
        <v>137.52957457526622</v>
      </c>
      <c r="R6" s="490" t="s">
        <v>16</v>
      </c>
    </row>
    <row r="7" spans="1:18" ht="12.75">
      <c r="A7" s="490" t="s">
        <v>32</v>
      </c>
      <c r="B7" s="542">
        <f>SummaryResults!B48</f>
        <v>2576.137845414412</v>
      </c>
      <c r="C7" s="543">
        <f>SummaryResults!C48</f>
        <v>125.9362888495004</v>
      </c>
      <c r="D7" s="543">
        <f>SummaryResults!D48</f>
        <v>0</v>
      </c>
      <c r="E7" s="544">
        <f>SummaryResults!E48</f>
        <v>125.9362888495004</v>
      </c>
      <c r="F7" s="488">
        <f>SummaryResults!F48</f>
        <v>2463.360107864895</v>
      </c>
      <c r="G7" s="329">
        <f>SummaryResults!G48</f>
        <v>128.1717594973168</v>
      </c>
      <c r="H7" s="329">
        <f>SummaryResults!H48</f>
        <v>0</v>
      </c>
      <c r="I7" s="331">
        <f>SummaryResults!I48</f>
        <v>128.1717594973168</v>
      </c>
      <c r="J7" s="609">
        <f>SummaryResults!J48</f>
        <v>2523.0241009443625</v>
      </c>
      <c r="K7" s="584">
        <f>SummaryResults!K48</f>
        <v>129.28288190690813</v>
      </c>
      <c r="L7" s="584">
        <f>SummaryResults!L48</f>
        <v>0</v>
      </c>
      <c r="M7" s="585">
        <f>SummaryResults!M48</f>
        <v>129.28288190690813</v>
      </c>
      <c r="N7" s="677">
        <f>SummaryResults!N48</f>
        <v>2485.9052178337097</v>
      </c>
      <c r="O7" s="659">
        <f>SummaryResults!O48</f>
        <v>128.38114395421135</v>
      </c>
      <c r="P7" s="659">
        <f>SummaryResults!P48</f>
        <v>0</v>
      </c>
      <c r="Q7" s="660">
        <f>SummaryResults!Q48</f>
        <v>128.38114395421135</v>
      </c>
      <c r="R7" s="490" t="s">
        <v>32</v>
      </c>
    </row>
    <row r="8" spans="1:18" ht="12.75">
      <c r="A8" s="490" t="s">
        <v>19</v>
      </c>
      <c r="B8" s="542">
        <f>SummaryResults!B49</f>
        <v>9675.326234564709</v>
      </c>
      <c r="C8" s="543">
        <f>SummaryResults!C49</f>
        <v>125.9362888495004</v>
      </c>
      <c r="D8" s="543">
        <f>SummaryResults!D49</f>
        <v>0</v>
      </c>
      <c r="E8" s="544">
        <f>SummaryResults!E49</f>
        <v>125.9362888495004</v>
      </c>
      <c r="F8" s="488">
        <f>SummaryResults!F49</f>
        <v>9695.097505445337</v>
      </c>
      <c r="G8" s="329">
        <f>SummaryResults!G49</f>
        <v>128.1717594973168</v>
      </c>
      <c r="H8" s="329">
        <f>SummaryResults!H49</f>
        <v>0</v>
      </c>
      <c r="I8" s="331">
        <f>SummaryResults!I49</f>
        <v>128.1717594973168</v>
      </c>
      <c r="J8" s="609">
        <f>SummaryResults!J49</f>
        <v>9577.517873345103</v>
      </c>
      <c r="K8" s="584">
        <f>SummaryResults!K49</f>
        <v>129.28288190690813</v>
      </c>
      <c r="L8" s="584">
        <f>SummaryResults!L49</f>
        <v>0</v>
      </c>
      <c r="M8" s="585">
        <f>SummaryResults!M49</f>
        <v>129.28288190690813</v>
      </c>
      <c r="N8" s="677">
        <f>SummaryResults!N49</f>
        <v>9594.190222988962</v>
      </c>
      <c r="O8" s="659">
        <f>SummaryResults!O49</f>
        <v>128.38114395421135</v>
      </c>
      <c r="P8" s="659">
        <f>SummaryResults!P49</f>
        <v>0</v>
      </c>
      <c r="Q8" s="660">
        <f>SummaryResults!Q49</f>
        <v>128.38114395421135</v>
      </c>
      <c r="R8" s="490" t="s">
        <v>19</v>
      </c>
    </row>
    <row r="9" spans="1:18" ht="12.75">
      <c r="A9" s="490" t="s">
        <v>53</v>
      </c>
      <c r="B9" s="542">
        <f>SummaryResults!B50</f>
        <v>15166.485457631126</v>
      </c>
      <c r="C9" s="543">
        <f>SummaryResults!C50</f>
        <v>125.9362888495004</v>
      </c>
      <c r="D9" s="543">
        <f>SummaryResults!D50</f>
        <v>0</v>
      </c>
      <c r="E9" s="544">
        <f>SummaryResults!E50</f>
        <v>125.9362888495004</v>
      </c>
      <c r="F9" s="488">
        <f>SummaryResults!F50</f>
        <v>14789.453242084262</v>
      </c>
      <c r="G9" s="329">
        <f>SummaryResults!G50</f>
        <v>128.1717594973168</v>
      </c>
      <c r="H9" s="329">
        <f>SummaryResults!H50</f>
        <v>0</v>
      </c>
      <c r="I9" s="331">
        <f>SummaryResults!I50</f>
        <v>128.1717594973168</v>
      </c>
      <c r="J9" s="609">
        <f>SummaryResults!J50</f>
        <v>14628.376863720792</v>
      </c>
      <c r="K9" s="584">
        <f>SummaryResults!K50</f>
        <v>129.28288190690813</v>
      </c>
      <c r="L9" s="584">
        <f>SummaryResults!L50</f>
        <v>0</v>
      </c>
      <c r="M9" s="585">
        <f>SummaryResults!M50</f>
        <v>129.28288190690813</v>
      </c>
      <c r="N9" s="677">
        <f>SummaryResults!N50</f>
        <v>14478.443504276993</v>
      </c>
      <c r="O9" s="659">
        <f>SummaryResults!O50</f>
        <v>128.38114395421135</v>
      </c>
      <c r="P9" s="659">
        <f>SummaryResults!P50</f>
        <v>0</v>
      </c>
      <c r="Q9" s="660">
        <f>SummaryResults!Q50</f>
        <v>128.38114395421135</v>
      </c>
      <c r="R9" s="490" t="s">
        <v>53</v>
      </c>
    </row>
    <row r="10" spans="1:18" ht="12.75">
      <c r="A10" s="490" t="s">
        <v>11</v>
      </c>
      <c r="B10" s="542">
        <f>SummaryResults!B51</f>
        <v>8293.296766634065</v>
      </c>
      <c r="C10" s="543">
        <f>SummaryResults!C51</f>
        <v>135.25292381190783</v>
      </c>
      <c r="D10" s="543">
        <f>SummaryResults!D51</f>
        <v>0</v>
      </c>
      <c r="E10" s="544">
        <f>SummaryResults!E51</f>
        <v>135.25292381190783</v>
      </c>
      <c r="F10" s="488">
        <f>SummaryResults!F51</f>
        <v>8096.062444077762</v>
      </c>
      <c r="G10" s="329">
        <f>SummaryResults!G51</f>
        <v>137.5987361335417</v>
      </c>
      <c r="H10" s="329">
        <f>SummaryResults!H51</f>
        <v>-0.0005343983677738604</v>
      </c>
      <c r="I10" s="331">
        <f>SummaryResults!I51</f>
        <v>137.59927053190947</v>
      </c>
      <c r="J10" s="609">
        <f>SummaryResults!J51</f>
        <v>7983.672689812722</v>
      </c>
      <c r="K10" s="584">
        <f>SummaryResults!K51</f>
        <v>138.35135984781928</v>
      </c>
      <c r="L10" s="584">
        <f>SummaryResults!L51</f>
        <v>-0.006352407911762489</v>
      </c>
      <c r="M10" s="585">
        <f>SummaryResults!M51</f>
        <v>138.35771225573103</v>
      </c>
      <c r="N10" s="677">
        <f>SummaryResults!N51</f>
        <v>7911.018814118672</v>
      </c>
      <c r="O10" s="659">
        <f>SummaryResults!O51</f>
        <v>137.5118727458571</v>
      </c>
      <c r="P10" s="659">
        <f>SummaryResults!P51</f>
        <v>-0.010859797994722063</v>
      </c>
      <c r="Q10" s="660">
        <f>SummaryResults!Q51</f>
        <v>137.52273254385182</v>
      </c>
      <c r="R10" s="490" t="s">
        <v>11</v>
      </c>
    </row>
    <row r="11" spans="1:18" ht="12.75">
      <c r="A11" s="490" t="s">
        <v>20</v>
      </c>
      <c r="B11" s="542">
        <f>SummaryResults!B52</f>
        <v>26485.911577870214</v>
      </c>
      <c r="C11" s="543">
        <f>SummaryResults!C52</f>
        <v>125.9362888495004</v>
      </c>
      <c r="D11" s="543">
        <f>SummaryResults!D52</f>
        <v>0</v>
      </c>
      <c r="E11" s="544">
        <f>SummaryResults!E52</f>
        <v>125.9362888495004</v>
      </c>
      <c r="F11" s="488">
        <f>SummaryResults!F52</f>
        <v>25902.618967008122</v>
      </c>
      <c r="G11" s="329">
        <f>SummaryResults!G52</f>
        <v>128.1717594973168</v>
      </c>
      <c r="H11" s="329">
        <f>SummaryResults!H52</f>
        <v>0</v>
      </c>
      <c r="I11" s="331">
        <f>SummaryResults!I52</f>
        <v>128.1717594973168</v>
      </c>
      <c r="J11" s="609">
        <f>SummaryResults!J52</f>
        <v>25311.639942387224</v>
      </c>
      <c r="K11" s="584">
        <f>SummaryResults!K52</f>
        <v>129.28288190690813</v>
      </c>
      <c r="L11" s="584">
        <f>SummaryResults!L52</f>
        <v>0</v>
      </c>
      <c r="M11" s="585">
        <f>SummaryResults!M52</f>
        <v>129.28288190690813</v>
      </c>
      <c r="N11" s="677">
        <f>SummaryResults!N52</f>
        <v>25210.21763171427</v>
      </c>
      <c r="O11" s="659">
        <f>SummaryResults!O52</f>
        <v>128.38114395421135</v>
      </c>
      <c r="P11" s="659">
        <f>SummaryResults!P52</f>
        <v>0</v>
      </c>
      <c r="Q11" s="660">
        <f>SummaryResults!Q52</f>
        <v>128.38114395421135</v>
      </c>
      <c r="R11" s="490" t="s">
        <v>20</v>
      </c>
    </row>
    <row r="12" spans="1:18" ht="12.75">
      <c r="A12" s="490" t="s">
        <v>21</v>
      </c>
      <c r="B12" s="542">
        <f>SummaryResults!B53</f>
        <v>3991.5340548661443</v>
      </c>
      <c r="C12" s="543">
        <f>SummaryResults!C53</f>
        <v>125.9362888495004</v>
      </c>
      <c r="D12" s="543">
        <f>SummaryResults!D53</f>
        <v>0</v>
      </c>
      <c r="E12" s="544">
        <f>SummaryResults!E53</f>
        <v>125.9362888495004</v>
      </c>
      <c r="F12" s="488">
        <f>SummaryResults!F53</f>
        <v>3838.5266739990434</v>
      </c>
      <c r="G12" s="329">
        <f>SummaryResults!G53</f>
        <v>128.1717594973168</v>
      </c>
      <c r="H12" s="329">
        <f>SummaryResults!H53</f>
        <v>0</v>
      </c>
      <c r="I12" s="331">
        <f>SummaryResults!I53</f>
        <v>128.1717594973168</v>
      </c>
      <c r="J12" s="609">
        <f>SummaryResults!J53</f>
        <v>3810.0104255383635</v>
      </c>
      <c r="K12" s="584">
        <f>SummaryResults!K53</f>
        <v>129.28288190690813</v>
      </c>
      <c r="L12" s="584">
        <f>SummaryResults!L53</f>
        <v>0</v>
      </c>
      <c r="M12" s="585">
        <f>SummaryResults!M53</f>
        <v>129.28288190690813</v>
      </c>
      <c r="N12" s="677">
        <f>SummaryResults!N53</f>
        <v>3745.5374525566863</v>
      </c>
      <c r="O12" s="659">
        <f>SummaryResults!O53</f>
        <v>128.38114395421135</v>
      </c>
      <c r="P12" s="659">
        <f>SummaryResults!P53</f>
        <v>0</v>
      </c>
      <c r="Q12" s="660">
        <f>SummaryResults!Q53</f>
        <v>128.38114395421135</v>
      </c>
      <c r="R12" s="490" t="s">
        <v>21</v>
      </c>
    </row>
    <row r="13" spans="1:18" ht="12.75">
      <c r="A13" s="490" t="s">
        <v>71</v>
      </c>
      <c r="B13" s="542">
        <f>SummaryResults!B54</f>
        <v>278.41698876395</v>
      </c>
      <c r="C13" s="543">
        <f>SummaryResults!C54</f>
        <v>125.9362888495004</v>
      </c>
      <c r="D13" s="543">
        <f>SummaryResults!D54</f>
        <v>0</v>
      </c>
      <c r="E13" s="544">
        <f>SummaryResults!E54</f>
        <v>125.9362888495004</v>
      </c>
      <c r="F13" s="488">
        <f>SummaryResults!F54</f>
        <v>221.96807908269616</v>
      </c>
      <c r="G13" s="329">
        <f>SummaryResults!G54</f>
        <v>128.1717594973168</v>
      </c>
      <c r="H13" s="329">
        <f>SummaryResults!H54</f>
        <v>0</v>
      </c>
      <c r="I13" s="331">
        <f>SummaryResults!I54</f>
        <v>128.1717594973168</v>
      </c>
      <c r="J13" s="609">
        <f>SummaryResults!J54</f>
        <v>234.07486355163587</v>
      </c>
      <c r="K13" s="584">
        <f>SummaryResults!K54</f>
        <v>129.28288190690813</v>
      </c>
      <c r="L13" s="584">
        <f>SummaryResults!L54</f>
        <v>0</v>
      </c>
      <c r="M13" s="585">
        <f>SummaryResults!M54</f>
        <v>129.28288190690813</v>
      </c>
      <c r="N13" s="677">
        <f>SummaryResults!N54</f>
        <v>206.68207134454286</v>
      </c>
      <c r="O13" s="659">
        <f>SummaryResults!O54</f>
        <v>128.38114395421135</v>
      </c>
      <c r="P13" s="659">
        <f>SummaryResults!P54</f>
        <v>0</v>
      </c>
      <c r="Q13" s="660">
        <f>SummaryResults!Q54</f>
        <v>128.38114395421135</v>
      </c>
      <c r="R13" s="490" t="s">
        <v>71</v>
      </c>
    </row>
    <row r="14" spans="1:18" ht="12.75">
      <c r="A14" s="490" t="s">
        <v>52</v>
      </c>
      <c r="B14" s="542">
        <f>SummaryResults!B55</f>
        <v>3316.1987476034387</v>
      </c>
      <c r="C14" s="543">
        <f>SummaryResults!C55</f>
        <v>125.9362888495004</v>
      </c>
      <c r="D14" s="543">
        <f>SummaryResults!D55</f>
        <v>0</v>
      </c>
      <c r="E14" s="544">
        <f>SummaryResults!E55</f>
        <v>125.9362888495004</v>
      </c>
      <c r="F14" s="488">
        <f>SummaryResults!F55</f>
        <v>3292.882251938223</v>
      </c>
      <c r="G14" s="329">
        <f>SummaryResults!G55</f>
        <v>128.1717594973168</v>
      </c>
      <c r="H14" s="329">
        <f>SummaryResults!H55</f>
        <v>0</v>
      </c>
      <c r="I14" s="331">
        <f>SummaryResults!I55</f>
        <v>128.1717594973168</v>
      </c>
      <c r="J14" s="609">
        <f>SummaryResults!J55</f>
        <v>3268.18505149747</v>
      </c>
      <c r="K14" s="584">
        <f>SummaryResults!K55</f>
        <v>129.28288190690813</v>
      </c>
      <c r="L14" s="584">
        <f>SummaryResults!L55</f>
        <v>0</v>
      </c>
      <c r="M14" s="585">
        <f>SummaryResults!M55</f>
        <v>129.28288190690813</v>
      </c>
      <c r="N14" s="677">
        <f>SummaryResults!N55</f>
        <v>3238.4353737578367</v>
      </c>
      <c r="O14" s="659">
        <f>SummaryResults!O55</f>
        <v>128.38114395421135</v>
      </c>
      <c r="P14" s="659">
        <f>SummaryResults!P55</f>
        <v>0</v>
      </c>
      <c r="Q14" s="660">
        <f>SummaryResults!Q55</f>
        <v>128.38114395421135</v>
      </c>
      <c r="R14" s="490" t="s">
        <v>52</v>
      </c>
    </row>
    <row r="15" spans="1:18" ht="12.75">
      <c r="A15" s="490" t="s">
        <v>33</v>
      </c>
      <c r="B15" s="542">
        <f>SummaryResults!B56</f>
        <v>23091.315696753692</v>
      </c>
      <c r="C15" s="543">
        <f>SummaryResults!C56</f>
        <v>125.9362888495004</v>
      </c>
      <c r="D15" s="543">
        <f>SummaryResults!D56</f>
        <v>0</v>
      </c>
      <c r="E15" s="544">
        <f>SummaryResults!E56</f>
        <v>125.9362888495004</v>
      </c>
      <c r="F15" s="488">
        <f>SummaryResults!F56</f>
        <v>22373.47699821875</v>
      </c>
      <c r="G15" s="329">
        <f>SummaryResults!G56</f>
        <v>128.1717594973168</v>
      </c>
      <c r="H15" s="329">
        <f>SummaryResults!H56</f>
        <v>0</v>
      </c>
      <c r="I15" s="331">
        <f>SummaryResults!I56</f>
        <v>128.1717594973168</v>
      </c>
      <c r="J15" s="609">
        <f>SummaryResults!J56</f>
        <v>21956.43369133273</v>
      </c>
      <c r="K15" s="584">
        <f>SummaryResults!K56</f>
        <v>129.28288190690813</v>
      </c>
      <c r="L15" s="584">
        <f>SummaryResults!L56</f>
        <v>0</v>
      </c>
      <c r="M15" s="585">
        <f>SummaryResults!M56</f>
        <v>129.28288190690813</v>
      </c>
      <c r="N15" s="677">
        <f>SummaryResults!N56</f>
        <v>21994.420743617095</v>
      </c>
      <c r="O15" s="659">
        <f>SummaryResults!O56</f>
        <v>128.38114395421135</v>
      </c>
      <c r="P15" s="659">
        <f>SummaryResults!P56</f>
        <v>0</v>
      </c>
      <c r="Q15" s="660">
        <f>SummaryResults!Q56</f>
        <v>128.38114395421135</v>
      </c>
      <c r="R15" s="490" t="s">
        <v>33</v>
      </c>
    </row>
    <row r="16" spans="1:18" ht="12.75">
      <c r="A16" s="490" t="s">
        <v>17</v>
      </c>
      <c r="B16" s="542">
        <f>SummaryResults!B57</f>
        <v>4615.351245820253</v>
      </c>
      <c r="C16" s="543">
        <f>SummaryResults!C57</f>
        <v>142.98648472611222</v>
      </c>
      <c r="D16" s="543">
        <f>SummaryResults!D57</f>
        <v>0</v>
      </c>
      <c r="E16" s="544">
        <f>SummaryResults!E57</f>
        <v>142.98648472611222</v>
      </c>
      <c r="F16" s="488">
        <f>SummaryResults!F57</f>
        <v>4625.67417072727</v>
      </c>
      <c r="G16" s="329">
        <f>SummaryResults!G57</f>
        <v>145.32172811955596</v>
      </c>
      <c r="H16" s="329">
        <f>SummaryResults!H57</f>
        <v>-0.0005343983677738605</v>
      </c>
      <c r="I16" s="331">
        <f>SummaryResults!I57</f>
        <v>145.32226251792372</v>
      </c>
      <c r="J16" s="609">
        <f>SummaryResults!J57</f>
        <v>4593.1330342532565</v>
      </c>
      <c r="K16" s="584">
        <f>SummaryResults!K57</f>
        <v>146.12911875885246</v>
      </c>
      <c r="L16" s="584">
        <f>SummaryResults!L57</f>
        <v>-0.00635240791176249</v>
      </c>
      <c r="M16" s="585">
        <f>SummaryResults!M57</f>
        <v>146.1354711667642</v>
      </c>
      <c r="N16" s="677">
        <f>SummaryResults!N57</f>
        <v>4551.467542076287</v>
      </c>
      <c r="O16" s="659">
        <f>SummaryResults!O57</f>
        <v>145.3608227721178</v>
      </c>
      <c r="P16" s="659">
        <f>SummaryResults!P57</f>
        <v>-0.01085979799472206</v>
      </c>
      <c r="Q16" s="660">
        <f>SummaryResults!Q57</f>
        <v>145.37168257011254</v>
      </c>
      <c r="R16" s="490" t="s">
        <v>17</v>
      </c>
    </row>
    <row r="17" spans="1:18" ht="12.75">
      <c r="A17" s="490" t="s">
        <v>12</v>
      </c>
      <c r="B17" s="542">
        <f>SummaryResults!B58</f>
        <v>7323.4122291722015</v>
      </c>
      <c r="C17" s="543">
        <f>SummaryResults!C58</f>
        <v>135.25292381190783</v>
      </c>
      <c r="D17" s="543">
        <f>SummaryResults!D58</f>
        <v>0</v>
      </c>
      <c r="E17" s="544">
        <f>SummaryResults!E58</f>
        <v>135.25292381190783</v>
      </c>
      <c r="F17" s="488">
        <f>SummaryResults!F58</f>
        <v>7029.840480186554</v>
      </c>
      <c r="G17" s="329">
        <f>SummaryResults!G58</f>
        <v>137.6054258720096</v>
      </c>
      <c r="H17" s="329">
        <f>SummaryResults!H58</f>
        <v>-0.0005343983677738605</v>
      </c>
      <c r="I17" s="331">
        <f>SummaryResults!I58</f>
        <v>137.60596027037735</v>
      </c>
      <c r="J17" s="609">
        <f>SummaryResults!J58</f>
        <v>6945.689176270624</v>
      </c>
      <c r="K17" s="584">
        <f>SummaryResults!K58</f>
        <v>138.35814854444348</v>
      </c>
      <c r="L17" s="584">
        <f>SummaryResults!L58</f>
        <v>-0.00635240791176249</v>
      </c>
      <c r="M17" s="585">
        <f>SummaryResults!M58</f>
        <v>138.36450095235523</v>
      </c>
      <c r="N17" s="677">
        <f>SummaryResults!N58</f>
        <v>6917.189293615567</v>
      </c>
      <c r="O17" s="659">
        <f>SummaryResults!O58</f>
        <v>137.5187147772715</v>
      </c>
      <c r="P17" s="659">
        <f>SummaryResults!P58</f>
        <v>-0.010859797994722063</v>
      </c>
      <c r="Q17" s="660">
        <f>SummaryResults!Q58</f>
        <v>137.52957457526622</v>
      </c>
      <c r="R17" s="490" t="s">
        <v>12</v>
      </c>
    </row>
    <row r="18" spans="1:18" ht="12.75">
      <c r="A18" s="490" t="s">
        <v>13</v>
      </c>
      <c r="B18" s="542">
        <f>SummaryResults!B59</f>
        <v>3416.99506212026</v>
      </c>
      <c r="C18" s="543">
        <f>SummaryResults!C59</f>
        <v>135.25292381190783</v>
      </c>
      <c r="D18" s="543">
        <f>SummaryResults!D59</f>
        <v>0</v>
      </c>
      <c r="E18" s="544">
        <f>SummaryResults!E59</f>
        <v>135.25292381190783</v>
      </c>
      <c r="F18" s="488">
        <f>SummaryResults!F59</f>
        <v>3373.445798338624</v>
      </c>
      <c r="G18" s="329">
        <f>SummaryResults!G59</f>
        <v>137.5987361335417</v>
      </c>
      <c r="H18" s="329">
        <f>SummaryResults!H59</f>
        <v>-0.0005343983677738604</v>
      </c>
      <c r="I18" s="331">
        <f>SummaryResults!I59</f>
        <v>137.59927053190947</v>
      </c>
      <c r="J18" s="609">
        <f>SummaryResults!J59</f>
        <v>3308.6834791771707</v>
      </c>
      <c r="K18" s="584">
        <f>SummaryResults!K59</f>
        <v>138.35135984781928</v>
      </c>
      <c r="L18" s="584">
        <f>SummaryResults!L59</f>
        <v>-0.00635240791176249</v>
      </c>
      <c r="M18" s="585">
        <f>SummaryResults!M59</f>
        <v>138.35771225573103</v>
      </c>
      <c r="N18" s="677">
        <f>SummaryResults!N59</f>
        <v>3276.9207993809628</v>
      </c>
      <c r="O18" s="659">
        <f>SummaryResults!O59</f>
        <v>137.5118727458571</v>
      </c>
      <c r="P18" s="659">
        <f>SummaryResults!P59</f>
        <v>-0.010859797994722063</v>
      </c>
      <c r="Q18" s="660">
        <f>SummaryResults!Q59</f>
        <v>137.52273254385182</v>
      </c>
      <c r="R18" s="490" t="s">
        <v>13</v>
      </c>
    </row>
    <row r="19" spans="1:18" ht="12.75">
      <c r="A19" s="490" t="s">
        <v>9</v>
      </c>
      <c r="B19" s="542">
        <f>SummaryResults!B60</f>
        <v>9979.95509621555</v>
      </c>
      <c r="C19" s="543">
        <f>SummaryResults!C60</f>
        <v>135.25292381190783</v>
      </c>
      <c r="D19" s="543">
        <f>SummaryResults!D60</f>
        <v>0</v>
      </c>
      <c r="E19" s="544">
        <f>SummaryResults!E60</f>
        <v>135.25292381190783</v>
      </c>
      <c r="F19" s="488">
        <f>SummaryResults!F60</f>
        <v>9930.187613552951</v>
      </c>
      <c r="G19" s="329">
        <f>SummaryResults!G60</f>
        <v>137.6054258720096</v>
      </c>
      <c r="H19" s="329">
        <f>SummaryResults!H60</f>
        <v>-0.0005343983677738604</v>
      </c>
      <c r="I19" s="331">
        <f>SummaryResults!I60</f>
        <v>137.60596027037735</v>
      </c>
      <c r="J19" s="609">
        <f>SummaryResults!J60</f>
        <v>9689.006931315165</v>
      </c>
      <c r="K19" s="584">
        <f>SummaryResults!K60</f>
        <v>138.35814854444348</v>
      </c>
      <c r="L19" s="584">
        <f>SummaryResults!L60</f>
        <v>-0.00635240791176249</v>
      </c>
      <c r="M19" s="585">
        <f>SummaryResults!M60</f>
        <v>138.36450095235523</v>
      </c>
      <c r="N19" s="677">
        <f>SummaryResults!N60</f>
        <v>9613.432935800525</v>
      </c>
      <c r="O19" s="659">
        <f>SummaryResults!O60</f>
        <v>137.5187147772715</v>
      </c>
      <c r="P19" s="659">
        <f>SummaryResults!P60</f>
        <v>-0.010859797994722063</v>
      </c>
      <c r="Q19" s="660">
        <f>SummaryResults!Q60</f>
        <v>137.52957457526622</v>
      </c>
      <c r="R19" s="490" t="s">
        <v>9</v>
      </c>
    </row>
    <row r="20" spans="1:18" ht="12.75">
      <c r="A20" s="490" t="s">
        <v>14</v>
      </c>
      <c r="B20" s="542">
        <f>SummaryResults!B61</f>
        <v>3344.1977238581107</v>
      </c>
      <c r="C20" s="543">
        <f>SummaryResults!C61</f>
        <v>135.25292381190783</v>
      </c>
      <c r="D20" s="543">
        <f>SummaryResults!D61</f>
        <v>0</v>
      </c>
      <c r="E20" s="544">
        <f>SummaryResults!E61</f>
        <v>135.25292381190783</v>
      </c>
      <c r="F20" s="488">
        <f>SummaryResults!F61</f>
        <v>3319.9977748976244</v>
      </c>
      <c r="G20" s="329">
        <f>SummaryResults!G61</f>
        <v>137.5987361335417</v>
      </c>
      <c r="H20" s="329">
        <f>SummaryResults!H61</f>
        <v>-0.0005343983677738604</v>
      </c>
      <c r="I20" s="331">
        <f>SummaryResults!I61</f>
        <v>137.59927053190947</v>
      </c>
      <c r="J20" s="609">
        <f>SummaryResults!J61</f>
        <v>3244.051463813281</v>
      </c>
      <c r="K20" s="584">
        <f>SummaryResults!K61</f>
        <v>138.35135984781928</v>
      </c>
      <c r="L20" s="584">
        <f>SummaryResults!L61</f>
        <v>-0.00635240791176249</v>
      </c>
      <c r="M20" s="585">
        <f>SummaryResults!M61</f>
        <v>138.35771225573103</v>
      </c>
      <c r="N20" s="677">
        <f>SummaryResults!N61</f>
        <v>3203.3457209838093</v>
      </c>
      <c r="O20" s="659">
        <f>SummaryResults!O61</f>
        <v>137.5118727458571</v>
      </c>
      <c r="P20" s="659">
        <f>SummaryResults!P61</f>
        <v>-0.01085979799472206</v>
      </c>
      <c r="Q20" s="660">
        <f>SummaryResults!Q61</f>
        <v>137.52273254385182</v>
      </c>
      <c r="R20" s="490" t="s">
        <v>14</v>
      </c>
    </row>
    <row r="21" spans="1:18" ht="12.75">
      <c r="A21" s="490" t="s">
        <v>15</v>
      </c>
      <c r="B21" s="542">
        <f>SummaryResults!B62</f>
        <v>7835.2335151076195</v>
      </c>
      <c r="C21" s="543">
        <f>SummaryResults!C62</f>
        <v>135.25292381190783</v>
      </c>
      <c r="D21" s="543">
        <f>SummaryResults!D62</f>
        <v>0</v>
      </c>
      <c r="E21" s="544">
        <f>SummaryResults!E62</f>
        <v>135.25292381190783</v>
      </c>
      <c r="F21" s="488">
        <f>SummaryResults!F62</f>
        <v>7647.624684172031</v>
      </c>
      <c r="G21" s="329">
        <f>SummaryResults!G62</f>
        <v>137.5987361335417</v>
      </c>
      <c r="H21" s="329">
        <f>SummaryResults!H62</f>
        <v>-0.0005343983677738605</v>
      </c>
      <c r="I21" s="331">
        <f>SummaryResults!I62</f>
        <v>137.59927053190947</v>
      </c>
      <c r="J21" s="609">
        <f>SummaryResults!J62</f>
        <v>7535.340625484768</v>
      </c>
      <c r="K21" s="584">
        <f>SummaryResults!K62</f>
        <v>138.35135984781928</v>
      </c>
      <c r="L21" s="584">
        <f>SummaryResults!L62</f>
        <v>-0.006352407911762489</v>
      </c>
      <c r="M21" s="585">
        <f>SummaryResults!M62</f>
        <v>138.35771225573103</v>
      </c>
      <c r="N21" s="677">
        <f>SummaryResults!N62</f>
        <v>7472.964116584843</v>
      </c>
      <c r="O21" s="659">
        <f>SummaryResults!O62</f>
        <v>137.5118727458571</v>
      </c>
      <c r="P21" s="659">
        <f>SummaryResults!P62</f>
        <v>-0.01085979799472206</v>
      </c>
      <c r="Q21" s="660">
        <f>SummaryResults!Q62</f>
        <v>137.52273254385182</v>
      </c>
      <c r="R21" s="490" t="s">
        <v>15</v>
      </c>
    </row>
    <row r="22" spans="1:18" ht="12.75">
      <c r="A22" s="490" t="s">
        <v>10</v>
      </c>
      <c r="B22" s="542">
        <f>SummaryResults!B63</f>
        <v>8493.769436617522</v>
      </c>
      <c r="C22" s="543">
        <f>SummaryResults!C63</f>
        <v>135.25292381190783</v>
      </c>
      <c r="D22" s="543">
        <f>SummaryResults!D63</f>
        <v>0</v>
      </c>
      <c r="E22" s="544">
        <f>SummaryResults!E63</f>
        <v>135.25292381190783</v>
      </c>
      <c r="F22" s="488">
        <f>SummaryResults!F63</f>
        <v>8396.687033540506</v>
      </c>
      <c r="G22" s="329">
        <f>SummaryResults!G63</f>
        <v>137.5987361335417</v>
      </c>
      <c r="H22" s="329">
        <f>SummaryResults!H63</f>
        <v>-0.0005343983677738604</v>
      </c>
      <c r="I22" s="331">
        <f>SummaryResults!I63</f>
        <v>137.59927053190947</v>
      </c>
      <c r="J22" s="609">
        <f>SummaryResults!J63</f>
        <v>8259.849348073927</v>
      </c>
      <c r="K22" s="584">
        <f>SummaryResults!K63</f>
        <v>138.35135984781928</v>
      </c>
      <c r="L22" s="584">
        <f>SummaryResults!L63</f>
        <v>-0.00635240791176249</v>
      </c>
      <c r="M22" s="585">
        <f>SummaryResults!M63</f>
        <v>138.35771225573103</v>
      </c>
      <c r="N22" s="677">
        <f>SummaryResults!N63</f>
        <v>8177.021020631461</v>
      </c>
      <c r="O22" s="659">
        <f>SummaryResults!O63</f>
        <v>137.5118727458571</v>
      </c>
      <c r="P22" s="659">
        <f>SummaryResults!P63</f>
        <v>-0.010859797994722063</v>
      </c>
      <c r="Q22" s="660">
        <f>SummaryResults!Q63</f>
        <v>137.52273254385182</v>
      </c>
      <c r="R22" s="490" t="s">
        <v>10</v>
      </c>
    </row>
    <row r="23" spans="1:18" ht="12.75">
      <c r="A23" s="490" t="s">
        <v>8</v>
      </c>
      <c r="B23" s="542">
        <f>SummaryResults!B64</f>
        <v>12208.673606087497</v>
      </c>
      <c r="C23" s="543">
        <f>SummaryResults!C64</f>
        <v>179.80636572144232</v>
      </c>
      <c r="D23" s="543">
        <f>SummaryResults!D64</f>
        <v>15.80559801546998</v>
      </c>
      <c r="E23" s="544">
        <f>SummaryResults!E64</f>
        <v>164.00076770597235</v>
      </c>
      <c r="F23" s="488">
        <f>SummaryResults!F64</f>
        <v>11833.462574056777</v>
      </c>
      <c r="G23" s="329">
        <f>SummaryResults!G64</f>
        <v>187.411649976458</v>
      </c>
      <c r="H23" s="329">
        <f>SummaryResults!H64</f>
        <v>17.174716870151126</v>
      </c>
      <c r="I23" s="331">
        <f>SummaryResults!I64</f>
        <v>170.23693310630688</v>
      </c>
      <c r="J23" s="609">
        <f>SummaryResults!J64</f>
        <v>11669.88595131847</v>
      </c>
      <c r="K23" s="584">
        <f>SummaryResults!K64</f>
        <v>189.058256072403</v>
      </c>
      <c r="L23" s="584">
        <f>SummaryResults!L64</f>
        <v>17.596552203639185</v>
      </c>
      <c r="M23" s="585">
        <f>SummaryResults!M64</f>
        <v>171.4617038687638</v>
      </c>
      <c r="N23" s="677">
        <f>SummaryResults!N64</f>
        <v>11563.738475466636</v>
      </c>
      <c r="O23" s="659">
        <f>SummaryResults!O64</f>
        <v>188.8440169925617</v>
      </c>
      <c r="P23" s="659">
        <f>SummaryResults!P64</f>
        <v>17.894634307338706</v>
      </c>
      <c r="Q23" s="660">
        <f>SummaryResults!Q64</f>
        <v>170.949382685223</v>
      </c>
      <c r="R23" s="490" t="s">
        <v>8</v>
      </c>
    </row>
    <row r="24" spans="1:18" ht="13.5" thickBot="1">
      <c r="A24" s="491" t="s">
        <v>18</v>
      </c>
      <c r="B24" s="545">
        <f>SummaryResults!B65</f>
        <v>484.9422687309317</v>
      </c>
      <c r="C24" s="546">
        <f>SummaryResults!C65</f>
        <v>135.25292381190783</v>
      </c>
      <c r="D24" s="546">
        <f>SummaryResults!D65</f>
        <v>0</v>
      </c>
      <c r="E24" s="547">
        <f>SummaryResults!E65</f>
        <v>135.25292381190783</v>
      </c>
      <c r="F24" s="492">
        <f>SummaryResults!F65</f>
        <v>468.8878973547206</v>
      </c>
      <c r="G24" s="333">
        <f>SummaryResults!G65</f>
        <v>137.6054258720096</v>
      </c>
      <c r="H24" s="333">
        <f>SummaryResults!H65</f>
        <v>-0.0005343983677738605</v>
      </c>
      <c r="I24" s="334">
        <f>SummaryResults!I65</f>
        <v>137.60596027037735</v>
      </c>
      <c r="J24" s="610">
        <f>SummaryResults!J65</f>
        <v>459.8752489149424</v>
      </c>
      <c r="K24" s="587">
        <f>SummaryResults!K65</f>
        <v>138.35814854444348</v>
      </c>
      <c r="L24" s="587">
        <f>SummaryResults!L65</f>
        <v>-0.00635240791176249</v>
      </c>
      <c r="M24" s="588">
        <f>SummaryResults!M65</f>
        <v>138.36450095235523</v>
      </c>
      <c r="N24" s="679">
        <f>SummaryResults!N65</f>
        <v>459.561258911458</v>
      </c>
      <c r="O24" s="662">
        <f>SummaryResults!O65</f>
        <v>137.5187147772715</v>
      </c>
      <c r="P24" s="662">
        <f>SummaryResults!P65</f>
        <v>-0.01085979799472206</v>
      </c>
      <c r="Q24" s="663">
        <f>SummaryResults!Q65</f>
        <v>137.52957457526622</v>
      </c>
      <c r="R24" s="491" t="s">
        <v>18</v>
      </c>
    </row>
    <row r="25" spans="2:14" ht="13.5" thickBot="1">
      <c r="B25" s="548">
        <f>SUM(B6:B24)</f>
        <v>153682.80000000002</v>
      </c>
      <c r="F25" s="493">
        <f>SUM(F6:F24)</f>
        <v>150331.18</v>
      </c>
      <c r="J25" s="611">
        <f>SUM(J6:J24)</f>
        <v>148022.65999999995</v>
      </c>
      <c r="N25" s="691">
        <f>SUM(N6:N24)</f>
        <v>147093.29999999996</v>
      </c>
    </row>
    <row r="26" spans="6:14" ht="12.75">
      <c r="F26" s="304"/>
      <c r="N26" s="19" t="s">
        <v>332</v>
      </c>
    </row>
    <row r="28" spans="1:5" ht="18">
      <c r="A28" s="298" t="s">
        <v>24</v>
      </c>
      <c r="B28" s="298"/>
      <c r="C28" s="298"/>
      <c r="D28" s="298"/>
      <c r="E28" s="298"/>
    </row>
    <row r="29" spans="1:5" ht="12.75">
      <c r="A29" s="4" t="s">
        <v>24</v>
      </c>
      <c r="B29" s="4"/>
      <c r="C29" s="4"/>
      <c r="D29" s="4"/>
      <c r="E29" s="4"/>
    </row>
    <row r="30" spans="1:5" ht="15">
      <c r="A30" s="302" t="s">
        <v>24</v>
      </c>
      <c r="B30" s="302"/>
      <c r="C30" s="302"/>
      <c r="D30" s="302"/>
      <c r="E30" s="302"/>
    </row>
  </sheetData>
  <sheetProtection/>
  <mergeCells count="6">
    <mergeCell ref="F4:I4"/>
    <mergeCell ref="B4:E4"/>
    <mergeCell ref="A2:B2"/>
    <mergeCell ref="J4:M4"/>
    <mergeCell ref="N4:Q4"/>
    <mergeCell ref="A1:R1"/>
  </mergeCells>
  <printOptions/>
  <pageMargins left="0.7" right="0.7" top="0.25" bottom="0.25" header="0.3" footer="0.3"/>
  <pageSetup fitToHeight="1" fitToWidth="1" horizontalDpi="600" verticalDpi="600" orientation="landscape" paperSize="5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3" width="17.7109375" style="0" customWidth="1"/>
    <col min="4" max="4" width="21.57421875" style="0" customWidth="1"/>
    <col min="5" max="5" width="15.7109375" style="0" customWidth="1"/>
    <col min="6" max="7" width="17.7109375" style="0" customWidth="1"/>
    <col min="8" max="8" width="21.140625" style="0" customWidth="1"/>
    <col min="9" max="16" width="15.7109375" style="0" customWidth="1"/>
  </cols>
  <sheetData>
    <row r="1" ht="18.75">
      <c r="A1" s="3" t="s">
        <v>216</v>
      </c>
    </row>
    <row r="2" ht="19.5" thickBot="1">
      <c r="A2" s="3"/>
    </row>
    <row r="3" spans="1:3" ht="13.5" thickBot="1">
      <c r="A3" s="816" t="s">
        <v>97</v>
      </c>
      <c r="C3" s="310"/>
    </row>
    <row r="4" spans="1:9" ht="15.75" thickBot="1">
      <c r="A4" s="870"/>
      <c r="B4" s="871" t="s">
        <v>30</v>
      </c>
      <c r="C4" s="872"/>
      <c r="D4" s="521" t="s">
        <v>5</v>
      </c>
      <c r="E4" s="140"/>
      <c r="F4" s="140"/>
      <c r="G4" s="140"/>
      <c r="H4" s="140"/>
      <c r="I4" s="140"/>
    </row>
    <row r="5" spans="1:9" ht="26.25">
      <c r="A5" s="522" t="s">
        <v>174</v>
      </c>
      <c r="B5" s="110" t="s">
        <v>172</v>
      </c>
      <c r="C5" s="113" t="s">
        <v>297</v>
      </c>
      <c r="D5" s="486" t="s">
        <v>172</v>
      </c>
      <c r="E5" s="242"/>
      <c r="F5" s="140"/>
      <c r="G5" s="140"/>
      <c r="H5" s="140"/>
      <c r="I5" s="140"/>
    </row>
    <row r="6" spans="1:9" ht="30" customHeight="1">
      <c r="A6" s="523" t="s">
        <v>181</v>
      </c>
      <c r="B6" s="249"/>
      <c r="C6" s="250"/>
      <c r="D6" s="256"/>
      <c r="E6" s="140"/>
      <c r="F6" s="140"/>
      <c r="G6" s="140"/>
      <c r="H6" s="140"/>
      <c r="I6" s="140"/>
    </row>
    <row r="7" spans="1:9" ht="14.25">
      <c r="A7" s="524" t="s">
        <v>74</v>
      </c>
      <c r="B7" s="251">
        <v>160</v>
      </c>
      <c r="C7" s="252">
        <v>0</v>
      </c>
      <c r="D7" s="257">
        <v>0</v>
      </c>
      <c r="E7" s="141"/>
      <c r="F7" s="141"/>
      <c r="G7" s="141"/>
      <c r="H7" s="42"/>
      <c r="I7" s="141"/>
    </row>
    <row r="8" spans="1:9" ht="14.25">
      <c r="A8" s="524" t="s">
        <v>75</v>
      </c>
      <c r="B8" s="251">
        <v>106</v>
      </c>
      <c r="C8" s="252">
        <v>0</v>
      </c>
      <c r="D8" s="257">
        <v>0</v>
      </c>
      <c r="E8" s="141"/>
      <c r="F8" s="141"/>
      <c r="G8" s="141"/>
      <c r="H8" s="42"/>
      <c r="I8" s="141"/>
    </row>
    <row r="9" spans="1:9" ht="14.25">
      <c r="A9" s="525" t="s">
        <v>147</v>
      </c>
      <c r="B9" s="262">
        <f>SUM(B7:B8)</f>
        <v>266</v>
      </c>
      <c r="C9" s="262">
        <f>SUM(C7:C8)</f>
        <v>0</v>
      </c>
      <c r="D9" s="264">
        <f>SUM(D7:D8)</f>
        <v>0</v>
      </c>
      <c r="E9" s="141"/>
      <c r="F9" s="141"/>
      <c r="G9" s="141"/>
      <c r="H9" s="42"/>
      <c r="I9" s="141"/>
    </row>
    <row r="10" spans="1:9" ht="15">
      <c r="A10" s="523" t="s">
        <v>120</v>
      </c>
      <c r="B10" s="251" t="s">
        <v>24</v>
      </c>
      <c r="C10" s="252"/>
      <c r="D10" s="257"/>
      <c r="E10" s="142"/>
      <c r="F10" s="142"/>
      <c r="G10" s="143"/>
      <c r="H10" s="142"/>
      <c r="I10" s="142"/>
    </row>
    <row r="11" spans="1:9" ht="26.25">
      <c r="A11" s="524" t="s">
        <v>73</v>
      </c>
      <c r="B11" s="251">
        <v>16</v>
      </c>
      <c r="C11" s="252">
        <v>0</v>
      </c>
      <c r="D11" s="257">
        <v>237</v>
      </c>
      <c r="E11" s="141"/>
      <c r="F11" s="142"/>
      <c r="G11" s="143"/>
      <c r="H11" s="42"/>
      <c r="I11" s="142"/>
    </row>
    <row r="12" spans="1:9" ht="15">
      <c r="A12" s="525" t="s">
        <v>148</v>
      </c>
      <c r="B12" s="262">
        <f>SUM(B11)</f>
        <v>16</v>
      </c>
      <c r="C12" s="262">
        <f>SUM(C11)</f>
        <v>0</v>
      </c>
      <c r="D12" s="264">
        <f>SUM(D11)</f>
        <v>237</v>
      </c>
      <c r="E12" s="142"/>
      <c r="F12" s="142"/>
      <c r="G12" s="143"/>
      <c r="H12" s="42"/>
      <c r="I12" s="142"/>
    </row>
    <row r="13" spans="1:9" ht="15">
      <c r="A13" s="526" t="s">
        <v>119</v>
      </c>
      <c r="B13" s="253"/>
      <c r="C13" s="252"/>
      <c r="D13" s="258"/>
      <c r="E13" s="142"/>
      <c r="F13" s="142"/>
      <c r="G13" s="143"/>
      <c r="H13" s="42"/>
      <c r="I13" s="142"/>
    </row>
    <row r="14" spans="1:9" ht="26.25">
      <c r="A14" s="524" t="s">
        <v>96</v>
      </c>
      <c r="B14" s="251">
        <v>159</v>
      </c>
      <c r="C14" s="252">
        <v>0</v>
      </c>
      <c r="D14" s="257">
        <v>0</v>
      </c>
      <c r="E14" s="141"/>
      <c r="F14" s="142"/>
      <c r="G14" s="143"/>
      <c r="H14" s="42"/>
      <c r="I14" s="142"/>
    </row>
    <row r="15" spans="1:9" ht="15">
      <c r="A15" s="525" t="s">
        <v>149</v>
      </c>
      <c r="B15" s="262">
        <f>SUM(B14)</f>
        <v>159</v>
      </c>
      <c r="C15" s="262">
        <f>SUM(C14)</f>
        <v>0</v>
      </c>
      <c r="D15" s="264">
        <f>SUM(D14)</f>
        <v>0</v>
      </c>
      <c r="E15" s="142"/>
      <c r="F15" s="142"/>
      <c r="G15" s="143"/>
      <c r="H15" s="42"/>
      <c r="I15" s="142"/>
    </row>
    <row r="16" spans="1:9" ht="15">
      <c r="A16" s="527"/>
      <c r="B16" s="251"/>
      <c r="C16" s="252"/>
      <c r="D16" s="259"/>
      <c r="E16" s="142"/>
      <c r="F16" s="142"/>
      <c r="G16" s="143"/>
      <c r="H16" s="42"/>
      <c r="I16" s="142"/>
    </row>
    <row r="17" spans="1:9" ht="15.75" thickBot="1">
      <c r="A17" s="528" t="s">
        <v>150</v>
      </c>
      <c r="B17" s="266">
        <f>B9+B12+B15</f>
        <v>441</v>
      </c>
      <c r="C17" s="266">
        <f>C9+C12+C15</f>
        <v>0</v>
      </c>
      <c r="D17" s="268">
        <f>D9+D12+D15</f>
        <v>237</v>
      </c>
      <c r="E17" s="243"/>
      <c r="F17" s="145"/>
      <c r="G17" s="141"/>
      <c r="H17" s="42"/>
      <c r="I17" s="145"/>
    </row>
    <row r="18" spans="1:9" ht="31.5" customHeight="1">
      <c r="A18" s="6" t="s">
        <v>300</v>
      </c>
      <c r="B18" s="616"/>
      <c r="C18" s="616"/>
      <c r="D18" s="616"/>
      <c r="E18" s="148"/>
      <c r="F18" s="148"/>
      <c r="G18" s="147"/>
      <c r="H18" s="148"/>
      <c r="I18" s="148"/>
    </row>
    <row r="19" spans="2:9" ht="15">
      <c r="B19" s="146"/>
      <c r="C19" s="146"/>
      <c r="D19" s="147"/>
      <c r="E19" s="148"/>
      <c r="F19" s="148"/>
      <c r="G19" s="147"/>
      <c r="H19" s="148"/>
      <c r="I19" s="148"/>
    </row>
    <row r="20" spans="1:9" ht="15.75" thickBot="1">
      <c r="A20" s="144"/>
      <c r="B20" s="146"/>
      <c r="C20" s="146"/>
      <c r="D20" s="147"/>
      <c r="E20" s="148"/>
      <c r="F20" s="148"/>
      <c r="G20" s="147"/>
      <c r="H20" s="148"/>
      <c r="I20" s="148"/>
    </row>
    <row r="21" spans="1:9" ht="32.25" thickBot="1">
      <c r="A21" s="287" t="s">
        <v>98</v>
      </c>
      <c r="B21" s="40"/>
      <c r="C21" s="40"/>
      <c r="D21" s="41"/>
      <c r="E21" s="148"/>
      <c r="F21" s="148"/>
      <c r="G21" s="147"/>
      <c r="H21" s="148"/>
      <c r="I21" s="148"/>
    </row>
    <row r="22" spans="1:9" ht="40.5" customHeight="1">
      <c r="A22" s="101" t="s">
        <v>90</v>
      </c>
      <c r="B22" s="162" t="s">
        <v>219</v>
      </c>
      <c r="C22" s="163" t="s">
        <v>91</v>
      </c>
      <c r="D22" s="150"/>
      <c r="E22" s="148" t="s">
        <v>24</v>
      </c>
      <c r="F22" s="148" t="s">
        <v>24</v>
      </c>
      <c r="G22" s="147" t="s">
        <v>24</v>
      </c>
      <c r="H22" s="148"/>
      <c r="I22" s="148"/>
    </row>
    <row r="23" spans="1:9" ht="14.25">
      <c r="A23" s="55" t="s">
        <v>16</v>
      </c>
      <c r="B23" s="71">
        <v>0.0183</v>
      </c>
      <c r="C23" s="291">
        <v>0.0896</v>
      </c>
      <c r="D23" s="151"/>
      <c r="E23" s="42"/>
      <c r="F23" s="42"/>
      <c r="G23" s="42"/>
      <c r="H23" s="148"/>
      <c r="I23" s="148"/>
    </row>
    <row r="24" spans="1:9" ht="14.25">
      <c r="A24" s="55" t="s">
        <v>32</v>
      </c>
      <c r="B24" s="71">
        <v>0.1512</v>
      </c>
      <c r="C24" s="291">
        <v>0</v>
      </c>
      <c r="D24" s="151"/>
      <c r="E24" s="42"/>
      <c r="F24" s="42"/>
      <c r="G24" s="42"/>
      <c r="H24" s="148"/>
      <c r="I24" s="148"/>
    </row>
    <row r="25" spans="1:9" ht="14.25">
      <c r="A25" s="55" t="s">
        <v>19</v>
      </c>
      <c r="B25" s="71">
        <v>0.0553</v>
      </c>
      <c r="C25" s="291">
        <v>0</v>
      </c>
      <c r="D25" s="151"/>
      <c r="E25" s="42"/>
      <c r="F25" s="42"/>
      <c r="G25" s="42"/>
      <c r="H25" s="148"/>
      <c r="I25" s="148"/>
    </row>
    <row r="26" spans="1:9" ht="12.75">
      <c r="A26" s="55" t="s">
        <v>53</v>
      </c>
      <c r="B26" s="71">
        <v>0.0865</v>
      </c>
      <c r="C26" s="292">
        <v>0</v>
      </c>
      <c r="D26" s="151"/>
      <c r="E26" s="42"/>
      <c r="F26" s="42"/>
      <c r="G26" s="42"/>
      <c r="H26" s="42"/>
      <c r="I26" s="42"/>
    </row>
    <row r="27" spans="1:9" ht="12.75">
      <c r="A27" s="55" t="s">
        <v>11</v>
      </c>
      <c r="B27" s="71">
        <v>0.0446</v>
      </c>
      <c r="C27" s="292">
        <v>0</v>
      </c>
      <c r="D27" s="151"/>
      <c r="E27" s="42"/>
      <c r="F27" s="42"/>
      <c r="G27" s="42"/>
      <c r="H27" s="42"/>
      <c r="I27" s="42"/>
    </row>
    <row r="28" spans="1:9" ht="12.75">
      <c r="A28" s="55" t="s">
        <v>20</v>
      </c>
      <c r="B28" s="71">
        <v>0.1464</v>
      </c>
      <c r="C28" s="292">
        <v>0</v>
      </c>
      <c r="D28" s="151"/>
      <c r="E28" s="42"/>
      <c r="F28" s="42"/>
      <c r="G28" s="42"/>
      <c r="H28" s="42"/>
      <c r="I28" s="42"/>
    </row>
    <row r="29" spans="1:9" ht="12.75">
      <c r="A29" s="55" t="s">
        <v>21</v>
      </c>
      <c r="B29" s="71">
        <v>0.0221</v>
      </c>
      <c r="C29" s="292">
        <v>0</v>
      </c>
      <c r="D29" s="151"/>
      <c r="E29" s="42"/>
      <c r="F29" s="42"/>
      <c r="G29" s="42"/>
      <c r="H29" s="42"/>
      <c r="I29" s="42"/>
    </row>
    <row r="30" spans="1:9" ht="12.75">
      <c r="A30" s="55" t="s">
        <v>71</v>
      </c>
      <c r="B30" s="71">
        <v>0</v>
      </c>
      <c r="C30" s="292">
        <v>0</v>
      </c>
      <c r="D30" s="151"/>
      <c r="E30" s="42"/>
      <c r="F30" s="42"/>
      <c r="G30" s="42"/>
      <c r="H30" s="42"/>
      <c r="I30" s="42"/>
    </row>
    <row r="31" spans="1:9" ht="12.75">
      <c r="A31" s="55" t="s">
        <v>52</v>
      </c>
      <c r="B31" s="71">
        <v>0.0185</v>
      </c>
      <c r="C31" s="292">
        <v>0</v>
      </c>
      <c r="D31" s="151"/>
      <c r="E31" s="42"/>
      <c r="F31" s="42"/>
      <c r="G31" s="42"/>
      <c r="H31" s="42"/>
      <c r="I31" s="42"/>
    </row>
    <row r="32" spans="1:9" ht="12.75">
      <c r="A32" s="55" t="s">
        <v>33</v>
      </c>
      <c r="B32" s="71">
        <v>0.1238</v>
      </c>
      <c r="C32" s="292">
        <v>0</v>
      </c>
      <c r="D32" s="151"/>
      <c r="E32" s="42"/>
      <c r="F32" s="42"/>
      <c r="G32" s="42"/>
      <c r="H32" s="42"/>
      <c r="I32" s="42"/>
    </row>
    <row r="33" spans="1:9" ht="12.75">
      <c r="A33" s="55" t="s">
        <v>17</v>
      </c>
      <c r="B33" s="71">
        <v>0.0261</v>
      </c>
      <c r="C33" s="292">
        <v>0.1677</v>
      </c>
      <c r="D33" s="151"/>
      <c r="E33" s="42"/>
      <c r="F33" s="42"/>
      <c r="G33" s="42"/>
      <c r="H33" s="42"/>
      <c r="I33" s="42"/>
    </row>
    <row r="34" spans="1:9" ht="12.75">
      <c r="A34" s="55" t="s">
        <v>12</v>
      </c>
      <c r="B34" s="71">
        <v>0.0407</v>
      </c>
      <c r="C34" s="292">
        <v>0.0959</v>
      </c>
      <c r="D34" s="151"/>
      <c r="E34" s="42"/>
      <c r="F34" s="42"/>
      <c r="G34" s="42"/>
      <c r="H34" s="42"/>
      <c r="I34" s="42"/>
    </row>
    <row r="35" spans="1:9" ht="12.75">
      <c r="A35" s="55" t="s">
        <v>13</v>
      </c>
      <c r="B35" s="71">
        <v>0.0192</v>
      </c>
      <c r="C35" s="292">
        <v>0.0147</v>
      </c>
      <c r="D35" s="151"/>
      <c r="E35" s="42"/>
      <c r="F35" s="42"/>
      <c r="G35" s="42"/>
      <c r="H35" s="42"/>
      <c r="I35" s="42"/>
    </row>
    <row r="36" spans="1:9" ht="12.75">
      <c r="A36" s="55" t="s">
        <v>9</v>
      </c>
      <c r="B36" s="71">
        <v>0.0554</v>
      </c>
      <c r="C36" s="292">
        <v>0.3064</v>
      </c>
      <c r="D36" s="151"/>
      <c r="E36" s="42"/>
      <c r="F36" s="42"/>
      <c r="G36" s="42"/>
      <c r="H36" s="42"/>
      <c r="I36" s="42"/>
    </row>
    <row r="37" spans="1:9" ht="12.75">
      <c r="A37" s="55" t="s">
        <v>14</v>
      </c>
      <c r="B37" s="71">
        <v>0.0193</v>
      </c>
      <c r="C37" s="292">
        <v>0</v>
      </c>
      <c r="D37" s="151"/>
      <c r="E37" s="42"/>
      <c r="F37" s="42"/>
      <c r="G37" s="42"/>
      <c r="H37" s="42"/>
      <c r="I37" s="42"/>
    </row>
    <row r="38" spans="1:9" ht="12.75">
      <c r="A38" s="55" t="s">
        <v>15</v>
      </c>
      <c r="B38" s="71">
        <v>0.0433</v>
      </c>
      <c r="C38" s="292">
        <v>0</v>
      </c>
      <c r="D38" s="151"/>
      <c r="E38" s="42"/>
      <c r="F38" s="42"/>
      <c r="G38" s="42"/>
      <c r="H38" s="42"/>
      <c r="I38" s="42"/>
    </row>
    <row r="39" spans="1:9" ht="12.75">
      <c r="A39" s="55" t="s">
        <v>10</v>
      </c>
      <c r="B39" s="71">
        <v>0.0477</v>
      </c>
      <c r="C39" s="292">
        <v>0.1633</v>
      </c>
      <c r="D39" s="151"/>
      <c r="E39" s="42"/>
      <c r="F39" s="42"/>
      <c r="G39" s="42"/>
      <c r="H39" s="42"/>
      <c r="I39" s="42"/>
    </row>
    <row r="40" spans="1:9" ht="12.75">
      <c r="A40" s="55" t="s">
        <v>8</v>
      </c>
      <c r="B40" s="71">
        <v>0.0674</v>
      </c>
      <c r="C40" s="292">
        <v>0.14</v>
      </c>
      <c r="D40" s="151"/>
      <c r="E40" s="42"/>
      <c r="F40" s="42"/>
      <c r="G40" s="42"/>
      <c r="H40" s="42"/>
      <c r="I40" s="42"/>
    </row>
    <row r="41" spans="1:9" ht="12.75">
      <c r="A41" s="55" t="s">
        <v>18</v>
      </c>
      <c r="B41" s="71">
        <v>0.0027</v>
      </c>
      <c r="C41" s="292">
        <v>0.0052</v>
      </c>
      <c r="D41" s="151"/>
      <c r="E41" s="42"/>
      <c r="F41" s="42"/>
      <c r="G41" s="42"/>
      <c r="H41" s="42"/>
      <c r="I41" s="42"/>
    </row>
    <row r="42" spans="1:9" ht="12.75">
      <c r="A42" s="55" t="s">
        <v>217</v>
      </c>
      <c r="B42" s="71">
        <v>0.0055</v>
      </c>
      <c r="C42" s="292">
        <v>0.0049</v>
      </c>
      <c r="D42" s="151"/>
      <c r="E42" s="42"/>
      <c r="F42" s="42"/>
      <c r="G42" s="42"/>
      <c r="H42" s="42"/>
      <c r="I42" s="42"/>
    </row>
    <row r="43" spans="1:7" ht="12.75">
      <c r="A43" s="55" t="s">
        <v>47</v>
      </c>
      <c r="B43" s="71">
        <v>0.0041</v>
      </c>
      <c r="C43" s="292">
        <v>0.0094</v>
      </c>
      <c r="D43" s="151"/>
      <c r="E43" s="42"/>
      <c r="F43" s="42"/>
      <c r="G43" s="42"/>
    </row>
    <row r="44" spans="1:7" ht="13.5" thickBot="1">
      <c r="A44" s="529" t="s">
        <v>58</v>
      </c>
      <c r="B44" s="530">
        <v>0.0019</v>
      </c>
      <c r="C44" s="531">
        <v>0.0029</v>
      </c>
      <c r="D44" s="151"/>
      <c r="E44" s="42"/>
      <c r="F44" s="42"/>
      <c r="G44" s="42"/>
    </row>
    <row r="45" spans="1:7" ht="13.5" thickBot="1">
      <c r="A45" s="532" t="s">
        <v>59</v>
      </c>
      <c r="B45" s="533">
        <f>SUM(B23:B44)</f>
        <v>0.9999999999999999</v>
      </c>
      <c r="C45" s="534">
        <f>SUM(C23:C44)</f>
        <v>0.9999999999999999</v>
      </c>
      <c r="D45" s="152"/>
      <c r="E45" s="42"/>
      <c r="F45" s="42"/>
      <c r="G45" s="42"/>
    </row>
    <row r="46" spans="1:7" ht="30" customHeight="1">
      <c r="A46" s="873" t="s">
        <v>218</v>
      </c>
      <c r="B46" s="873"/>
      <c r="C46" s="873"/>
      <c r="D46" s="152"/>
      <c r="E46" s="42"/>
      <c r="F46" s="42"/>
      <c r="G46" s="42"/>
    </row>
    <row r="47" spans="1:4" ht="12.75">
      <c r="A47" s="12"/>
      <c r="B47" s="152"/>
      <c r="C47" s="152"/>
      <c r="D47" s="152"/>
    </row>
    <row r="48" spans="1:4" ht="13.5" thickBot="1">
      <c r="A48" s="12"/>
      <c r="B48" s="152"/>
      <c r="C48" s="152"/>
      <c r="D48" s="152"/>
    </row>
    <row r="49" spans="1:4" ht="15.75" thickBot="1">
      <c r="A49" s="826" t="s">
        <v>95</v>
      </c>
      <c r="B49" s="464"/>
      <c r="C49" s="467"/>
      <c r="D49" s="147"/>
    </row>
    <row r="50" spans="1:9" ht="15.75" thickBot="1">
      <c r="A50" s="827"/>
      <c r="B50" s="861" t="s">
        <v>30</v>
      </c>
      <c r="C50" s="861"/>
      <c r="D50" s="861"/>
      <c r="E50" s="862"/>
      <c r="F50" s="863" t="s">
        <v>5</v>
      </c>
      <c r="G50" s="861"/>
      <c r="H50" s="861"/>
      <c r="I50" s="862"/>
    </row>
    <row r="51" spans="1:9" ht="49.5" customHeight="1" thickBot="1">
      <c r="A51" s="828"/>
      <c r="B51" s="864" t="s">
        <v>299</v>
      </c>
      <c r="C51" s="865"/>
      <c r="D51" s="866"/>
      <c r="E51" s="465">
        <f>'1st IA CTRs'!F15</f>
        <v>-0.09091495674906887</v>
      </c>
      <c r="F51" s="867" t="s">
        <v>275</v>
      </c>
      <c r="G51" s="868"/>
      <c r="H51" s="869"/>
      <c r="I51" s="465">
        <f>'1st IA CTRs'!J15</f>
        <v>0</v>
      </c>
    </row>
    <row r="52" spans="1:9" ht="51">
      <c r="A52" s="101" t="s">
        <v>90</v>
      </c>
      <c r="B52" s="161" t="s">
        <v>151</v>
      </c>
      <c r="C52" s="161" t="s">
        <v>152</v>
      </c>
      <c r="D52" s="161" t="s">
        <v>92</v>
      </c>
      <c r="E52" s="111" t="s">
        <v>116</v>
      </c>
      <c r="F52" s="161" t="s">
        <v>151</v>
      </c>
      <c r="G52" s="161" t="s">
        <v>152</v>
      </c>
      <c r="H52" s="161" t="s">
        <v>92</v>
      </c>
      <c r="I52" s="128" t="s">
        <v>116</v>
      </c>
    </row>
    <row r="53" spans="1:9" ht="12.75">
      <c r="A53" s="55" t="s">
        <v>16</v>
      </c>
      <c r="B53" s="466">
        <f>B23*$C$9</f>
        <v>0</v>
      </c>
      <c r="C53" s="65">
        <f>C23*$C$11</f>
        <v>0</v>
      </c>
      <c r="D53" s="466">
        <f>B53+C53</f>
        <v>0</v>
      </c>
      <c r="E53" s="157">
        <f>D53*$E$51</f>
        <v>0</v>
      </c>
      <c r="F53" s="65">
        <f aca="true" t="shared" si="0" ref="F53:F74">B23*$D$9</f>
        <v>0</v>
      </c>
      <c r="G53" s="65">
        <f aca="true" t="shared" si="1" ref="G53:G74">C23*$D$12</f>
        <v>21.2352</v>
      </c>
      <c r="H53" s="65">
        <f>F53+G53</f>
        <v>21.2352</v>
      </c>
      <c r="I53" s="136">
        <f>H53*$I$51</f>
        <v>0</v>
      </c>
    </row>
    <row r="54" spans="1:9" ht="12.75">
      <c r="A54" s="55" t="s">
        <v>32</v>
      </c>
      <c r="B54" s="466">
        <f aca="true" t="shared" si="2" ref="B54:B74">B24*$C$9</f>
        <v>0</v>
      </c>
      <c r="C54" s="65">
        <f aca="true" t="shared" si="3" ref="C54:C74">C24*$C$11</f>
        <v>0</v>
      </c>
      <c r="D54" s="466">
        <f>B54+C54</f>
        <v>0</v>
      </c>
      <c r="E54" s="157">
        <f aca="true" t="shared" si="4" ref="E54:E74">D54*$E$51</f>
        <v>0</v>
      </c>
      <c r="F54" s="65">
        <f t="shared" si="0"/>
        <v>0</v>
      </c>
      <c r="G54" s="65">
        <f t="shared" si="1"/>
        <v>0</v>
      </c>
      <c r="H54" s="65">
        <f aca="true" t="shared" si="5" ref="H54:H74">F54+G54</f>
        <v>0</v>
      </c>
      <c r="I54" s="136">
        <f>H54*$I$51</f>
        <v>0</v>
      </c>
    </row>
    <row r="55" spans="1:9" ht="12.75">
      <c r="A55" s="55" t="s">
        <v>19</v>
      </c>
      <c r="B55" s="466">
        <f t="shared" si="2"/>
        <v>0</v>
      </c>
      <c r="C55" s="65">
        <f t="shared" si="3"/>
        <v>0</v>
      </c>
      <c r="D55" s="466">
        <f>B55+C55</f>
        <v>0</v>
      </c>
      <c r="E55" s="157">
        <f t="shared" si="4"/>
        <v>0</v>
      </c>
      <c r="F55" s="65">
        <f t="shared" si="0"/>
        <v>0</v>
      </c>
      <c r="G55" s="65">
        <f t="shared" si="1"/>
        <v>0</v>
      </c>
      <c r="H55" s="65">
        <f t="shared" si="5"/>
        <v>0</v>
      </c>
      <c r="I55" s="136">
        <f>H55*$I$51</f>
        <v>0</v>
      </c>
    </row>
    <row r="56" spans="1:9" ht="12.75">
      <c r="A56" s="55" t="s">
        <v>53</v>
      </c>
      <c r="B56" s="466">
        <f t="shared" si="2"/>
        <v>0</v>
      </c>
      <c r="C56" s="65">
        <f t="shared" si="3"/>
        <v>0</v>
      </c>
      <c r="D56" s="466">
        <f aca="true" t="shared" si="6" ref="D56:D74">B56+C56</f>
        <v>0</v>
      </c>
      <c r="E56" s="157">
        <f t="shared" si="4"/>
        <v>0</v>
      </c>
      <c r="F56" s="65">
        <f t="shared" si="0"/>
        <v>0</v>
      </c>
      <c r="G56" s="65">
        <f t="shared" si="1"/>
        <v>0</v>
      </c>
      <c r="H56" s="65">
        <f t="shared" si="5"/>
        <v>0</v>
      </c>
      <c r="I56" s="136">
        <f aca="true" t="shared" si="7" ref="I56:I74">H56*$I$51</f>
        <v>0</v>
      </c>
    </row>
    <row r="57" spans="1:9" ht="12.75">
      <c r="A57" s="55" t="s">
        <v>11</v>
      </c>
      <c r="B57" s="466">
        <f t="shared" si="2"/>
        <v>0</v>
      </c>
      <c r="C57" s="65">
        <f t="shared" si="3"/>
        <v>0</v>
      </c>
      <c r="D57" s="466">
        <f t="shared" si="6"/>
        <v>0</v>
      </c>
      <c r="E57" s="157">
        <f t="shared" si="4"/>
        <v>0</v>
      </c>
      <c r="F57" s="65">
        <f t="shared" si="0"/>
        <v>0</v>
      </c>
      <c r="G57" s="65">
        <f t="shared" si="1"/>
        <v>0</v>
      </c>
      <c r="H57" s="65">
        <f t="shared" si="5"/>
        <v>0</v>
      </c>
      <c r="I57" s="136">
        <f t="shared" si="7"/>
        <v>0</v>
      </c>
    </row>
    <row r="58" spans="1:9" ht="12.75">
      <c r="A58" s="55" t="s">
        <v>20</v>
      </c>
      <c r="B58" s="466">
        <f t="shared" si="2"/>
        <v>0</v>
      </c>
      <c r="C58" s="65">
        <f t="shared" si="3"/>
        <v>0</v>
      </c>
      <c r="D58" s="466">
        <f t="shared" si="6"/>
        <v>0</v>
      </c>
      <c r="E58" s="157">
        <f t="shared" si="4"/>
        <v>0</v>
      </c>
      <c r="F58" s="65">
        <f t="shared" si="0"/>
        <v>0</v>
      </c>
      <c r="G58" s="65">
        <f t="shared" si="1"/>
        <v>0</v>
      </c>
      <c r="H58" s="65">
        <f t="shared" si="5"/>
        <v>0</v>
      </c>
      <c r="I58" s="136">
        <f t="shared" si="7"/>
        <v>0</v>
      </c>
    </row>
    <row r="59" spans="1:9" ht="12.75">
      <c r="A59" s="55" t="s">
        <v>21</v>
      </c>
      <c r="B59" s="466">
        <f t="shared" si="2"/>
        <v>0</v>
      </c>
      <c r="C59" s="65">
        <f t="shared" si="3"/>
        <v>0</v>
      </c>
      <c r="D59" s="466">
        <f t="shared" si="6"/>
        <v>0</v>
      </c>
      <c r="E59" s="157">
        <f>D59*$E$51</f>
        <v>0</v>
      </c>
      <c r="F59" s="65">
        <f t="shared" si="0"/>
        <v>0</v>
      </c>
      <c r="G59" s="65">
        <f t="shared" si="1"/>
        <v>0</v>
      </c>
      <c r="H59" s="65">
        <f t="shared" si="5"/>
        <v>0</v>
      </c>
      <c r="I59" s="136">
        <f t="shared" si="7"/>
        <v>0</v>
      </c>
    </row>
    <row r="60" spans="1:9" ht="12.75">
      <c r="A60" s="55" t="s">
        <v>71</v>
      </c>
      <c r="B60" s="466">
        <f t="shared" si="2"/>
        <v>0</v>
      </c>
      <c r="C60" s="65">
        <f t="shared" si="3"/>
        <v>0</v>
      </c>
      <c r="D60" s="466">
        <f t="shared" si="6"/>
        <v>0</v>
      </c>
      <c r="E60" s="157">
        <f>D60*$E$51</f>
        <v>0</v>
      </c>
      <c r="F60" s="65">
        <f t="shared" si="0"/>
        <v>0</v>
      </c>
      <c r="G60" s="65">
        <f t="shared" si="1"/>
        <v>0</v>
      </c>
      <c r="H60" s="65">
        <f t="shared" si="5"/>
        <v>0</v>
      </c>
      <c r="I60" s="136">
        <f t="shared" si="7"/>
        <v>0</v>
      </c>
    </row>
    <row r="61" spans="1:9" ht="12.75">
      <c r="A61" s="55" t="s">
        <v>52</v>
      </c>
      <c r="B61" s="466">
        <f t="shared" si="2"/>
        <v>0</v>
      </c>
      <c r="C61" s="65">
        <f t="shared" si="3"/>
        <v>0</v>
      </c>
      <c r="D61" s="466">
        <f t="shared" si="6"/>
        <v>0</v>
      </c>
      <c r="E61" s="157">
        <f>D61*$E$51</f>
        <v>0</v>
      </c>
      <c r="F61" s="65">
        <f t="shared" si="0"/>
        <v>0</v>
      </c>
      <c r="G61" s="65">
        <f t="shared" si="1"/>
        <v>0</v>
      </c>
      <c r="H61" s="65">
        <f t="shared" si="5"/>
        <v>0</v>
      </c>
      <c r="I61" s="136">
        <f t="shared" si="7"/>
        <v>0</v>
      </c>
    </row>
    <row r="62" spans="1:9" ht="12.75">
      <c r="A62" s="55" t="s">
        <v>33</v>
      </c>
      <c r="B62" s="466">
        <f t="shared" si="2"/>
        <v>0</v>
      </c>
      <c r="C62" s="65">
        <f t="shared" si="3"/>
        <v>0</v>
      </c>
      <c r="D62" s="466">
        <f t="shared" si="6"/>
        <v>0</v>
      </c>
      <c r="E62" s="157">
        <f>D62*$E$51</f>
        <v>0</v>
      </c>
      <c r="F62" s="65">
        <f t="shared" si="0"/>
        <v>0</v>
      </c>
      <c r="G62" s="65">
        <f t="shared" si="1"/>
        <v>0</v>
      </c>
      <c r="H62" s="65">
        <f t="shared" si="5"/>
        <v>0</v>
      </c>
      <c r="I62" s="136">
        <f t="shared" si="7"/>
        <v>0</v>
      </c>
    </row>
    <row r="63" spans="1:9" ht="12.75">
      <c r="A63" s="55" t="s">
        <v>17</v>
      </c>
      <c r="B63" s="466">
        <f t="shared" si="2"/>
        <v>0</v>
      </c>
      <c r="C63" s="65">
        <f t="shared" si="3"/>
        <v>0</v>
      </c>
      <c r="D63" s="466">
        <f t="shared" si="6"/>
        <v>0</v>
      </c>
      <c r="E63" s="157">
        <f>D63*$E$51</f>
        <v>0</v>
      </c>
      <c r="F63" s="65">
        <f t="shared" si="0"/>
        <v>0</v>
      </c>
      <c r="G63" s="65">
        <f t="shared" si="1"/>
        <v>39.744899999999994</v>
      </c>
      <c r="H63" s="65">
        <f t="shared" si="5"/>
        <v>39.744899999999994</v>
      </c>
      <c r="I63" s="136">
        <f t="shared" si="7"/>
        <v>0</v>
      </c>
    </row>
    <row r="64" spans="1:9" ht="12.75">
      <c r="A64" s="55" t="s">
        <v>12</v>
      </c>
      <c r="B64" s="466">
        <f t="shared" si="2"/>
        <v>0</v>
      </c>
      <c r="C64" s="65">
        <f t="shared" si="3"/>
        <v>0</v>
      </c>
      <c r="D64" s="466">
        <f t="shared" si="6"/>
        <v>0</v>
      </c>
      <c r="E64" s="157">
        <f t="shared" si="4"/>
        <v>0</v>
      </c>
      <c r="F64" s="65">
        <f t="shared" si="0"/>
        <v>0</v>
      </c>
      <c r="G64" s="65">
        <f t="shared" si="1"/>
        <v>22.7283</v>
      </c>
      <c r="H64" s="65">
        <f t="shared" si="5"/>
        <v>22.7283</v>
      </c>
      <c r="I64" s="136">
        <f t="shared" si="7"/>
        <v>0</v>
      </c>
    </row>
    <row r="65" spans="1:9" ht="12.75">
      <c r="A65" s="55" t="s">
        <v>13</v>
      </c>
      <c r="B65" s="466">
        <f t="shared" si="2"/>
        <v>0</v>
      </c>
      <c r="C65" s="65">
        <f t="shared" si="3"/>
        <v>0</v>
      </c>
      <c r="D65" s="466">
        <f t="shared" si="6"/>
        <v>0</v>
      </c>
      <c r="E65" s="157">
        <f t="shared" si="4"/>
        <v>0</v>
      </c>
      <c r="F65" s="65">
        <f t="shared" si="0"/>
        <v>0</v>
      </c>
      <c r="G65" s="65">
        <f t="shared" si="1"/>
        <v>3.4838999999999998</v>
      </c>
      <c r="H65" s="65">
        <f t="shared" si="5"/>
        <v>3.4838999999999998</v>
      </c>
      <c r="I65" s="136">
        <f t="shared" si="7"/>
        <v>0</v>
      </c>
    </row>
    <row r="66" spans="1:9" ht="12.75">
      <c r="A66" s="55" t="s">
        <v>9</v>
      </c>
      <c r="B66" s="466">
        <f t="shared" si="2"/>
        <v>0</v>
      </c>
      <c r="C66" s="65">
        <f t="shared" si="3"/>
        <v>0</v>
      </c>
      <c r="D66" s="466">
        <f t="shared" si="6"/>
        <v>0</v>
      </c>
      <c r="E66" s="157">
        <f t="shared" si="4"/>
        <v>0</v>
      </c>
      <c r="F66" s="65">
        <f t="shared" si="0"/>
        <v>0</v>
      </c>
      <c r="G66" s="65">
        <f t="shared" si="1"/>
        <v>72.6168</v>
      </c>
      <c r="H66" s="65">
        <f t="shared" si="5"/>
        <v>72.6168</v>
      </c>
      <c r="I66" s="136">
        <f t="shared" si="7"/>
        <v>0</v>
      </c>
    </row>
    <row r="67" spans="1:9" ht="12.75">
      <c r="A67" s="55" t="s">
        <v>14</v>
      </c>
      <c r="B67" s="466">
        <f t="shared" si="2"/>
        <v>0</v>
      </c>
      <c r="C67" s="65">
        <f t="shared" si="3"/>
        <v>0</v>
      </c>
      <c r="D67" s="466">
        <f t="shared" si="6"/>
        <v>0</v>
      </c>
      <c r="E67" s="157">
        <f t="shared" si="4"/>
        <v>0</v>
      </c>
      <c r="F67" s="65">
        <f t="shared" si="0"/>
        <v>0</v>
      </c>
      <c r="G67" s="65">
        <f t="shared" si="1"/>
        <v>0</v>
      </c>
      <c r="H67" s="65">
        <f t="shared" si="5"/>
        <v>0</v>
      </c>
      <c r="I67" s="136">
        <f t="shared" si="7"/>
        <v>0</v>
      </c>
    </row>
    <row r="68" spans="1:9" ht="12.75">
      <c r="A68" s="55" t="s">
        <v>15</v>
      </c>
      <c r="B68" s="466">
        <f t="shared" si="2"/>
        <v>0</v>
      </c>
      <c r="C68" s="65">
        <f t="shared" si="3"/>
        <v>0</v>
      </c>
      <c r="D68" s="466">
        <f t="shared" si="6"/>
        <v>0</v>
      </c>
      <c r="E68" s="157">
        <f t="shared" si="4"/>
        <v>0</v>
      </c>
      <c r="F68" s="65">
        <f t="shared" si="0"/>
        <v>0</v>
      </c>
      <c r="G68" s="65">
        <f t="shared" si="1"/>
        <v>0</v>
      </c>
      <c r="H68" s="65">
        <f t="shared" si="5"/>
        <v>0</v>
      </c>
      <c r="I68" s="136">
        <f t="shared" si="7"/>
        <v>0</v>
      </c>
    </row>
    <row r="69" spans="1:9" ht="12.75">
      <c r="A69" s="55" t="s">
        <v>10</v>
      </c>
      <c r="B69" s="466">
        <f t="shared" si="2"/>
        <v>0</v>
      </c>
      <c r="C69" s="65">
        <f t="shared" si="3"/>
        <v>0</v>
      </c>
      <c r="D69" s="466">
        <f t="shared" si="6"/>
        <v>0</v>
      </c>
      <c r="E69" s="157">
        <f t="shared" si="4"/>
        <v>0</v>
      </c>
      <c r="F69" s="65">
        <f t="shared" si="0"/>
        <v>0</v>
      </c>
      <c r="G69" s="65">
        <f t="shared" si="1"/>
        <v>38.7021</v>
      </c>
      <c r="H69" s="65">
        <f t="shared" si="5"/>
        <v>38.7021</v>
      </c>
      <c r="I69" s="136">
        <f t="shared" si="7"/>
        <v>0</v>
      </c>
    </row>
    <row r="70" spans="1:9" ht="12.75">
      <c r="A70" s="55" t="s">
        <v>8</v>
      </c>
      <c r="B70" s="466">
        <f t="shared" si="2"/>
        <v>0</v>
      </c>
      <c r="C70" s="65">
        <f t="shared" si="3"/>
        <v>0</v>
      </c>
      <c r="D70" s="466">
        <f t="shared" si="6"/>
        <v>0</v>
      </c>
      <c r="E70" s="157">
        <f t="shared" si="4"/>
        <v>0</v>
      </c>
      <c r="F70" s="65">
        <f t="shared" si="0"/>
        <v>0</v>
      </c>
      <c r="G70" s="65">
        <f t="shared" si="1"/>
        <v>33.18</v>
      </c>
      <c r="H70" s="65">
        <f t="shared" si="5"/>
        <v>33.18</v>
      </c>
      <c r="I70" s="136">
        <f t="shared" si="7"/>
        <v>0</v>
      </c>
    </row>
    <row r="71" spans="1:9" ht="12.75">
      <c r="A71" s="55" t="s">
        <v>18</v>
      </c>
      <c r="B71" s="466">
        <f t="shared" si="2"/>
        <v>0</v>
      </c>
      <c r="C71" s="65">
        <f t="shared" si="3"/>
        <v>0</v>
      </c>
      <c r="D71" s="466">
        <f t="shared" si="6"/>
        <v>0</v>
      </c>
      <c r="E71" s="157">
        <f t="shared" si="4"/>
        <v>0</v>
      </c>
      <c r="F71" s="65">
        <f t="shared" si="0"/>
        <v>0</v>
      </c>
      <c r="G71" s="65">
        <f t="shared" si="1"/>
        <v>1.2324</v>
      </c>
      <c r="H71" s="65">
        <f t="shared" si="5"/>
        <v>1.2324</v>
      </c>
      <c r="I71" s="136">
        <f t="shared" si="7"/>
        <v>0</v>
      </c>
    </row>
    <row r="72" spans="1:9" ht="12.75">
      <c r="A72" s="55" t="s">
        <v>217</v>
      </c>
      <c r="B72" s="466">
        <f t="shared" si="2"/>
        <v>0</v>
      </c>
      <c r="C72" s="65">
        <f t="shared" si="3"/>
        <v>0</v>
      </c>
      <c r="D72" s="466">
        <f>B72+C72</f>
        <v>0</v>
      </c>
      <c r="E72" s="157">
        <f>D72*$E$51</f>
        <v>0</v>
      </c>
      <c r="F72" s="65">
        <f t="shared" si="0"/>
        <v>0</v>
      </c>
      <c r="G72" s="65">
        <f t="shared" si="1"/>
        <v>1.1613</v>
      </c>
      <c r="H72" s="65">
        <f>F72+G72</f>
        <v>1.1613</v>
      </c>
      <c r="I72" s="136">
        <f>H72*$I$51</f>
        <v>0</v>
      </c>
    </row>
    <row r="73" spans="1:9" ht="12.75">
      <c r="A73" s="55" t="s">
        <v>47</v>
      </c>
      <c r="B73" s="466">
        <f t="shared" si="2"/>
        <v>0</v>
      </c>
      <c r="C73" s="65">
        <f t="shared" si="3"/>
        <v>0</v>
      </c>
      <c r="D73" s="466">
        <f t="shared" si="6"/>
        <v>0</v>
      </c>
      <c r="E73" s="157">
        <f t="shared" si="4"/>
        <v>0</v>
      </c>
      <c r="F73" s="65">
        <f t="shared" si="0"/>
        <v>0</v>
      </c>
      <c r="G73" s="65">
        <f t="shared" si="1"/>
        <v>2.2278000000000002</v>
      </c>
      <c r="H73" s="65">
        <f t="shared" si="5"/>
        <v>2.2278000000000002</v>
      </c>
      <c r="I73" s="136">
        <f t="shared" si="7"/>
        <v>0</v>
      </c>
    </row>
    <row r="74" spans="1:9" ht="13.5" thickBot="1">
      <c r="A74" s="529" t="s">
        <v>58</v>
      </c>
      <c r="B74" s="535">
        <f t="shared" si="2"/>
        <v>0</v>
      </c>
      <c r="C74" s="511">
        <f t="shared" si="3"/>
        <v>0</v>
      </c>
      <c r="D74" s="535">
        <f t="shared" si="6"/>
        <v>0</v>
      </c>
      <c r="E74" s="536">
        <f t="shared" si="4"/>
        <v>0</v>
      </c>
      <c r="F74" s="511">
        <f t="shared" si="0"/>
        <v>0</v>
      </c>
      <c r="G74" s="511">
        <f t="shared" si="1"/>
        <v>0.6872999999999999</v>
      </c>
      <c r="H74" s="511">
        <f t="shared" si="5"/>
        <v>0.6872999999999999</v>
      </c>
      <c r="I74" s="537">
        <f t="shared" si="7"/>
        <v>0</v>
      </c>
    </row>
    <row r="75" spans="1:9" ht="13.5" thickBot="1">
      <c r="A75" s="538" t="s">
        <v>59</v>
      </c>
      <c r="B75" s="539">
        <f aca="true" t="shared" si="8" ref="B75:H75">SUM(B53:B74)</f>
        <v>0</v>
      </c>
      <c r="C75" s="516">
        <f>SUM(C53:C74)</f>
        <v>0</v>
      </c>
      <c r="D75" s="539">
        <f t="shared" si="8"/>
        <v>0</v>
      </c>
      <c r="E75" s="540">
        <f t="shared" si="8"/>
        <v>0</v>
      </c>
      <c r="F75" s="516">
        <f t="shared" si="8"/>
        <v>0</v>
      </c>
      <c r="G75" s="516">
        <f>SUM(G53:G74)</f>
        <v>237.00000000000003</v>
      </c>
      <c r="H75" s="516">
        <f t="shared" si="8"/>
        <v>237.00000000000003</v>
      </c>
      <c r="I75" s="541">
        <f>SUM(I53:I74)</f>
        <v>0</v>
      </c>
    </row>
    <row r="76" spans="1:9" ht="12.75">
      <c r="A76" s="190" t="s">
        <v>110</v>
      </c>
      <c r="B76" s="25"/>
      <c r="C76" s="25"/>
      <c r="D76" s="25"/>
      <c r="E76" s="9"/>
      <c r="F76" s="25"/>
      <c r="G76" s="25"/>
      <c r="H76" s="25"/>
      <c r="I76" s="9"/>
    </row>
    <row r="77" spans="1:4" ht="15">
      <c r="A77" s="61" t="s">
        <v>276</v>
      </c>
      <c r="B77" s="146"/>
      <c r="C77" s="146"/>
      <c r="D77" s="147"/>
    </row>
    <row r="78" spans="1:4" ht="15">
      <c r="A78" s="61" t="s">
        <v>121</v>
      </c>
      <c r="B78" s="146"/>
      <c r="C78" s="146"/>
      <c r="D78" s="147"/>
    </row>
    <row r="79" ht="13.5" thickBot="1"/>
    <row r="80" spans="1:2" ht="13.5" thickBot="1">
      <c r="A80" s="164" t="s">
        <v>99</v>
      </c>
      <c r="B80" s="6"/>
    </row>
    <row r="81" spans="1:4" ht="51">
      <c r="A81" s="165" t="s">
        <v>3</v>
      </c>
      <c r="B81" s="159" t="s">
        <v>122</v>
      </c>
      <c r="C81" s="160" t="s">
        <v>134</v>
      </c>
      <c r="D81" s="80"/>
    </row>
    <row r="82" spans="1:3" ht="12.75">
      <c r="A82" s="55" t="s">
        <v>30</v>
      </c>
      <c r="B82" s="156">
        <f>C15*E51</f>
        <v>0</v>
      </c>
      <c r="C82" s="166">
        <f>(C9+C12)*E51</f>
        <v>0</v>
      </c>
    </row>
    <row r="83" spans="1:3" ht="12.75">
      <c r="A83" s="55" t="s">
        <v>5</v>
      </c>
      <c r="B83" s="156">
        <f>D15*I51</f>
        <v>0</v>
      </c>
      <c r="C83" s="166">
        <f>(D9+D12)*I51</f>
        <v>0</v>
      </c>
    </row>
    <row r="84" spans="1:3" ht="13.5" thickBot="1">
      <c r="A84" s="129" t="s">
        <v>59</v>
      </c>
      <c r="B84" s="293">
        <f>SUM(B82:B83)</f>
        <v>0</v>
      </c>
      <c r="C84" s="294">
        <f>SUM(C82:C83)</f>
        <v>0</v>
      </c>
    </row>
  </sheetData>
  <sheetProtection/>
  <mergeCells count="8">
    <mergeCell ref="A49:A51"/>
    <mergeCell ref="B50:E50"/>
    <mergeCell ref="F50:I50"/>
    <mergeCell ref="B51:D51"/>
    <mergeCell ref="F51:H51"/>
    <mergeCell ref="A3:A4"/>
    <mergeCell ref="B4:C4"/>
    <mergeCell ref="A46:C46"/>
  </mergeCells>
  <printOptions/>
  <pageMargins left="0.45" right="0.45" top="0.5" bottom="0.5" header="0" footer="0"/>
  <pageSetup fitToHeight="1" fitToWidth="1" horizontalDpi="600" verticalDpi="600" orientation="portrait" paperSize="5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5" width="16.7109375" style="0" customWidth="1"/>
  </cols>
  <sheetData>
    <row r="1" spans="1:10" ht="18.75">
      <c r="A1" s="24" t="s">
        <v>279</v>
      </c>
      <c r="B1" s="6"/>
      <c r="C1" s="6"/>
      <c r="D1" s="6" t="s">
        <v>24</v>
      </c>
      <c r="E1" s="58" t="s">
        <v>24</v>
      </c>
      <c r="F1" s="58" t="s">
        <v>24</v>
      </c>
      <c r="G1" s="58" t="s">
        <v>24</v>
      </c>
      <c r="H1" s="6"/>
      <c r="I1" s="6"/>
      <c r="J1" s="6"/>
    </row>
    <row r="2" spans="1:6" ht="13.5" thickBot="1">
      <c r="A2" s="4" t="s">
        <v>24</v>
      </c>
      <c r="B2" s="6"/>
      <c r="C2" s="6"/>
      <c r="D2" s="305" t="s">
        <v>24</v>
      </c>
      <c r="E2" s="7" t="s">
        <v>24</v>
      </c>
      <c r="F2" s="4"/>
    </row>
    <row r="3" spans="1:10" ht="15.75" thickBot="1">
      <c r="A3" s="127" t="s">
        <v>79</v>
      </c>
      <c r="B3" s="87"/>
      <c r="C3" s="87"/>
      <c r="D3" s="87"/>
      <c r="E3" s="87"/>
      <c r="F3" s="87"/>
      <c r="G3" s="87"/>
      <c r="H3" s="87"/>
      <c r="I3" s="87" t="s">
        <v>24</v>
      </c>
      <c r="J3" s="87"/>
    </row>
    <row r="4" spans="1:10" ht="64.5" thickBot="1">
      <c r="A4" s="418" t="s">
        <v>3</v>
      </c>
      <c r="B4" s="419" t="s">
        <v>83</v>
      </c>
      <c r="C4" s="393" t="s">
        <v>235</v>
      </c>
      <c r="D4" s="420" t="s">
        <v>66</v>
      </c>
      <c r="E4" s="393" t="s">
        <v>236</v>
      </c>
      <c r="F4" s="420" t="s">
        <v>126</v>
      </c>
      <c r="G4" s="393" t="s">
        <v>63</v>
      </c>
      <c r="H4" s="421" t="s">
        <v>64</v>
      </c>
      <c r="I4" s="54"/>
      <c r="J4" s="54"/>
    </row>
    <row r="5" spans="1:10" ht="12.75">
      <c r="A5" s="413" t="s">
        <v>6</v>
      </c>
      <c r="B5" s="414">
        <v>25</v>
      </c>
      <c r="C5" s="415">
        <v>0</v>
      </c>
      <c r="D5" s="416">
        <f>B5+C5</f>
        <v>25</v>
      </c>
      <c r="E5" s="415">
        <v>0</v>
      </c>
      <c r="F5" s="416">
        <f aca="true" t="shared" si="0" ref="F5:F12">D5+E5</f>
        <v>25</v>
      </c>
      <c r="G5" s="415">
        <v>0</v>
      </c>
      <c r="H5" s="417">
        <f aca="true" t="shared" si="1" ref="H5:H12">F5+G5</f>
        <v>25</v>
      </c>
      <c r="I5" s="10"/>
      <c r="J5" s="10"/>
    </row>
    <row r="6" spans="1:10" ht="12.75">
      <c r="A6" s="379" t="s">
        <v>30</v>
      </c>
      <c r="B6" s="366">
        <f>$B$5</f>
        <v>25</v>
      </c>
      <c r="C6" s="67">
        <v>31.94</v>
      </c>
      <c r="D6" s="204">
        <f>B6+C6</f>
        <v>56.94</v>
      </c>
      <c r="E6" s="67">
        <v>0</v>
      </c>
      <c r="F6" s="204">
        <f t="shared" si="0"/>
        <v>56.94</v>
      </c>
      <c r="G6" s="67">
        <v>0</v>
      </c>
      <c r="H6" s="208">
        <f t="shared" si="1"/>
        <v>56.94</v>
      </c>
      <c r="I6" s="10"/>
      <c r="J6" s="10"/>
    </row>
    <row r="7" spans="1:10" ht="12.75">
      <c r="A7" s="379" t="s">
        <v>41</v>
      </c>
      <c r="B7" s="366">
        <f aca="true" t="shared" si="2" ref="B7:B12">$B$5</f>
        <v>25</v>
      </c>
      <c r="C7" s="67">
        <v>0</v>
      </c>
      <c r="D7" s="204">
        <f>B7+C6+C7</f>
        <v>56.94</v>
      </c>
      <c r="E7" s="67">
        <v>0</v>
      </c>
      <c r="F7" s="204">
        <f t="shared" si="0"/>
        <v>56.94</v>
      </c>
      <c r="G7" s="67">
        <v>0</v>
      </c>
      <c r="H7" s="208">
        <f t="shared" si="1"/>
        <v>56.94</v>
      </c>
      <c r="I7" s="10"/>
      <c r="J7" s="10"/>
    </row>
    <row r="8" spans="1:10" ht="12.75">
      <c r="A8" s="379" t="s">
        <v>5</v>
      </c>
      <c r="B8" s="366">
        <f t="shared" si="2"/>
        <v>25</v>
      </c>
      <c r="C8" s="67">
        <v>0</v>
      </c>
      <c r="D8" s="204">
        <f>B8+C6+C8</f>
        <v>56.94</v>
      </c>
      <c r="E8" s="67">
        <v>0</v>
      </c>
      <c r="F8" s="204">
        <f t="shared" si="0"/>
        <v>56.94</v>
      </c>
      <c r="G8" s="67">
        <v>0</v>
      </c>
      <c r="H8" s="208">
        <f t="shared" si="1"/>
        <v>56.94</v>
      </c>
      <c r="I8" s="10"/>
      <c r="J8" s="10"/>
    </row>
    <row r="9" spans="1:10" ht="12.75">
      <c r="A9" s="379" t="s">
        <v>8</v>
      </c>
      <c r="B9" s="366">
        <f t="shared" si="2"/>
        <v>25</v>
      </c>
      <c r="C9" s="67">
        <v>0</v>
      </c>
      <c r="D9" s="204">
        <f>B9+C6+C7+C9</f>
        <v>56.94</v>
      </c>
      <c r="E9" s="67">
        <v>0</v>
      </c>
      <c r="F9" s="204">
        <f t="shared" si="0"/>
        <v>56.94</v>
      </c>
      <c r="G9" s="67">
        <v>0</v>
      </c>
      <c r="H9" s="208">
        <f t="shared" si="1"/>
        <v>56.94</v>
      </c>
      <c r="I9" s="10"/>
      <c r="J9" s="10"/>
    </row>
    <row r="10" spans="1:10" ht="12.75">
      <c r="A10" s="379" t="s">
        <v>42</v>
      </c>
      <c r="B10" s="366">
        <f t="shared" si="2"/>
        <v>25</v>
      </c>
      <c r="C10" s="67">
        <v>253.06</v>
      </c>
      <c r="D10" s="204">
        <f>B10+C6+C7+C9+C10</f>
        <v>310</v>
      </c>
      <c r="E10" s="67">
        <v>0</v>
      </c>
      <c r="F10" s="204">
        <f t="shared" si="0"/>
        <v>310</v>
      </c>
      <c r="G10" s="67">
        <v>0</v>
      </c>
      <c r="H10" s="208">
        <f t="shared" si="1"/>
        <v>310</v>
      </c>
      <c r="I10" s="10"/>
      <c r="J10" s="10"/>
    </row>
    <row r="11" spans="1:10" ht="12.75">
      <c r="A11" s="379" t="s">
        <v>43</v>
      </c>
      <c r="B11" s="366">
        <f t="shared" si="2"/>
        <v>25</v>
      </c>
      <c r="C11" s="67">
        <v>0</v>
      </c>
      <c r="D11" s="204">
        <f>B11+C6+C7+C11</f>
        <v>56.94</v>
      </c>
      <c r="E11" s="67">
        <v>0</v>
      </c>
      <c r="F11" s="204">
        <f t="shared" si="0"/>
        <v>56.94</v>
      </c>
      <c r="G11" s="67">
        <v>0</v>
      </c>
      <c r="H11" s="208">
        <f t="shared" si="1"/>
        <v>56.94</v>
      </c>
      <c r="I11" s="10"/>
      <c r="J11" s="10"/>
    </row>
    <row r="12" spans="1:10" ht="13.5" thickBot="1">
      <c r="A12" s="380" t="s">
        <v>15</v>
      </c>
      <c r="B12" s="378">
        <f t="shared" si="2"/>
        <v>25</v>
      </c>
      <c r="C12" s="130">
        <v>0</v>
      </c>
      <c r="D12" s="205">
        <f>B12+C6+C8+C12</f>
        <v>56.94</v>
      </c>
      <c r="E12" s="130">
        <v>0</v>
      </c>
      <c r="F12" s="205">
        <f t="shared" si="0"/>
        <v>56.94</v>
      </c>
      <c r="G12" s="130">
        <v>0</v>
      </c>
      <c r="H12" s="209">
        <f t="shared" si="1"/>
        <v>56.94</v>
      </c>
      <c r="I12" s="10"/>
      <c r="J12" s="10"/>
    </row>
    <row r="13" spans="1:10" ht="12.75">
      <c r="A13" s="12" t="s">
        <v>29</v>
      </c>
      <c r="B13" s="35"/>
      <c r="C13" s="35"/>
      <c r="D13" s="35"/>
      <c r="E13" s="36"/>
      <c r="F13" s="25"/>
      <c r="G13" s="25"/>
      <c r="H13" s="25"/>
      <c r="I13" s="75" t="s">
        <v>24</v>
      </c>
      <c r="J13" s="75"/>
    </row>
    <row r="14" spans="1:10" ht="12.75">
      <c r="A14" s="32"/>
      <c r="B14" s="35"/>
      <c r="C14" s="35"/>
      <c r="D14" s="35"/>
      <c r="E14" s="36"/>
      <c r="F14" s="25"/>
      <c r="G14" s="25"/>
      <c r="H14" s="25"/>
      <c r="I14" s="75"/>
      <c r="J14" s="75"/>
    </row>
    <row r="15" spans="1:10" ht="13.5" thickBot="1">
      <c r="A15" s="12"/>
      <c r="B15" s="35"/>
      <c r="C15" s="35"/>
      <c r="D15" s="35"/>
      <c r="E15" s="36"/>
      <c r="F15" s="25"/>
      <c r="G15" s="25"/>
      <c r="H15" s="25"/>
      <c r="I15" s="75"/>
      <c r="J15" s="75"/>
    </row>
    <row r="16" spans="1:10" ht="15.75" thickBot="1">
      <c r="A16" s="839" t="s">
        <v>263</v>
      </c>
      <c r="B16" s="840"/>
      <c r="C16" s="841"/>
      <c r="D16" s="306"/>
      <c r="E16" s="36"/>
      <c r="F16" s="25"/>
      <c r="G16" s="25"/>
      <c r="H16" s="25"/>
      <c r="I16" s="75"/>
      <c r="J16" s="75"/>
    </row>
    <row r="17" spans="1:18" ht="13.5" thickBot="1">
      <c r="A17" s="842" t="s">
        <v>3</v>
      </c>
      <c r="B17" s="836" t="s">
        <v>186</v>
      </c>
      <c r="C17" s="837"/>
      <c r="D17" s="837"/>
      <c r="E17" s="838"/>
      <c r="F17" s="836" t="s">
        <v>187</v>
      </c>
      <c r="G17" s="837"/>
      <c r="H17" s="837"/>
      <c r="I17" s="838"/>
      <c r="J17" s="836" t="s">
        <v>188</v>
      </c>
      <c r="K17" s="837"/>
      <c r="L17" s="837"/>
      <c r="M17" s="838"/>
      <c r="N17" s="836" t="s">
        <v>189</v>
      </c>
      <c r="O17" s="837"/>
      <c r="P17" s="837"/>
      <c r="Q17" s="838"/>
      <c r="R17" s="75"/>
    </row>
    <row r="18" spans="1:17" ht="39" thickBot="1">
      <c r="A18" s="843"/>
      <c r="B18" s="392" t="s">
        <v>190</v>
      </c>
      <c r="C18" s="393" t="s">
        <v>191</v>
      </c>
      <c r="D18" s="393" t="s">
        <v>192</v>
      </c>
      <c r="E18" s="394" t="s">
        <v>193</v>
      </c>
      <c r="F18" s="392" t="s">
        <v>190</v>
      </c>
      <c r="G18" s="393" t="s">
        <v>191</v>
      </c>
      <c r="H18" s="393" t="s">
        <v>192</v>
      </c>
      <c r="I18" s="394" t="s">
        <v>193</v>
      </c>
      <c r="J18" s="392" t="s">
        <v>190</v>
      </c>
      <c r="K18" s="393" t="s">
        <v>191</v>
      </c>
      <c r="L18" s="393" t="s">
        <v>192</v>
      </c>
      <c r="M18" s="394" t="s">
        <v>193</v>
      </c>
      <c r="N18" s="392" t="s">
        <v>190</v>
      </c>
      <c r="O18" s="393" t="s">
        <v>191</v>
      </c>
      <c r="P18" s="393" t="s">
        <v>192</v>
      </c>
      <c r="Q18" s="404" t="s">
        <v>256</v>
      </c>
    </row>
    <row r="19" spans="1:17" ht="12.75">
      <c r="A19" s="422" t="s">
        <v>6</v>
      </c>
      <c r="B19" s="388">
        <v>1460.9</v>
      </c>
      <c r="C19" s="389">
        <v>109.7</v>
      </c>
      <c r="D19" s="390">
        <v>2905.8</v>
      </c>
      <c r="E19" s="391">
        <f>B19+C19+D19</f>
        <v>4476.400000000001</v>
      </c>
      <c r="F19" s="395">
        <v>155.2</v>
      </c>
      <c r="G19" s="396">
        <v>19.2</v>
      </c>
      <c r="H19" s="397">
        <v>2735.1</v>
      </c>
      <c r="I19" s="398">
        <f aca="true" t="shared" si="3" ref="I19:I26">F19+G19+H19</f>
        <v>2909.5</v>
      </c>
      <c r="J19" s="401">
        <f>B19-F19</f>
        <v>1305.7</v>
      </c>
      <c r="K19" s="396">
        <f aca="true" t="shared" si="4" ref="K19:L26">C19-G19</f>
        <v>90.5</v>
      </c>
      <c r="L19" s="396">
        <f t="shared" si="4"/>
        <v>170.70000000000027</v>
      </c>
      <c r="M19" s="398">
        <f>J19+K19+L19</f>
        <v>1566.9000000000003</v>
      </c>
      <c r="N19" s="405">
        <v>0</v>
      </c>
      <c r="O19" s="406">
        <v>0</v>
      </c>
      <c r="P19" s="406">
        <v>0</v>
      </c>
      <c r="Q19" s="407">
        <v>0</v>
      </c>
    </row>
    <row r="20" spans="1:17" ht="12.75">
      <c r="A20" s="259" t="s">
        <v>30</v>
      </c>
      <c r="B20" s="382">
        <v>1059.2</v>
      </c>
      <c r="C20" s="345">
        <v>109.7</v>
      </c>
      <c r="D20" s="347">
        <v>768</v>
      </c>
      <c r="E20" s="383">
        <f aca="true" t="shared" si="5" ref="E20:E26">B20+C20+D20</f>
        <v>1936.9</v>
      </c>
      <c r="F20" s="399">
        <v>4</v>
      </c>
      <c r="G20" s="345">
        <v>19.2</v>
      </c>
      <c r="H20" s="347">
        <v>885.1</v>
      </c>
      <c r="I20" s="383">
        <f t="shared" si="3"/>
        <v>908.3000000000001</v>
      </c>
      <c r="J20" s="382">
        <f aca="true" t="shared" si="6" ref="J20:J26">B20-F20</f>
        <v>1055.2</v>
      </c>
      <c r="K20" s="345">
        <f t="shared" si="4"/>
        <v>90.5</v>
      </c>
      <c r="L20" s="345">
        <f t="shared" si="4"/>
        <v>-117.10000000000002</v>
      </c>
      <c r="M20" s="383">
        <f aca="true" t="shared" si="7" ref="M20:M26">J20+K20+L20</f>
        <v>1028.6</v>
      </c>
      <c r="N20" s="408">
        <v>0</v>
      </c>
      <c r="O20" s="53">
        <v>0</v>
      </c>
      <c r="P20" s="53">
        <v>0</v>
      </c>
      <c r="Q20" s="409">
        <v>0</v>
      </c>
    </row>
    <row r="21" spans="1:17" ht="12.75">
      <c r="A21" s="259" t="s">
        <v>41</v>
      </c>
      <c r="B21" s="382">
        <v>529</v>
      </c>
      <c r="C21" s="345">
        <v>43.1</v>
      </c>
      <c r="D21" s="347">
        <v>374.1</v>
      </c>
      <c r="E21" s="383">
        <f t="shared" si="5"/>
        <v>946.2</v>
      </c>
      <c r="F21" s="399">
        <v>0.4</v>
      </c>
      <c r="G21" s="345">
        <v>15.6</v>
      </c>
      <c r="H21" s="347">
        <v>275.3</v>
      </c>
      <c r="I21" s="383">
        <f t="shared" si="3"/>
        <v>291.3</v>
      </c>
      <c r="J21" s="382">
        <f t="shared" si="6"/>
        <v>528.6</v>
      </c>
      <c r="K21" s="345">
        <f t="shared" si="4"/>
        <v>27.5</v>
      </c>
      <c r="L21" s="345">
        <f t="shared" si="4"/>
        <v>98.80000000000001</v>
      </c>
      <c r="M21" s="383">
        <f t="shared" si="7"/>
        <v>654.9000000000001</v>
      </c>
      <c r="N21" s="408">
        <v>0</v>
      </c>
      <c r="O21" s="53">
        <v>0</v>
      </c>
      <c r="P21" s="53">
        <v>0</v>
      </c>
      <c r="Q21" s="409">
        <v>0</v>
      </c>
    </row>
    <row r="22" spans="1:17" ht="12.75">
      <c r="A22" s="259" t="s">
        <v>5</v>
      </c>
      <c r="B22" s="382">
        <v>380</v>
      </c>
      <c r="C22" s="345">
        <v>66.6</v>
      </c>
      <c r="D22" s="347">
        <v>351.1</v>
      </c>
      <c r="E22" s="383">
        <f t="shared" si="5"/>
        <v>797.7</v>
      </c>
      <c r="F22" s="399">
        <v>0</v>
      </c>
      <c r="G22" s="345">
        <v>3.6</v>
      </c>
      <c r="H22" s="347">
        <v>399.1</v>
      </c>
      <c r="I22" s="383">
        <f t="shared" si="3"/>
        <v>402.70000000000005</v>
      </c>
      <c r="J22" s="382">
        <f t="shared" si="6"/>
        <v>380</v>
      </c>
      <c r="K22" s="345">
        <f t="shared" si="4"/>
        <v>62.99999999999999</v>
      </c>
      <c r="L22" s="345">
        <f t="shared" si="4"/>
        <v>-48</v>
      </c>
      <c r="M22" s="383">
        <f t="shared" si="7"/>
        <v>395</v>
      </c>
      <c r="N22" s="410">
        <v>0</v>
      </c>
      <c r="O22" s="93">
        <v>0</v>
      </c>
      <c r="P22" s="93">
        <v>0</v>
      </c>
      <c r="Q22" s="409">
        <v>0</v>
      </c>
    </row>
    <row r="23" spans="1:17" ht="12.75">
      <c r="A23" s="259" t="s">
        <v>8</v>
      </c>
      <c r="B23" s="382">
        <v>97.8</v>
      </c>
      <c r="C23" s="345">
        <v>0.4</v>
      </c>
      <c r="D23" s="347">
        <v>40.2</v>
      </c>
      <c r="E23" s="383">
        <f t="shared" si="5"/>
        <v>138.4</v>
      </c>
      <c r="F23" s="399">
        <v>0.2</v>
      </c>
      <c r="G23" s="345">
        <v>0</v>
      </c>
      <c r="H23" s="347">
        <v>5.7</v>
      </c>
      <c r="I23" s="383">
        <f t="shared" si="3"/>
        <v>5.9</v>
      </c>
      <c r="J23" s="382">
        <f t="shared" si="6"/>
        <v>97.6</v>
      </c>
      <c r="K23" s="345">
        <f t="shared" si="4"/>
        <v>0.4</v>
      </c>
      <c r="L23" s="345">
        <f t="shared" si="4"/>
        <v>34.5</v>
      </c>
      <c r="M23" s="383">
        <f t="shared" si="7"/>
        <v>132.5</v>
      </c>
      <c r="N23" s="410">
        <v>0</v>
      </c>
      <c r="O23" s="93">
        <v>0</v>
      </c>
      <c r="P23" s="93">
        <v>0</v>
      </c>
      <c r="Q23" s="409">
        <v>0</v>
      </c>
    </row>
    <row r="24" spans="1:17" ht="12.75">
      <c r="A24" s="259" t="s">
        <v>42</v>
      </c>
      <c r="B24" s="382">
        <v>0.5</v>
      </c>
      <c r="C24" s="345">
        <v>0.4</v>
      </c>
      <c r="D24" s="346">
        <v>0</v>
      </c>
      <c r="E24" s="383">
        <f t="shared" si="5"/>
        <v>0.9</v>
      </c>
      <c r="F24" s="400">
        <v>0.2</v>
      </c>
      <c r="G24" s="345">
        <v>0</v>
      </c>
      <c r="H24" s="346">
        <v>0.7</v>
      </c>
      <c r="I24" s="383">
        <f t="shared" si="3"/>
        <v>0.8999999999999999</v>
      </c>
      <c r="J24" s="382">
        <f t="shared" si="6"/>
        <v>0.3</v>
      </c>
      <c r="K24" s="345">
        <f t="shared" si="4"/>
        <v>0.4</v>
      </c>
      <c r="L24" s="345">
        <f t="shared" si="4"/>
        <v>-0.7</v>
      </c>
      <c r="M24" s="383">
        <f t="shared" si="7"/>
        <v>0</v>
      </c>
      <c r="N24" s="410">
        <v>0</v>
      </c>
      <c r="O24" s="93">
        <v>0</v>
      </c>
      <c r="P24" s="93">
        <v>0</v>
      </c>
      <c r="Q24" s="409">
        <v>0</v>
      </c>
    </row>
    <row r="25" spans="1:17" ht="12.75">
      <c r="A25" s="259" t="s">
        <v>43</v>
      </c>
      <c r="B25" s="382">
        <v>18</v>
      </c>
      <c r="C25" s="345">
        <v>24.3</v>
      </c>
      <c r="D25" s="346">
        <v>60</v>
      </c>
      <c r="E25" s="383">
        <f t="shared" si="5"/>
        <v>102.3</v>
      </c>
      <c r="F25" s="400">
        <v>0</v>
      </c>
      <c r="G25" s="345">
        <v>0</v>
      </c>
      <c r="H25" s="346">
        <v>13.7</v>
      </c>
      <c r="I25" s="383">
        <f t="shared" si="3"/>
        <v>13.7</v>
      </c>
      <c r="J25" s="382">
        <f t="shared" si="6"/>
        <v>18</v>
      </c>
      <c r="K25" s="345">
        <f t="shared" si="4"/>
        <v>24.3</v>
      </c>
      <c r="L25" s="345">
        <f t="shared" si="4"/>
        <v>46.3</v>
      </c>
      <c r="M25" s="383">
        <f t="shared" si="7"/>
        <v>88.6</v>
      </c>
      <c r="N25" s="410">
        <v>0</v>
      </c>
      <c r="O25" s="93">
        <v>0</v>
      </c>
      <c r="P25" s="93">
        <v>0</v>
      </c>
      <c r="Q25" s="409">
        <v>0</v>
      </c>
    </row>
    <row r="26" spans="1:17" ht="13.5" thickBot="1">
      <c r="A26" s="381" t="s">
        <v>15</v>
      </c>
      <c r="B26" s="384">
        <v>172</v>
      </c>
      <c r="C26" s="385">
        <v>21</v>
      </c>
      <c r="D26" s="386">
        <v>245.6</v>
      </c>
      <c r="E26" s="387">
        <f t="shared" si="5"/>
        <v>438.6</v>
      </c>
      <c r="F26" s="384">
        <v>0</v>
      </c>
      <c r="G26" s="385">
        <v>3.6</v>
      </c>
      <c r="H26" s="386">
        <v>239.5</v>
      </c>
      <c r="I26" s="387">
        <f t="shared" si="3"/>
        <v>243.1</v>
      </c>
      <c r="J26" s="402">
        <f t="shared" si="6"/>
        <v>172</v>
      </c>
      <c r="K26" s="403">
        <f t="shared" si="4"/>
        <v>17.4</v>
      </c>
      <c r="L26" s="403">
        <f t="shared" si="4"/>
        <v>6.099999999999994</v>
      </c>
      <c r="M26" s="387">
        <f t="shared" si="7"/>
        <v>195.5</v>
      </c>
      <c r="N26" s="411">
        <v>0</v>
      </c>
      <c r="O26" s="106">
        <v>0</v>
      </c>
      <c r="P26" s="106">
        <v>0</v>
      </c>
      <c r="Q26" s="412">
        <v>0</v>
      </c>
    </row>
    <row r="27" spans="1:17" ht="12.75">
      <c r="A27" s="12"/>
      <c r="B27" s="339"/>
      <c r="C27" s="340"/>
      <c r="D27" s="339"/>
      <c r="E27" s="341"/>
      <c r="F27" s="339"/>
      <c r="G27" s="340"/>
      <c r="H27" s="339"/>
      <c r="I27" s="341"/>
      <c r="J27" s="342"/>
      <c r="K27" s="342"/>
      <c r="L27" s="342"/>
      <c r="M27" s="341"/>
      <c r="N27" s="12"/>
      <c r="O27" s="12"/>
      <c r="P27" s="12"/>
      <c r="Q27" s="12"/>
    </row>
    <row r="28" spans="1:17" ht="13.5" thickBot="1">
      <c r="A28" s="12"/>
      <c r="B28" s="339"/>
      <c r="C28" s="340"/>
      <c r="D28" s="339"/>
      <c r="E28" s="341"/>
      <c r="F28" s="339"/>
      <c r="G28" s="340"/>
      <c r="H28" s="339"/>
      <c r="I28" s="341"/>
      <c r="J28" s="342"/>
      <c r="K28" s="342"/>
      <c r="L28" s="342" t="s">
        <v>24</v>
      </c>
      <c r="M28" s="341"/>
      <c r="N28" s="12"/>
      <c r="O28" s="12"/>
      <c r="P28" s="12"/>
      <c r="Q28" s="12"/>
    </row>
    <row r="29" spans="1:17" ht="15.75" thickBot="1">
      <c r="A29" s="852" t="s">
        <v>253</v>
      </c>
      <c r="B29" s="853"/>
      <c r="C29" s="340"/>
      <c r="D29" s="339"/>
      <c r="E29" s="341"/>
      <c r="F29" s="339"/>
      <c r="G29" s="340"/>
      <c r="H29" s="339"/>
      <c r="I29" s="341"/>
      <c r="J29" s="342"/>
      <c r="K29" s="342"/>
      <c r="L29" s="342"/>
      <c r="M29" s="341"/>
      <c r="N29" s="12"/>
      <c r="O29" s="12"/>
      <c r="P29" s="12"/>
      <c r="Q29" s="10"/>
    </row>
    <row r="30" spans="1:18" ht="13.5" thickBot="1">
      <c r="A30" s="844" t="s">
        <v>3</v>
      </c>
      <c r="B30" s="836" t="s">
        <v>264</v>
      </c>
      <c r="C30" s="837"/>
      <c r="D30" s="837"/>
      <c r="E30" s="838"/>
      <c r="F30" s="836" t="s">
        <v>265</v>
      </c>
      <c r="G30" s="837"/>
      <c r="H30" s="837"/>
      <c r="I30" s="838"/>
      <c r="J30" s="836" t="s">
        <v>266</v>
      </c>
      <c r="K30" s="837"/>
      <c r="L30" s="837"/>
      <c r="M30" s="838"/>
      <c r="N30" s="52"/>
      <c r="O30" s="469"/>
      <c r="P30" s="469"/>
      <c r="Q30" s="469"/>
      <c r="R30" s="75"/>
    </row>
    <row r="31" spans="1:17" ht="39" thickBot="1">
      <c r="A31" s="845"/>
      <c r="B31" s="392" t="s">
        <v>190</v>
      </c>
      <c r="C31" s="393" t="s">
        <v>191</v>
      </c>
      <c r="D31" s="393" t="s">
        <v>192</v>
      </c>
      <c r="E31" s="394" t="s">
        <v>193</v>
      </c>
      <c r="F31" s="392" t="s">
        <v>190</v>
      </c>
      <c r="G31" s="393" t="s">
        <v>191</v>
      </c>
      <c r="H31" s="393" t="s">
        <v>192</v>
      </c>
      <c r="I31" s="394" t="s">
        <v>193</v>
      </c>
      <c r="J31" s="392" t="s">
        <v>190</v>
      </c>
      <c r="K31" s="393" t="s">
        <v>191</v>
      </c>
      <c r="L31" s="393" t="s">
        <v>192</v>
      </c>
      <c r="M31" s="394" t="s">
        <v>193</v>
      </c>
      <c r="N31" s="23"/>
      <c r="O31" s="172"/>
      <c r="P31" s="172"/>
      <c r="Q31" s="172"/>
    </row>
    <row r="32" spans="1:19" ht="12.75">
      <c r="A32" s="422" t="s">
        <v>6</v>
      </c>
      <c r="B32" s="401">
        <v>68.4</v>
      </c>
      <c r="C32" s="396">
        <v>0</v>
      </c>
      <c r="D32" s="397">
        <v>0</v>
      </c>
      <c r="E32" s="398">
        <f aca="true" t="shared" si="8" ref="E32:E39">B32+C32+D32</f>
        <v>68.4</v>
      </c>
      <c r="F32" s="395">
        <v>0</v>
      </c>
      <c r="G32" s="396">
        <v>0</v>
      </c>
      <c r="H32" s="397">
        <v>1635.3</v>
      </c>
      <c r="I32" s="398">
        <f aca="true" t="shared" si="9" ref="I32:I39">F32+G32+H32</f>
        <v>1635.3</v>
      </c>
      <c r="J32" s="395">
        <f>B32-F32</f>
        <v>68.4</v>
      </c>
      <c r="K32" s="396">
        <f aca="true" t="shared" si="10" ref="K32:L39">C32-G32</f>
        <v>0</v>
      </c>
      <c r="L32" s="396">
        <f t="shared" si="10"/>
        <v>-1635.3</v>
      </c>
      <c r="M32" s="398">
        <f aca="true" t="shared" si="11" ref="M32:M39">J32+K32+L32</f>
        <v>-1566.8999999999999</v>
      </c>
      <c r="N32" s="10"/>
      <c r="O32" s="12"/>
      <c r="P32" s="51"/>
      <c r="Q32" s="51"/>
      <c r="R32" s="462"/>
      <c r="S32" s="155"/>
    </row>
    <row r="33" spans="1:19" ht="12.75">
      <c r="A33" s="259" t="s">
        <v>30</v>
      </c>
      <c r="B33" s="382">
        <v>68.4</v>
      </c>
      <c r="C33" s="345">
        <v>0</v>
      </c>
      <c r="D33" s="346">
        <v>0</v>
      </c>
      <c r="E33" s="383">
        <f t="shared" si="8"/>
        <v>68.4</v>
      </c>
      <c r="F33" s="399">
        <v>0</v>
      </c>
      <c r="G33" s="345">
        <v>0</v>
      </c>
      <c r="H33" s="346">
        <v>1097</v>
      </c>
      <c r="I33" s="383">
        <f t="shared" si="9"/>
        <v>1097</v>
      </c>
      <c r="J33" s="382">
        <f aca="true" t="shared" si="12" ref="J33:J39">B33-F33</f>
        <v>68.4</v>
      </c>
      <c r="K33" s="345">
        <f t="shared" si="10"/>
        <v>0</v>
      </c>
      <c r="L33" s="345">
        <f t="shared" si="10"/>
        <v>-1097</v>
      </c>
      <c r="M33" s="383">
        <f t="shared" si="11"/>
        <v>-1028.6</v>
      </c>
      <c r="N33" s="10"/>
      <c r="O33" s="12"/>
      <c r="P33" s="51"/>
      <c r="Q33" s="51"/>
      <c r="R33" s="463"/>
      <c r="S33" s="155"/>
    </row>
    <row r="34" spans="1:19" ht="12.75">
      <c r="A34" s="259" t="s">
        <v>41</v>
      </c>
      <c r="B34" s="382">
        <v>68.4</v>
      </c>
      <c r="C34" s="345">
        <v>0</v>
      </c>
      <c r="D34" s="346">
        <v>0</v>
      </c>
      <c r="E34" s="383">
        <f t="shared" si="8"/>
        <v>68.4</v>
      </c>
      <c r="F34" s="399">
        <v>0</v>
      </c>
      <c r="G34" s="345">
        <v>0</v>
      </c>
      <c r="H34" s="346">
        <v>571</v>
      </c>
      <c r="I34" s="383">
        <f t="shared" si="9"/>
        <v>571</v>
      </c>
      <c r="J34" s="382">
        <f t="shared" si="12"/>
        <v>68.4</v>
      </c>
      <c r="K34" s="345">
        <f t="shared" si="10"/>
        <v>0</v>
      </c>
      <c r="L34" s="345">
        <f t="shared" si="10"/>
        <v>-571</v>
      </c>
      <c r="M34" s="383">
        <f t="shared" si="11"/>
        <v>-502.6</v>
      </c>
      <c r="N34" s="10"/>
      <c r="O34" s="12"/>
      <c r="P34" s="51"/>
      <c r="Q34" s="12"/>
      <c r="R34" s="463"/>
      <c r="S34" s="155"/>
    </row>
    <row r="35" spans="1:19" ht="12.75">
      <c r="A35" s="259" t="s">
        <v>5</v>
      </c>
      <c r="B35" s="382">
        <v>0</v>
      </c>
      <c r="C35" s="345">
        <v>0</v>
      </c>
      <c r="D35" s="346">
        <v>0</v>
      </c>
      <c r="E35" s="383">
        <f t="shared" si="8"/>
        <v>0</v>
      </c>
      <c r="F35" s="399">
        <v>0</v>
      </c>
      <c r="G35" s="345">
        <v>0</v>
      </c>
      <c r="H35" s="346">
        <v>212.7</v>
      </c>
      <c r="I35" s="383">
        <f t="shared" si="9"/>
        <v>212.7</v>
      </c>
      <c r="J35" s="382">
        <f t="shared" si="12"/>
        <v>0</v>
      </c>
      <c r="K35" s="345">
        <f t="shared" si="10"/>
        <v>0</v>
      </c>
      <c r="L35" s="345">
        <f t="shared" si="10"/>
        <v>-212.7</v>
      </c>
      <c r="M35" s="383">
        <f t="shared" si="11"/>
        <v>-212.7</v>
      </c>
      <c r="N35" s="12"/>
      <c r="O35" s="12"/>
      <c r="P35" s="51"/>
      <c r="Q35" s="12"/>
      <c r="R35" s="463"/>
      <c r="S35" s="155"/>
    </row>
    <row r="36" spans="1:19" ht="12.75">
      <c r="A36" s="259" t="s">
        <v>8</v>
      </c>
      <c r="B36" s="382">
        <v>0</v>
      </c>
      <c r="C36" s="345">
        <v>0</v>
      </c>
      <c r="D36" s="346">
        <v>0</v>
      </c>
      <c r="E36" s="383">
        <f t="shared" si="8"/>
        <v>0</v>
      </c>
      <c r="F36" s="399">
        <v>0</v>
      </c>
      <c r="G36" s="345">
        <v>0</v>
      </c>
      <c r="H36" s="346">
        <v>257.4</v>
      </c>
      <c r="I36" s="383">
        <f t="shared" si="9"/>
        <v>257.4</v>
      </c>
      <c r="J36" s="382">
        <f t="shared" si="12"/>
        <v>0</v>
      </c>
      <c r="K36" s="345">
        <f t="shared" si="10"/>
        <v>0</v>
      </c>
      <c r="L36" s="345">
        <f t="shared" si="10"/>
        <v>-257.4</v>
      </c>
      <c r="M36" s="383">
        <f t="shared" si="11"/>
        <v>-257.4</v>
      </c>
      <c r="N36" s="12"/>
      <c r="O36" s="12"/>
      <c r="P36" s="51"/>
      <c r="Q36" s="12"/>
      <c r="R36" s="463"/>
      <c r="S36" s="155"/>
    </row>
    <row r="37" spans="1:17" ht="12.75">
      <c r="A37" s="259" t="s">
        <v>42</v>
      </c>
      <c r="B37" s="382">
        <v>0</v>
      </c>
      <c r="C37" s="345">
        <v>0</v>
      </c>
      <c r="D37" s="346">
        <v>0</v>
      </c>
      <c r="E37" s="383">
        <f t="shared" si="8"/>
        <v>0</v>
      </c>
      <c r="F37" s="400">
        <v>0</v>
      </c>
      <c r="G37" s="345">
        <v>0</v>
      </c>
      <c r="H37" s="346">
        <v>0</v>
      </c>
      <c r="I37" s="383">
        <f t="shared" si="9"/>
        <v>0</v>
      </c>
      <c r="J37" s="382">
        <f t="shared" si="12"/>
        <v>0</v>
      </c>
      <c r="K37" s="345">
        <f t="shared" si="10"/>
        <v>0</v>
      </c>
      <c r="L37" s="345">
        <f t="shared" si="10"/>
        <v>0</v>
      </c>
      <c r="M37" s="383">
        <f t="shared" si="11"/>
        <v>0</v>
      </c>
      <c r="N37" s="12"/>
      <c r="O37" s="51"/>
      <c r="P37" s="12"/>
      <c r="Q37" s="12"/>
    </row>
    <row r="38" spans="1:17" ht="12.75">
      <c r="A38" s="259" t="s">
        <v>43</v>
      </c>
      <c r="B38" s="382">
        <v>68.4</v>
      </c>
      <c r="C38" s="345">
        <v>0</v>
      </c>
      <c r="D38" s="346">
        <v>0</v>
      </c>
      <c r="E38" s="383">
        <f t="shared" si="8"/>
        <v>68.4</v>
      </c>
      <c r="F38" s="400">
        <v>0</v>
      </c>
      <c r="G38" s="345">
        <v>0</v>
      </c>
      <c r="H38" s="346">
        <v>0</v>
      </c>
      <c r="I38" s="383">
        <f t="shared" si="9"/>
        <v>0</v>
      </c>
      <c r="J38" s="382">
        <f t="shared" si="12"/>
        <v>68.4</v>
      </c>
      <c r="K38" s="345">
        <f t="shared" si="10"/>
        <v>0</v>
      </c>
      <c r="L38" s="345">
        <f t="shared" si="10"/>
        <v>0</v>
      </c>
      <c r="M38" s="383">
        <f t="shared" si="11"/>
        <v>68.4</v>
      </c>
      <c r="N38" s="12"/>
      <c r="O38" s="12"/>
      <c r="P38" s="12"/>
      <c r="Q38" s="12"/>
    </row>
    <row r="39" spans="1:17" ht="13.5" thickBot="1">
      <c r="A39" s="381" t="s">
        <v>15</v>
      </c>
      <c r="B39" s="384">
        <v>0</v>
      </c>
      <c r="C39" s="385">
        <v>0</v>
      </c>
      <c r="D39" s="386">
        <v>0</v>
      </c>
      <c r="E39" s="387">
        <f t="shared" si="8"/>
        <v>0</v>
      </c>
      <c r="F39" s="384">
        <v>0</v>
      </c>
      <c r="G39" s="403">
        <v>0</v>
      </c>
      <c r="H39" s="386">
        <v>0</v>
      </c>
      <c r="I39" s="387">
        <f t="shared" si="9"/>
        <v>0</v>
      </c>
      <c r="J39" s="402">
        <f t="shared" si="12"/>
        <v>0</v>
      </c>
      <c r="K39" s="403">
        <f t="shared" si="10"/>
        <v>0</v>
      </c>
      <c r="L39" s="403">
        <f t="shared" si="10"/>
        <v>0</v>
      </c>
      <c r="M39" s="387">
        <f t="shared" si="11"/>
        <v>0</v>
      </c>
      <c r="N39" s="12"/>
      <c r="O39" s="470"/>
      <c r="P39" s="471"/>
      <c r="Q39" s="472"/>
    </row>
    <row r="40" spans="1:17" ht="13.5" thickBot="1">
      <c r="A40" s="12"/>
      <c r="B40" s="339"/>
      <c r="C40" s="340"/>
      <c r="D40" s="339"/>
      <c r="E40" s="341"/>
      <c r="F40" s="339"/>
      <c r="G40" s="340"/>
      <c r="H40" s="339"/>
      <c r="I40" s="341"/>
      <c r="J40" s="342"/>
      <c r="K40" s="342"/>
      <c r="L40" s="342"/>
      <c r="M40" s="341"/>
      <c r="N40" s="12"/>
      <c r="O40" s="12"/>
      <c r="P40" s="12"/>
      <c r="Q40" s="10"/>
    </row>
    <row r="41" spans="1:10" ht="15.75" thickBot="1">
      <c r="A41" s="376" t="s">
        <v>269</v>
      </c>
      <c r="B41" s="35"/>
      <c r="C41" s="35"/>
      <c r="D41" s="35"/>
      <c r="E41" s="36"/>
      <c r="F41" s="25"/>
      <c r="G41" s="25"/>
      <c r="H41" s="25"/>
      <c r="I41" s="75"/>
      <c r="J41" s="75"/>
    </row>
    <row r="42" spans="1:25" ht="13.5" thickBot="1">
      <c r="A42" s="842" t="s">
        <v>3</v>
      </c>
      <c r="B42" s="836" t="s">
        <v>186</v>
      </c>
      <c r="C42" s="837"/>
      <c r="D42" s="837"/>
      <c r="E42" s="838"/>
      <c r="F42" s="836" t="s">
        <v>187</v>
      </c>
      <c r="G42" s="837"/>
      <c r="H42" s="837"/>
      <c r="I42" s="838"/>
      <c r="J42" s="836" t="s">
        <v>188</v>
      </c>
      <c r="K42" s="837"/>
      <c r="L42" s="837"/>
      <c r="M42" s="838"/>
      <c r="N42" s="833" t="s">
        <v>194</v>
      </c>
      <c r="O42" s="834"/>
      <c r="P42" s="834"/>
      <c r="Q42" s="835"/>
      <c r="R42" s="833" t="s">
        <v>195</v>
      </c>
      <c r="S42" s="834"/>
      <c r="T42" s="834"/>
      <c r="U42" s="835"/>
      <c r="V42" s="833" t="s">
        <v>237</v>
      </c>
      <c r="W42" s="834"/>
      <c r="X42" s="834"/>
      <c r="Y42" s="835"/>
    </row>
    <row r="43" spans="1:25" ht="39" thickBot="1">
      <c r="A43" s="843"/>
      <c r="B43" s="392" t="s">
        <v>190</v>
      </c>
      <c r="C43" s="393" t="s">
        <v>191</v>
      </c>
      <c r="D43" s="393" t="s">
        <v>192</v>
      </c>
      <c r="E43" s="394" t="s">
        <v>193</v>
      </c>
      <c r="F43" s="392" t="s">
        <v>190</v>
      </c>
      <c r="G43" s="393" t="s">
        <v>191</v>
      </c>
      <c r="H43" s="393" t="s">
        <v>192</v>
      </c>
      <c r="I43" s="394" t="s">
        <v>193</v>
      </c>
      <c r="J43" s="392" t="s">
        <v>190</v>
      </c>
      <c r="K43" s="393" t="s">
        <v>191</v>
      </c>
      <c r="L43" s="393" t="s">
        <v>192</v>
      </c>
      <c r="M43" s="394" t="s">
        <v>193</v>
      </c>
      <c r="N43" s="392" t="s">
        <v>190</v>
      </c>
      <c r="O43" s="393" t="s">
        <v>191</v>
      </c>
      <c r="P43" s="393" t="s">
        <v>192</v>
      </c>
      <c r="Q43" s="394" t="s">
        <v>193</v>
      </c>
      <c r="R43" s="392" t="s">
        <v>190</v>
      </c>
      <c r="S43" s="393" t="s">
        <v>191</v>
      </c>
      <c r="T43" s="393" t="s">
        <v>192</v>
      </c>
      <c r="U43" s="394" t="s">
        <v>193</v>
      </c>
      <c r="V43" s="392" t="s">
        <v>190</v>
      </c>
      <c r="W43" s="393" t="s">
        <v>191</v>
      </c>
      <c r="X43" s="393" t="s">
        <v>192</v>
      </c>
      <c r="Y43" s="394" t="s">
        <v>193</v>
      </c>
    </row>
    <row r="44" spans="1:25" ht="12.75">
      <c r="A44" s="423" t="s">
        <v>54</v>
      </c>
      <c r="B44" s="425">
        <f>B19-B20</f>
        <v>401.70000000000005</v>
      </c>
      <c r="C44" s="426">
        <f>C19-C20</f>
        <v>0</v>
      </c>
      <c r="D44" s="426">
        <f>D19-D20</f>
        <v>2137.8</v>
      </c>
      <c r="E44" s="427">
        <f aca="true" t="shared" si="13" ref="E44:E51">B44+C44+D44</f>
        <v>2539.5</v>
      </c>
      <c r="F44" s="425">
        <f>F19-F20</f>
        <v>151.2</v>
      </c>
      <c r="G44" s="426">
        <f>G19-G20</f>
        <v>0</v>
      </c>
      <c r="H44" s="426">
        <f>H19-H20</f>
        <v>1850</v>
      </c>
      <c r="I44" s="427">
        <f>F44+G44+H44</f>
        <v>2001.2</v>
      </c>
      <c r="J44" s="430">
        <f>B44-F44</f>
        <v>250.50000000000006</v>
      </c>
      <c r="K44" s="431">
        <f aca="true" t="shared" si="14" ref="J44:L51">C44-G44</f>
        <v>0</v>
      </c>
      <c r="L44" s="431">
        <f t="shared" si="14"/>
        <v>287.8000000000002</v>
      </c>
      <c r="M44" s="398">
        <f aca="true" t="shared" si="15" ref="M44:M51">J44+K44+L44</f>
        <v>538.3000000000002</v>
      </c>
      <c r="N44" s="436">
        <f>B44*D5</f>
        <v>10042.500000000002</v>
      </c>
      <c r="O44" s="437">
        <f aca="true" t="shared" si="16" ref="O44:O51">C44*F5</f>
        <v>0</v>
      </c>
      <c r="P44" s="437">
        <f aca="true" t="shared" si="17" ref="P44:P51">D44*H5</f>
        <v>53445.00000000001</v>
      </c>
      <c r="Q44" s="438">
        <f>N44+O44+P44</f>
        <v>63487.50000000001</v>
      </c>
      <c r="R44" s="436">
        <f>F44*D5</f>
        <v>3779.9999999999995</v>
      </c>
      <c r="S44" s="437">
        <f aca="true" t="shared" si="18" ref="S44:S51">G44*F5</f>
        <v>0</v>
      </c>
      <c r="T44" s="437">
        <f aca="true" t="shared" si="19" ref="T44:T51">H44*H5</f>
        <v>46250</v>
      </c>
      <c r="U44" s="438">
        <f aca="true" t="shared" si="20" ref="U44:U51">R44+S44+T44</f>
        <v>50030</v>
      </c>
      <c r="V44" s="439">
        <f>N44-R44</f>
        <v>6262.500000000002</v>
      </c>
      <c r="W44" s="440">
        <f aca="true" t="shared" si="21" ref="V44:X51">O44-S44</f>
        <v>0</v>
      </c>
      <c r="X44" s="440">
        <f t="shared" si="21"/>
        <v>7195.000000000007</v>
      </c>
      <c r="Y44" s="441">
        <f aca="true" t="shared" si="22" ref="Y44:Y51">V44+W44+X44</f>
        <v>13457.50000000001</v>
      </c>
    </row>
    <row r="45" spans="1:25" ht="12.75">
      <c r="A45" s="259" t="s">
        <v>57</v>
      </c>
      <c r="B45" s="367">
        <f>B20-B21-B22</f>
        <v>150.20000000000005</v>
      </c>
      <c r="C45" s="63">
        <f>C20-C21-C22</f>
        <v>0</v>
      </c>
      <c r="D45" s="63">
        <f>D20-D21-D22</f>
        <v>42.799999999999955</v>
      </c>
      <c r="E45" s="428">
        <f t="shared" si="13"/>
        <v>193</v>
      </c>
      <c r="F45" s="367">
        <f>F20-F21-F22</f>
        <v>3.6</v>
      </c>
      <c r="G45" s="63">
        <f>G20-G21-G22</f>
        <v>0</v>
      </c>
      <c r="H45" s="63">
        <f>H20-H21-H22</f>
        <v>210.69999999999993</v>
      </c>
      <c r="I45" s="428">
        <f aca="true" t="shared" si="23" ref="I45:I51">F45+G45+H45</f>
        <v>214.29999999999993</v>
      </c>
      <c r="J45" s="432">
        <f t="shared" si="14"/>
        <v>146.60000000000005</v>
      </c>
      <c r="K45" s="274">
        <f t="shared" si="14"/>
        <v>0</v>
      </c>
      <c r="L45" s="274">
        <f t="shared" si="14"/>
        <v>-167.89999999999998</v>
      </c>
      <c r="M45" s="383">
        <f t="shared" si="15"/>
        <v>-21.299999999999926</v>
      </c>
      <c r="N45" s="434">
        <f aca="true" t="shared" si="24" ref="N45:N51">B45*D6</f>
        <v>8552.388000000003</v>
      </c>
      <c r="O45" s="157">
        <f t="shared" si="16"/>
        <v>0</v>
      </c>
      <c r="P45" s="157">
        <f t="shared" si="17"/>
        <v>2437.0319999999974</v>
      </c>
      <c r="Q45" s="136">
        <f aca="true" t="shared" si="25" ref="Q45:Q51">N45+O45+P45</f>
        <v>10989.42</v>
      </c>
      <c r="R45" s="434">
        <f aca="true" t="shared" si="26" ref="R45:R51">F45*D6</f>
        <v>204.984</v>
      </c>
      <c r="S45" s="157">
        <f t="shared" si="18"/>
        <v>0</v>
      </c>
      <c r="T45" s="157">
        <f t="shared" si="19"/>
        <v>11997.257999999996</v>
      </c>
      <c r="U45" s="136">
        <f t="shared" si="20"/>
        <v>12202.241999999997</v>
      </c>
      <c r="V45" s="434">
        <f t="shared" si="21"/>
        <v>8347.404000000002</v>
      </c>
      <c r="W45" s="157">
        <f t="shared" si="21"/>
        <v>0</v>
      </c>
      <c r="X45" s="157">
        <f t="shared" si="21"/>
        <v>-9560.225999999999</v>
      </c>
      <c r="Y45" s="136">
        <f t="shared" si="22"/>
        <v>-1212.8219999999965</v>
      </c>
    </row>
    <row r="46" spans="1:25" ht="12.75">
      <c r="A46" s="259" t="s">
        <v>56</v>
      </c>
      <c r="B46" s="367">
        <f>B21-B23-B25</f>
        <v>413.2</v>
      </c>
      <c r="C46" s="63">
        <f>C21-C23-C25</f>
        <v>18.400000000000002</v>
      </c>
      <c r="D46" s="63">
        <f>D21-D23-D25</f>
        <v>273.90000000000003</v>
      </c>
      <c r="E46" s="428">
        <f t="shared" si="13"/>
        <v>705.5</v>
      </c>
      <c r="F46" s="367">
        <f>F21-F23-F25</f>
        <v>0.2</v>
      </c>
      <c r="G46" s="63">
        <f>G21-G23-G25</f>
        <v>15.6</v>
      </c>
      <c r="H46" s="63">
        <f>H21-H23-H25</f>
        <v>255.90000000000003</v>
      </c>
      <c r="I46" s="428">
        <f t="shared" si="23"/>
        <v>271.70000000000005</v>
      </c>
      <c r="J46" s="432">
        <f t="shared" si="14"/>
        <v>413</v>
      </c>
      <c r="K46" s="274">
        <f t="shared" si="14"/>
        <v>2.8000000000000025</v>
      </c>
      <c r="L46" s="274">
        <f t="shared" si="14"/>
        <v>18</v>
      </c>
      <c r="M46" s="383">
        <f t="shared" si="15"/>
        <v>433.8</v>
      </c>
      <c r="N46" s="434">
        <f t="shared" si="24"/>
        <v>23527.608</v>
      </c>
      <c r="O46" s="157">
        <f t="shared" si="16"/>
        <v>1047.6960000000001</v>
      </c>
      <c r="P46" s="157">
        <f t="shared" si="17"/>
        <v>15595.866000000002</v>
      </c>
      <c r="Q46" s="136">
        <f t="shared" si="25"/>
        <v>40171.17</v>
      </c>
      <c r="R46" s="434">
        <f t="shared" si="26"/>
        <v>11.388</v>
      </c>
      <c r="S46" s="157">
        <f t="shared" si="18"/>
        <v>888.2639999999999</v>
      </c>
      <c r="T46" s="157">
        <f t="shared" si="19"/>
        <v>14570.946000000002</v>
      </c>
      <c r="U46" s="136">
        <f t="shared" si="20"/>
        <v>15470.598000000002</v>
      </c>
      <c r="V46" s="434">
        <f t="shared" si="21"/>
        <v>23516.22</v>
      </c>
      <c r="W46" s="157">
        <f t="shared" si="21"/>
        <v>159.43200000000024</v>
      </c>
      <c r="X46" s="157">
        <f t="shared" si="21"/>
        <v>1024.92</v>
      </c>
      <c r="Y46" s="136">
        <f t="shared" si="22"/>
        <v>24700.572</v>
      </c>
    </row>
    <row r="47" spans="1:25" ht="12.75">
      <c r="A47" s="259" t="s">
        <v>55</v>
      </c>
      <c r="B47" s="367">
        <f>B22-B26</f>
        <v>208</v>
      </c>
      <c r="C47" s="63">
        <f>C22-C26</f>
        <v>45.599999999999994</v>
      </c>
      <c r="D47" s="63">
        <f>D22-D26</f>
        <v>105.50000000000003</v>
      </c>
      <c r="E47" s="428">
        <f t="shared" si="13"/>
        <v>359.1</v>
      </c>
      <c r="F47" s="367">
        <f>F22-F26</f>
        <v>0</v>
      </c>
      <c r="G47" s="63">
        <f>G22-G26</f>
        <v>0</v>
      </c>
      <c r="H47" s="63">
        <f>H22-H26</f>
        <v>159.60000000000002</v>
      </c>
      <c r="I47" s="428">
        <f t="shared" si="23"/>
        <v>159.60000000000002</v>
      </c>
      <c r="J47" s="432">
        <f t="shared" si="14"/>
        <v>208</v>
      </c>
      <c r="K47" s="274">
        <f t="shared" si="14"/>
        <v>45.599999999999994</v>
      </c>
      <c r="L47" s="274">
        <f t="shared" si="14"/>
        <v>-54.099999999999994</v>
      </c>
      <c r="M47" s="383">
        <f t="shared" si="15"/>
        <v>199.5</v>
      </c>
      <c r="N47" s="434">
        <f t="shared" si="24"/>
        <v>11843.52</v>
      </c>
      <c r="O47" s="157">
        <f t="shared" si="16"/>
        <v>2596.4639999999995</v>
      </c>
      <c r="P47" s="157">
        <f t="shared" si="17"/>
        <v>6007.170000000001</v>
      </c>
      <c r="Q47" s="136">
        <f t="shared" si="25"/>
        <v>20447.154000000002</v>
      </c>
      <c r="R47" s="434">
        <f t="shared" si="26"/>
        <v>0</v>
      </c>
      <c r="S47" s="157">
        <f t="shared" si="18"/>
        <v>0</v>
      </c>
      <c r="T47" s="157">
        <f t="shared" si="19"/>
        <v>9087.624000000002</v>
      </c>
      <c r="U47" s="136">
        <f t="shared" si="20"/>
        <v>9087.624000000002</v>
      </c>
      <c r="V47" s="434">
        <f t="shared" si="21"/>
        <v>11843.52</v>
      </c>
      <c r="W47" s="157">
        <f t="shared" si="21"/>
        <v>2596.4639999999995</v>
      </c>
      <c r="X47" s="157">
        <f t="shared" si="21"/>
        <v>-3080.4540000000006</v>
      </c>
      <c r="Y47" s="136">
        <f t="shared" si="22"/>
        <v>11359.529999999999</v>
      </c>
    </row>
    <row r="48" spans="1:25" ht="12.75">
      <c r="A48" s="259" t="s">
        <v>45</v>
      </c>
      <c r="B48" s="367">
        <f>B23-B24</f>
        <v>97.3</v>
      </c>
      <c r="C48" s="63">
        <f>C23-C24</f>
        <v>0</v>
      </c>
      <c r="D48" s="63">
        <f>D23-D24</f>
        <v>40.2</v>
      </c>
      <c r="E48" s="428">
        <f t="shared" si="13"/>
        <v>137.5</v>
      </c>
      <c r="F48" s="367">
        <f>F23-F24</f>
        <v>0</v>
      </c>
      <c r="G48" s="63">
        <f>G23-G24</f>
        <v>0</v>
      </c>
      <c r="H48" s="63">
        <f>H23-H24</f>
        <v>5</v>
      </c>
      <c r="I48" s="428">
        <f t="shared" si="23"/>
        <v>5</v>
      </c>
      <c r="J48" s="432">
        <f t="shared" si="14"/>
        <v>97.3</v>
      </c>
      <c r="K48" s="274">
        <f t="shared" si="14"/>
        <v>0</v>
      </c>
      <c r="L48" s="274">
        <f t="shared" si="14"/>
        <v>35.2</v>
      </c>
      <c r="M48" s="383">
        <f t="shared" si="15"/>
        <v>132.5</v>
      </c>
      <c r="N48" s="434">
        <f t="shared" si="24"/>
        <v>5540.262</v>
      </c>
      <c r="O48" s="157">
        <f t="shared" si="16"/>
        <v>0</v>
      </c>
      <c r="P48" s="157">
        <f t="shared" si="17"/>
        <v>2288.9880000000003</v>
      </c>
      <c r="Q48" s="136">
        <f t="shared" si="25"/>
        <v>7829.25</v>
      </c>
      <c r="R48" s="434">
        <f t="shared" si="26"/>
        <v>0</v>
      </c>
      <c r="S48" s="157">
        <f t="shared" si="18"/>
        <v>0</v>
      </c>
      <c r="T48" s="157">
        <f t="shared" si="19"/>
        <v>284.7</v>
      </c>
      <c r="U48" s="136">
        <f t="shared" si="20"/>
        <v>284.7</v>
      </c>
      <c r="V48" s="434">
        <f t="shared" si="21"/>
        <v>5540.262</v>
      </c>
      <c r="W48" s="157">
        <f t="shared" si="21"/>
        <v>0</v>
      </c>
      <c r="X48" s="157">
        <f t="shared" si="21"/>
        <v>2004.2880000000002</v>
      </c>
      <c r="Y48" s="136">
        <f t="shared" si="22"/>
        <v>7544.55</v>
      </c>
    </row>
    <row r="49" spans="1:25" ht="12.75">
      <c r="A49" s="259" t="s">
        <v>42</v>
      </c>
      <c r="B49" s="367">
        <f>B24</f>
        <v>0.5</v>
      </c>
      <c r="C49" s="63">
        <f aca="true" t="shared" si="27" ref="C49:D51">C24</f>
        <v>0.4</v>
      </c>
      <c r="D49" s="63">
        <f t="shared" si="27"/>
        <v>0</v>
      </c>
      <c r="E49" s="428">
        <f t="shared" si="13"/>
        <v>0.9</v>
      </c>
      <c r="F49" s="367">
        <f aca="true" t="shared" si="28" ref="F49:H51">F24</f>
        <v>0.2</v>
      </c>
      <c r="G49" s="63">
        <f t="shared" si="28"/>
        <v>0</v>
      </c>
      <c r="H49" s="63">
        <f t="shared" si="28"/>
        <v>0.7</v>
      </c>
      <c r="I49" s="428">
        <f t="shared" si="23"/>
        <v>0.8999999999999999</v>
      </c>
      <c r="J49" s="432">
        <f t="shared" si="14"/>
        <v>0.3</v>
      </c>
      <c r="K49" s="274">
        <f t="shared" si="14"/>
        <v>0.4</v>
      </c>
      <c r="L49" s="274">
        <f t="shared" si="14"/>
        <v>-0.7</v>
      </c>
      <c r="M49" s="383">
        <f t="shared" si="15"/>
        <v>0</v>
      </c>
      <c r="N49" s="434">
        <f t="shared" si="24"/>
        <v>155</v>
      </c>
      <c r="O49" s="157">
        <f t="shared" si="16"/>
        <v>124</v>
      </c>
      <c r="P49" s="157">
        <f t="shared" si="17"/>
        <v>0</v>
      </c>
      <c r="Q49" s="136">
        <f t="shared" si="25"/>
        <v>279</v>
      </c>
      <c r="R49" s="434">
        <f t="shared" si="26"/>
        <v>62</v>
      </c>
      <c r="S49" s="157">
        <f t="shared" si="18"/>
        <v>0</v>
      </c>
      <c r="T49" s="157">
        <f t="shared" si="19"/>
        <v>217</v>
      </c>
      <c r="U49" s="136">
        <f t="shared" si="20"/>
        <v>279</v>
      </c>
      <c r="V49" s="434">
        <f t="shared" si="21"/>
        <v>93</v>
      </c>
      <c r="W49" s="157">
        <f t="shared" si="21"/>
        <v>124</v>
      </c>
      <c r="X49" s="157">
        <f t="shared" si="21"/>
        <v>-217</v>
      </c>
      <c r="Y49" s="136">
        <f t="shared" si="22"/>
        <v>0</v>
      </c>
    </row>
    <row r="50" spans="1:25" ht="12.75">
      <c r="A50" s="259" t="s">
        <v>43</v>
      </c>
      <c r="B50" s="367">
        <f>B25</f>
        <v>18</v>
      </c>
      <c r="C50" s="63">
        <f t="shared" si="27"/>
        <v>24.3</v>
      </c>
      <c r="D50" s="63">
        <f t="shared" si="27"/>
        <v>60</v>
      </c>
      <c r="E50" s="428">
        <f t="shared" si="13"/>
        <v>102.3</v>
      </c>
      <c r="F50" s="367">
        <f t="shared" si="28"/>
        <v>0</v>
      </c>
      <c r="G50" s="63">
        <f t="shared" si="28"/>
        <v>0</v>
      </c>
      <c r="H50" s="63">
        <f t="shared" si="28"/>
        <v>13.7</v>
      </c>
      <c r="I50" s="428">
        <f t="shared" si="23"/>
        <v>13.7</v>
      </c>
      <c r="J50" s="432">
        <f t="shared" si="14"/>
        <v>18</v>
      </c>
      <c r="K50" s="274">
        <f t="shared" si="14"/>
        <v>24.3</v>
      </c>
      <c r="L50" s="274">
        <f t="shared" si="14"/>
        <v>46.3</v>
      </c>
      <c r="M50" s="383">
        <f t="shared" si="15"/>
        <v>88.6</v>
      </c>
      <c r="N50" s="434">
        <f t="shared" si="24"/>
        <v>1024.92</v>
      </c>
      <c r="O50" s="157">
        <f t="shared" si="16"/>
        <v>1383.642</v>
      </c>
      <c r="P50" s="157">
        <f t="shared" si="17"/>
        <v>3416.3999999999996</v>
      </c>
      <c r="Q50" s="136">
        <f t="shared" si="25"/>
        <v>5824.9619999999995</v>
      </c>
      <c r="R50" s="434">
        <f t="shared" si="26"/>
        <v>0</v>
      </c>
      <c r="S50" s="157">
        <f t="shared" si="18"/>
        <v>0</v>
      </c>
      <c r="T50" s="157">
        <f t="shared" si="19"/>
        <v>780.078</v>
      </c>
      <c r="U50" s="136">
        <f t="shared" si="20"/>
        <v>780.078</v>
      </c>
      <c r="V50" s="434">
        <f t="shared" si="21"/>
        <v>1024.92</v>
      </c>
      <c r="W50" s="157">
        <f t="shared" si="21"/>
        <v>1383.642</v>
      </c>
      <c r="X50" s="157">
        <f t="shared" si="21"/>
        <v>2636.3219999999997</v>
      </c>
      <c r="Y50" s="136">
        <f t="shared" si="22"/>
        <v>5044.884</v>
      </c>
    </row>
    <row r="51" spans="1:25" ht="12.75">
      <c r="A51" s="259" t="s">
        <v>15</v>
      </c>
      <c r="B51" s="367">
        <f>B26</f>
        <v>172</v>
      </c>
      <c r="C51" s="63">
        <f t="shared" si="27"/>
        <v>21</v>
      </c>
      <c r="D51" s="63">
        <f t="shared" si="27"/>
        <v>245.6</v>
      </c>
      <c r="E51" s="428">
        <f t="shared" si="13"/>
        <v>438.6</v>
      </c>
      <c r="F51" s="367">
        <f t="shared" si="28"/>
        <v>0</v>
      </c>
      <c r="G51" s="63">
        <f t="shared" si="28"/>
        <v>3.6</v>
      </c>
      <c r="H51" s="63">
        <f t="shared" si="28"/>
        <v>239.5</v>
      </c>
      <c r="I51" s="428">
        <f t="shared" si="23"/>
        <v>243.1</v>
      </c>
      <c r="J51" s="433">
        <f t="shared" si="14"/>
        <v>172</v>
      </c>
      <c r="K51" s="274">
        <f t="shared" si="14"/>
        <v>17.4</v>
      </c>
      <c r="L51" s="274">
        <f t="shared" si="14"/>
        <v>6.099999999999994</v>
      </c>
      <c r="M51" s="383">
        <f t="shared" si="15"/>
        <v>195.5</v>
      </c>
      <c r="N51" s="434">
        <f t="shared" si="24"/>
        <v>9793.68</v>
      </c>
      <c r="O51" s="157">
        <f t="shared" si="16"/>
        <v>1195.74</v>
      </c>
      <c r="P51" s="157">
        <f t="shared" si="17"/>
        <v>13984.464</v>
      </c>
      <c r="Q51" s="136">
        <f t="shared" si="25"/>
        <v>24973.884</v>
      </c>
      <c r="R51" s="434">
        <f t="shared" si="26"/>
        <v>0</v>
      </c>
      <c r="S51" s="157">
        <f t="shared" si="18"/>
        <v>204.984</v>
      </c>
      <c r="T51" s="157">
        <f t="shared" si="19"/>
        <v>13637.13</v>
      </c>
      <c r="U51" s="136">
        <f t="shared" si="20"/>
        <v>13842.114</v>
      </c>
      <c r="V51" s="434">
        <f t="shared" si="21"/>
        <v>9793.68</v>
      </c>
      <c r="W51" s="157">
        <f t="shared" si="21"/>
        <v>990.756</v>
      </c>
      <c r="X51" s="157">
        <f t="shared" si="21"/>
        <v>347.33400000000074</v>
      </c>
      <c r="Y51" s="136">
        <f t="shared" si="22"/>
        <v>11131.77</v>
      </c>
    </row>
    <row r="52" spans="1:25" ht="13.5" thickBot="1">
      <c r="A52" s="424" t="s">
        <v>59</v>
      </c>
      <c r="B52" s="369">
        <f>SUM(B44:B51)</f>
        <v>1460.9</v>
      </c>
      <c r="C52" s="275">
        <f>SUM(C44:C51)</f>
        <v>109.7</v>
      </c>
      <c r="D52" s="275">
        <f>SUM(D44:D51)</f>
        <v>2905.8</v>
      </c>
      <c r="E52" s="429">
        <f>SUM(E44:E51)</f>
        <v>4476.400000000001</v>
      </c>
      <c r="F52" s="369">
        <f aca="true" t="shared" si="29" ref="F52:Y52">SUM(F44:F51)</f>
        <v>155.19999999999996</v>
      </c>
      <c r="G52" s="275">
        <f>SUM(G44:G51)</f>
        <v>19.2</v>
      </c>
      <c r="H52" s="275">
        <f>SUM(H44:H51)</f>
        <v>2735.0999999999995</v>
      </c>
      <c r="I52" s="429">
        <f>SUM(I44:I51)</f>
        <v>2909.4999999999995</v>
      </c>
      <c r="J52" s="369">
        <f t="shared" si="29"/>
        <v>1305.7</v>
      </c>
      <c r="K52" s="275">
        <f t="shared" si="29"/>
        <v>90.5</v>
      </c>
      <c r="L52" s="275">
        <f t="shared" si="29"/>
        <v>170.7000000000002</v>
      </c>
      <c r="M52" s="370">
        <f t="shared" si="29"/>
        <v>1566.9</v>
      </c>
      <c r="N52" s="435">
        <f t="shared" si="29"/>
        <v>70479.878</v>
      </c>
      <c r="O52" s="293">
        <f t="shared" si="29"/>
        <v>6347.5419999999995</v>
      </c>
      <c r="P52" s="293">
        <f t="shared" si="29"/>
        <v>97174.92000000001</v>
      </c>
      <c r="Q52" s="294">
        <f t="shared" si="29"/>
        <v>174002.34</v>
      </c>
      <c r="R52" s="435">
        <f t="shared" si="29"/>
        <v>4058.3719999999994</v>
      </c>
      <c r="S52" s="293">
        <f t="shared" si="29"/>
        <v>1093.2479999999998</v>
      </c>
      <c r="T52" s="293">
        <f t="shared" si="29"/>
        <v>96824.73599999999</v>
      </c>
      <c r="U52" s="294">
        <f t="shared" si="29"/>
        <v>101976.35599999999</v>
      </c>
      <c r="V52" s="435">
        <f t="shared" si="29"/>
        <v>66421.506</v>
      </c>
      <c r="W52" s="293">
        <f t="shared" si="29"/>
        <v>5254.294</v>
      </c>
      <c r="X52" s="293">
        <f t="shared" si="29"/>
        <v>350.18400000000884</v>
      </c>
      <c r="Y52" s="294">
        <f t="shared" si="29"/>
        <v>72025.98400000001</v>
      </c>
    </row>
    <row r="53" spans="1:25" ht="13.5" thickBot="1">
      <c r="A53" s="10"/>
      <c r="B53" s="361"/>
      <c r="C53" s="361"/>
      <c r="D53" s="361"/>
      <c r="E53" s="362"/>
      <c r="F53" s="361"/>
      <c r="G53" s="361"/>
      <c r="H53" s="361"/>
      <c r="I53" s="362"/>
      <c r="J53" s="361"/>
      <c r="K53" s="361"/>
      <c r="L53" s="361"/>
      <c r="M53" s="361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10" ht="15.75" thickBot="1">
      <c r="A54" s="171" t="s">
        <v>136</v>
      </c>
      <c r="B54" s="18"/>
      <c r="C54" s="18"/>
      <c r="D54" s="18"/>
      <c r="F54" s="81"/>
      <c r="G54" s="35"/>
      <c r="H54" s="35"/>
      <c r="I54" s="9"/>
      <c r="J54" s="18"/>
    </row>
    <row r="55" spans="1:10" ht="13.5" thickBot="1">
      <c r="A55" s="842" t="s">
        <v>3</v>
      </c>
      <c r="B55" s="846" t="s">
        <v>189</v>
      </c>
      <c r="C55" s="847"/>
      <c r="D55" s="848"/>
      <c r="E55" s="849" t="s">
        <v>196</v>
      </c>
      <c r="F55" s="850"/>
      <c r="G55" s="850"/>
      <c r="H55" s="851"/>
      <c r="I55" s="9"/>
      <c r="J55" s="18"/>
    </row>
    <row r="56" spans="1:10" ht="64.5" thickBot="1">
      <c r="A56" s="843"/>
      <c r="B56" s="377" t="s">
        <v>190</v>
      </c>
      <c r="C56" s="111" t="s">
        <v>191</v>
      </c>
      <c r="D56" s="128" t="s">
        <v>192</v>
      </c>
      <c r="E56" s="178" t="s">
        <v>190</v>
      </c>
      <c r="F56" s="111" t="s">
        <v>191</v>
      </c>
      <c r="G56" s="111" t="s">
        <v>192</v>
      </c>
      <c r="H56" s="371" t="s">
        <v>137</v>
      </c>
      <c r="I56" s="110" t="s">
        <v>267</v>
      </c>
      <c r="J56" s="113" t="s">
        <v>268</v>
      </c>
    </row>
    <row r="57" spans="1:10" ht="12.75">
      <c r="A57" s="442" t="s">
        <v>54</v>
      </c>
      <c r="B57" s="367">
        <f>N19-N20</f>
        <v>0</v>
      </c>
      <c r="C57" s="63">
        <f>O19-O20</f>
        <v>0</v>
      </c>
      <c r="D57" s="368">
        <f>P19-P20</f>
        <v>0</v>
      </c>
      <c r="E57" s="372">
        <f aca="true" t="shared" si="30" ref="E57:E64">B57*D5</f>
        <v>0</v>
      </c>
      <c r="F57" s="67">
        <f aca="true" t="shared" si="31" ref="F57:F64">C57*F5</f>
        <v>0</v>
      </c>
      <c r="G57" s="67">
        <f aca="true" t="shared" si="32" ref="G57:G64">D57*H5</f>
        <v>0</v>
      </c>
      <c r="H57" s="56">
        <f>E57+F57+G57</f>
        <v>0</v>
      </c>
      <c r="I57" s="372">
        <v>0</v>
      </c>
      <c r="J57" s="56">
        <v>0</v>
      </c>
    </row>
    <row r="58" spans="1:10" ht="12.75">
      <c r="A58" s="311" t="s">
        <v>57</v>
      </c>
      <c r="B58" s="367">
        <f>N20-N21-N22</f>
        <v>0</v>
      </c>
      <c r="C58" s="63">
        <f>O20-O21-O22</f>
        <v>0</v>
      </c>
      <c r="D58" s="368">
        <f>P20-P21-P22</f>
        <v>0</v>
      </c>
      <c r="E58" s="372">
        <f t="shared" si="30"/>
        <v>0</v>
      </c>
      <c r="F58" s="67">
        <f t="shared" si="31"/>
        <v>0</v>
      </c>
      <c r="G58" s="67">
        <f t="shared" si="32"/>
        <v>0</v>
      </c>
      <c r="H58" s="56">
        <f aca="true" t="shared" si="33" ref="H58:H64">E58+F58+G58</f>
        <v>0</v>
      </c>
      <c r="I58" s="372">
        <v>0</v>
      </c>
      <c r="J58" s="56">
        <v>0</v>
      </c>
    </row>
    <row r="59" spans="1:10" ht="12.75">
      <c r="A59" s="311" t="s">
        <v>56</v>
      </c>
      <c r="B59" s="367">
        <f>N21-N23-N25</f>
        <v>0</v>
      </c>
      <c r="C59" s="63">
        <f>O21-O23-O25</f>
        <v>0</v>
      </c>
      <c r="D59" s="368">
        <f>P21-P23-P25</f>
        <v>0</v>
      </c>
      <c r="E59" s="372">
        <f t="shared" si="30"/>
        <v>0</v>
      </c>
      <c r="F59" s="67">
        <f t="shared" si="31"/>
        <v>0</v>
      </c>
      <c r="G59" s="67">
        <f t="shared" si="32"/>
        <v>0</v>
      </c>
      <c r="H59" s="56">
        <f t="shared" si="33"/>
        <v>0</v>
      </c>
      <c r="I59" s="372">
        <v>0</v>
      </c>
      <c r="J59" s="56">
        <v>0</v>
      </c>
    </row>
    <row r="60" spans="1:10" ht="12.75">
      <c r="A60" s="311" t="s">
        <v>55</v>
      </c>
      <c r="B60" s="367">
        <f>N22-N26</f>
        <v>0</v>
      </c>
      <c r="C60" s="63">
        <f>O22-O26</f>
        <v>0</v>
      </c>
      <c r="D60" s="368">
        <f>P22-P26</f>
        <v>0</v>
      </c>
      <c r="E60" s="372">
        <f t="shared" si="30"/>
        <v>0</v>
      </c>
      <c r="F60" s="67">
        <f t="shared" si="31"/>
        <v>0</v>
      </c>
      <c r="G60" s="67">
        <f t="shared" si="32"/>
        <v>0</v>
      </c>
      <c r="H60" s="56">
        <f t="shared" si="33"/>
        <v>0</v>
      </c>
      <c r="I60" s="372">
        <v>0</v>
      </c>
      <c r="J60" s="56">
        <v>0</v>
      </c>
    </row>
    <row r="61" spans="1:10" ht="12.75">
      <c r="A61" s="311" t="s">
        <v>45</v>
      </c>
      <c r="B61" s="367">
        <f>N23-N24</f>
        <v>0</v>
      </c>
      <c r="C61" s="63">
        <f>O23-O24</f>
        <v>0</v>
      </c>
      <c r="D61" s="368">
        <f>P23-P24</f>
        <v>0</v>
      </c>
      <c r="E61" s="372">
        <f t="shared" si="30"/>
        <v>0</v>
      </c>
      <c r="F61" s="67">
        <f t="shared" si="31"/>
        <v>0</v>
      </c>
      <c r="G61" s="67">
        <f t="shared" si="32"/>
        <v>0</v>
      </c>
      <c r="H61" s="56">
        <f t="shared" si="33"/>
        <v>0</v>
      </c>
      <c r="I61" s="372">
        <v>0</v>
      </c>
      <c r="J61" s="56">
        <v>0</v>
      </c>
    </row>
    <row r="62" spans="1:10" ht="12.75">
      <c r="A62" s="311" t="s">
        <v>42</v>
      </c>
      <c r="B62" s="367">
        <f>N24</f>
        <v>0</v>
      </c>
      <c r="C62" s="63">
        <f aca="true" t="shared" si="34" ref="C62:D64">O24</f>
        <v>0</v>
      </c>
      <c r="D62" s="368">
        <f t="shared" si="34"/>
        <v>0</v>
      </c>
      <c r="E62" s="372">
        <f t="shared" si="30"/>
        <v>0</v>
      </c>
      <c r="F62" s="67">
        <f t="shared" si="31"/>
        <v>0</v>
      </c>
      <c r="G62" s="67">
        <f t="shared" si="32"/>
        <v>0</v>
      </c>
      <c r="H62" s="56">
        <f t="shared" si="33"/>
        <v>0</v>
      </c>
      <c r="I62" s="372">
        <v>0</v>
      </c>
      <c r="J62" s="56">
        <v>0</v>
      </c>
    </row>
    <row r="63" spans="1:10" ht="12.75">
      <c r="A63" s="311" t="s">
        <v>43</v>
      </c>
      <c r="B63" s="367">
        <f>N25</f>
        <v>0</v>
      </c>
      <c r="C63" s="63">
        <f t="shared" si="34"/>
        <v>0</v>
      </c>
      <c r="D63" s="368">
        <f t="shared" si="34"/>
        <v>0</v>
      </c>
      <c r="E63" s="372">
        <f t="shared" si="30"/>
        <v>0</v>
      </c>
      <c r="F63" s="67">
        <f t="shared" si="31"/>
        <v>0</v>
      </c>
      <c r="G63" s="67">
        <f t="shared" si="32"/>
        <v>0</v>
      </c>
      <c r="H63" s="56">
        <f t="shared" si="33"/>
        <v>0</v>
      </c>
      <c r="I63" s="372">
        <v>0</v>
      </c>
      <c r="J63" s="56">
        <v>0</v>
      </c>
    </row>
    <row r="64" spans="1:10" ht="12.75">
      <c r="A64" s="311" t="s">
        <v>15</v>
      </c>
      <c r="B64" s="367">
        <f>N26</f>
        <v>0</v>
      </c>
      <c r="C64" s="63">
        <f t="shared" si="34"/>
        <v>0</v>
      </c>
      <c r="D64" s="368">
        <f t="shared" si="34"/>
        <v>0</v>
      </c>
      <c r="E64" s="372">
        <f t="shared" si="30"/>
        <v>0</v>
      </c>
      <c r="F64" s="67">
        <f t="shared" si="31"/>
        <v>0</v>
      </c>
      <c r="G64" s="67">
        <f t="shared" si="32"/>
        <v>0</v>
      </c>
      <c r="H64" s="56">
        <f t="shared" si="33"/>
        <v>0</v>
      </c>
      <c r="I64" s="372">
        <v>0</v>
      </c>
      <c r="J64" s="56">
        <v>0</v>
      </c>
    </row>
    <row r="65" spans="1:10" ht="13.5" thickBot="1">
      <c r="A65" s="365" t="s">
        <v>59</v>
      </c>
      <c r="B65" s="369">
        <f aca="true" t="shared" si="35" ref="B65:H65">SUM(B57:B64)</f>
        <v>0</v>
      </c>
      <c r="C65" s="275">
        <f t="shared" si="35"/>
        <v>0</v>
      </c>
      <c r="D65" s="370">
        <f t="shared" si="35"/>
        <v>0</v>
      </c>
      <c r="E65" s="373">
        <f t="shared" si="35"/>
        <v>0</v>
      </c>
      <c r="F65" s="363">
        <f t="shared" si="35"/>
        <v>0</v>
      </c>
      <c r="G65" s="363">
        <f t="shared" si="35"/>
        <v>0</v>
      </c>
      <c r="H65" s="364">
        <f t="shared" si="35"/>
        <v>0</v>
      </c>
      <c r="I65" s="374">
        <f>SUM(I57:I64)</f>
        <v>0</v>
      </c>
      <c r="J65" s="375">
        <v>0</v>
      </c>
    </row>
  </sheetData>
  <sheetProtection/>
  <mergeCells count="21">
    <mergeCell ref="N42:Q42"/>
    <mergeCell ref="R42:U42"/>
    <mergeCell ref="V42:Y42"/>
    <mergeCell ref="A55:A56"/>
    <mergeCell ref="B55:D55"/>
    <mergeCell ref="E55:H55"/>
    <mergeCell ref="A29:B29"/>
    <mergeCell ref="A30:A31"/>
    <mergeCell ref="B30:E30"/>
    <mergeCell ref="F30:I30"/>
    <mergeCell ref="J30:M30"/>
    <mergeCell ref="A42:A43"/>
    <mergeCell ref="B42:E42"/>
    <mergeCell ref="F42:I42"/>
    <mergeCell ref="J42:M42"/>
    <mergeCell ref="A16:C16"/>
    <mergeCell ref="A17:A18"/>
    <mergeCell ref="B17:E17"/>
    <mergeCell ref="F17:I17"/>
    <mergeCell ref="J17:M17"/>
    <mergeCell ref="N17:Q17"/>
  </mergeCells>
  <printOptions/>
  <pageMargins left="0.7" right="0.7" top="0.25" bottom="0.25" header="0.3" footer="0.3"/>
  <pageSetup fitToHeight="1" fitToWidth="1" horizontalDpi="600" verticalDpi="600" orientation="landscape" scale="2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12" width="16.7109375" style="0" customWidth="1"/>
  </cols>
  <sheetData>
    <row r="1" spans="1:12" ht="18.75">
      <c r="A1" s="3" t="s">
        <v>280</v>
      </c>
      <c r="B1" s="6"/>
      <c r="C1" s="6"/>
      <c r="D1" s="6"/>
      <c r="E1" s="58" t="s">
        <v>24</v>
      </c>
      <c r="F1" s="58" t="s">
        <v>24</v>
      </c>
      <c r="G1" s="58" t="s">
        <v>24</v>
      </c>
      <c r="H1" s="6"/>
      <c r="I1" s="6"/>
      <c r="J1" s="6"/>
      <c r="K1" s="6"/>
      <c r="L1" s="6"/>
    </row>
    <row r="2" spans="1:12" ht="13.5" thickBot="1">
      <c r="A2" s="12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thickBot="1">
      <c r="A3" s="125" t="s">
        <v>0</v>
      </c>
      <c r="B3" s="6"/>
      <c r="C3" s="6"/>
      <c r="D3" s="1" t="s">
        <v>24</v>
      </c>
      <c r="E3" s="6"/>
      <c r="F3" s="6"/>
      <c r="G3" s="6"/>
      <c r="H3" s="6"/>
      <c r="I3" s="6"/>
      <c r="J3" s="6"/>
      <c r="K3" s="6"/>
      <c r="L3" s="6"/>
    </row>
    <row r="4" spans="1:12" ht="12.75">
      <c r="A4" s="116" t="s">
        <v>1</v>
      </c>
      <c r="B4" s="117">
        <v>0.159</v>
      </c>
      <c r="C4" s="6"/>
      <c r="D4" s="21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K4" s="6"/>
      <c r="L4" s="23" t="s">
        <v>24</v>
      </c>
    </row>
    <row r="5" spans="1:12" ht="12.75">
      <c r="A5" s="118" t="s">
        <v>2</v>
      </c>
      <c r="B5" s="119">
        <v>0.0605</v>
      </c>
      <c r="C5" s="6"/>
      <c r="D5" s="288" t="s">
        <v>24</v>
      </c>
      <c r="E5" s="14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</row>
    <row r="6" spans="1:12" ht="12.75">
      <c r="A6" s="55" t="s">
        <v>4</v>
      </c>
      <c r="B6" s="120">
        <v>1.0889</v>
      </c>
      <c r="C6" s="6"/>
      <c r="D6" s="72" t="s">
        <v>24</v>
      </c>
      <c r="E6" s="38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</row>
    <row r="7" spans="1:12" ht="12.75">
      <c r="A7" s="55" t="s">
        <v>38</v>
      </c>
      <c r="B7" s="121">
        <v>142333.1</v>
      </c>
      <c r="C7" s="6"/>
      <c r="D7" s="10" t="s">
        <v>24</v>
      </c>
      <c r="E7" s="14" t="s">
        <v>24</v>
      </c>
      <c r="F7" s="37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</row>
    <row r="8" spans="1:12" ht="12.75">
      <c r="A8" s="55" t="s">
        <v>39</v>
      </c>
      <c r="B8" s="122" t="s">
        <v>281</v>
      </c>
      <c r="C8" s="6"/>
      <c r="D8" s="10" t="s">
        <v>24</v>
      </c>
      <c r="E8" s="14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</row>
    <row r="9" spans="1:12" ht="12.75">
      <c r="A9" s="55" t="s">
        <v>40</v>
      </c>
      <c r="B9" s="123">
        <f>0.6*'BRA Load Pricing Results'!B9</f>
        <v>2224.8599999999997</v>
      </c>
      <c r="C9" s="6"/>
      <c r="D9" s="9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</row>
    <row r="10" spans="1:12" ht="13.5" thickBot="1">
      <c r="A10" s="57" t="s">
        <v>23</v>
      </c>
      <c r="B10" s="124">
        <f>(B15-B9)/(G54*B6)</f>
        <v>1.0243418207418264</v>
      </c>
      <c r="C10" s="276" t="s">
        <v>24</v>
      </c>
      <c r="D10" s="289" t="s">
        <v>24</v>
      </c>
      <c r="E10" s="14" t="s">
        <v>24</v>
      </c>
      <c r="F10" s="37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</row>
    <row r="11" spans="1:12" ht="12.75">
      <c r="A11" s="6"/>
      <c r="B11" s="7"/>
      <c r="C11" s="6"/>
      <c r="D11" s="12"/>
      <c r="E11" s="7" t="s">
        <v>24</v>
      </c>
      <c r="F11" s="4" t="s">
        <v>24</v>
      </c>
      <c r="G11" s="7"/>
      <c r="H11" s="28" t="s">
        <v>24</v>
      </c>
      <c r="I11" s="6"/>
      <c r="J11" s="6"/>
      <c r="K11" s="6"/>
      <c r="L11" s="6" t="s">
        <v>24</v>
      </c>
    </row>
    <row r="12" spans="1:12" ht="13.5" thickBot="1">
      <c r="A12" s="12"/>
      <c r="B12" s="222"/>
      <c r="C12" s="454"/>
      <c r="D12" s="35"/>
      <c r="E12" s="36"/>
      <c r="F12" s="25"/>
      <c r="G12" s="25"/>
      <c r="H12" s="25"/>
      <c r="I12" s="75"/>
      <c r="J12" s="75"/>
      <c r="K12" s="75"/>
      <c r="L12" s="52"/>
    </row>
    <row r="13" spans="1:12" ht="15.75" thickBot="1">
      <c r="A13" s="109" t="s">
        <v>78</v>
      </c>
      <c r="B13" s="35"/>
      <c r="C13" s="35"/>
      <c r="D13" s="35"/>
      <c r="E13" s="711" t="s">
        <v>24</v>
      </c>
      <c r="F13" s="712"/>
      <c r="G13" s="712"/>
      <c r="H13" s="712"/>
      <c r="I13" s="75"/>
      <c r="J13" s="75"/>
      <c r="K13" s="75"/>
      <c r="L13" s="52"/>
    </row>
    <row r="14" spans="1:12" ht="89.25">
      <c r="A14" s="110" t="s">
        <v>3</v>
      </c>
      <c r="B14" s="112" t="s">
        <v>198</v>
      </c>
      <c r="C14" s="112" t="s">
        <v>199</v>
      </c>
      <c r="D14" s="112" t="s">
        <v>200</v>
      </c>
      <c r="E14" s="112" t="s">
        <v>290</v>
      </c>
      <c r="F14" s="112" t="s">
        <v>157</v>
      </c>
      <c r="G14" s="112" t="s">
        <v>291</v>
      </c>
      <c r="H14" s="112" t="s">
        <v>238</v>
      </c>
      <c r="I14" s="112" t="s">
        <v>201</v>
      </c>
      <c r="J14" s="112" t="s">
        <v>202</v>
      </c>
      <c r="K14" s="113" t="s">
        <v>203</v>
      </c>
      <c r="L14" s="83"/>
    </row>
    <row r="15" spans="1:12" ht="12.75">
      <c r="A15" s="55" t="s">
        <v>6</v>
      </c>
      <c r="B15" s="213">
        <f>'BRA Resource Clearing Results'!E17-'1stIA Resource Clearing Results'!M19-'2ndIA Resource Clearing Results'!M19+B9</f>
        <v>148022.65999999997</v>
      </c>
      <c r="C15" s="231">
        <f>('BRA Resource Clearing Results'!E17*'BRA Resource Clearing Results'!B5-'1stIA Resource Clearing Results'!M19*'1stIA Resource Clearing Results'!B5-'2ndIA Resource Clearing Results'!M19*'2ndIA Resource Clearing Results'!B5)/('BRA Resource Clearing Results'!E17-'1stIA Resource Clearing Results'!M19-'2ndIA Resource Clearing Results'!M19)</f>
        <v>128.79532344795325</v>
      </c>
      <c r="D15" s="231">
        <f>('BRA Resource Clearing Results'!E17*'BRA Resource Clearing Results'!C5-'1stIA Resource Clearing Results'!M19*'1stIA Resource Clearing Results'!C5-'2ndIA Resource Clearing Results'!M19*'2ndIA Resource Clearing Results'!C5)/('BRA Resource Clearing Results'!E17-'1stIA Resource Clearing Results'!M19-'2ndIA Resource Clearing Results'!M19)</f>
        <v>0</v>
      </c>
      <c r="E15" s="214">
        <f>('BRA Resource Clearing Results'!C17+'BRA Resource Clearing Results'!D17)*'BRA Resource Clearing Results'!E5-('1stIA Resource Clearing Results'!K19+'1stIA Resource Clearing Results'!L19)*'1stIA Resource Clearing Results'!E5-('2ndIA Resource Clearing Results'!K19+'2ndIA Resource Clearing Results'!L19)*'2ndIA Resource Clearing Results'!E5</f>
        <v>72169.7</v>
      </c>
      <c r="F15" s="231">
        <f>E15/B15</f>
        <v>0.4875584589548655</v>
      </c>
      <c r="G15" s="214">
        <f>'BRA Resource Clearing Results'!D17*'BRA Resource Clearing Results'!G5-'1stIA Resource Clearing Results'!L19*'1stIA Resource Clearing Results'!G5-'2ndIA Resource Clearing Results'!L19*'2ndIA Resource Clearing Results'!G5</f>
        <v>0</v>
      </c>
      <c r="H15" s="231">
        <f>G15/B15</f>
        <v>0</v>
      </c>
      <c r="I15" s="214">
        <f>'BRA Resource Clearing Results'!J40+'1stIA Resource Clearing Results'!H57+'2ndIA Resource Clearing Results'!H57</f>
        <v>0</v>
      </c>
      <c r="J15" s="277">
        <f>I15/B15</f>
        <v>0</v>
      </c>
      <c r="K15" s="233">
        <f>C15+D15+F15+H15+J15</f>
        <v>129.28288190690813</v>
      </c>
      <c r="L15" s="456"/>
    </row>
    <row r="16" spans="1:12" ht="12.75">
      <c r="A16" s="55" t="s">
        <v>30</v>
      </c>
      <c r="B16" s="213">
        <f>K35+K39+(SUM(K45:K53))</f>
        <v>66713.3971876823</v>
      </c>
      <c r="C16" s="231">
        <f>$C$15</f>
        <v>128.79532344795325</v>
      </c>
      <c r="D16" s="231">
        <f>D15+('BRA Resource Clearing Results'!E18*'BRA Resource Clearing Results'!C6-'1stIA Resource Clearing Results'!M20*'1stIA Resource Clearing Results'!C6-'2ndIA Resource Clearing Results'!M20*'2ndIA Resource Clearing Results'!C6)/('BRA Resource Clearing Results'!E18-'1stIA Resource Clearing Results'!M20-'2ndIA Resource Clearing Results'!M20)</f>
        <v>-0.597845679002848</v>
      </c>
      <c r="E16" s="214">
        <f>('BRA Resource Clearing Results'!C18+'BRA Resource Clearing Results'!D18)*('BRA Resource Clearing Results'!E6-'BRA Resource Clearing Results'!E5)-('1stIA Resource Clearing Results'!K20+'1stIA Resource Clearing Results'!L20)*('1stIA Resource Clearing Results'!E6-'1stIA Resource Clearing Results'!E5)-('2ndIA Resource Clearing Results'!K20+'2ndIA Resource Clearing Results'!L20)*('2ndIA Resource Clearing Results'!E6-'2ndIA Resource Clearing Results'!E5)+542.316</f>
        <v>644873.287</v>
      </c>
      <c r="F16" s="231">
        <f>F15+(E16/B16)</f>
        <v>10.1538820788689</v>
      </c>
      <c r="G16" s="214">
        <f>'BRA Resource Clearing Results'!D18*('BRA Resource Clearing Results'!G6-'BRA Resource Clearing Results'!G5)-'1stIA Resource Clearing Results'!L20*('1stIA Resource Clearing Results'!G6-'1stIA Resource Clearing Results'!G5)-'2ndIA Resource Clearing Results'!L20*('2ndIA Resource Clearing Results'!G6-'2ndIA Resource Clearing Results'!G5)</f>
        <v>0</v>
      </c>
      <c r="H16" s="231">
        <f>H15+(G16/B16)</f>
        <v>0</v>
      </c>
      <c r="I16" s="214">
        <f>'BRA Resource Clearing Results'!J41+'1stIA Resource Clearing Results'!H58+'2ndIA Resource Clearing Results'!H58</f>
        <v>0</v>
      </c>
      <c r="J16" s="277">
        <f>J15+I16/B16</f>
        <v>0</v>
      </c>
      <c r="K16" s="233">
        <f>C16+D16+F16+H16+J16</f>
        <v>138.35135984781928</v>
      </c>
      <c r="L16" s="456"/>
    </row>
    <row r="17" spans="1:12" ht="12.75">
      <c r="A17" s="55" t="s">
        <v>41</v>
      </c>
      <c r="B17" s="213">
        <f>K35+K45+K46+K48+K52+K53</f>
        <v>36381.79958132044</v>
      </c>
      <c r="C17" s="231">
        <f>$C$15</f>
        <v>128.79532344795325</v>
      </c>
      <c r="D17" s="231">
        <f>D16+('BRA Resource Clearing Results'!E19*'BRA Resource Clearing Results'!C7-'1stIA Resource Clearing Results'!M21*'1stIA Resource Clearing Results'!C7-'2ndIA Resource Clearing Results'!M21*'2ndIA Resource Clearing Results'!C7)/('BRA Resource Clearing Results'!E19-'1stIA Resource Clearing Results'!M21-'2ndIA Resource Clearing Results'!M21)</f>
        <v>-0.597845679002848</v>
      </c>
      <c r="E17" s="214">
        <f>('BRA Resource Clearing Results'!C19+'BRA Resource Clearing Results'!D19)*('BRA Resource Clearing Results'!E7-'BRA Resource Clearing Results'!E6)-('1stIA Resource Clearing Results'!K21+'1stIA Resource Clearing Results'!L21)*('1stIA Resource Clearing Results'!E7-'1stIA Resource Clearing Results'!E6)-('2ndIA Resource Clearing Results'!K21+'2ndIA Resource Clearing Results'!L21)*('2ndIA Resource Clearing Results'!E7-'2ndIA Resource Clearing Results'!E6)+246.985</f>
        <v>246.985</v>
      </c>
      <c r="F17" s="231">
        <f>F16+(E17/B17)</f>
        <v>10.160670775493099</v>
      </c>
      <c r="G17" s="214">
        <f>'BRA Resource Clearing Results'!D19*('BRA Resource Clearing Results'!G7-'BRA Resource Clearing Results'!G6)-'1stIA Resource Clearing Results'!L21*('1stIA Resource Clearing Results'!G7-'1stIA Resource Clearing Results'!G6)-'2ndIA Resource Clearing Results'!L21*('2ndIA Resource Clearing Results'!G7-'2ndIA Resource Clearing Results'!G6)</f>
        <v>0</v>
      </c>
      <c r="H17" s="231">
        <f>H16+(G17/B17)</f>
        <v>0</v>
      </c>
      <c r="I17" s="214">
        <f>'BRA Resource Clearing Results'!J42+'1stIA Resource Clearing Results'!H59+'2ndIA Resource Clearing Results'!H59</f>
        <v>0</v>
      </c>
      <c r="J17" s="277">
        <f>J16+I17/B17</f>
        <v>0</v>
      </c>
      <c r="K17" s="233">
        <f>C17+D17+F17+H17+J17</f>
        <v>138.35814854444348</v>
      </c>
      <c r="L17" s="456"/>
    </row>
    <row r="18" spans="1:12" ht="12.75">
      <c r="A18" s="55" t="s">
        <v>5</v>
      </c>
      <c r="B18" s="213">
        <f>K39+K50</f>
        <v>15519.013315297489</v>
      </c>
      <c r="C18" s="231">
        <f>$C$15</f>
        <v>128.79532344795325</v>
      </c>
      <c r="D18" s="231">
        <f>D16+('BRA Resource Clearing Results'!E20*'BRA Resource Clearing Results'!C8-'1stIA Resource Clearing Results'!M22*'1stIA Resource Clearing Results'!C8-'2ndIA Resource Clearing Results'!M22*'2ndIA Resource Clearing Results'!C8)/('BRA Resource Clearing Results'!E20-'1stIA Resource Clearing Results'!M22-'2ndIA Resource Clearing Results'!M22)</f>
        <v>-0.597845679002848</v>
      </c>
      <c r="E18" s="214">
        <f>('BRA Resource Clearing Results'!C20+'BRA Resource Clearing Results'!D20)*('BRA Resource Clearing Results'!E8-'BRA Resource Clearing Results'!E6)-('1stIA Resource Clearing Results'!K22+'1stIA Resource Clearing Results'!L22)*('1stIA Resource Clearing Results'!E8-'1stIA Resource Clearing Results'!E6)-('2ndIA Resource Clearing Results'!K22+'2ndIA Resource Clearing Results'!L22)*('2ndIA Resource Clearing Results'!E8-'2ndIA Resource Clearing Results'!E6)</f>
        <v>0</v>
      </c>
      <c r="F18" s="231">
        <f>F16+(E18/B18)</f>
        <v>10.1538820788689</v>
      </c>
      <c r="G18" s="214">
        <f>'BRA Resource Clearing Results'!D20*('BRA Resource Clearing Results'!G8-'BRA Resource Clearing Results'!G6)-'1stIA Resource Clearing Results'!L22*('1stIA Resource Clearing Results'!G8-'1stIA Resource Clearing Results'!G6)-'2ndIA Resource Clearing Results'!L22*('2ndIA Resource Clearing Results'!G8-'2ndIA Resource Clearing Results'!G6)</f>
        <v>0</v>
      </c>
      <c r="H18" s="231">
        <f>H16+(G18/B18)</f>
        <v>0</v>
      </c>
      <c r="I18" s="214">
        <f>'BRA Resource Clearing Results'!J43+'1stIA Resource Clearing Results'!H60+'2ndIA Resource Clearing Results'!H60</f>
        <v>0</v>
      </c>
      <c r="J18" s="277">
        <f>J16+I18/B18</f>
        <v>0</v>
      </c>
      <c r="K18" s="233">
        <f>C18+D18+F18+H18+J18</f>
        <v>138.35135984781928</v>
      </c>
      <c r="L18" s="456"/>
    </row>
    <row r="19" spans="1:12" ht="13.5" thickBot="1">
      <c r="A19" s="57" t="s">
        <v>15</v>
      </c>
      <c r="B19" s="215">
        <f>K50</f>
        <v>7535.340625484768</v>
      </c>
      <c r="C19" s="307">
        <f>$C$15</f>
        <v>128.79532344795325</v>
      </c>
      <c r="D19" s="307">
        <f>D18+('BRA Resource Clearing Results'!E24*'BRA Resource Clearing Results'!C12-'1stIA Resource Clearing Results'!M26*'1stIA Resource Clearing Results'!C12-'2ndIA Resource Clearing Results'!M26*'2ndIA Resource Clearing Results'!C12)/('BRA Resource Clearing Results'!E24-'1stIA Resource Clearing Results'!M26-'2ndIA Resource Clearing Results'!M26)</f>
        <v>-0.597845679002848</v>
      </c>
      <c r="E19" s="130">
        <f>('BRA Resource Clearing Results'!C24+'BRA Resource Clearing Results'!D24)*('BRA Resource Clearing Results'!E12-'BRA Resource Clearing Results'!E8)-('1stIA Resource Clearing Results'!K26+'1stIA Resource Clearing Results'!L26)*('1stIA Resource Clearing Results'!E12-'1stIA Resource Clearing Results'!E8)-('2ndIA Resource Clearing Results'!K26+'2ndIA Resource Clearing Results'!L26)*('2ndIA Resource Clearing Results'!E12-'2ndIA Resource Clearing Results'!E8)</f>
        <v>0</v>
      </c>
      <c r="F19" s="307">
        <f>F18+(E19/B19)</f>
        <v>10.1538820788689</v>
      </c>
      <c r="G19" s="130">
        <f>'BRA Resource Clearing Results'!D24*('BRA Resource Clearing Results'!G12-'BRA Resource Clearing Results'!G8)-'1stIA Resource Clearing Results'!L23*('1stIA Resource Clearing Results'!G12-'1stIA Resource Clearing Results'!G8)-'2ndIA Resource Clearing Results'!L23*('2ndIA Resource Clearing Results'!G12-'2ndIA Resource Clearing Results'!G8)</f>
        <v>0</v>
      </c>
      <c r="H19" s="307">
        <f>H18+(G19/B19)</f>
        <v>0</v>
      </c>
      <c r="I19" s="130">
        <f>'BRA Resource Clearing Results'!J47+'1stIA Resource Clearing Results'!H64+'2ndIA Resource Clearing Results'!H64</f>
        <v>0</v>
      </c>
      <c r="J19" s="308">
        <f>J18+I19/B19</f>
        <v>0</v>
      </c>
      <c r="K19" s="309">
        <f>C19+D19+F19+H19+J19</f>
        <v>138.35135984781928</v>
      </c>
      <c r="L19" s="456"/>
    </row>
    <row r="20" spans="1:12" ht="12.75">
      <c r="A20" s="202" t="s">
        <v>159</v>
      </c>
      <c r="B20" s="35"/>
      <c r="C20" s="18"/>
      <c r="D20" s="295" t="s">
        <v>24</v>
      </c>
      <c r="E20" s="51" t="s">
        <v>24</v>
      </c>
      <c r="F20" s="81"/>
      <c r="H20" s="88"/>
      <c r="I20" s="88"/>
      <c r="J20" s="341"/>
      <c r="K20" s="88"/>
      <c r="L20" s="15"/>
    </row>
    <row r="21" spans="1:12" s="314" customFormat="1" ht="12.75">
      <c r="A21" s="32" t="s">
        <v>294</v>
      </c>
      <c r="B21" s="32"/>
      <c r="C21" s="32"/>
      <c r="D21" s="32"/>
      <c r="E21" s="32"/>
      <c r="F21" s="32"/>
      <c r="G21" s="32"/>
      <c r="H21" s="32"/>
      <c r="I21" s="88"/>
      <c r="J21" s="341"/>
      <c r="K21" s="88"/>
      <c r="L21" s="612"/>
    </row>
    <row r="22" spans="1:12" ht="12.75">
      <c r="A22" s="203"/>
      <c r="B22" s="35"/>
      <c r="C22" s="18"/>
      <c r="D22" s="18"/>
      <c r="E22" s="18"/>
      <c r="F22" s="81"/>
      <c r="H22" s="35"/>
      <c r="I22" s="35"/>
      <c r="J22" s="18"/>
      <c r="K22" s="35"/>
      <c r="L22" s="15"/>
    </row>
    <row r="23" spans="1:12" ht="30.75" thickBot="1">
      <c r="A23" s="217" t="s">
        <v>127</v>
      </c>
      <c r="B23" s="6"/>
      <c r="C23" s="6"/>
      <c r="D23" s="78" t="s">
        <v>24</v>
      </c>
      <c r="E23" s="4" t="s">
        <v>24</v>
      </c>
      <c r="F23" s="6"/>
      <c r="G23" s="6"/>
      <c r="H23" s="6"/>
      <c r="I23" s="6"/>
      <c r="J23" s="39" t="s">
        <v>24</v>
      </c>
      <c r="K23" s="60" t="s">
        <v>24</v>
      </c>
      <c r="L23" s="6"/>
    </row>
    <row r="24" spans="1:12" ht="89.25">
      <c r="A24" s="218" t="s">
        <v>81</v>
      </c>
      <c r="B24" s="112" t="s">
        <v>163</v>
      </c>
      <c r="C24" s="112" t="s">
        <v>284</v>
      </c>
      <c r="D24" s="111" t="s">
        <v>204</v>
      </c>
      <c r="E24" s="112" t="s">
        <v>292</v>
      </c>
      <c r="F24" s="112" t="s">
        <v>239</v>
      </c>
      <c r="G24" s="112" t="s">
        <v>293</v>
      </c>
      <c r="H24" s="112" t="s">
        <v>240</v>
      </c>
      <c r="I24" s="111" t="s">
        <v>205</v>
      </c>
      <c r="J24" s="111" t="s">
        <v>241</v>
      </c>
      <c r="K24" s="128" t="s">
        <v>206</v>
      </c>
      <c r="L24" s="6"/>
    </row>
    <row r="25" spans="1:12" ht="12.75">
      <c r="A25" s="55" t="s">
        <v>45</v>
      </c>
      <c r="B25" s="45"/>
      <c r="C25" s="213">
        <f>'BRA Resource Clearing Results'!E32-'1stIA Resource Clearing Results'!M48-'2ndIA Resource Clearing Results'!M48</f>
        <v>3472.8</v>
      </c>
      <c r="D25" s="67">
        <f>('BRA Resource Clearing Results'!E21*'BRA Resource Clearing Results'!C9-'1stIA Resource Clearing Results'!M23*'1stIA Resource Clearing Results'!C9-'2ndIA Resource Clearing Results'!M23*'2ndIA Resource Clearing Results'!C9)/('BRA Resource Clearing Results'!E21-'1stIA Resource Clearing Results'!M23-'2ndIA Resource Clearing Results'!M23)</f>
        <v>0</v>
      </c>
      <c r="E25" s="67">
        <f>('BRA Resource Clearing Results'!C21+'BRA Resource Clearing Results'!D21)*('BRA Resource Clearing Results'!E9-'BRA Resource Clearing Results'!E7)-('1stIA Resource Clearing Results'!K23+'1stIA Resource Clearing Results'!L23)*('1stIA Resource Clearing Results'!E9-'1stIA Resource Clearing Results'!E7)-('2ndIA Resource Clearing Results'!K23+'2ndIA Resource Clearing Results'!L23)*('2ndIA Resource Clearing Results'!E9-'2ndIA Resource Clearing Results'!E7)</f>
        <v>0</v>
      </c>
      <c r="F25" s="67"/>
      <c r="G25" s="67">
        <f>'BRA Resource Clearing Results'!D21*('BRA Resource Clearing Results'!G9-'BRA Resource Clearing Results'!G7)-'1stIA Resource Clearing Results'!L23*('1stIA Resource Clearing Results'!G9-'1stIA Resource Clearing Results'!G7)-'2ndIA Resource Clearing Results'!L23*('2ndIA Resource Clearing Results'!G9-'2ndIA Resource Clearing Results'!G7)</f>
        <v>0</v>
      </c>
      <c r="H25" s="67"/>
      <c r="I25" s="96">
        <f>'BRA Resource Clearing Results'!J44+'1stIA Resource Clearing Results'!H61+'2ndIA Resource Clearing Results'!H61</f>
        <v>0</v>
      </c>
      <c r="J25" s="45"/>
      <c r="K25" s="131"/>
      <c r="L25" s="6"/>
    </row>
    <row r="26" spans="1:12" ht="12.75">
      <c r="A26" s="55" t="s">
        <v>42</v>
      </c>
      <c r="B26" s="45"/>
      <c r="C26" s="73">
        <f>'BRA Resource Clearing Results'!E33-'1stIA Resource Clearing Results'!M49-'2ndIA Resource Clearing Results'!M49</f>
        <v>3909.9</v>
      </c>
      <c r="D26" s="67">
        <f>D25+('BRA Resource Clearing Results'!E22*'BRA Resource Clearing Results'!C10-'1stIA Resource Clearing Results'!M24*'1stIA Resource Clearing Results'!C10-'2ndIA Resource Clearing Results'!M24*'2ndIA Resource Clearing Results'!C10)/('BRA Resource Clearing Results'!E22-'1stIA Resource Clearing Results'!M24-'2ndIA Resource Clearing Results'!M24)</f>
        <v>95.7288897414256</v>
      </c>
      <c r="E26" s="67">
        <f>('BRA Resource Clearing Results'!C22+'BRA Resource Clearing Results'!D22)*('BRA Resource Clearing Results'!E10-'BRA Resource Clearing Results'!E9)-('1stIA Resource Clearing Results'!K24+'1stIA Resource Clearing Results'!L24)*('1stIA Resource Clearing Results'!E10-'1stIA Resource Clearing Results'!E9)-('2ndIA Resource Clearing Results'!K24+'2ndIA Resource Clearing Results'!L24)*('2ndIA Resource Clearing Results'!E10-'2ndIA Resource Clearing Results'!E9)</f>
        <v>0</v>
      </c>
      <c r="F26" s="67"/>
      <c r="G26" s="67">
        <f>'BRA Resource Clearing Results'!D22*('BRA Resource Clearing Results'!G10-'BRA Resource Clearing Results'!G9)-'1stIA Resource Clearing Results'!L24*('1stIA Resource Clearing Results'!G10-'1stIA Resource Clearing Results'!G9)-'2ndIA Resource Clearing Results'!L24*('2ndIA Resource Clearing Results'!G10-'2ndIA Resource Clearing Results'!G9)</f>
        <v>0</v>
      </c>
      <c r="H26" s="67"/>
      <c r="I26" s="96">
        <f>'BRA Resource Clearing Results'!J45+'1stIA Resource Clearing Results'!H62+'2ndIA Resource Clearing Results'!H62</f>
        <v>0</v>
      </c>
      <c r="J26" s="45"/>
      <c r="K26" s="131"/>
      <c r="L26" s="6"/>
    </row>
    <row r="27" spans="1:12" ht="12.75">
      <c r="A27" s="219" t="s">
        <v>8</v>
      </c>
      <c r="B27" s="235">
        <f>K17</f>
        <v>138.35814854444348</v>
      </c>
      <c r="C27" s="73">
        <f>C26+C25</f>
        <v>7382.700000000001</v>
      </c>
      <c r="D27" s="236">
        <f>(C26*D26+C25*D25)/C27</f>
        <v>50.69830631069933</v>
      </c>
      <c r="E27" s="638">
        <f>E25+E26+21.02</f>
        <v>21.02</v>
      </c>
      <c r="F27" s="236">
        <f>E27/K52</f>
        <v>0.0018012172601931168</v>
      </c>
      <c r="G27" s="236">
        <f>G25+G26</f>
        <v>0</v>
      </c>
      <c r="H27" s="236">
        <f>G27/K52</f>
        <v>0</v>
      </c>
      <c r="I27" s="96">
        <f>I25+I26</f>
        <v>0</v>
      </c>
      <c r="J27" s="237">
        <f>I27/K52</f>
        <v>0</v>
      </c>
      <c r="K27" s="229">
        <f>B27+D27+F27+H27+J27</f>
        <v>189.058256072403</v>
      </c>
      <c r="L27" s="455"/>
    </row>
    <row r="28" spans="1:12" ht="12.75">
      <c r="A28" s="55" t="s">
        <v>44</v>
      </c>
      <c r="B28" s="45"/>
      <c r="C28" s="73">
        <f>'BRA Load Pricing Results'!C27</f>
        <v>2858.5</v>
      </c>
      <c r="D28" s="67">
        <v>0</v>
      </c>
      <c r="E28" s="67">
        <v>0</v>
      </c>
      <c r="F28" s="67"/>
      <c r="G28" s="67">
        <v>0</v>
      </c>
      <c r="H28" s="67"/>
      <c r="I28" s="96">
        <v>0</v>
      </c>
      <c r="J28" s="45"/>
      <c r="K28" s="131"/>
      <c r="L28" s="6"/>
    </row>
    <row r="29" spans="1:12" ht="12.75">
      <c r="A29" s="55" t="s">
        <v>43</v>
      </c>
      <c r="B29" s="45"/>
      <c r="C29" s="73">
        <f>'BRA Resource Clearing Results'!E34-'1stIA Resource Clearing Results'!M50-'2ndIA Resource Clearing Results'!M50</f>
        <v>1281.3</v>
      </c>
      <c r="D29" s="67">
        <f>('BRA Resource Clearing Results'!E23*'BRA Resource Clearing Results'!C11-'1stIA Resource Clearing Results'!M25*'1stIA Resource Clearing Results'!C11-'2ndIA Resource Clearing Results'!M25*'2ndIA Resource Clearing Results'!C11)/('BRA Resource Clearing Results'!E23-'1stIA Resource Clearing Results'!M25-'2ndIA Resource Clearing Results'!M25)</f>
        <v>0</v>
      </c>
      <c r="E29" s="67">
        <f>('BRA Resource Clearing Results'!C23+'BRA Resource Clearing Results'!D23)*('BRA Resource Clearing Results'!E11-'BRA Resource Clearing Results'!E7)-('1stIA Resource Clearing Results'!K25+'1stIA Resource Clearing Results'!L25)*('1stIA Resource Clearing Results'!E11-'1stIA Resource Clearing Results'!E7)-('2ndIA Resource Clearing Results'!K25+'2ndIA Resource Clearing Results'!L25)*('2ndIA Resource Clearing Results'!E11-'2ndIA Resource Clearing Results'!E7)</f>
        <v>0</v>
      </c>
      <c r="F29" s="95"/>
      <c r="G29" s="67">
        <f>'BRA Resource Clearing Results'!D23*('BRA Resource Clearing Results'!G11-'BRA Resource Clearing Results'!G7)-'1stIA Resource Clearing Results'!L25*('1stIA Resource Clearing Results'!G11-'1stIA Resource Clearing Results'!G7)-'2ndIA Resource Clearing Results'!L25*('2ndIA Resource Clearing Results'!G11-'2ndIA Resource Clearing Results'!G7)</f>
        <v>0</v>
      </c>
      <c r="H29" s="95"/>
      <c r="I29" s="96">
        <f>'BRA Resource Clearing Results'!J46+'1stIA Resource Clearing Results'!H63+'2ndIA Resource Clearing Results'!H63</f>
        <v>35693.1</v>
      </c>
      <c r="J29" s="45"/>
      <c r="K29" s="131"/>
      <c r="L29" s="6"/>
    </row>
    <row r="30" spans="1:12" ht="13.5" thickBot="1">
      <c r="A30" s="220" t="s">
        <v>17</v>
      </c>
      <c r="B30" s="238">
        <f>K17</f>
        <v>138.35814854444348</v>
      </c>
      <c r="C30" s="132">
        <f>C28+C29</f>
        <v>4139.8</v>
      </c>
      <c r="D30" s="239">
        <f>(C29*D29+C28*D28)/C30</f>
        <v>0</v>
      </c>
      <c r="E30" s="634">
        <f>E28+E29</f>
        <v>0</v>
      </c>
      <c r="F30" s="239">
        <f>E30/K45</f>
        <v>0</v>
      </c>
      <c r="G30" s="239">
        <f>G28+G29</f>
        <v>0</v>
      </c>
      <c r="H30" s="239">
        <f>G30/K45</f>
        <v>0</v>
      </c>
      <c r="I30" s="240">
        <f>I28+I29</f>
        <v>35693.1</v>
      </c>
      <c r="J30" s="241">
        <f>I30/K45</f>
        <v>7.7709702144089805</v>
      </c>
      <c r="K30" s="230">
        <f>B30+D30+F30+H30+J30</f>
        <v>146.12911875885246</v>
      </c>
      <c r="L30" s="455"/>
    </row>
    <row r="31" spans="1:12" s="314" customFormat="1" ht="12.75">
      <c r="A31" s="613" t="s">
        <v>294</v>
      </c>
      <c r="B31" s="613"/>
      <c r="C31" s="613"/>
      <c r="D31" s="613"/>
      <c r="E31" s="613"/>
      <c r="F31" s="613"/>
      <c r="G31" s="613"/>
      <c r="H31" s="613"/>
      <c r="I31" s="58"/>
      <c r="J31" s="58"/>
      <c r="K31" s="58"/>
      <c r="L31" s="58"/>
    </row>
    <row r="32" spans="1:12" ht="13.5" thickBot="1">
      <c r="A32" s="10"/>
      <c r="B32" s="9"/>
      <c r="C32" s="9"/>
      <c r="D32" s="9" t="s">
        <v>24</v>
      </c>
      <c r="E32" s="72" t="s">
        <v>24</v>
      </c>
      <c r="F32" s="44" t="s">
        <v>24</v>
      </c>
      <c r="G32" s="5"/>
      <c r="H32" s="5"/>
      <c r="I32" s="5"/>
      <c r="J32" s="5"/>
      <c r="K32" s="5"/>
      <c r="L32" s="13"/>
    </row>
    <row r="33" spans="1:12" ht="19.5" thickBot="1">
      <c r="A33" s="108" t="s">
        <v>213</v>
      </c>
      <c r="B33" s="3"/>
      <c r="C33" s="2"/>
      <c r="D33" s="2"/>
      <c r="E33" s="86"/>
      <c r="F33" s="86"/>
      <c r="G33" s="468"/>
      <c r="H33" s="86"/>
      <c r="I33" s="86"/>
      <c r="J33" s="86"/>
      <c r="K33" s="86"/>
      <c r="L33" s="43"/>
    </row>
    <row r="34" spans="1:12" ht="64.5" thickBot="1">
      <c r="A34" s="473" t="s">
        <v>7</v>
      </c>
      <c r="B34" s="278" t="s">
        <v>28</v>
      </c>
      <c r="C34" s="278" t="s">
        <v>27</v>
      </c>
      <c r="D34" s="278" t="s">
        <v>36</v>
      </c>
      <c r="E34" s="278" t="s">
        <v>282</v>
      </c>
      <c r="F34" s="278" t="s">
        <v>22</v>
      </c>
      <c r="G34" s="278" t="s">
        <v>283</v>
      </c>
      <c r="H34" s="278" t="s">
        <v>244</v>
      </c>
      <c r="I34" s="474" t="s">
        <v>23</v>
      </c>
      <c r="J34" s="474" t="s">
        <v>207</v>
      </c>
      <c r="K34" s="474" t="s">
        <v>208</v>
      </c>
      <c r="L34" s="475" t="s">
        <v>295</v>
      </c>
    </row>
    <row r="35" spans="1:12" ht="12.75">
      <c r="A35" s="116" t="s">
        <v>16</v>
      </c>
      <c r="B35" s="476" t="s">
        <v>30</v>
      </c>
      <c r="C35" s="476" t="s">
        <v>41</v>
      </c>
      <c r="D35" s="477"/>
      <c r="E35" s="478">
        <v>2600</v>
      </c>
      <c r="F35" s="479">
        <f>G35/E35</f>
        <v>1.0273076923076923</v>
      </c>
      <c r="G35" s="480">
        <v>2671</v>
      </c>
      <c r="H35" s="481">
        <f>0.6*'BRA Load Pricing Results'!H34</f>
        <v>44.96032446195672</v>
      </c>
      <c r="I35" s="482">
        <f aca="true" t="shared" si="0" ref="I35:I53">$B$10</f>
        <v>1.0243418207418264</v>
      </c>
      <c r="J35" s="482">
        <f>I35*F35</f>
        <v>1.0523142320005454</v>
      </c>
      <c r="K35" s="480">
        <f>E35*J35*$B$6+H35</f>
        <v>3024.209239247981</v>
      </c>
      <c r="L35" s="614">
        <f>K17</f>
        <v>138.35814854444348</v>
      </c>
    </row>
    <row r="36" spans="1:12" ht="12.75">
      <c r="A36" s="55" t="s">
        <v>271</v>
      </c>
      <c r="B36" s="98"/>
      <c r="C36" s="98"/>
      <c r="D36" s="279"/>
      <c r="E36" s="99">
        <f>22670-20493.4</f>
        <v>2176.5999999999985</v>
      </c>
      <c r="F36" s="91">
        <v>1.0238641376268196</v>
      </c>
      <c r="G36" s="92">
        <f>E36*F36</f>
        <v>2228.542681958534</v>
      </c>
      <c r="H36" s="280">
        <f>0.6*'BRA Load Pricing Results'!H35</f>
        <v>37.29464876192201</v>
      </c>
      <c r="I36" s="94">
        <f t="shared" si="0"/>
        <v>1.0243418207418264</v>
      </c>
      <c r="J36" s="94">
        <f>I36*F36</f>
        <v>1.0487868549289163</v>
      </c>
      <c r="K36" s="92">
        <f aca="true" t="shared" si="1" ref="K36:K53">E36*J36*$B$6+H36</f>
        <v>2523.0241009443625</v>
      </c>
      <c r="L36" s="227">
        <f>K15</f>
        <v>129.28288190690813</v>
      </c>
    </row>
    <row r="37" spans="1:12" ht="12.75">
      <c r="A37" s="55" t="s">
        <v>19</v>
      </c>
      <c r="B37" s="98" t="s">
        <v>24</v>
      </c>
      <c r="C37" s="98"/>
      <c r="D37" s="279"/>
      <c r="E37" s="99">
        <v>8210</v>
      </c>
      <c r="F37" s="91">
        <f>G37/E37</f>
        <v>1.030572472594397</v>
      </c>
      <c r="G37" s="92">
        <v>8461</v>
      </c>
      <c r="H37" s="280">
        <f>0.6*'BRA Load Pricing Results'!H36</f>
        <v>140.06932673164232</v>
      </c>
      <c r="I37" s="94">
        <f t="shared" si="0"/>
        <v>1.0243418207418264</v>
      </c>
      <c r="J37" s="94">
        <f aca="true" t="shared" si="2" ref="J37:J53">I37*F37</f>
        <v>1.0556584829837508</v>
      </c>
      <c r="K37" s="92">
        <f t="shared" si="1"/>
        <v>9577.517873345103</v>
      </c>
      <c r="L37" s="227">
        <f>K15</f>
        <v>129.28288190690813</v>
      </c>
    </row>
    <row r="38" spans="1:12" ht="12.75">
      <c r="A38" s="55" t="s">
        <v>53</v>
      </c>
      <c r="B38" s="98"/>
      <c r="C38" s="98"/>
      <c r="D38" s="279"/>
      <c r="E38" s="99">
        <v>12660</v>
      </c>
      <c r="F38" s="91">
        <f>G38/E38</f>
        <v>1.0203791469194312</v>
      </c>
      <c r="G38" s="92">
        <v>12918</v>
      </c>
      <c r="H38" s="280">
        <f>0.6*'BRA Load Pricing Results'!H37</f>
        <v>219.56462815139486</v>
      </c>
      <c r="I38" s="94">
        <f t="shared" si="0"/>
        <v>1.0243418207418264</v>
      </c>
      <c r="J38" s="94">
        <f t="shared" si="2"/>
        <v>1.0452170332024417</v>
      </c>
      <c r="K38" s="92">
        <f>E38*J38*$B$6+H38</f>
        <v>14628.376863720792</v>
      </c>
      <c r="L38" s="227">
        <f>K15</f>
        <v>129.28288190690813</v>
      </c>
    </row>
    <row r="39" spans="1:12" ht="12.75">
      <c r="A39" s="55" t="s">
        <v>11</v>
      </c>
      <c r="B39" s="98" t="s">
        <v>30</v>
      </c>
      <c r="C39" s="98" t="s">
        <v>5</v>
      </c>
      <c r="D39" s="279"/>
      <c r="E39" s="99">
        <v>6870</v>
      </c>
      <c r="F39" s="91">
        <f>G39/E39</f>
        <v>1.0262008733624455</v>
      </c>
      <c r="G39" s="92">
        <v>7050</v>
      </c>
      <c r="H39" s="280">
        <f>0.6*'BRA Load Pricing Results'!H38</f>
        <v>120.06173914200849</v>
      </c>
      <c r="I39" s="94">
        <f t="shared" si="0"/>
        <v>1.0243418207418264</v>
      </c>
      <c r="J39" s="94">
        <f t="shared" si="2"/>
        <v>1.05118047106694</v>
      </c>
      <c r="K39" s="92">
        <f t="shared" si="1"/>
        <v>7983.672689812722</v>
      </c>
      <c r="L39" s="227">
        <f>K18</f>
        <v>138.35135984781928</v>
      </c>
    </row>
    <row r="40" spans="1:12" ht="12.75">
      <c r="A40" s="55" t="s">
        <v>20</v>
      </c>
      <c r="B40" s="98"/>
      <c r="C40" s="98"/>
      <c r="D40" s="279"/>
      <c r="E40" s="99">
        <v>21650</v>
      </c>
      <c r="F40" s="91">
        <f>G40/E40</f>
        <v>1.0322863741339492</v>
      </c>
      <c r="G40" s="92">
        <v>22349</v>
      </c>
      <c r="H40" s="280">
        <f>0.6*'BRA Load Pricing Results'!H39</f>
        <v>383.43552585676684</v>
      </c>
      <c r="I40" s="94">
        <f t="shared" si="0"/>
        <v>1.0243418207418264</v>
      </c>
      <c r="J40" s="94">
        <f t="shared" si="2"/>
        <v>1.0574141040073477</v>
      </c>
      <c r="K40" s="92">
        <f t="shared" si="1"/>
        <v>25311.639942387224</v>
      </c>
      <c r="L40" s="227">
        <f>K15</f>
        <v>129.28288190690813</v>
      </c>
    </row>
    <row r="41" spans="1:12" ht="12.75">
      <c r="A41" s="55" t="s">
        <v>21</v>
      </c>
      <c r="B41" s="98"/>
      <c r="C41" s="98"/>
      <c r="D41" s="279"/>
      <c r="E41" s="99">
        <v>3230</v>
      </c>
      <c r="F41" s="91">
        <f>G41/E41</f>
        <v>1.041486068111455</v>
      </c>
      <c r="G41" s="92">
        <v>3364</v>
      </c>
      <c r="H41" s="280">
        <f>0.6*'BRA Load Pricing Results'!H40</f>
        <v>57.78528538853724</v>
      </c>
      <c r="I41" s="94">
        <f t="shared" si="0"/>
        <v>1.0243418207418264</v>
      </c>
      <c r="J41" s="94">
        <f t="shared" si="2"/>
        <v>1.0668377352865337</v>
      </c>
      <c r="K41" s="92">
        <f t="shared" si="1"/>
        <v>3810.0104255383635</v>
      </c>
      <c r="L41" s="227">
        <f>K15</f>
        <v>129.28288190690813</v>
      </c>
    </row>
    <row r="42" spans="1:12" ht="12.75">
      <c r="A42" s="55" t="s">
        <v>272</v>
      </c>
      <c r="B42" s="98"/>
      <c r="C42" s="98"/>
      <c r="D42" s="279"/>
      <c r="E42" s="99">
        <f>5240-5038.9</f>
        <v>201.10000000000036</v>
      </c>
      <c r="F42" s="91">
        <v>1.0255725190839695</v>
      </c>
      <c r="G42" s="92">
        <f>E42*F42</f>
        <v>206.24263358778666</v>
      </c>
      <c r="H42" s="280">
        <f>0.6*'BRA Load Pricing Results'!H41</f>
        <v>4.030632065666175</v>
      </c>
      <c r="I42" s="94">
        <f t="shared" si="0"/>
        <v>1.0243418207418264</v>
      </c>
      <c r="J42" s="94">
        <f>I42*F42</f>
        <v>1.050536821501255</v>
      </c>
      <c r="K42" s="92">
        <f>E42*J42*$B$6+H42</f>
        <v>234.07486355163587</v>
      </c>
      <c r="L42" s="227">
        <f>K15</f>
        <v>129.28288190690813</v>
      </c>
    </row>
    <row r="43" spans="1:12" ht="12.75">
      <c r="A43" s="55" t="s">
        <v>52</v>
      </c>
      <c r="B43" s="98"/>
      <c r="C43" s="98"/>
      <c r="D43" s="279"/>
      <c r="E43" s="99">
        <v>2800</v>
      </c>
      <c r="F43" s="91">
        <f aca="true" t="shared" si="3" ref="F43:F53">G43/E43</f>
        <v>1.0310714285714286</v>
      </c>
      <c r="G43" s="92">
        <v>2887</v>
      </c>
      <c r="H43" s="280">
        <f>0.6*'BRA Load Pricing Results'!H42</f>
        <v>48.00848205259787</v>
      </c>
      <c r="I43" s="94">
        <f t="shared" si="0"/>
        <v>1.0243418207418264</v>
      </c>
      <c r="J43" s="94">
        <f t="shared" si="2"/>
        <v>1.0561695844577332</v>
      </c>
      <c r="K43" s="92">
        <f t="shared" si="1"/>
        <v>3268.18505149747</v>
      </c>
      <c r="L43" s="227">
        <f>K15</f>
        <v>129.28288190690813</v>
      </c>
    </row>
    <row r="44" spans="1:12" ht="12.75">
      <c r="A44" s="55" t="s">
        <v>33</v>
      </c>
      <c r="B44" s="98"/>
      <c r="C44" s="98"/>
      <c r="D44" s="279"/>
      <c r="E44" s="99">
        <v>18570</v>
      </c>
      <c r="F44" s="91">
        <f t="shared" si="3"/>
        <v>1.0438879913839527</v>
      </c>
      <c r="G44" s="92">
        <v>19385</v>
      </c>
      <c r="H44" s="280">
        <f>0.6*'BRA Load Pricing Results'!H43</f>
        <v>334.2920915097814</v>
      </c>
      <c r="I44" s="94">
        <f t="shared" si="0"/>
        <v>1.0243418207418264</v>
      </c>
      <c r="J44" s="94">
        <f t="shared" si="2"/>
        <v>1.0692981257447662</v>
      </c>
      <c r="K44" s="92">
        <f t="shared" si="1"/>
        <v>21956.43369133273</v>
      </c>
      <c r="L44" s="227">
        <f>K15</f>
        <v>129.28288190690813</v>
      </c>
    </row>
    <row r="45" spans="1:12" ht="12.75">
      <c r="A45" s="55" t="s">
        <v>17</v>
      </c>
      <c r="B45" s="98" t="s">
        <v>30</v>
      </c>
      <c r="C45" s="98" t="s">
        <v>41</v>
      </c>
      <c r="D45" s="279" t="s">
        <v>17</v>
      </c>
      <c r="E45" s="99">
        <v>3950</v>
      </c>
      <c r="F45" s="91">
        <f t="shared" si="3"/>
        <v>1.0273417721518987</v>
      </c>
      <c r="G45" s="92">
        <v>4058</v>
      </c>
      <c r="H45" s="280">
        <f>0.6*'BRA Load Pricing Results'!H44</f>
        <v>66.81626293102187</v>
      </c>
      <c r="I45" s="94">
        <f t="shared" si="0"/>
        <v>1.0243418207418264</v>
      </c>
      <c r="J45" s="94">
        <f t="shared" si="2"/>
        <v>1.0523491414102106</v>
      </c>
      <c r="K45" s="92">
        <f t="shared" si="1"/>
        <v>4593.1330342532565</v>
      </c>
      <c r="L45" s="227">
        <f>K30</f>
        <v>146.12911875885246</v>
      </c>
    </row>
    <row r="46" spans="1:12" ht="12.75">
      <c r="A46" s="55" t="s">
        <v>12</v>
      </c>
      <c r="B46" s="98" t="s">
        <v>30</v>
      </c>
      <c r="C46" s="98" t="s">
        <v>41</v>
      </c>
      <c r="D46" s="279"/>
      <c r="E46" s="99">
        <v>5960</v>
      </c>
      <c r="F46" s="91">
        <f t="shared" si="3"/>
        <v>1.0288590604026846</v>
      </c>
      <c r="G46" s="92">
        <v>6132</v>
      </c>
      <c r="H46" s="280">
        <f>0.6*'BRA Load Pricing Results'!H45</f>
        <v>106.02075790001264</v>
      </c>
      <c r="I46" s="94">
        <f t="shared" si="0"/>
        <v>1.0243418207418264</v>
      </c>
      <c r="J46" s="94">
        <f t="shared" si="2"/>
        <v>1.0539033632196106</v>
      </c>
      <c r="K46" s="92">
        <f t="shared" si="1"/>
        <v>6945.689176270624</v>
      </c>
      <c r="L46" s="227">
        <f>K17</f>
        <v>138.35814854444348</v>
      </c>
    </row>
    <row r="47" spans="1:12" ht="12.75">
      <c r="A47" s="55" t="s">
        <v>13</v>
      </c>
      <c r="B47" s="98" t="s">
        <v>30</v>
      </c>
      <c r="C47" s="98"/>
      <c r="D47" s="279"/>
      <c r="E47" s="99">
        <v>2820</v>
      </c>
      <c r="F47" s="91">
        <f t="shared" si="3"/>
        <v>1.0361702127659576</v>
      </c>
      <c r="G47" s="92">
        <v>2922</v>
      </c>
      <c r="H47" s="280">
        <f>0.6*'BRA Load Pricing Results'!H46</f>
        <v>49.46770643109626</v>
      </c>
      <c r="I47" s="94">
        <f t="shared" si="0"/>
        <v>1.0243418207418264</v>
      </c>
      <c r="J47" s="94">
        <f t="shared" si="2"/>
        <v>1.0613924823431267</v>
      </c>
      <c r="K47" s="92">
        <f t="shared" si="1"/>
        <v>3308.6834791771707</v>
      </c>
      <c r="L47" s="227">
        <f>K16</f>
        <v>138.35135984781928</v>
      </c>
    </row>
    <row r="48" spans="1:12" ht="12.75">
      <c r="A48" s="55" t="s">
        <v>9</v>
      </c>
      <c r="B48" s="98" t="s">
        <v>30</v>
      </c>
      <c r="C48" s="98" t="s">
        <v>41</v>
      </c>
      <c r="D48" s="279"/>
      <c r="E48" s="99">
        <v>8320</v>
      </c>
      <c r="F48" s="91">
        <f t="shared" si="3"/>
        <v>1.028485576923077</v>
      </c>
      <c r="G48" s="92">
        <v>8557</v>
      </c>
      <c r="H48" s="280">
        <f>0.6*'BRA Load Pricing Results'!H47</f>
        <v>144.47942707554864</v>
      </c>
      <c r="I48" s="94">
        <f t="shared" si="0"/>
        <v>1.0243418207418264</v>
      </c>
      <c r="J48" s="94">
        <f t="shared" si="2"/>
        <v>1.0535207884720925</v>
      </c>
      <c r="K48" s="92">
        <f t="shared" si="1"/>
        <v>9689.006931315165</v>
      </c>
      <c r="L48" s="227">
        <f>K17</f>
        <v>138.35814854444348</v>
      </c>
    </row>
    <row r="49" spans="1:12" ht="12.75">
      <c r="A49" s="55" t="s">
        <v>14</v>
      </c>
      <c r="B49" s="98" t="s">
        <v>30</v>
      </c>
      <c r="C49" s="98"/>
      <c r="D49" s="279"/>
      <c r="E49" s="99">
        <v>2740</v>
      </c>
      <c r="F49" s="91">
        <f t="shared" si="3"/>
        <v>1.0456204379562044</v>
      </c>
      <c r="G49" s="92">
        <v>2865</v>
      </c>
      <c r="H49" s="280">
        <f>0.6*'BRA Load Pricing Results'!H48</f>
        <v>48.413822157736305</v>
      </c>
      <c r="I49" s="94">
        <f t="shared" si="0"/>
        <v>1.0243418207418264</v>
      </c>
      <c r="J49" s="94">
        <f t="shared" si="2"/>
        <v>1.0710727432209244</v>
      </c>
      <c r="K49" s="92">
        <f t="shared" si="1"/>
        <v>3244.051463813281</v>
      </c>
      <c r="L49" s="227">
        <f>K16</f>
        <v>138.35135984781928</v>
      </c>
    </row>
    <row r="50" spans="1:12" ht="12.75">
      <c r="A50" s="55" t="s">
        <v>15</v>
      </c>
      <c r="B50" s="98" t="s">
        <v>30</v>
      </c>
      <c r="C50" s="98" t="s">
        <v>5</v>
      </c>
      <c r="D50" s="279" t="s">
        <v>15</v>
      </c>
      <c r="E50" s="99">
        <v>6540</v>
      </c>
      <c r="F50" s="91">
        <f t="shared" si="3"/>
        <v>1.0174311926605504</v>
      </c>
      <c r="G50" s="92">
        <v>6654</v>
      </c>
      <c r="H50" s="280">
        <f>0.6*'BRA Load Pricing Results'!H49</f>
        <v>113.43037502194349</v>
      </c>
      <c r="I50" s="94">
        <f t="shared" si="0"/>
        <v>1.0243418207418264</v>
      </c>
      <c r="J50" s="94">
        <f t="shared" si="2"/>
        <v>1.0421973203694361</v>
      </c>
      <c r="K50" s="92">
        <f t="shared" si="1"/>
        <v>7535.340625484768</v>
      </c>
      <c r="L50" s="227">
        <f>K19</f>
        <v>138.35135984781928</v>
      </c>
    </row>
    <row r="51" spans="1:12" ht="12.75">
      <c r="A51" s="55" t="s">
        <v>10</v>
      </c>
      <c r="B51" s="98" t="s">
        <v>30</v>
      </c>
      <c r="C51" s="98"/>
      <c r="D51" s="279"/>
      <c r="E51" s="99">
        <f>6890+185</f>
        <v>7075</v>
      </c>
      <c r="F51" s="91">
        <f t="shared" si="3"/>
        <v>1.031095406360424</v>
      </c>
      <c r="G51" s="92">
        <v>7295</v>
      </c>
      <c r="H51" s="280">
        <f>0.6*'BRA Load Pricing Results'!H50</f>
        <v>122.96397429479977</v>
      </c>
      <c r="I51" s="94">
        <f t="shared" si="0"/>
        <v>1.0243418207418264</v>
      </c>
      <c r="J51" s="94">
        <f t="shared" si="2"/>
        <v>1.0561941459097701</v>
      </c>
      <c r="K51" s="92">
        <f t="shared" si="1"/>
        <v>8259.849348073927</v>
      </c>
      <c r="L51" s="227">
        <f>K16</f>
        <v>138.35135984781928</v>
      </c>
    </row>
    <row r="52" spans="1:12" ht="12.75">
      <c r="A52" s="55" t="s">
        <v>8</v>
      </c>
      <c r="B52" s="98" t="s">
        <v>30</v>
      </c>
      <c r="C52" s="98" t="s">
        <v>41</v>
      </c>
      <c r="D52" s="279" t="s">
        <v>8</v>
      </c>
      <c r="E52" s="99">
        <v>10100</v>
      </c>
      <c r="F52" s="91">
        <f t="shared" si="3"/>
        <v>1.0201980198019802</v>
      </c>
      <c r="G52" s="92">
        <v>10304</v>
      </c>
      <c r="H52" s="280">
        <f>0.6*'BRA Load Pricing Results'!H51</f>
        <v>176.74449944456916</v>
      </c>
      <c r="I52" s="94">
        <f t="shared" si="0"/>
        <v>1.0243418207418264</v>
      </c>
      <c r="J52" s="94">
        <f t="shared" si="2"/>
        <v>1.0450314971211663</v>
      </c>
      <c r="K52" s="92">
        <f t="shared" si="1"/>
        <v>11669.88595131847</v>
      </c>
      <c r="L52" s="227">
        <f>K27</f>
        <v>189.058256072403</v>
      </c>
    </row>
    <row r="53" spans="1:12" ht="13.5" thickBot="1">
      <c r="A53" s="57" t="s">
        <v>18</v>
      </c>
      <c r="B53" s="104" t="s">
        <v>30</v>
      </c>
      <c r="C53" s="104" t="s">
        <v>41</v>
      </c>
      <c r="D53" s="281"/>
      <c r="E53" s="105">
        <v>400</v>
      </c>
      <c r="F53" s="282">
        <f t="shared" si="3"/>
        <v>1.015</v>
      </c>
      <c r="G53" s="283">
        <v>406</v>
      </c>
      <c r="H53" s="483">
        <f>0.6*'BRA Load Pricing Results'!H52</f>
        <v>7.020490620997931</v>
      </c>
      <c r="I53" s="107">
        <f t="shared" si="0"/>
        <v>1.0243418207418264</v>
      </c>
      <c r="J53" s="107">
        <f t="shared" si="2"/>
        <v>1.0397069480529537</v>
      </c>
      <c r="K53" s="283">
        <f t="shared" si="1"/>
        <v>459.8752489149424</v>
      </c>
      <c r="L53" s="228">
        <f>K17</f>
        <v>138.35814854444348</v>
      </c>
    </row>
    <row r="54" spans="2:12" ht="13.5" thickBot="1">
      <c r="B54" s="12"/>
      <c r="C54" s="6"/>
      <c r="D54" s="6"/>
      <c r="E54" s="100">
        <f>SUM(E35:E53)</f>
        <v>126872.7</v>
      </c>
      <c r="F54" s="59"/>
      <c r="G54" s="89">
        <f>SUM(G35:G53)</f>
        <v>130712.78531554632</v>
      </c>
      <c r="H54" s="89">
        <f>SUM(H35:H53)</f>
        <v>2224.86</v>
      </c>
      <c r="I54" s="4"/>
      <c r="J54" s="4"/>
      <c r="K54" s="485">
        <f>SUM(K35:K53)</f>
        <v>148022.65999999995</v>
      </c>
      <c r="L54" s="42"/>
    </row>
    <row r="55" spans="1:12" ht="12.75">
      <c r="A55" s="193" t="s">
        <v>110</v>
      </c>
      <c r="B55" s="12"/>
      <c r="C55" s="6"/>
      <c r="D55" s="6"/>
      <c r="E55" s="458"/>
      <c r="F55" s="59"/>
      <c r="G55" s="459" t="s">
        <v>24</v>
      </c>
      <c r="H55" s="459"/>
      <c r="I55" s="4"/>
      <c r="J55" s="4"/>
      <c r="K55" s="460"/>
      <c r="L55" s="484"/>
    </row>
    <row r="56" spans="1:12" ht="12.75">
      <c r="A56" s="854" t="s">
        <v>273</v>
      </c>
      <c r="B56" s="854"/>
      <c r="C56" s="10"/>
      <c r="D56" s="10"/>
      <c r="E56" s="619" t="s">
        <v>24</v>
      </c>
      <c r="F56" s="10"/>
      <c r="G56" s="619" t="s">
        <v>24</v>
      </c>
      <c r="H56" s="10"/>
      <c r="I56" s="10"/>
      <c r="J56" s="10"/>
      <c r="K56" s="10"/>
      <c r="L56" s="484"/>
    </row>
    <row r="57" spans="1:12" ht="12.75">
      <c r="A57" s="854"/>
      <c r="B57" s="854"/>
      <c r="C57" s="10"/>
      <c r="D57" s="10"/>
      <c r="E57" s="619"/>
      <c r="F57" s="10"/>
      <c r="G57" s="619"/>
      <c r="H57" s="10"/>
      <c r="I57" s="10"/>
      <c r="J57" s="10"/>
      <c r="K57" s="10"/>
      <c r="L57" s="484"/>
    </row>
    <row r="58" spans="1:12" ht="30" customHeight="1">
      <c r="A58" s="801" t="s">
        <v>234</v>
      </c>
      <c r="B58" s="801"/>
      <c r="C58" s="801"/>
      <c r="D58" s="801"/>
      <c r="E58" s="801"/>
      <c r="F58" s="801"/>
      <c r="G58" s="801"/>
      <c r="H58" s="801"/>
      <c r="I58" s="801"/>
      <c r="J58" s="801"/>
      <c r="K58" s="801"/>
      <c r="L58" s="801"/>
    </row>
  </sheetData>
  <sheetProtection/>
  <mergeCells count="3">
    <mergeCell ref="A56:B56"/>
    <mergeCell ref="A57:B57"/>
    <mergeCell ref="A58:L58"/>
  </mergeCells>
  <printOptions/>
  <pageMargins left="0.7" right="0.7" top="0.25" bottom="0.25" header="0.3" footer="0.3"/>
  <pageSetup fitToHeight="1" fitToWidth="1" horizontalDpi="600" verticalDpi="600" orientation="landscape" paperSize="5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0" width="15.7109375" style="0" customWidth="1"/>
  </cols>
  <sheetData>
    <row r="1" spans="1:17" ht="18.75">
      <c r="A1" s="24" t="s">
        <v>285</v>
      </c>
      <c r="B1" s="6"/>
      <c r="C1" s="6"/>
      <c r="D1" s="6"/>
      <c r="E1" s="6"/>
      <c r="F1" s="494" t="s">
        <v>24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9.5" thickBot="1">
      <c r="A2" s="1" t="s">
        <v>24</v>
      </c>
      <c r="B2" s="6"/>
      <c r="C2" s="6"/>
      <c r="D2" s="6" t="s">
        <v>24</v>
      </c>
      <c r="E2" s="713" t="s">
        <v>24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9.5" thickBot="1">
      <c r="A3" s="125" t="s">
        <v>104</v>
      </c>
      <c r="B3" s="1"/>
      <c r="C3" s="296" t="s">
        <v>24</v>
      </c>
      <c r="D3" s="1"/>
      <c r="E3" s="285" t="s">
        <v>24</v>
      </c>
      <c r="F3" s="285"/>
      <c r="G3" s="6"/>
      <c r="H3" s="6"/>
      <c r="I3" s="6"/>
      <c r="J3" s="6"/>
      <c r="K3" s="19"/>
      <c r="L3" s="19"/>
      <c r="Q3" s="19"/>
    </row>
    <row r="4" spans="1:16" ht="114.75">
      <c r="A4" s="178" t="s">
        <v>3</v>
      </c>
      <c r="B4" s="112" t="s">
        <v>198</v>
      </c>
      <c r="C4" s="112" t="s">
        <v>246</v>
      </c>
      <c r="D4" s="112" t="s">
        <v>245</v>
      </c>
      <c r="E4" s="112" t="s">
        <v>221</v>
      </c>
      <c r="F4" s="111" t="s">
        <v>108</v>
      </c>
      <c r="G4" s="111" t="s">
        <v>129</v>
      </c>
      <c r="H4" s="111" t="s">
        <v>118</v>
      </c>
      <c r="I4" s="111" t="s">
        <v>247</v>
      </c>
      <c r="J4" s="128" t="s">
        <v>248</v>
      </c>
      <c r="K4" s="23"/>
      <c r="N4" s="23"/>
      <c r="O4" s="23"/>
      <c r="P4" s="23"/>
    </row>
    <row r="5" spans="1:16" ht="12.75">
      <c r="A5" s="179" t="s">
        <v>30</v>
      </c>
      <c r="B5" s="194">
        <f>'2nd IA Load Pricing Results'!B16</f>
        <v>66713.3971876823</v>
      </c>
      <c r="C5" s="286">
        <f>'BRA Resource Clearing Results'!E18-'1stIA Resource Clearing Results'!M20-'2ndIA Resource Clearing Results'!M20</f>
        <v>64993.1</v>
      </c>
      <c r="D5" s="63">
        <f>'2nd IA Load Pricing Results'!H47+'2nd IA Load Pricing Results'!H49+'2nd IA Load Pricing Results'!H51+D6+D7</f>
        <v>1000.3793794816913</v>
      </c>
      <c r="E5" s="176">
        <f>MAX(B5-C5-D5,0)</f>
        <v>719.9178082006154</v>
      </c>
      <c r="F5" s="290">
        <v>0</v>
      </c>
      <c r="G5" s="63">
        <f aca="true" t="shared" si="0" ref="G5:G10">E5-F5</f>
        <v>719.9178082006154</v>
      </c>
      <c r="H5" s="63">
        <f>'2nd IA ICTRs'!C15</f>
        <v>0</v>
      </c>
      <c r="I5" s="63">
        <f>'2nd IA ICTRs'!C9+'2nd IA ICTRs'!C12</f>
        <v>0</v>
      </c>
      <c r="J5" s="368">
        <f>IF(G5-H5-I5&lt;0,0,G5-H5-I5)</f>
        <v>719.9178082006154</v>
      </c>
      <c r="K5" s="177"/>
      <c r="N5" s="9"/>
      <c r="O5" s="9"/>
      <c r="P5" s="9"/>
    </row>
    <row r="6" spans="1:16" ht="12.75">
      <c r="A6" s="179" t="s">
        <v>41</v>
      </c>
      <c r="B6" s="194">
        <f>'2nd IA Load Pricing Results'!B17</f>
        <v>36381.79958132044</v>
      </c>
      <c r="C6" s="286">
        <f>'BRA Resource Clearing Results'!E19-'1stIA Resource Clearing Results'!M21-'2ndIA Resource Clearing Results'!M21</f>
        <v>31091.199999999997</v>
      </c>
      <c r="D6" s="63">
        <f>'2nd IA Load Pricing Results'!H35+'2nd IA Load Pricing Results'!H45+'2nd IA Load Pricing Results'!H46+'2nd IA Load Pricing Results'!H48+'2nd IA Load Pricing Results'!H52+'2nd IA Load Pricing Results'!H53</f>
        <v>546.041762434107</v>
      </c>
      <c r="E6" s="297">
        <f>B6-C6-D6</f>
        <v>4744.557818886336</v>
      </c>
      <c r="F6" s="290">
        <v>0</v>
      </c>
      <c r="G6" s="64">
        <f t="shared" si="0"/>
        <v>4744.557818886336</v>
      </c>
      <c r="H6" s="63">
        <v>0</v>
      </c>
      <c r="I6" s="63">
        <v>0</v>
      </c>
      <c r="J6" s="180">
        <f>G6-H6-I6</f>
        <v>4744.557818886336</v>
      </c>
      <c r="K6" s="177"/>
      <c r="N6" s="9" t="s">
        <v>24</v>
      </c>
      <c r="O6" s="9"/>
      <c r="P6" s="9"/>
    </row>
    <row r="7" spans="1:16" ht="12.75">
      <c r="A7" s="179" t="s">
        <v>5</v>
      </c>
      <c r="B7" s="194">
        <f>'2nd IA Load Pricing Results'!B18</f>
        <v>15519.013315297489</v>
      </c>
      <c r="C7" s="286">
        <f>'BRA Resource Clearing Results'!E20-'1stIA Resource Clearing Results'!M22-'2ndIA Resource Clearing Results'!M22</f>
        <v>11087.800000000001</v>
      </c>
      <c r="D7" s="63">
        <f>'2nd IA Load Pricing Results'!H39+'2nd IA Load Pricing Results'!H50</f>
        <v>233.49211416395198</v>
      </c>
      <c r="E7" s="297">
        <f>B7-C7-D7</f>
        <v>4197.721201133536</v>
      </c>
      <c r="F7" s="290">
        <v>0</v>
      </c>
      <c r="G7" s="64">
        <f t="shared" si="0"/>
        <v>4197.721201133536</v>
      </c>
      <c r="H7" s="63">
        <f>'2nd IA ICTRs'!D15</f>
        <v>0</v>
      </c>
      <c r="I7" s="63">
        <f>'2nd IA ICTRs'!D9+'2nd IA ICTRs'!D12</f>
        <v>237</v>
      </c>
      <c r="J7" s="180">
        <f>G7-H7-I7</f>
        <v>3960.721201133536</v>
      </c>
      <c r="K7" s="177"/>
      <c r="N7" s="9"/>
      <c r="O7" s="9"/>
      <c r="P7" s="9"/>
    </row>
    <row r="8" spans="1:16" ht="12.75">
      <c r="A8" s="179" t="s">
        <v>50</v>
      </c>
      <c r="B8" s="194">
        <f>'2nd IA Load Pricing Results'!K52</f>
        <v>11669.88595131847</v>
      </c>
      <c r="C8" s="92">
        <f>'2nd IA Load Pricing Results'!C27</f>
        <v>7382.700000000001</v>
      </c>
      <c r="D8" s="63">
        <f>'2nd IA Load Pricing Results'!H52</f>
        <v>176.74449944456916</v>
      </c>
      <c r="E8" s="641">
        <f>B8-C8-D8-1.757590939488</f>
        <v>4108.683860934412</v>
      </c>
      <c r="F8" s="290">
        <v>0</v>
      </c>
      <c r="G8" s="64">
        <f t="shared" si="0"/>
        <v>4108.683860934412</v>
      </c>
      <c r="H8" s="63">
        <v>0</v>
      </c>
      <c r="I8" s="63">
        <v>0</v>
      </c>
      <c r="J8" s="180">
        <f>G8-H8-I8</f>
        <v>4108.683860934412</v>
      </c>
      <c r="K8" s="177"/>
      <c r="N8" s="9"/>
      <c r="O8" s="9"/>
      <c r="P8" s="9"/>
    </row>
    <row r="9" spans="1:16" ht="12.75">
      <c r="A9" s="179" t="s">
        <v>48</v>
      </c>
      <c r="B9" s="194">
        <f>'2nd IA Load Pricing Results'!K45</f>
        <v>4593.1330342532565</v>
      </c>
      <c r="C9" s="92">
        <f>'2nd IA Load Pricing Results'!C30</f>
        <v>4139.8</v>
      </c>
      <c r="D9" s="63">
        <f>'2nd IA Load Pricing Results'!H45</f>
        <v>66.81626293102187</v>
      </c>
      <c r="E9" s="297">
        <f>B9-C9-D9</f>
        <v>386.51677132223443</v>
      </c>
      <c r="F9" s="290">
        <v>0</v>
      </c>
      <c r="G9" s="64">
        <f t="shared" si="0"/>
        <v>386.51677132223443</v>
      </c>
      <c r="H9" s="63">
        <v>0</v>
      </c>
      <c r="I9" s="63">
        <v>0</v>
      </c>
      <c r="J9" s="180">
        <f>G9-H9-I9</f>
        <v>386.51677132223443</v>
      </c>
      <c r="K9" s="177"/>
      <c r="N9" s="9"/>
      <c r="O9" s="9"/>
      <c r="P9" s="9"/>
    </row>
    <row r="10" spans="1:16" ht="13.5" thickBot="1">
      <c r="A10" s="154" t="s">
        <v>15</v>
      </c>
      <c r="B10" s="195">
        <f>'2nd IA Load Pricing Results'!B19</f>
        <v>7535.340625484768</v>
      </c>
      <c r="C10" s="496">
        <f>'BRA Resource Clearing Results'!E24-'1stIA Resource Clearing Results'!M26-'2ndIA Resource Clearing Results'!M26</f>
        <v>5283.700000000001</v>
      </c>
      <c r="D10" s="137">
        <f>'2nd IA Load Pricing Results'!H50</f>
        <v>113.43037502194349</v>
      </c>
      <c r="E10" s="497">
        <f>B10-C10-D10</f>
        <v>2138.2102504628238</v>
      </c>
      <c r="F10" s="498">
        <v>0</v>
      </c>
      <c r="G10" s="137">
        <f t="shared" si="0"/>
        <v>2138.2102504628238</v>
      </c>
      <c r="H10" s="137">
        <v>0</v>
      </c>
      <c r="I10" s="137">
        <v>0</v>
      </c>
      <c r="J10" s="182">
        <f>G10-H10-I10</f>
        <v>2138.2102504628238</v>
      </c>
      <c r="K10" s="177"/>
      <c r="N10" s="9"/>
      <c r="O10" s="9"/>
      <c r="P10" s="9"/>
    </row>
    <row r="11" spans="1:16" ht="15">
      <c r="A11" s="495" t="s">
        <v>296</v>
      </c>
      <c r="B11" s="42"/>
      <c r="C11" s="42"/>
      <c r="D11" s="18"/>
      <c r="E11" s="42"/>
      <c r="F11" s="18"/>
      <c r="G11" s="26"/>
      <c r="H11" s="20"/>
      <c r="I11" s="26"/>
      <c r="J11" s="25"/>
      <c r="K11" s="62"/>
      <c r="N11" s="9"/>
      <c r="O11" s="9"/>
      <c r="P11" s="9"/>
    </row>
    <row r="12" spans="1:16" ht="13.5" thickBot="1">
      <c r="A12" s="32"/>
      <c r="B12" s="42"/>
      <c r="C12" s="42"/>
      <c r="D12" s="18"/>
      <c r="E12" s="42"/>
      <c r="F12" s="18"/>
      <c r="G12" s="26"/>
      <c r="H12" s="20"/>
      <c r="I12" s="26"/>
      <c r="J12" s="25"/>
      <c r="K12" s="62"/>
      <c r="N12" s="9"/>
      <c r="O12" s="9"/>
      <c r="P12" s="9"/>
    </row>
    <row r="13" spans="1:17" ht="15" thickBot="1">
      <c r="A13" s="803" t="s">
        <v>153</v>
      </c>
      <c r="B13" s="804"/>
      <c r="C13" s="804"/>
      <c r="D13" s="805"/>
      <c r="E13" s="6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9" ht="15">
      <c r="A14" s="806"/>
      <c r="B14" s="807"/>
      <c r="C14" s="807"/>
      <c r="D14" s="808"/>
      <c r="E14" s="860" t="s">
        <v>30</v>
      </c>
      <c r="F14" s="855"/>
      <c r="G14" s="855" t="s">
        <v>41</v>
      </c>
      <c r="H14" s="855"/>
      <c r="I14" s="855" t="s">
        <v>5</v>
      </c>
      <c r="J14" s="855"/>
      <c r="K14" s="855" t="s">
        <v>50</v>
      </c>
      <c r="L14" s="855"/>
      <c r="M14" s="855" t="s">
        <v>48</v>
      </c>
      <c r="N14" s="855"/>
      <c r="O14" s="855" t="s">
        <v>15</v>
      </c>
      <c r="P14" s="856"/>
      <c r="Q14" s="22"/>
      <c r="R14" s="22"/>
      <c r="S14" s="22"/>
    </row>
    <row r="15" spans="1:19" ht="43.5" thickBot="1">
      <c r="A15" s="806"/>
      <c r="B15" s="807"/>
      <c r="C15" s="807"/>
      <c r="D15" s="808"/>
      <c r="E15" s="499" t="s">
        <v>209</v>
      </c>
      <c r="F15" s="500">
        <f>'2nd IA Load Pricing Results'!D16</f>
        <v>-0.597845679002848</v>
      </c>
      <c r="G15" s="501" t="s">
        <v>209</v>
      </c>
      <c r="H15" s="500">
        <f>'2nd IA Load Pricing Results'!D17-'2nd IA Load Pricing Results'!D16</f>
        <v>0</v>
      </c>
      <c r="I15" s="501" t="s">
        <v>209</v>
      </c>
      <c r="J15" s="502">
        <f>'2nd IA Load Pricing Results'!D18-'2nd IA Load Pricing Results'!D16</f>
        <v>0</v>
      </c>
      <c r="K15" s="501" t="s">
        <v>209</v>
      </c>
      <c r="L15" s="500">
        <f>'2nd IA Load Pricing Results'!D27</f>
        <v>50.69830631069933</v>
      </c>
      <c r="M15" s="501" t="s">
        <v>209</v>
      </c>
      <c r="N15" s="503">
        <f>'2nd IA Load Pricing Results'!D30</f>
        <v>0</v>
      </c>
      <c r="O15" s="501" t="s">
        <v>209</v>
      </c>
      <c r="P15" s="504">
        <f>'2nd IA Load Pricing Results'!D19-'2nd IA Load Pricing Results'!D18</f>
        <v>0</v>
      </c>
      <c r="Q15" s="22"/>
      <c r="R15" s="22"/>
      <c r="S15" s="22"/>
    </row>
    <row r="16" spans="1:20" ht="65.25">
      <c r="A16" s="505" t="s">
        <v>7</v>
      </c>
      <c r="B16" s="102" t="s">
        <v>28</v>
      </c>
      <c r="C16" s="102" t="s">
        <v>27</v>
      </c>
      <c r="D16" s="102" t="s">
        <v>36</v>
      </c>
      <c r="E16" s="102" t="s">
        <v>130</v>
      </c>
      <c r="F16" s="102" t="s">
        <v>154</v>
      </c>
      <c r="G16" s="102" t="s">
        <v>131</v>
      </c>
      <c r="H16" s="102" t="s">
        <v>154</v>
      </c>
      <c r="I16" s="102" t="s">
        <v>130</v>
      </c>
      <c r="J16" s="102" t="s">
        <v>154</v>
      </c>
      <c r="K16" s="102" t="s">
        <v>132</v>
      </c>
      <c r="L16" s="102" t="s">
        <v>154</v>
      </c>
      <c r="M16" s="102" t="s">
        <v>133</v>
      </c>
      <c r="N16" s="102" t="s">
        <v>154</v>
      </c>
      <c r="O16" s="102" t="s">
        <v>133</v>
      </c>
      <c r="P16" s="102" t="s">
        <v>154</v>
      </c>
      <c r="Q16" s="102" t="s">
        <v>210</v>
      </c>
      <c r="R16" s="506" t="s">
        <v>220</v>
      </c>
      <c r="S16" s="102" t="s">
        <v>211</v>
      </c>
      <c r="T16" s="507" t="s">
        <v>212</v>
      </c>
    </row>
    <row r="17" spans="1:20" ht="12.75">
      <c r="A17" s="169" t="s">
        <v>16</v>
      </c>
      <c r="B17" s="98" t="s">
        <v>30</v>
      </c>
      <c r="C17" s="98" t="s">
        <v>41</v>
      </c>
      <c r="D17" s="98"/>
      <c r="E17" s="65">
        <f>IF(B17="MAAC",$J$5*'1st IA Load Pricing Results'!K35/'1st IA Load Pricing Results'!$B$16,0)</f>
        <v>32.215719713187795</v>
      </c>
      <c r="F17" s="66">
        <f>E17*$F$15</f>
        <v>-19.260028826496193</v>
      </c>
      <c r="G17" s="65">
        <f>IF(C17="EMAAC",$J$6*'1st IA Load Pricing Results'!K35/'1st IA Load Pricing Results'!$B$17,0)</f>
        <v>389.6304226244986</v>
      </c>
      <c r="H17" s="66">
        <f>G17*$H$15</f>
        <v>0</v>
      </c>
      <c r="I17" s="65">
        <f>IF(C17="SWMAAC",$J$7*'1st IA Load Pricing Results'!K35/'1st IA Load Pricing Results'!$B$18,0)</f>
        <v>0</v>
      </c>
      <c r="J17" s="66">
        <f>I17*$J$15</f>
        <v>0</v>
      </c>
      <c r="K17" s="65">
        <f>IF(D17="PS",$J$8*'1st IA Load Pricing Results'!K35/'1st IA Load Pricing Results'!$K$52,0)</f>
        <v>0</v>
      </c>
      <c r="L17" s="66">
        <f aca="true" t="shared" si="1" ref="L17:L35">K17*$L$15</f>
        <v>0</v>
      </c>
      <c r="M17" s="65">
        <f>IF(D17="DPL",$J$9*'1st IA Load Pricing Results'!K35/'1st IA Load Pricing Results'!$K$45,0)</f>
        <v>0</v>
      </c>
      <c r="N17" s="66">
        <f>M17*$N$15</f>
        <v>0</v>
      </c>
      <c r="O17" s="65">
        <f>IF(D17="PEPCO",$J$10*'1st IA Load Pricing Results'!K35/'1st IA Load Pricing Results'!$K$50,0)</f>
        <v>0</v>
      </c>
      <c r="P17" s="66">
        <f aca="true" t="shared" si="2" ref="P17:P31">O17*$P$15</f>
        <v>0</v>
      </c>
      <c r="Q17" s="63">
        <f>MAX(E17,G17,I17,K17,M17,O17)</f>
        <v>389.6304226244986</v>
      </c>
      <c r="R17" s="67">
        <f>F17+H17+J17+L17+N17+P17</f>
        <v>-19.260028826496193</v>
      </c>
      <c r="S17" s="67">
        <f>R17/'1st IA Load Pricing Results'!K35</f>
        <v>-0.006352407911762489</v>
      </c>
      <c r="T17" s="56">
        <f>IF(Q17=0,0,R17/Q17)</f>
        <v>-0.049431532314040585</v>
      </c>
    </row>
    <row r="18" spans="1:20" ht="12.75">
      <c r="A18" s="169" t="s">
        <v>32</v>
      </c>
      <c r="B18" s="98"/>
      <c r="C18" s="98"/>
      <c r="D18" s="98"/>
      <c r="E18" s="65">
        <f>IF(B18="MAAC",$J$5*'1st IA Load Pricing Results'!K36/'1st IA Load Pricing Results'!$B$16,0)</f>
        <v>0</v>
      </c>
      <c r="F18" s="66">
        <f aca="true" t="shared" si="3" ref="F18:F35">E18*$F$15</f>
        <v>0</v>
      </c>
      <c r="G18" s="65">
        <f>IF(C18="EMAAC",$J$6*'1st IA Load Pricing Results'!K36/'1st IA Load Pricing Results'!$B$17,0)</f>
        <v>0</v>
      </c>
      <c r="H18" s="66">
        <f>G18*$H$15</f>
        <v>0</v>
      </c>
      <c r="I18" s="65">
        <f>IF(C18="SWMAAC",$J$7*'1st IA Load Pricing Results'!K36/'1st IA Load Pricing Results'!$B$18,0)</f>
        <v>0</v>
      </c>
      <c r="J18" s="66">
        <f>I18*$J$15</f>
        <v>0</v>
      </c>
      <c r="K18" s="65">
        <f>IF(D18="PS",$J$8*'1st IA Load Pricing Results'!K36/'1st IA Load Pricing Results'!$K$52,0)</f>
        <v>0</v>
      </c>
      <c r="L18" s="66">
        <f t="shared" si="1"/>
        <v>0</v>
      </c>
      <c r="M18" s="65">
        <f>IF(D18="DPL",$J$9*'1st IA Load Pricing Results'!K36/'1st IA Load Pricing Results'!$K$45,0)</f>
        <v>0</v>
      </c>
      <c r="N18" s="66">
        <f>M18*$N$15</f>
        <v>0</v>
      </c>
      <c r="O18" s="65">
        <f>IF(D18="PEPCO",$J$10*'1st IA Load Pricing Results'!K36/'1st IA Load Pricing Results'!$K$50,0)</f>
        <v>0</v>
      </c>
      <c r="P18" s="66">
        <f t="shared" si="2"/>
        <v>0</v>
      </c>
      <c r="Q18" s="63">
        <f aca="true" t="shared" si="4" ref="Q18:Q35">MAX(E18,G18,I18,K18,M18,O18)</f>
        <v>0</v>
      </c>
      <c r="R18" s="67">
        <f aca="true" t="shared" si="5" ref="R18:R34">F18+H18+J18+L18+N18+P18</f>
        <v>0</v>
      </c>
      <c r="S18" s="67">
        <f>R18/'1st IA Load Pricing Results'!K36</f>
        <v>0</v>
      </c>
      <c r="T18" s="56">
        <f aca="true" t="shared" si="6" ref="T18:T35">IF(Q18=0,0,R18/Q18)</f>
        <v>0</v>
      </c>
    </row>
    <row r="19" spans="1:20" ht="12.75">
      <c r="A19" s="169" t="s">
        <v>19</v>
      </c>
      <c r="B19" s="98" t="s">
        <v>24</v>
      </c>
      <c r="C19" s="98"/>
      <c r="D19" s="98"/>
      <c r="E19" s="65">
        <f>IF(B19="MAAC",$J$5*'1st IA Load Pricing Results'!K37/'1st IA Load Pricing Results'!$B$16,0)</f>
        <v>0</v>
      </c>
      <c r="F19" s="66">
        <f t="shared" si="3"/>
        <v>0</v>
      </c>
      <c r="G19" s="65">
        <f>IF(C19="EMAAC",$J$6*'1st IA Load Pricing Results'!K37/'1st IA Load Pricing Results'!$B$17,0)</f>
        <v>0</v>
      </c>
      <c r="H19" s="66">
        <f aca="true" t="shared" si="7" ref="H19:H33">G19*$H$15</f>
        <v>0</v>
      </c>
      <c r="I19" s="65">
        <f>IF(C19="SWMAAC",$J$7*'1st IA Load Pricing Results'!K37/'1st IA Load Pricing Results'!$B$18,0)</f>
        <v>0</v>
      </c>
      <c r="J19" s="66">
        <f>I19*$J$15</f>
        <v>0</v>
      </c>
      <c r="K19" s="65">
        <f>IF(D19="PS",$J$8*'1st IA Load Pricing Results'!K37/'1st IA Load Pricing Results'!$K$52,0)</f>
        <v>0</v>
      </c>
      <c r="L19" s="66">
        <f t="shared" si="1"/>
        <v>0</v>
      </c>
      <c r="M19" s="65">
        <f>IF(D19="DPL",$J$9*'1st IA Load Pricing Results'!K37/'1st IA Load Pricing Results'!$K$45,0)</f>
        <v>0</v>
      </c>
      <c r="N19" s="66">
        <f aca="true" t="shared" si="8" ref="N19:N31">M19*$N$15</f>
        <v>0</v>
      </c>
      <c r="O19" s="65">
        <f>IF(D19="PEPCO",$J$10*'1st IA Load Pricing Results'!K37/'1st IA Load Pricing Results'!$K$50,0)</f>
        <v>0</v>
      </c>
      <c r="P19" s="66">
        <f t="shared" si="2"/>
        <v>0</v>
      </c>
      <c r="Q19" s="63">
        <f t="shared" si="4"/>
        <v>0</v>
      </c>
      <c r="R19" s="67">
        <f t="shared" si="5"/>
        <v>0</v>
      </c>
      <c r="S19" s="67">
        <f>R19/'1st IA Load Pricing Results'!K37</f>
        <v>0</v>
      </c>
      <c r="T19" s="56">
        <f t="shared" si="6"/>
        <v>0</v>
      </c>
    </row>
    <row r="20" spans="1:20" ht="12.75">
      <c r="A20" s="169" t="s">
        <v>53</v>
      </c>
      <c r="B20" s="98"/>
      <c r="C20" s="98"/>
      <c r="D20" s="98"/>
      <c r="E20" s="65">
        <f>IF(B20="MAAC",$J$5*'1st IA Load Pricing Results'!K38/'1st IA Load Pricing Results'!$B$16,0)</f>
        <v>0</v>
      </c>
      <c r="F20" s="66">
        <f>E20*$F$15</f>
        <v>0</v>
      </c>
      <c r="G20" s="65">
        <f>IF(C20="EMAAC",$J$6*'1st IA Load Pricing Results'!K38/'1st IA Load Pricing Results'!$B$17,0)</f>
        <v>0</v>
      </c>
      <c r="H20" s="66">
        <f>G20*$H$15</f>
        <v>0</v>
      </c>
      <c r="I20" s="65">
        <f>IF(C20="SWMAAC",$J$7*'1st IA Load Pricing Results'!K38/'1st IA Load Pricing Results'!$B$18,0)</f>
        <v>0</v>
      </c>
      <c r="J20" s="66">
        <f>I20*$J$15</f>
        <v>0</v>
      </c>
      <c r="K20" s="65">
        <f>IF(D20="PS",$J$8*'1st IA Load Pricing Results'!K38/'1st IA Load Pricing Results'!$K$52,0)</f>
        <v>0</v>
      </c>
      <c r="L20" s="66">
        <f t="shared" si="1"/>
        <v>0</v>
      </c>
      <c r="M20" s="65">
        <f>IF(D20="DPL",$J$9*'1st IA Load Pricing Results'!K38/'1st IA Load Pricing Results'!$K$45,0)</f>
        <v>0</v>
      </c>
      <c r="N20" s="66">
        <f>M20*$N$15</f>
        <v>0</v>
      </c>
      <c r="O20" s="65">
        <f>IF(D20="PEPCO",$J$10*'1st IA Load Pricing Results'!K38/'1st IA Load Pricing Results'!$K$50,0)</f>
        <v>0</v>
      </c>
      <c r="P20" s="66">
        <f t="shared" si="2"/>
        <v>0</v>
      </c>
      <c r="Q20" s="63">
        <f t="shared" si="4"/>
        <v>0</v>
      </c>
      <c r="R20" s="67">
        <f t="shared" si="5"/>
        <v>0</v>
      </c>
      <c r="S20" s="67">
        <f>R20/'1st IA Load Pricing Results'!K38</f>
        <v>0</v>
      </c>
      <c r="T20" s="56">
        <f>IF(Q20=0,0,R20/Q20)</f>
        <v>0</v>
      </c>
    </row>
    <row r="21" spans="1:20" ht="12.75">
      <c r="A21" s="169" t="s">
        <v>11</v>
      </c>
      <c r="B21" s="98" t="s">
        <v>30</v>
      </c>
      <c r="C21" s="98" t="s">
        <v>5</v>
      </c>
      <c r="D21" s="98"/>
      <c r="E21" s="65">
        <f>IF(B21="MAAC",$J$5*'1st IA Load Pricing Results'!K39/'1st IA Load Pricing Results'!$B$16,0)</f>
        <v>86.02469321123543</v>
      </c>
      <c r="F21" s="66">
        <f t="shared" si="3"/>
        <v>-51.429491123882734</v>
      </c>
      <c r="G21" s="65">
        <f>IF(C21="EMAAC",$J$6*'1st IA Load Pricing Results'!K39/'1st IA Load Pricing Results'!$B$17,0)</f>
        <v>0</v>
      </c>
      <c r="H21" s="66">
        <f t="shared" si="7"/>
        <v>0</v>
      </c>
      <c r="I21" s="65">
        <f>IF(C21="SWMAAC",$J$7*'1st IA Load Pricing Results'!K39/'1st IA Load Pricing Results'!$B$18,0)</f>
        <v>2036.7685096092578</v>
      </c>
      <c r="J21" s="66">
        <f>I21*$J$15</f>
        <v>0</v>
      </c>
      <c r="K21" s="65">
        <f>IF(D21="PS",$J$8*'1st IA Load Pricing Results'!K39/'1st IA Load Pricing Results'!$K$52,0)</f>
        <v>0</v>
      </c>
      <c r="L21" s="66">
        <f t="shared" si="1"/>
        <v>0</v>
      </c>
      <c r="M21" s="65">
        <f>IF(D21="DPL",$J$9*'1st IA Load Pricing Results'!K39/'1st IA Load Pricing Results'!$K$45,0)</f>
        <v>0</v>
      </c>
      <c r="N21" s="66">
        <f t="shared" si="8"/>
        <v>0</v>
      </c>
      <c r="O21" s="65">
        <f>IF(D21="PEPCO",$J$10*'1st IA Load Pricing Results'!K39/'1st IA Load Pricing Results'!$K$50,0)</f>
        <v>0</v>
      </c>
      <c r="P21" s="66">
        <f t="shared" si="2"/>
        <v>0</v>
      </c>
      <c r="Q21" s="63">
        <f t="shared" si="4"/>
        <v>2036.7685096092578</v>
      </c>
      <c r="R21" s="67">
        <f t="shared" si="5"/>
        <v>-51.429491123882734</v>
      </c>
      <c r="S21" s="67">
        <f>R21/'1st IA Load Pricing Results'!K39</f>
        <v>-0.006352407911762489</v>
      </c>
      <c r="T21" s="508">
        <f t="shared" si="6"/>
        <v>-0.025250533323371727</v>
      </c>
    </row>
    <row r="22" spans="1:20" ht="12.75">
      <c r="A22" s="169" t="s">
        <v>20</v>
      </c>
      <c r="B22" s="98"/>
      <c r="C22" s="98"/>
      <c r="D22" s="98"/>
      <c r="E22" s="65">
        <f>IF(B22="MAAC",$J$5*'1st IA Load Pricing Results'!K40/'1st IA Load Pricing Results'!$B$16,0)</f>
        <v>0</v>
      </c>
      <c r="F22" s="66">
        <f t="shared" si="3"/>
        <v>0</v>
      </c>
      <c r="G22" s="65">
        <f>IF(C22="EMAAC",$J$6*'1st IA Load Pricing Results'!K40/'1st IA Load Pricing Results'!$B$17,0)</f>
        <v>0</v>
      </c>
      <c r="H22" s="66">
        <f t="shared" si="7"/>
        <v>0</v>
      </c>
      <c r="I22" s="65">
        <f>IF(C22="SWMAAC",$J$7*'1st IA Load Pricing Results'!K40/'1st IA Load Pricing Results'!$B$18,0)</f>
        <v>0</v>
      </c>
      <c r="J22" s="66">
        <f aca="true" t="shared" si="9" ref="J22:J35">I22*$J$15</f>
        <v>0</v>
      </c>
      <c r="K22" s="65">
        <f>IF(D22="PS",$J$8*'1st IA Load Pricing Results'!K40/'1st IA Load Pricing Results'!$K$52,0)</f>
        <v>0</v>
      </c>
      <c r="L22" s="66">
        <f t="shared" si="1"/>
        <v>0</v>
      </c>
      <c r="M22" s="65">
        <f>IF(D22="DPL",$J$9*'1st IA Load Pricing Results'!K40/'1st IA Load Pricing Results'!$K$45,0)</f>
        <v>0</v>
      </c>
      <c r="N22" s="66">
        <f t="shared" si="8"/>
        <v>0</v>
      </c>
      <c r="O22" s="65">
        <f>IF(D22="PEPCO",$J$10*'1st IA Load Pricing Results'!K40/'1st IA Load Pricing Results'!$K$50,0)</f>
        <v>0</v>
      </c>
      <c r="P22" s="66">
        <f t="shared" si="2"/>
        <v>0</v>
      </c>
      <c r="Q22" s="63">
        <f t="shared" si="4"/>
        <v>0</v>
      </c>
      <c r="R22" s="67">
        <f t="shared" si="5"/>
        <v>0</v>
      </c>
      <c r="S22" s="67">
        <f>R22/'1st IA Load Pricing Results'!K40</f>
        <v>0</v>
      </c>
      <c r="T22" s="56">
        <f t="shared" si="6"/>
        <v>0</v>
      </c>
    </row>
    <row r="23" spans="1:20" ht="12.75">
      <c r="A23" s="169" t="s">
        <v>21</v>
      </c>
      <c r="B23" s="98"/>
      <c r="C23" s="98"/>
      <c r="D23" s="98"/>
      <c r="E23" s="65">
        <f>IF(B23="MAAC",$J$5*'1st IA Load Pricing Results'!K41/'1st IA Load Pricing Results'!$B$16,0)</f>
        <v>0</v>
      </c>
      <c r="F23" s="66">
        <f t="shared" si="3"/>
        <v>0</v>
      </c>
      <c r="G23" s="65">
        <f>IF(C23="EMAAC",$J$6*'1st IA Load Pricing Results'!K41/'1st IA Load Pricing Results'!$B$17,0)</f>
        <v>0</v>
      </c>
      <c r="H23" s="66">
        <f>G23*$H$15</f>
        <v>0</v>
      </c>
      <c r="I23" s="65">
        <f>IF(C23="SWMAAC",$J$7*'1st IA Load Pricing Results'!K41/'1st IA Load Pricing Results'!$B$18,0)</f>
        <v>0</v>
      </c>
      <c r="J23" s="66">
        <f>I23*$J$15</f>
        <v>0</v>
      </c>
      <c r="K23" s="65">
        <f>IF(D23="PS",$J$8*'1st IA Load Pricing Results'!K41/'1st IA Load Pricing Results'!$K$52,0)</f>
        <v>0</v>
      </c>
      <c r="L23" s="66">
        <f t="shared" si="1"/>
        <v>0</v>
      </c>
      <c r="M23" s="65">
        <f>IF(D23="DPL",$J$9*'1st IA Load Pricing Results'!K41/'1st IA Load Pricing Results'!$K$45,0)</f>
        <v>0</v>
      </c>
      <c r="N23" s="66">
        <f t="shared" si="8"/>
        <v>0</v>
      </c>
      <c r="O23" s="65">
        <f>IF(D23="PEPCO",$J$10*'1st IA Load Pricing Results'!K41/'1st IA Load Pricing Results'!$K$50,0)</f>
        <v>0</v>
      </c>
      <c r="P23" s="66">
        <f t="shared" si="2"/>
        <v>0</v>
      </c>
      <c r="Q23" s="63">
        <f t="shared" si="4"/>
        <v>0</v>
      </c>
      <c r="R23" s="67">
        <f t="shared" si="5"/>
        <v>0</v>
      </c>
      <c r="S23" s="67">
        <f>R23/'1st IA Load Pricing Results'!K41</f>
        <v>0</v>
      </c>
      <c r="T23" s="56">
        <f t="shared" si="6"/>
        <v>0</v>
      </c>
    </row>
    <row r="24" spans="1:20" ht="12.75">
      <c r="A24" s="169" t="s">
        <v>71</v>
      </c>
      <c r="B24" s="98"/>
      <c r="C24" s="98"/>
      <c r="D24" s="98"/>
      <c r="E24" s="65">
        <f>IF(B24="MAAC",$J$5*'1st IA Load Pricing Results'!K42/'1st IA Load Pricing Results'!$B$16,0)</f>
        <v>0</v>
      </c>
      <c r="F24" s="66">
        <f>E24*$F$15</f>
        <v>0</v>
      </c>
      <c r="G24" s="65">
        <f>IF(C24="EMAAC",$J$6*'1st IA Load Pricing Results'!K42/'1st IA Load Pricing Results'!$B$17,0)</f>
        <v>0</v>
      </c>
      <c r="H24" s="66">
        <f>G24*$H$15</f>
        <v>0</v>
      </c>
      <c r="I24" s="65">
        <f>IF(C24="SWMAAC",$J$7*'1st IA Load Pricing Results'!K42/'1st IA Load Pricing Results'!$B$18,0)</f>
        <v>0</v>
      </c>
      <c r="J24" s="66">
        <f>I24*$J$15</f>
        <v>0</v>
      </c>
      <c r="K24" s="65">
        <f>IF(D24="PS",$J$8*'1st IA Load Pricing Results'!K42/'1st IA Load Pricing Results'!$K$52,0)</f>
        <v>0</v>
      </c>
      <c r="L24" s="66">
        <f t="shared" si="1"/>
        <v>0</v>
      </c>
      <c r="M24" s="65">
        <f>IF(D24="DPL",$J$9*'1st IA Load Pricing Results'!K42/'1st IA Load Pricing Results'!$K$45,0)</f>
        <v>0</v>
      </c>
      <c r="N24" s="66">
        <f>M24*$N$15</f>
        <v>0</v>
      </c>
      <c r="O24" s="65">
        <f>IF(D24="PEPCO",$J$10*'1st IA Load Pricing Results'!K42/'1st IA Load Pricing Results'!$K$50,0)</f>
        <v>0</v>
      </c>
      <c r="P24" s="66">
        <f t="shared" si="2"/>
        <v>0</v>
      </c>
      <c r="Q24" s="63">
        <f>MAX(E24,G24,I24,K24,M24,O24)</f>
        <v>0</v>
      </c>
      <c r="R24" s="67">
        <f>F24+H24+J24+L24+N24+P24</f>
        <v>0</v>
      </c>
      <c r="S24" s="67">
        <f>R24/'1st IA Load Pricing Results'!K42</f>
        <v>0</v>
      </c>
      <c r="T24" s="56">
        <f>IF(Q24=0,0,R24/Q24)</f>
        <v>0</v>
      </c>
    </row>
    <row r="25" spans="1:20" ht="12.75">
      <c r="A25" s="169" t="s">
        <v>52</v>
      </c>
      <c r="B25" s="98"/>
      <c r="C25" s="98"/>
      <c r="D25" s="98"/>
      <c r="E25" s="65">
        <f>IF(B25="MAAC",$J$5*'1st IA Load Pricing Results'!K43/'1st IA Load Pricing Results'!$B$16,0)</f>
        <v>0</v>
      </c>
      <c r="F25" s="66">
        <f t="shared" si="3"/>
        <v>0</v>
      </c>
      <c r="G25" s="65">
        <f>IF(C25="EMAAC",$J$6*'1st IA Load Pricing Results'!K43/'1st IA Load Pricing Results'!$B$17,0)</f>
        <v>0</v>
      </c>
      <c r="H25" s="66">
        <f>G25*$H$15</f>
        <v>0</v>
      </c>
      <c r="I25" s="65">
        <f>IF(C25="SWMAAC",$J$7*'1st IA Load Pricing Results'!K43/'1st IA Load Pricing Results'!$B$18,0)</f>
        <v>0</v>
      </c>
      <c r="J25" s="66">
        <f>I25*$J$15</f>
        <v>0</v>
      </c>
      <c r="K25" s="65">
        <f>IF(D25="PS",$J$8*'1st IA Load Pricing Results'!K43/'1st IA Load Pricing Results'!$K$52,0)</f>
        <v>0</v>
      </c>
      <c r="L25" s="66">
        <f t="shared" si="1"/>
        <v>0</v>
      </c>
      <c r="M25" s="65">
        <f>IF(D25="DPL",$J$9*'1st IA Load Pricing Results'!K43/'1st IA Load Pricing Results'!$K$45,0)</f>
        <v>0</v>
      </c>
      <c r="N25" s="66">
        <f>M25*$N$15</f>
        <v>0</v>
      </c>
      <c r="O25" s="65">
        <f>IF(D25="PEPCO",$J$10*'1st IA Load Pricing Results'!K43/'1st IA Load Pricing Results'!$K$50,0)</f>
        <v>0</v>
      </c>
      <c r="P25" s="66">
        <f t="shared" si="2"/>
        <v>0</v>
      </c>
      <c r="Q25" s="63">
        <f t="shared" si="4"/>
        <v>0</v>
      </c>
      <c r="R25" s="67">
        <f t="shared" si="5"/>
        <v>0</v>
      </c>
      <c r="S25" s="67">
        <f>R25/'1st IA Load Pricing Results'!K43</f>
        <v>0</v>
      </c>
      <c r="T25" s="56">
        <f t="shared" si="6"/>
        <v>0</v>
      </c>
    </row>
    <row r="26" spans="1:20" ht="12.75">
      <c r="A26" s="169" t="s">
        <v>33</v>
      </c>
      <c r="B26" s="98"/>
      <c r="C26" s="98"/>
      <c r="D26" s="98"/>
      <c r="E26" s="65">
        <f>IF(B26="MAAC",$J$5*'1st IA Load Pricing Results'!K44/'1st IA Load Pricing Results'!$B$16,0)</f>
        <v>0</v>
      </c>
      <c r="F26" s="66">
        <f t="shared" si="3"/>
        <v>0</v>
      </c>
      <c r="G26" s="65">
        <f>IF(C26="EMAAC",$J$6*'1st IA Load Pricing Results'!K44/'1st IA Load Pricing Results'!$B$17,0)</f>
        <v>0</v>
      </c>
      <c r="H26" s="66">
        <f t="shared" si="7"/>
        <v>0</v>
      </c>
      <c r="I26" s="65">
        <f>IF(C26="SWMAAC",$J$7*'1st IA Load Pricing Results'!K44/'1st IA Load Pricing Results'!$B$18,0)</f>
        <v>0</v>
      </c>
      <c r="J26" s="66">
        <f t="shared" si="9"/>
        <v>0</v>
      </c>
      <c r="K26" s="65">
        <f>IF(D26="PS",$J$8*'1st IA Load Pricing Results'!K44/'1st IA Load Pricing Results'!$K$52,0)</f>
        <v>0</v>
      </c>
      <c r="L26" s="66">
        <f t="shared" si="1"/>
        <v>0</v>
      </c>
      <c r="M26" s="65">
        <f>IF(D26="DPL",$J$9*'1st IA Load Pricing Results'!K44/'1st IA Load Pricing Results'!$K$45,0)</f>
        <v>0</v>
      </c>
      <c r="N26" s="66">
        <f t="shared" si="8"/>
        <v>0</v>
      </c>
      <c r="O26" s="65">
        <f>IF(D26="PEPCO",$J$10*'1st IA Load Pricing Results'!K44/'1st IA Load Pricing Results'!$K$50,0)</f>
        <v>0</v>
      </c>
      <c r="P26" s="66">
        <f t="shared" si="2"/>
        <v>0</v>
      </c>
      <c r="Q26" s="63">
        <f t="shared" si="4"/>
        <v>0</v>
      </c>
      <c r="R26" s="67">
        <f t="shared" si="5"/>
        <v>0</v>
      </c>
      <c r="S26" s="67">
        <f>R26/'1st IA Load Pricing Results'!K44</f>
        <v>0</v>
      </c>
      <c r="T26" s="56">
        <f t="shared" si="6"/>
        <v>0</v>
      </c>
    </row>
    <row r="27" spans="1:20" ht="12.75">
      <c r="A27" s="169" t="s">
        <v>17</v>
      </c>
      <c r="B27" s="98" t="s">
        <v>30</v>
      </c>
      <c r="C27" s="98" t="s">
        <v>41</v>
      </c>
      <c r="D27" s="98" t="s">
        <v>17</v>
      </c>
      <c r="E27" s="65">
        <f>IF(B27="MAAC",$J$5*'1st IA Load Pricing Results'!K45/'1st IA Load Pricing Results'!$B$16,0)</f>
        <v>49.15009045206016</v>
      </c>
      <c r="F27" s="66">
        <f t="shared" si="3"/>
        <v>-29.384169199363306</v>
      </c>
      <c r="G27" s="65">
        <f>IF(C27="EMAAC",$J$6*'1st IA Load Pricing Results'!K45/'1st IA Load Pricing Results'!$B$17,0)</f>
        <v>594.4418031123221</v>
      </c>
      <c r="H27" s="66">
        <f>G27*$H$15</f>
        <v>0</v>
      </c>
      <c r="I27" s="65">
        <f>IF(C27="SWMAAC",$J$7*'1st IA Load Pricing Results'!K45/'1st IA Load Pricing Results'!$B$18,0)</f>
        <v>0</v>
      </c>
      <c r="J27" s="66">
        <f t="shared" si="9"/>
        <v>0</v>
      </c>
      <c r="K27" s="65">
        <f>IF(D27="PS",$J$8*'1st IA Load Pricing Results'!K45/'1st IA Load Pricing Results'!$K$52,0)</f>
        <v>0</v>
      </c>
      <c r="L27" s="66">
        <f t="shared" si="1"/>
        <v>0</v>
      </c>
      <c r="M27" s="65">
        <f>IF(D27="DPL",$J$9*'1st IA Load Pricing Results'!K45/'1st IA Load Pricing Results'!$K$45,0)</f>
        <v>386.51677132223443</v>
      </c>
      <c r="N27" s="66">
        <f t="shared" si="8"/>
        <v>0</v>
      </c>
      <c r="O27" s="65">
        <f>IF(D27="PEPCO",$J$10*'1st IA Load Pricing Results'!K45/'1st IA Load Pricing Results'!$K$50,0)</f>
        <v>0</v>
      </c>
      <c r="P27" s="66">
        <f t="shared" si="2"/>
        <v>0</v>
      </c>
      <c r="Q27" s="63">
        <f t="shared" si="4"/>
        <v>594.4418031123221</v>
      </c>
      <c r="R27" s="67">
        <f t="shared" si="5"/>
        <v>-29.384169199363306</v>
      </c>
      <c r="S27" s="67">
        <f>R27/'1st IA Load Pricing Results'!K45</f>
        <v>-0.00635240791176249</v>
      </c>
      <c r="T27" s="56">
        <f t="shared" si="6"/>
        <v>-0.04943153231404059</v>
      </c>
    </row>
    <row r="28" spans="1:20" ht="12.75">
      <c r="A28" s="169" t="s">
        <v>12</v>
      </c>
      <c r="B28" s="98" t="s">
        <v>30</v>
      </c>
      <c r="C28" s="98" t="s">
        <v>41</v>
      </c>
      <c r="D28" s="98"/>
      <c r="E28" s="65">
        <f>IF(B28="MAAC",$J$5*'1st IA Load Pricing Results'!K46/'1st IA Load Pricing Results'!$B$16,0)</f>
        <v>74.69555414241364</v>
      </c>
      <c r="F28" s="66">
        <f t="shared" si="3"/>
        <v>-44.65641428476528</v>
      </c>
      <c r="G28" s="65">
        <f>IF(C28="EMAAC",$J$6*'1st IA Load Pricing Results'!K46/'1st IA Load Pricing Results'!$B$17,0)</f>
        <v>903.3993524833747</v>
      </c>
      <c r="H28" s="66">
        <f>G28*$H$15</f>
        <v>0</v>
      </c>
      <c r="I28" s="65">
        <f>IF(C28="SWMAAC",$J$7*'1st IA Load Pricing Results'!K46/'1st IA Load Pricing Results'!$B$18,0)</f>
        <v>0</v>
      </c>
      <c r="J28" s="66">
        <f t="shared" si="9"/>
        <v>0</v>
      </c>
      <c r="K28" s="65">
        <f>IF(D28="PS",$J$8*'1st IA Load Pricing Results'!K46/'1st IA Load Pricing Results'!$K$52,0)</f>
        <v>0</v>
      </c>
      <c r="L28" s="66">
        <f t="shared" si="1"/>
        <v>0</v>
      </c>
      <c r="M28" s="65">
        <f>IF(D28="DPL",$J$9*'1st IA Load Pricing Results'!K46/'1st IA Load Pricing Results'!$K$45,0)</f>
        <v>0</v>
      </c>
      <c r="N28" s="66">
        <f t="shared" si="8"/>
        <v>0</v>
      </c>
      <c r="O28" s="65">
        <f>IF(D28="PEPCO",$J$10*'1st IA Load Pricing Results'!K46/'1st IA Load Pricing Results'!$K$50,0)</f>
        <v>0</v>
      </c>
      <c r="P28" s="66">
        <f t="shared" si="2"/>
        <v>0</v>
      </c>
      <c r="Q28" s="63">
        <f t="shared" si="4"/>
        <v>903.3993524833747</v>
      </c>
      <c r="R28" s="67">
        <f t="shared" si="5"/>
        <v>-44.65641428476528</v>
      </c>
      <c r="S28" s="67">
        <f>R28/'1st IA Load Pricing Results'!K46</f>
        <v>-0.00635240791176249</v>
      </c>
      <c r="T28" s="56">
        <f t="shared" si="6"/>
        <v>-0.04943153231404059</v>
      </c>
    </row>
    <row r="29" spans="1:20" ht="12.75">
      <c r="A29" s="169" t="s">
        <v>13</v>
      </c>
      <c r="B29" s="98" t="s">
        <v>30</v>
      </c>
      <c r="C29" s="98"/>
      <c r="D29" s="98"/>
      <c r="E29" s="65">
        <f>IF(B29="MAAC",$J$5*'1st IA Load Pricing Results'!K47/'1st IA Load Pricing Results'!$B$16,0)</f>
        <v>35.84454070992143</v>
      </c>
      <c r="F29" s="66">
        <f t="shared" si="3"/>
        <v>-21.429503779268206</v>
      </c>
      <c r="G29" s="65">
        <f>IF(C29="EMAAC",$J$6*'1st IA Load Pricing Results'!K47/'1st IA Load Pricing Results'!$B$17,0)</f>
        <v>0</v>
      </c>
      <c r="H29" s="66">
        <f t="shared" si="7"/>
        <v>0</v>
      </c>
      <c r="I29" s="65">
        <f>IF(C29="SWMAAC",$J$7*'1st IA Load Pricing Results'!K47/'1st IA Load Pricing Results'!$B$18,0)</f>
        <v>0</v>
      </c>
      <c r="J29" s="66">
        <f t="shared" si="9"/>
        <v>0</v>
      </c>
      <c r="K29" s="65">
        <f>IF(D29="PS",$J$8*'1st IA Load Pricing Results'!K47/'1st IA Load Pricing Results'!$K$52,0)</f>
        <v>0</v>
      </c>
      <c r="L29" s="66">
        <f t="shared" si="1"/>
        <v>0</v>
      </c>
      <c r="M29" s="65">
        <f>IF(D29="DPL",$J$9*'1st IA Load Pricing Results'!K47/'1st IA Load Pricing Results'!$K$45,0)</f>
        <v>0</v>
      </c>
      <c r="N29" s="66">
        <f t="shared" si="8"/>
        <v>0</v>
      </c>
      <c r="O29" s="65">
        <f>IF(D29="PEPCO",$J$10*'1st IA Load Pricing Results'!K47/'1st IA Load Pricing Results'!$K$50,0)</f>
        <v>0</v>
      </c>
      <c r="P29" s="66">
        <f t="shared" si="2"/>
        <v>0</v>
      </c>
      <c r="Q29" s="63">
        <f t="shared" si="4"/>
        <v>35.84454070992143</v>
      </c>
      <c r="R29" s="67">
        <f t="shared" si="5"/>
        <v>-21.429503779268206</v>
      </c>
      <c r="S29" s="67">
        <f>R29/'1st IA Load Pricing Results'!K47</f>
        <v>-0.00635240791176249</v>
      </c>
      <c r="T29" s="56">
        <f t="shared" si="6"/>
        <v>-0.597845679002848</v>
      </c>
    </row>
    <row r="30" spans="1:20" ht="12.75">
      <c r="A30" s="169" t="s">
        <v>9</v>
      </c>
      <c r="B30" s="98" t="s">
        <v>30</v>
      </c>
      <c r="C30" s="98" t="s">
        <v>41</v>
      </c>
      <c r="D30" s="98"/>
      <c r="E30" s="65">
        <f>IF(B30="MAAC",$J$5*'1st IA Load Pricing Results'!K48/'1st IA Load Pricing Results'!$B$16,0)</f>
        <v>105.51318605636212</v>
      </c>
      <c r="F30" s="66">
        <f t="shared" si="3"/>
        <v>-63.08060236161965</v>
      </c>
      <c r="G30" s="65">
        <f>IF(C30="EMAAC",$J$6*'1st IA Load Pricing Results'!K48/'1st IA Load Pricing Results'!$B$17,0)</f>
        <v>1276.120715029952</v>
      </c>
      <c r="H30" s="66">
        <f>G30*$H$15</f>
        <v>0</v>
      </c>
      <c r="I30" s="65">
        <f>IF(C30="SWMAAC",$J$7*'1st IA Load Pricing Results'!K48/'1st IA Load Pricing Results'!$B$18,0)</f>
        <v>0</v>
      </c>
      <c r="J30" s="66">
        <f t="shared" si="9"/>
        <v>0</v>
      </c>
      <c r="K30" s="65">
        <f>IF(D30="PS",$J$8*'1st IA Load Pricing Results'!K48/'1st IA Load Pricing Results'!$K$52,0)</f>
        <v>0</v>
      </c>
      <c r="L30" s="66">
        <f t="shared" si="1"/>
        <v>0</v>
      </c>
      <c r="M30" s="65">
        <f>IF(D30="DPL",$J$9*'1st IA Load Pricing Results'!K48/'1st IA Load Pricing Results'!$K$45,0)</f>
        <v>0</v>
      </c>
      <c r="N30" s="66">
        <f t="shared" si="8"/>
        <v>0</v>
      </c>
      <c r="O30" s="65">
        <f>IF(D30="PEPCO",$J$10*'1st IA Load Pricing Results'!K48/'1st IA Load Pricing Results'!$K$50,0)</f>
        <v>0</v>
      </c>
      <c r="P30" s="66">
        <f t="shared" si="2"/>
        <v>0</v>
      </c>
      <c r="Q30" s="63">
        <f t="shared" si="4"/>
        <v>1276.120715029952</v>
      </c>
      <c r="R30" s="67">
        <f t="shared" si="5"/>
        <v>-63.08060236161965</v>
      </c>
      <c r="S30" s="67">
        <f>R30/'1st IA Load Pricing Results'!K48</f>
        <v>-0.00635240791176249</v>
      </c>
      <c r="T30" s="56">
        <f t="shared" si="6"/>
        <v>-0.049431532314040585</v>
      </c>
    </row>
    <row r="31" spans="1:20" ht="12.75">
      <c r="A31" s="169" t="s">
        <v>14</v>
      </c>
      <c r="B31" s="98" t="s">
        <v>30</v>
      </c>
      <c r="C31" s="98"/>
      <c r="D31" s="98"/>
      <c r="E31" s="65">
        <f>IF(B31="MAAC",$J$5*'1st IA Load Pricing Results'!K49/'1st IA Load Pricing Results'!$B$16,0)</f>
        <v>35.2766288575836</v>
      </c>
      <c r="F31" s="66">
        <f t="shared" si="3"/>
        <v>-21.089980132293533</v>
      </c>
      <c r="G31" s="65">
        <f>IF(C31="EMAAC",$J$6*'1st IA Load Pricing Results'!K49/'1st IA Load Pricing Results'!$B$17,0)</f>
        <v>0</v>
      </c>
      <c r="H31" s="66">
        <f t="shared" si="7"/>
        <v>0</v>
      </c>
      <c r="I31" s="65">
        <f>IF(C31="SWMAAC",$J$7*'1st IA Load Pricing Results'!K49/'1st IA Load Pricing Results'!$B$18,0)</f>
        <v>0</v>
      </c>
      <c r="J31" s="66">
        <f t="shared" si="9"/>
        <v>0</v>
      </c>
      <c r="K31" s="65">
        <f>IF(D31="PS",$J$8*'1st IA Load Pricing Results'!K49/'1st IA Load Pricing Results'!$K$52,0)</f>
        <v>0</v>
      </c>
      <c r="L31" s="66">
        <f t="shared" si="1"/>
        <v>0</v>
      </c>
      <c r="M31" s="65">
        <f>IF(D31="DPL",$J$9*'1st IA Load Pricing Results'!K49/'1st IA Load Pricing Results'!$K$45,0)</f>
        <v>0</v>
      </c>
      <c r="N31" s="66">
        <f t="shared" si="8"/>
        <v>0</v>
      </c>
      <c r="O31" s="65">
        <f>IF(D31="PEPCO",$J$10*'1st IA Load Pricing Results'!K49/'1st IA Load Pricing Results'!$K$50,0)</f>
        <v>0</v>
      </c>
      <c r="P31" s="66">
        <f t="shared" si="2"/>
        <v>0</v>
      </c>
      <c r="Q31" s="63">
        <f t="shared" si="4"/>
        <v>35.2766288575836</v>
      </c>
      <c r="R31" s="67">
        <f t="shared" si="5"/>
        <v>-21.089980132293533</v>
      </c>
      <c r="S31" s="67">
        <f>R31/'1st IA Load Pricing Results'!K49</f>
        <v>-0.00635240791176249</v>
      </c>
      <c r="T31" s="56">
        <f t="shared" si="6"/>
        <v>-0.597845679002848</v>
      </c>
    </row>
    <row r="32" spans="1:20" ht="12.75">
      <c r="A32" s="169" t="s">
        <v>15</v>
      </c>
      <c r="B32" s="98" t="s">
        <v>30</v>
      </c>
      <c r="C32" s="98" t="s">
        <v>5</v>
      </c>
      <c r="D32" s="98" t="s">
        <v>15</v>
      </c>
      <c r="E32" s="65">
        <f>IF(B32="MAAC",$J$5*'1st IA Load Pricing Results'!K50/'1st IA Load Pricing Results'!$B$16,0)</f>
        <v>81.25981880633964</v>
      </c>
      <c r="F32" s="66">
        <f t="shared" si="3"/>
        <v>-48.58083154992452</v>
      </c>
      <c r="G32" s="65">
        <f>IF(C32="EMAAC",$J$6*'1st IA Load Pricing Results'!K50/'1st IA Load Pricing Results'!$B$17,0)</f>
        <v>0</v>
      </c>
      <c r="H32" s="66">
        <f t="shared" si="7"/>
        <v>0</v>
      </c>
      <c r="I32" s="65">
        <f>IF(C32="SWMAAC",$J$7*'1st IA Load Pricing Results'!K50/'1st IA Load Pricing Results'!$B$18,0)</f>
        <v>1923.9526915242784</v>
      </c>
      <c r="J32" s="66">
        <f t="shared" si="9"/>
        <v>0</v>
      </c>
      <c r="K32" s="65">
        <f>IF(D32="PS",$J$8*'1st IA Load Pricing Results'!K50/'1st IA Load Pricing Results'!$K$52,0)</f>
        <v>0</v>
      </c>
      <c r="L32" s="66">
        <f t="shared" si="1"/>
        <v>0</v>
      </c>
      <c r="M32" s="65">
        <f>IF(D32="DPL",$J$9*'1st IA Load Pricing Results'!K50/'1st IA Load Pricing Results'!$K$45,0)</f>
        <v>0</v>
      </c>
      <c r="N32" s="66">
        <f>M32*N15</f>
        <v>0</v>
      </c>
      <c r="O32" s="65">
        <f>IF(D32="PEPCO",$J$10*'1st IA Load Pricing Results'!K50/'1st IA Load Pricing Results'!$K$50,0)</f>
        <v>2138.2102504628238</v>
      </c>
      <c r="P32" s="66">
        <f>O32*$P$15</f>
        <v>0</v>
      </c>
      <c r="Q32" s="63">
        <f t="shared" si="4"/>
        <v>2138.2102504628238</v>
      </c>
      <c r="R32" s="67">
        <f t="shared" si="5"/>
        <v>-48.58083154992452</v>
      </c>
      <c r="S32" s="67">
        <f>R32/'1st IA Load Pricing Results'!K50</f>
        <v>-0.006352407911762489</v>
      </c>
      <c r="T32" s="56">
        <f t="shared" si="6"/>
        <v>-0.022720324878907027</v>
      </c>
    </row>
    <row r="33" spans="1:20" ht="12.75">
      <c r="A33" s="169" t="s">
        <v>10</v>
      </c>
      <c r="B33" s="98" t="s">
        <v>30</v>
      </c>
      <c r="C33" s="98"/>
      <c r="D33" s="98"/>
      <c r="E33" s="65">
        <f>IF(B33="MAAC",$J$5*'1st IA Load Pricing Results'!K51/'1st IA Load Pricing Results'!$B$16,0)</f>
        <v>89.21897910748658</v>
      </c>
      <c r="F33" s="66">
        <f t="shared" si="3"/>
        <v>-53.33918114445622</v>
      </c>
      <c r="G33" s="65">
        <f>IF(C33="EMAAC",$J$6*'1st IA Load Pricing Results'!K51/'1st IA Load Pricing Results'!$B$17,0)</f>
        <v>0</v>
      </c>
      <c r="H33" s="66">
        <f t="shared" si="7"/>
        <v>0</v>
      </c>
      <c r="I33" s="65">
        <f>IF(C33="SWMAAC",$J$7*'1st IA Load Pricing Results'!K51/'1st IA Load Pricing Results'!$B$18,0)</f>
        <v>0</v>
      </c>
      <c r="J33" s="66">
        <f t="shared" si="9"/>
        <v>0</v>
      </c>
      <c r="K33" s="65">
        <f>IF(D33="PS",$J$8*'1st IA Load Pricing Results'!K51/'1st IA Load Pricing Results'!$K$52,0)</f>
        <v>0</v>
      </c>
      <c r="L33" s="66">
        <f t="shared" si="1"/>
        <v>0</v>
      </c>
      <c r="M33" s="65">
        <f>IF(D33="DPL",$J$9*'1st IA Load Pricing Results'!K51/'1st IA Load Pricing Results'!$K$45,0)</f>
        <v>0</v>
      </c>
      <c r="N33" s="66">
        <f>M33*$N$15</f>
        <v>0</v>
      </c>
      <c r="O33" s="65">
        <f>IF(D33="PEPCO",$J$10*'1st IA Load Pricing Results'!K51/'1st IA Load Pricing Results'!$K$50,0)</f>
        <v>0</v>
      </c>
      <c r="P33" s="66">
        <f>O33*$P$15</f>
        <v>0</v>
      </c>
      <c r="Q33" s="63">
        <f t="shared" si="4"/>
        <v>89.21897910748658</v>
      </c>
      <c r="R33" s="67">
        <f t="shared" si="5"/>
        <v>-53.33918114445622</v>
      </c>
      <c r="S33" s="67">
        <f>R33/'1st IA Load Pricing Results'!K51</f>
        <v>-0.00635240791176249</v>
      </c>
      <c r="T33" s="56">
        <f t="shared" si="6"/>
        <v>-0.597845679002848</v>
      </c>
    </row>
    <row r="34" spans="1:20" ht="12.75">
      <c r="A34" s="169" t="s">
        <v>8</v>
      </c>
      <c r="B34" s="98" t="s">
        <v>30</v>
      </c>
      <c r="C34" s="98" t="s">
        <v>41</v>
      </c>
      <c r="D34" s="98" t="s">
        <v>8</v>
      </c>
      <c r="E34" s="65">
        <f>IF(B34="MAAC",$J$5*'1st IA Load Pricing Results'!K52/'1st IA Load Pricing Results'!$B$16,0)</f>
        <v>125.73642984986012</v>
      </c>
      <c r="F34" s="66">
        <f t="shared" si="3"/>
        <v>-75.17098127898359</v>
      </c>
      <c r="G34" s="65">
        <f>IF(C34="EMAAC",$J$6*'1st IA Load Pricing Results'!K52/'1st IA Load Pricing Results'!$B$17,0)</f>
        <v>1520.7091053018387</v>
      </c>
      <c r="H34" s="66">
        <f>G34*$H$15</f>
        <v>0</v>
      </c>
      <c r="I34" s="65">
        <f>IF(C34="SWMAAC",$J$7*'1st IA Load Pricing Results'!K52/'1st IA Load Pricing Results'!$B$18,0)</f>
        <v>0</v>
      </c>
      <c r="J34" s="66">
        <f t="shared" si="9"/>
        <v>0</v>
      </c>
      <c r="K34" s="65">
        <f>IF(D34="PS",$J$8*'1st IA Load Pricing Results'!K52/'1st IA Load Pricing Results'!$K$52,0)</f>
        <v>4108.683860934412</v>
      </c>
      <c r="L34" s="66">
        <f t="shared" si="1"/>
        <v>208303.3129154796</v>
      </c>
      <c r="M34" s="65">
        <f>IF(D34="DPL",$J$9*'1st IA Load Pricing Results'!K52/'1st IA Load Pricing Results'!$K$45,0)</f>
        <v>0</v>
      </c>
      <c r="N34" s="66">
        <f>M34*$N$15</f>
        <v>0</v>
      </c>
      <c r="O34" s="65">
        <f>IF(D34="PEPCO",$J$10*'1st IA Load Pricing Results'!K52/'1st IA Load Pricing Results'!$K$50,0)</f>
        <v>0</v>
      </c>
      <c r="P34" s="66">
        <f>O34*$P$15</f>
        <v>0</v>
      </c>
      <c r="Q34" s="63">
        <f t="shared" si="4"/>
        <v>4108.683860934412</v>
      </c>
      <c r="R34" s="67">
        <f t="shared" si="5"/>
        <v>208228.1419342006</v>
      </c>
      <c r="S34" s="67">
        <f>R34/'1st IA Load Pricing Results'!K52</f>
        <v>17.596552203639185</v>
      </c>
      <c r="T34" s="56">
        <f t="shared" si="6"/>
        <v>50.6800106754489</v>
      </c>
    </row>
    <row r="35" spans="1:20" ht="13.5" thickBot="1">
      <c r="A35" s="509" t="s">
        <v>18</v>
      </c>
      <c r="B35" s="510" t="s">
        <v>30</v>
      </c>
      <c r="C35" s="510" t="s">
        <v>41</v>
      </c>
      <c r="D35" s="510"/>
      <c r="E35" s="511">
        <f>IF(B35="MAAC",$J$5*'1st IA Load Pricing Results'!K53/'1st IA Load Pricing Results'!$B$16,0)</f>
        <v>4.982167294164915</v>
      </c>
      <c r="F35" s="512">
        <f t="shared" si="3"/>
        <v>-2.9785671888858056</v>
      </c>
      <c r="G35" s="511">
        <f>IF(C35="EMAAC",$J$6*'1st IA Load Pricing Results'!K53/'1st IA Load Pricing Results'!$B$17,0)</f>
        <v>60.256420334349414</v>
      </c>
      <c r="H35" s="512">
        <f>G35*$H$15</f>
        <v>0</v>
      </c>
      <c r="I35" s="511">
        <f>IF(C35="SWMAAC",$J$7*'1st IA Load Pricing Results'!K53/'1st IA Load Pricing Results'!$B$18,0)</f>
        <v>0</v>
      </c>
      <c r="J35" s="512">
        <f t="shared" si="9"/>
        <v>0</v>
      </c>
      <c r="K35" s="511">
        <f>IF(D35="PS",$J$8*'1st IA Load Pricing Results'!K53/'1st IA Load Pricing Results'!$K$52,0)</f>
        <v>0</v>
      </c>
      <c r="L35" s="512">
        <f t="shared" si="1"/>
        <v>0</v>
      </c>
      <c r="M35" s="511">
        <f>IF(D35="DPL",$J$9*'1st IA Load Pricing Results'!K53/'1st IA Load Pricing Results'!$K$45,0)</f>
        <v>0</v>
      </c>
      <c r="N35" s="512">
        <f>M35*$N$15</f>
        <v>0</v>
      </c>
      <c r="O35" s="511">
        <f>IF(D35="PEPCO",$J$10*'1st IA Load Pricing Results'!K53/'1st IA Load Pricing Results'!$K$50,0)</f>
        <v>0</v>
      </c>
      <c r="P35" s="512">
        <f>O35*$P$15</f>
        <v>0</v>
      </c>
      <c r="Q35" s="513">
        <f t="shared" si="4"/>
        <v>60.256420334349414</v>
      </c>
      <c r="R35" s="514">
        <f>F35+H35+J35+L35+N35+P35</f>
        <v>-2.9785671888858056</v>
      </c>
      <c r="S35" s="514">
        <f>R35/'1st IA Load Pricing Results'!K53</f>
        <v>-0.00635240791176249</v>
      </c>
      <c r="T35" s="515">
        <f t="shared" si="6"/>
        <v>-0.04943153231404059</v>
      </c>
    </row>
    <row r="36" spans="1:20" ht="13.5" thickBot="1">
      <c r="A36" s="857" t="s">
        <v>109</v>
      </c>
      <c r="B36" s="858"/>
      <c r="C36" s="858"/>
      <c r="D36" s="859"/>
      <c r="E36" s="516">
        <f aca="true" t="shared" si="10" ref="E36:P36">SUM(E17:E35)</f>
        <v>719.9178082006154</v>
      </c>
      <c r="F36" s="517">
        <f t="shared" si="10"/>
        <v>-430.399750869939</v>
      </c>
      <c r="G36" s="516">
        <f t="shared" si="10"/>
        <v>4744.557818886335</v>
      </c>
      <c r="H36" s="517">
        <f t="shared" si="10"/>
        <v>0</v>
      </c>
      <c r="I36" s="516">
        <f t="shared" si="10"/>
        <v>3960.721201133536</v>
      </c>
      <c r="J36" s="517">
        <f t="shared" si="10"/>
        <v>0</v>
      </c>
      <c r="K36" s="516">
        <f t="shared" si="10"/>
        <v>4108.683860934412</v>
      </c>
      <c r="L36" s="517">
        <f t="shared" si="10"/>
        <v>208303.3129154796</v>
      </c>
      <c r="M36" s="516">
        <f t="shared" si="10"/>
        <v>386.51677132223443</v>
      </c>
      <c r="N36" s="517">
        <f t="shared" si="10"/>
        <v>0</v>
      </c>
      <c r="O36" s="516">
        <f t="shared" si="10"/>
        <v>2138.2102504628238</v>
      </c>
      <c r="P36" s="517">
        <f t="shared" si="10"/>
        <v>0</v>
      </c>
      <c r="Q36" s="518"/>
      <c r="R36" s="517">
        <f>SUM(R17:R35)</f>
        <v>207872.91316460964</v>
      </c>
      <c r="S36" s="519"/>
      <c r="T36" s="520"/>
    </row>
    <row r="37" spans="1:18" ht="12.75">
      <c r="A37" s="12" t="s">
        <v>110</v>
      </c>
      <c r="F37" s="6" t="s">
        <v>24</v>
      </c>
      <c r="R37" s="155"/>
    </row>
    <row r="38" ht="12.75">
      <c r="A38" s="12" t="s">
        <v>249</v>
      </c>
    </row>
    <row r="39" ht="12.75">
      <c r="A39" s="12" t="s">
        <v>113</v>
      </c>
    </row>
    <row r="40" ht="12.75">
      <c r="A40" s="12" t="s">
        <v>250</v>
      </c>
    </row>
  </sheetData>
  <sheetProtection/>
  <mergeCells count="8">
    <mergeCell ref="O14:P14"/>
    <mergeCell ref="A36:D36"/>
    <mergeCell ref="A13:D15"/>
    <mergeCell ref="E14:F14"/>
    <mergeCell ref="G14:H14"/>
    <mergeCell ref="I14:J14"/>
    <mergeCell ref="K14:L14"/>
    <mergeCell ref="M14:N14"/>
  </mergeCells>
  <printOptions/>
  <pageMargins left="0.7" right="0.7" top="0.25" bottom="0.25" header="0.3" footer="0.3"/>
  <pageSetup fitToHeight="1" fitToWidth="1" horizontalDpi="600" verticalDpi="600" orientation="landscape" paperSize="5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9" width="17.7109375" style="0" customWidth="1"/>
  </cols>
  <sheetData>
    <row r="1" ht="18.75">
      <c r="A1" s="3" t="s">
        <v>287</v>
      </c>
    </row>
    <row r="2" ht="19.5" thickBot="1">
      <c r="A2" s="3"/>
    </row>
    <row r="3" spans="1:3" ht="13.5" thickBot="1">
      <c r="A3" s="816" t="s">
        <v>97</v>
      </c>
      <c r="C3" s="310"/>
    </row>
    <row r="4" spans="1:9" ht="15.75" thickBot="1">
      <c r="A4" s="870"/>
      <c r="B4" s="871" t="s">
        <v>30</v>
      </c>
      <c r="C4" s="872"/>
      <c r="D4" s="521" t="s">
        <v>5</v>
      </c>
      <c r="E4" s="140"/>
      <c r="F4" s="140"/>
      <c r="G4" s="140"/>
      <c r="H4" s="140"/>
      <c r="I4" s="140"/>
    </row>
    <row r="5" spans="1:9" ht="26.25">
      <c r="A5" s="522" t="s">
        <v>174</v>
      </c>
      <c r="B5" s="110" t="s">
        <v>172</v>
      </c>
      <c r="C5" s="113" t="s">
        <v>173</v>
      </c>
      <c r="D5" s="486" t="s">
        <v>172</v>
      </c>
      <c r="E5" s="242"/>
      <c r="F5" s="140"/>
      <c r="G5" s="140"/>
      <c r="H5" s="140"/>
      <c r="I5" s="140"/>
    </row>
    <row r="6" spans="1:9" ht="26.25">
      <c r="A6" s="523" t="s">
        <v>181</v>
      </c>
      <c r="B6" s="249"/>
      <c r="C6" s="250"/>
      <c r="D6" s="256"/>
      <c r="E6" s="140"/>
      <c r="F6" s="140"/>
      <c r="G6" s="140"/>
      <c r="H6" s="140"/>
      <c r="I6" s="140"/>
    </row>
    <row r="7" spans="1:9" ht="14.25">
      <c r="A7" s="524" t="s">
        <v>74</v>
      </c>
      <c r="B7" s="251">
        <v>160</v>
      </c>
      <c r="C7" s="252">
        <v>0</v>
      </c>
      <c r="D7" s="257">
        <v>0</v>
      </c>
      <c r="E7" s="141"/>
      <c r="F7" s="141"/>
      <c r="G7" s="141"/>
      <c r="H7" s="42"/>
      <c r="I7" s="141"/>
    </row>
    <row r="8" spans="1:9" ht="14.25">
      <c r="A8" s="524" t="s">
        <v>75</v>
      </c>
      <c r="B8" s="251">
        <v>106</v>
      </c>
      <c r="C8" s="252">
        <v>0</v>
      </c>
      <c r="D8" s="257">
        <v>0</v>
      </c>
      <c r="E8" s="141"/>
      <c r="F8" s="141"/>
      <c r="G8" s="141"/>
      <c r="H8" s="42"/>
      <c r="I8" s="141"/>
    </row>
    <row r="9" spans="1:9" ht="14.25">
      <c r="A9" s="525" t="s">
        <v>147</v>
      </c>
      <c r="B9" s="262">
        <f>SUM(B7:B8)</f>
        <v>266</v>
      </c>
      <c r="C9" s="263">
        <f>SUM(C7:C8)</f>
        <v>0</v>
      </c>
      <c r="D9" s="264">
        <f>SUM(D7:D8)</f>
        <v>0</v>
      </c>
      <c r="E9" s="141"/>
      <c r="F9" s="141"/>
      <c r="G9" s="141"/>
      <c r="H9" s="42"/>
      <c r="I9" s="141"/>
    </row>
    <row r="10" spans="1:9" ht="26.25">
      <c r="A10" s="523" t="s">
        <v>120</v>
      </c>
      <c r="B10" s="251" t="s">
        <v>24</v>
      </c>
      <c r="C10" s="252"/>
      <c r="D10" s="257"/>
      <c r="E10" s="142"/>
      <c r="F10" s="142"/>
      <c r="G10" s="143"/>
      <c r="H10" s="142"/>
      <c r="I10" s="142"/>
    </row>
    <row r="11" spans="1:9" ht="26.25">
      <c r="A11" s="524" t="s">
        <v>73</v>
      </c>
      <c r="B11" s="251">
        <v>16</v>
      </c>
      <c r="C11" s="252">
        <v>0</v>
      </c>
      <c r="D11" s="257">
        <v>237</v>
      </c>
      <c r="E11" s="141"/>
      <c r="F11" s="142"/>
      <c r="G11" s="143"/>
      <c r="H11" s="42"/>
      <c r="I11" s="142"/>
    </row>
    <row r="12" spans="1:9" ht="15">
      <c r="A12" s="525" t="s">
        <v>148</v>
      </c>
      <c r="B12" s="262">
        <f>SUM(B11)</f>
        <v>16</v>
      </c>
      <c r="C12" s="263">
        <f>SUM(C11)</f>
        <v>0</v>
      </c>
      <c r="D12" s="264">
        <f>SUM(D11)</f>
        <v>237</v>
      </c>
      <c r="E12" s="142"/>
      <c r="F12" s="142"/>
      <c r="G12" s="143"/>
      <c r="H12" s="42"/>
      <c r="I12" s="142"/>
    </row>
    <row r="13" spans="1:9" ht="15">
      <c r="A13" s="526" t="s">
        <v>119</v>
      </c>
      <c r="B13" s="253"/>
      <c r="C13" s="252"/>
      <c r="D13" s="258"/>
      <c r="E13" s="142"/>
      <c r="F13" s="142"/>
      <c r="G13" s="143"/>
      <c r="H13" s="42"/>
      <c r="I13" s="142"/>
    </row>
    <row r="14" spans="1:9" ht="26.25">
      <c r="A14" s="524" t="s">
        <v>96</v>
      </c>
      <c r="B14" s="251">
        <v>159</v>
      </c>
      <c r="C14" s="252">
        <v>0</v>
      </c>
      <c r="D14" s="257">
        <v>0</v>
      </c>
      <c r="E14" s="141"/>
      <c r="F14" s="142"/>
      <c r="G14" s="143"/>
      <c r="H14" s="42"/>
      <c r="I14" s="142"/>
    </row>
    <row r="15" spans="1:9" ht="15">
      <c r="A15" s="525" t="s">
        <v>149</v>
      </c>
      <c r="B15" s="262">
        <f>SUM(B14)</f>
        <v>159</v>
      </c>
      <c r="C15" s="265">
        <f>SUM(C14)</f>
        <v>0</v>
      </c>
      <c r="D15" s="264">
        <f>SUM(D14)</f>
        <v>0</v>
      </c>
      <c r="E15" s="142"/>
      <c r="F15" s="142"/>
      <c r="G15" s="143"/>
      <c r="H15" s="42"/>
      <c r="I15" s="142"/>
    </row>
    <row r="16" spans="1:9" ht="15">
      <c r="A16" s="527"/>
      <c r="B16" s="251"/>
      <c r="C16" s="252"/>
      <c r="D16" s="259"/>
      <c r="E16" s="142"/>
      <c r="F16" s="142"/>
      <c r="G16" s="143"/>
      <c r="H16" s="42"/>
      <c r="I16" s="142"/>
    </row>
    <row r="17" spans="1:9" ht="15.75" thickBot="1">
      <c r="A17" s="528" t="s">
        <v>150</v>
      </c>
      <c r="B17" s="266">
        <f>B9+B12+B15</f>
        <v>441</v>
      </c>
      <c r="C17" s="267">
        <f>C9+C12+C15</f>
        <v>0</v>
      </c>
      <c r="D17" s="268">
        <f>D9+D12+D15</f>
        <v>237</v>
      </c>
      <c r="E17" s="243"/>
      <c r="F17" s="145"/>
      <c r="G17" s="141"/>
      <c r="H17" s="42"/>
      <c r="I17" s="145"/>
    </row>
    <row r="18" spans="1:9" ht="15">
      <c r="A18" s="621" t="s">
        <v>298</v>
      </c>
      <c r="B18" s="620"/>
      <c r="C18" s="620"/>
      <c r="D18" s="620"/>
      <c r="E18" s="148"/>
      <c r="F18" s="148"/>
      <c r="G18" s="147"/>
      <c r="H18" s="148"/>
      <c r="I18" s="148"/>
    </row>
    <row r="19" spans="1:9" ht="15">
      <c r="A19" s="12"/>
      <c r="B19" s="146"/>
      <c r="C19" s="146"/>
      <c r="D19" s="147"/>
      <c r="E19" s="148"/>
      <c r="F19" s="148"/>
      <c r="G19" s="147"/>
      <c r="H19" s="148"/>
      <c r="I19" s="148"/>
    </row>
    <row r="20" spans="1:9" ht="15.75" thickBot="1">
      <c r="A20" s="144"/>
      <c r="B20" s="146"/>
      <c r="C20" s="146"/>
      <c r="D20" s="147"/>
      <c r="E20" s="148"/>
      <c r="F20" s="148"/>
      <c r="G20" s="147"/>
      <c r="H20" s="148"/>
      <c r="I20" s="148"/>
    </row>
    <row r="21" spans="1:9" ht="32.25" thickBot="1">
      <c r="A21" s="287" t="s">
        <v>98</v>
      </c>
      <c r="B21" s="40"/>
      <c r="C21" s="40"/>
      <c r="D21" s="41"/>
      <c r="E21" s="148"/>
      <c r="F21" s="148"/>
      <c r="G21" s="147"/>
      <c r="H21" s="148"/>
      <c r="I21" s="148"/>
    </row>
    <row r="22" spans="1:9" ht="26.25">
      <c r="A22" s="101" t="s">
        <v>90</v>
      </c>
      <c r="B22" s="162" t="s">
        <v>219</v>
      </c>
      <c r="C22" s="163" t="s">
        <v>91</v>
      </c>
      <c r="D22" s="150"/>
      <c r="E22" s="148" t="s">
        <v>24</v>
      </c>
      <c r="F22" s="148" t="s">
        <v>24</v>
      </c>
      <c r="G22" s="147" t="s">
        <v>24</v>
      </c>
      <c r="H22" s="148"/>
      <c r="I22" s="148"/>
    </row>
    <row r="23" spans="1:9" ht="14.25">
      <c r="A23" s="55" t="s">
        <v>16</v>
      </c>
      <c r="B23" s="550">
        <v>0.0174</v>
      </c>
      <c r="C23" s="291">
        <v>0.0896</v>
      </c>
      <c r="D23" s="151" t="s">
        <v>24</v>
      </c>
      <c r="E23" s="549" t="s">
        <v>24</v>
      </c>
      <c r="F23" s="549" t="s">
        <v>24</v>
      </c>
      <c r="G23" s="42"/>
      <c r="H23" s="148"/>
      <c r="I23" s="148"/>
    </row>
    <row r="24" spans="1:9" ht="14.25">
      <c r="A24" s="55" t="s">
        <v>32</v>
      </c>
      <c r="B24" s="550">
        <v>0.1442</v>
      </c>
      <c r="C24" s="291">
        <v>0</v>
      </c>
      <c r="D24" s="151" t="s">
        <v>24</v>
      </c>
      <c r="E24" s="549" t="s">
        <v>24</v>
      </c>
      <c r="F24" s="549" t="s">
        <v>24</v>
      </c>
      <c r="G24" s="42"/>
      <c r="H24" s="148"/>
      <c r="I24" s="148"/>
    </row>
    <row r="25" spans="1:9" ht="14.25">
      <c r="A25" s="55" t="s">
        <v>19</v>
      </c>
      <c r="B25" s="550">
        <v>0.0527</v>
      </c>
      <c r="C25" s="291">
        <v>0</v>
      </c>
      <c r="D25" s="151" t="s">
        <v>24</v>
      </c>
      <c r="E25" s="549" t="s">
        <v>24</v>
      </c>
      <c r="F25" s="549" t="s">
        <v>24</v>
      </c>
      <c r="G25" s="42"/>
      <c r="H25" s="148"/>
      <c r="I25" s="148"/>
    </row>
    <row r="26" spans="1:9" ht="12.75">
      <c r="A26" s="55" t="s">
        <v>53</v>
      </c>
      <c r="B26" s="550">
        <v>0.0836</v>
      </c>
      <c r="C26" s="292">
        <v>0</v>
      </c>
      <c r="D26" s="151" t="s">
        <v>24</v>
      </c>
      <c r="E26" s="549" t="s">
        <v>24</v>
      </c>
      <c r="F26" s="549" t="s">
        <v>24</v>
      </c>
      <c r="G26" s="42"/>
      <c r="H26" s="42"/>
      <c r="I26" s="42"/>
    </row>
    <row r="27" spans="1:9" ht="12.75">
      <c r="A27" s="55" t="s">
        <v>11</v>
      </c>
      <c r="B27" s="550">
        <v>0.0433</v>
      </c>
      <c r="C27" s="292">
        <v>0</v>
      </c>
      <c r="D27" s="151" t="s">
        <v>24</v>
      </c>
      <c r="E27" s="549" t="s">
        <v>24</v>
      </c>
      <c r="F27" s="549" t="s">
        <v>24</v>
      </c>
      <c r="G27" s="42"/>
      <c r="H27" s="42"/>
      <c r="I27" s="42"/>
    </row>
    <row r="28" spans="1:9" ht="12.75">
      <c r="A28" s="55" t="s">
        <v>20</v>
      </c>
      <c r="B28" s="550">
        <v>0.1459</v>
      </c>
      <c r="C28" s="292">
        <v>0</v>
      </c>
      <c r="D28" s="151" t="s">
        <v>24</v>
      </c>
      <c r="E28" s="549" t="s">
        <v>24</v>
      </c>
      <c r="F28" s="549" t="s">
        <v>24</v>
      </c>
      <c r="G28" s="42"/>
      <c r="H28" s="42"/>
      <c r="I28" s="42"/>
    </row>
    <row r="29" spans="1:9" ht="12.75">
      <c r="A29" s="55" t="s">
        <v>21</v>
      </c>
      <c r="B29" s="550">
        <v>0.0216</v>
      </c>
      <c r="C29" s="292">
        <v>0</v>
      </c>
      <c r="D29" s="151" t="s">
        <v>24</v>
      </c>
      <c r="E29" s="549" t="s">
        <v>24</v>
      </c>
      <c r="F29" s="549" t="s">
        <v>24</v>
      </c>
      <c r="G29" s="42"/>
      <c r="H29" s="42"/>
      <c r="I29" s="42"/>
    </row>
    <row r="30" spans="1:9" ht="12.75">
      <c r="A30" s="55" t="s">
        <v>71</v>
      </c>
      <c r="B30" s="550">
        <v>0.0337</v>
      </c>
      <c r="C30" s="292">
        <v>0</v>
      </c>
      <c r="D30" s="151" t="s">
        <v>24</v>
      </c>
      <c r="E30" s="549" t="s">
        <v>24</v>
      </c>
      <c r="F30" s="549" t="s">
        <v>24</v>
      </c>
      <c r="G30" s="42"/>
      <c r="H30" s="42"/>
      <c r="I30" s="42"/>
    </row>
    <row r="31" spans="1:9" ht="12.75">
      <c r="A31" s="55" t="s">
        <v>52</v>
      </c>
      <c r="B31" s="550">
        <v>0.0189</v>
      </c>
      <c r="C31" s="292">
        <v>0</v>
      </c>
      <c r="D31" s="151" t="s">
        <v>24</v>
      </c>
      <c r="E31" s="549" t="s">
        <v>24</v>
      </c>
      <c r="F31" s="549" t="s">
        <v>24</v>
      </c>
      <c r="G31" s="42"/>
      <c r="H31" s="42"/>
      <c r="I31" s="42"/>
    </row>
    <row r="32" spans="1:9" ht="12.75">
      <c r="A32" s="55" t="s">
        <v>33</v>
      </c>
      <c r="B32" s="550">
        <v>0.119</v>
      </c>
      <c r="C32" s="292">
        <v>0</v>
      </c>
      <c r="D32" s="151" t="s">
        <v>24</v>
      </c>
      <c r="E32" s="549" t="s">
        <v>24</v>
      </c>
      <c r="F32" s="549" t="s">
        <v>24</v>
      </c>
      <c r="G32" s="42"/>
      <c r="H32" s="42"/>
      <c r="I32" s="42"/>
    </row>
    <row r="33" spans="1:9" ht="12.75">
      <c r="A33" s="55" t="s">
        <v>17</v>
      </c>
      <c r="B33" s="550">
        <v>0.0254</v>
      </c>
      <c r="C33" s="292">
        <v>0.1677</v>
      </c>
      <c r="D33" s="151" t="s">
        <v>24</v>
      </c>
      <c r="E33" s="549" t="s">
        <v>24</v>
      </c>
      <c r="F33" s="549" t="s">
        <v>24</v>
      </c>
      <c r="G33" s="42"/>
      <c r="H33" s="42"/>
      <c r="I33" s="42"/>
    </row>
    <row r="34" spans="1:9" ht="12.75">
      <c r="A34" s="55" t="s">
        <v>12</v>
      </c>
      <c r="B34" s="550">
        <v>0.0385</v>
      </c>
      <c r="C34" s="292">
        <v>0.0959</v>
      </c>
      <c r="D34" s="151" t="s">
        <v>24</v>
      </c>
      <c r="E34" s="549" t="s">
        <v>24</v>
      </c>
      <c r="F34" s="549" t="s">
        <v>24</v>
      </c>
      <c r="G34" s="42"/>
      <c r="H34" s="42"/>
      <c r="I34" s="42"/>
    </row>
    <row r="35" spans="1:9" ht="12.75">
      <c r="A35" s="55" t="s">
        <v>13</v>
      </c>
      <c r="B35" s="550">
        <v>0.0188</v>
      </c>
      <c r="C35" s="292">
        <v>0.0147</v>
      </c>
      <c r="D35" s="151" t="s">
        <v>24</v>
      </c>
      <c r="E35" s="549" t="s">
        <v>24</v>
      </c>
      <c r="F35" s="549" t="s">
        <v>24</v>
      </c>
      <c r="G35" s="42"/>
      <c r="H35" s="42"/>
      <c r="I35" s="42"/>
    </row>
    <row r="36" spans="1:9" ht="12.75">
      <c r="A36" s="55" t="s">
        <v>9</v>
      </c>
      <c r="B36" s="550">
        <v>0.0529</v>
      </c>
      <c r="C36" s="292">
        <v>0.3064</v>
      </c>
      <c r="D36" s="151" t="s">
        <v>24</v>
      </c>
      <c r="E36" s="549" t="s">
        <v>24</v>
      </c>
      <c r="F36" s="549" t="s">
        <v>24</v>
      </c>
      <c r="G36" s="42"/>
      <c r="H36" s="42"/>
      <c r="I36" s="42"/>
    </row>
    <row r="37" spans="1:9" ht="12.75">
      <c r="A37" s="55" t="s">
        <v>14</v>
      </c>
      <c r="B37" s="550">
        <v>0.018</v>
      </c>
      <c r="C37" s="292">
        <v>0</v>
      </c>
      <c r="D37" s="151" t="s">
        <v>24</v>
      </c>
      <c r="E37" s="549" t="s">
        <v>24</v>
      </c>
      <c r="F37" s="549" t="s">
        <v>24</v>
      </c>
      <c r="G37" s="42"/>
      <c r="H37" s="42"/>
      <c r="I37" s="42"/>
    </row>
    <row r="38" spans="1:9" ht="12.75">
      <c r="A38" s="55" t="s">
        <v>15</v>
      </c>
      <c r="B38" s="550">
        <v>0.0416</v>
      </c>
      <c r="C38" s="292">
        <v>0</v>
      </c>
      <c r="D38" s="151" t="s">
        <v>24</v>
      </c>
      <c r="E38" s="549" t="s">
        <v>24</v>
      </c>
      <c r="F38" s="549" t="s">
        <v>24</v>
      </c>
      <c r="G38" s="42"/>
      <c r="H38" s="42"/>
      <c r="I38" s="42"/>
    </row>
    <row r="39" spans="1:9" ht="12.75">
      <c r="A39" s="55" t="s">
        <v>10</v>
      </c>
      <c r="B39" s="550">
        <v>0.0456</v>
      </c>
      <c r="C39" s="292">
        <v>0.1633</v>
      </c>
      <c r="D39" s="151" t="s">
        <v>24</v>
      </c>
      <c r="E39" s="549" t="s">
        <v>24</v>
      </c>
      <c r="F39" s="549" t="s">
        <v>24</v>
      </c>
      <c r="G39" s="42"/>
      <c r="H39" s="42"/>
      <c r="I39" s="42"/>
    </row>
    <row r="40" spans="1:9" ht="12.75">
      <c r="A40" s="55" t="s">
        <v>8</v>
      </c>
      <c r="B40" s="550">
        <v>0.0647</v>
      </c>
      <c r="C40" s="292">
        <v>0.14</v>
      </c>
      <c r="D40" s="151" t="s">
        <v>24</v>
      </c>
      <c r="E40" s="549" t="s">
        <v>24</v>
      </c>
      <c r="F40" s="549" t="s">
        <v>24</v>
      </c>
      <c r="G40" s="42"/>
      <c r="H40" s="42"/>
      <c r="I40" s="42"/>
    </row>
    <row r="41" spans="1:9" ht="12.75">
      <c r="A41" s="55" t="s">
        <v>18</v>
      </c>
      <c r="B41" s="550">
        <v>0.0026</v>
      </c>
      <c r="C41" s="292">
        <v>0.0052</v>
      </c>
      <c r="D41" s="151" t="s">
        <v>24</v>
      </c>
      <c r="E41" s="549" t="s">
        <v>24</v>
      </c>
      <c r="F41" s="549" t="s">
        <v>24</v>
      </c>
      <c r="G41" s="42"/>
      <c r="H41" s="42"/>
      <c r="I41" s="42"/>
    </row>
    <row r="42" spans="1:9" ht="12.75">
      <c r="A42" s="55" t="s">
        <v>217</v>
      </c>
      <c r="B42" s="550">
        <v>0.0056</v>
      </c>
      <c r="C42" s="292">
        <v>0.0049</v>
      </c>
      <c r="D42" s="151" t="s">
        <v>24</v>
      </c>
      <c r="E42" s="549" t="s">
        <v>24</v>
      </c>
      <c r="F42" s="549" t="s">
        <v>24</v>
      </c>
      <c r="G42" s="42"/>
      <c r="H42" s="42"/>
      <c r="I42" s="42"/>
    </row>
    <row r="43" spans="1:7" ht="12.75">
      <c r="A43" s="55" t="s">
        <v>47</v>
      </c>
      <c r="B43" s="550">
        <v>0.0041</v>
      </c>
      <c r="C43" s="292">
        <v>0.0094</v>
      </c>
      <c r="D43" s="151" t="s">
        <v>24</v>
      </c>
      <c r="E43" s="549" t="s">
        <v>24</v>
      </c>
      <c r="F43" s="549" t="s">
        <v>24</v>
      </c>
      <c r="G43" s="42"/>
    </row>
    <row r="44" spans="1:7" ht="13.5" thickBot="1">
      <c r="A44" s="529" t="s">
        <v>58</v>
      </c>
      <c r="B44" s="549">
        <v>0.0019</v>
      </c>
      <c r="C44" s="531">
        <v>0.0029</v>
      </c>
      <c r="D44" s="151" t="s">
        <v>24</v>
      </c>
      <c r="E44" s="549" t="s">
        <v>24</v>
      </c>
      <c r="F44" s="549" t="s">
        <v>24</v>
      </c>
      <c r="G44" s="42"/>
    </row>
    <row r="45" spans="1:7" ht="13.5" thickBot="1">
      <c r="A45" s="532" t="s">
        <v>59</v>
      </c>
      <c r="B45" s="533">
        <f>SUM(B23:B44)</f>
        <v>0.9999999999999999</v>
      </c>
      <c r="C45" s="534">
        <f>SUM(C23:C44)</f>
        <v>0.9999999999999999</v>
      </c>
      <c r="D45" s="152" t="s">
        <v>24</v>
      </c>
      <c r="E45" s="549" t="s">
        <v>24</v>
      </c>
      <c r="F45" s="549" t="s">
        <v>24</v>
      </c>
      <c r="G45" s="42"/>
    </row>
    <row r="46" spans="1:7" ht="30" customHeight="1">
      <c r="A46" s="873" t="s">
        <v>286</v>
      </c>
      <c r="B46" s="873"/>
      <c r="C46" s="873"/>
      <c r="D46" s="152" t="s">
        <v>24</v>
      </c>
      <c r="E46" s="42" t="s">
        <v>24</v>
      </c>
      <c r="F46" s="42" t="s">
        <v>24</v>
      </c>
      <c r="G46" s="42"/>
    </row>
    <row r="47" spans="1:4" ht="12.75">
      <c r="A47" s="12"/>
      <c r="B47" s="152"/>
      <c r="C47" s="152"/>
      <c r="D47" s="152"/>
    </row>
    <row r="48" spans="1:4" ht="13.5" thickBot="1">
      <c r="A48" s="12"/>
      <c r="B48" s="152"/>
      <c r="C48" s="152"/>
      <c r="D48" s="152"/>
    </row>
    <row r="49" spans="1:4" ht="15.75" thickBot="1">
      <c r="A49" s="826" t="s">
        <v>95</v>
      </c>
      <c r="B49" s="464"/>
      <c r="C49" s="467"/>
      <c r="D49" s="147"/>
    </row>
    <row r="50" spans="1:9" ht="15.75" thickBot="1">
      <c r="A50" s="827"/>
      <c r="B50" s="861" t="s">
        <v>30</v>
      </c>
      <c r="C50" s="861"/>
      <c r="D50" s="861"/>
      <c r="E50" s="862"/>
      <c r="F50" s="863" t="s">
        <v>5</v>
      </c>
      <c r="G50" s="861"/>
      <c r="H50" s="861"/>
      <c r="I50" s="862"/>
    </row>
    <row r="51" spans="1:9" ht="24.75" customHeight="1" thickBot="1">
      <c r="A51" s="828"/>
      <c r="B51" s="864" t="s">
        <v>275</v>
      </c>
      <c r="C51" s="865"/>
      <c r="D51" s="866"/>
      <c r="E51" s="465">
        <f>'2nd IA CTRs'!F15</f>
        <v>-0.597845679002848</v>
      </c>
      <c r="F51" s="867" t="s">
        <v>275</v>
      </c>
      <c r="G51" s="868"/>
      <c r="H51" s="869"/>
      <c r="I51" s="465">
        <f>MAX('1st IA CTRs'!J15,0)</f>
        <v>0</v>
      </c>
    </row>
    <row r="52" spans="1:9" ht="51">
      <c r="A52" s="101" t="s">
        <v>90</v>
      </c>
      <c r="B52" s="161" t="s">
        <v>151</v>
      </c>
      <c r="C52" s="161" t="s">
        <v>152</v>
      </c>
      <c r="D52" s="161" t="s">
        <v>92</v>
      </c>
      <c r="E52" s="111" t="s">
        <v>116</v>
      </c>
      <c r="F52" s="161" t="s">
        <v>151</v>
      </c>
      <c r="G52" s="161" t="s">
        <v>152</v>
      </c>
      <c r="H52" s="161" t="s">
        <v>92</v>
      </c>
      <c r="I52" s="128" t="s">
        <v>116</v>
      </c>
    </row>
    <row r="53" spans="1:9" ht="12.75">
      <c r="A53" s="55" t="s">
        <v>16</v>
      </c>
      <c r="B53" s="466">
        <f>B23*$C$9</f>
        <v>0</v>
      </c>
      <c r="C53" s="65">
        <f>C23*$C$11</f>
        <v>0</v>
      </c>
      <c r="D53" s="466">
        <f>B53+C53</f>
        <v>0</v>
      </c>
      <c r="E53" s="157">
        <f>D53*$E$51</f>
        <v>0</v>
      </c>
      <c r="F53" s="65">
        <f aca="true" t="shared" si="0" ref="F53:F74">B23*$D$9</f>
        <v>0</v>
      </c>
      <c r="G53" s="65">
        <f aca="true" t="shared" si="1" ref="G53:G74">C23*$D$12</f>
        <v>21.2352</v>
      </c>
      <c r="H53" s="65">
        <f>F53+G53</f>
        <v>21.2352</v>
      </c>
      <c r="I53" s="136">
        <f>H53*$I$51</f>
        <v>0</v>
      </c>
    </row>
    <row r="54" spans="1:9" ht="12.75">
      <c r="A54" s="55" t="s">
        <v>32</v>
      </c>
      <c r="B54" s="466">
        <f aca="true" t="shared" si="2" ref="B54:B74">B24*$C$9</f>
        <v>0</v>
      </c>
      <c r="C54" s="65">
        <f aca="true" t="shared" si="3" ref="C54:C74">C24*$C$11</f>
        <v>0</v>
      </c>
      <c r="D54" s="466">
        <f>B54+C54</f>
        <v>0</v>
      </c>
      <c r="E54" s="157">
        <f aca="true" t="shared" si="4" ref="E54:E74">D54*$E$51</f>
        <v>0</v>
      </c>
      <c r="F54" s="65">
        <f t="shared" si="0"/>
        <v>0</v>
      </c>
      <c r="G54" s="65">
        <f t="shared" si="1"/>
        <v>0</v>
      </c>
      <c r="H54" s="65">
        <f aca="true" t="shared" si="5" ref="H54:H74">F54+G54</f>
        <v>0</v>
      </c>
      <c r="I54" s="136">
        <f>H54*$I$51</f>
        <v>0</v>
      </c>
    </row>
    <row r="55" spans="1:9" ht="12.75">
      <c r="A55" s="55" t="s">
        <v>19</v>
      </c>
      <c r="B55" s="466">
        <f t="shared" si="2"/>
        <v>0</v>
      </c>
      <c r="C55" s="65">
        <f t="shared" si="3"/>
        <v>0</v>
      </c>
      <c r="D55" s="466">
        <f>B55+C55</f>
        <v>0</v>
      </c>
      <c r="E55" s="157">
        <f t="shared" si="4"/>
        <v>0</v>
      </c>
      <c r="F55" s="65">
        <f t="shared" si="0"/>
        <v>0</v>
      </c>
      <c r="G55" s="65">
        <f t="shared" si="1"/>
        <v>0</v>
      </c>
      <c r="H55" s="65">
        <f t="shared" si="5"/>
        <v>0</v>
      </c>
      <c r="I55" s="136">
        <f>H55*$I$51</f>
        <v>0</v>
      </c>
    </row>
    <row r="56" spans="1:9" ht="12.75">
      <c r="A56" s="55" t="s">
        <v>53</v>
      </c>
      <c r="B56" s="466">
        <f t="shared" si="2"/>
        <v>0</v>
      </c>
      <c r="C56" s="65">
        <f t="shared" si="3"/>
        <v>0</v>
      </c>
      <c r="D56" s="466">
        <f aca="true" t="shared" si="6" ref="D56:D74">B56+C56</f>
        <v>0</v>
      </c>
      <c r="E56" s="157">
        <f t="shared" si="4"/>
        <v>0</v>
      </c>
      <c r="F56" s="65">
        <f t="shared" si="0"/>
        <v>0</v>
      </c>
      <c r="G56" s="65">
        <f t="shared" si="1"/>
        <v>0</v>
      </c>
      <c r="H56" s="65">
        <f t="shared" si="5"/>
        <v>0</v>
      </c>
      <c r="I56" s="136">
        <f aca="true" t="shared" si="7" ref="I56:I74">H56*$I$51</f>
        <v>0</v>
      </c>
    </row>
    <row r="57" spans="1:9" ht="12.75">
      <c r="A57" s="55" t="s">
        <v>11</v>
      </c>
      <c r="B57" s="466">
        <f t="shared" si="2"/>
        <v>0</v>
      </c>
      <c r="C57" s="65">
        <f t="shared" si="3"/>
        <v>0</v>
      </c>
      <c r="D57" s="466">
        <f t="shared" si="6"/>
        <v>0</v>
      </c>
      <c r="E57" s="157">
        <f t="shared" si="4"/>
        <v>0</v>
      </c>
      <c r="F57" s="65">
        <f t="shared" si="0"/>
        <v>0</v>
      </c>
      <c r="G57" s="65">
        <f t="shared" si="1"/>
        <v>0</v>
      </c>
      <c r="H57" s="65">
        <f t="shared" si="5"/>
        <v>0</v>
      </c>
      <c r="I57" s="136">
        <f t="shared" si="7"/>
        <v>0</v>
      </c>
    </row>
    <row r="58" spans="1:9" ht="12.75">
      <c r="A58" s="55" t="s">
        <v>20</v>
      </c>
      <c r="B58" s="466">
        <f t="shared" si="2"/>
        <v>0</v>
      </c>
      <c r="C58" s="65">
        <f t="shared" si="3"/>
        <v>0</v>
      </c>
      <c r="D58" s="466">
        <f t="shared" si="6"/>
        <v>0</v>
      </c>
      <c r="E58" s="157">
        <f t="shared" si="4"/>
        <v>0</v>
      </c>
      <c r="F58" s="65">
        <f t="shared" si="0"/>
        <v>0</v>
      </c>
      <c r="G58" s="65">
        <f t="shared" si="1"/>
        <v>0</v>
      </c>
      <c r="H58" s="65">
        <f t="shared" si="5"/>
        <v>0</v>
      </c>
      <c r="I58" s="136">
        <f t="shared" si="7"/>
        <v>0</v>
      </c>
    </row>
    <row r="59" spans="1:9" ht="12.75">
      <c r="A59" s="55" t="s">
        <v>21</v>
      </c>
      <c r="B59" s="466">
        <f t="shared" si="2"/>
        <v>0</v>
      </c>
      <c r="C59" s="65">
        <f t="shared" si="3"/>
        <v>0</v>
      </c>
      <c r="D59" s="466">
        <f t="shared" si="6"/>
        <v>0</v>
      </c>
      <c r="E59" s="157">
        <f>D59*$E$51</f>
        <v>0</v>
      </c>
      <c r="F59" s="65">
        <f t="shared" si="0"/>
        <v>0</v>
      </c>
      <c r="G59" s="65">
        <f t="shared" si="1"/>
        <v>0</v>
      </c>
      <c r="H59" s="65">
        <f t="shared" si="5"/>
        <v>0</v>
      </c>
      <c r="I59" s="136">
        <f t="shared" si="7"/>
        <v>0</v>
      </c>
    </row>
    <row r="60" spans="1:9" ht="12.75">
      <c r="A60" s="55" t="s">
        <v>71</v>
      </c>
      <c r="B60" s="466">
        <f t="shared" si="2"/>
        <v>0</v>
      </c>
      <c r="C60" s="65">
        <f t="shared" si="3"/>
        <v>0</v>
      </c>
      <c r="D60" s="466">
        <f t="shared" si="6"/>
        <v>0</v>
      </c>
      <c r="E60" s="157">
        <f>D60*$E$51</f>
        <v>0</v>
      </c>
      <c r="F60" s="65">
        <f t="shared" si="0"/>
        <v>0</v>
      </c>
      <c r="G60" s="65">
        <f t="shared" si="1"/>
        <v>0</v>
      </c>
      <c r="H60" s="65">
        <f t="shared" si="5"/>
        <v>0</v>
      </c>
      <c r="I60" s="136">
        <f t="shared" si="7"/>
        <v>0</v>
      </c>
    </row>
    <row r="61" spans="1:9" ht="12.75">
      <c r="A61" s="55" t="s">
        <v>52</v>
      </c>
      <c r="B61" s="466">
        <f t="shared" si="2"/>
        <v>0</v>
      </c>
      <c r="C61" s="65">
        <f t="shared" si="3"/>
        <v>0</v>
      </c>
      <c r="D61" s="466">
        <f t="shared" si="6"/>
        <v>0</v>
      </c>
      <c r="E61" s="157">
        <f>D61*$E$51</f>
        <v>0</v>
      </c>
      <c r="F61" s="65">
        <f t="shared" si="0"/>
        <v>0</v>
      </c>
      <c r="G61" s="65">
        <f t="shared" si="1"/>
        <v>0</v>
      </c>
      <c r="H61" s="65">
        <f t="shared" si="5"/>
        <v>0</v>
      </c>
      <c r="I61" s="136">
        <f t="shared" si="7"/>
        <v>0</v>
      </c>
    </row>
    <row r="62" spans="1:9" ht="12.75">
      <c r="A62" s="55" t="s">
        <v>33</v>
      </c>
      <c r="B62" s="466">
        <f t="shared" si="2"/>
        <v>0</v>
      </c>
      <c r="C62" s="65">
        <f t="shared" si="3"/>
        <v>0</v>
      </c>
      <c r="D62" s="466">
        <f t="shared" si="6"/>
        <v>0</v>
      </c>
      <c r="E62" s="157">
        <f>D62*$E$51</f>
        <v>0</v>
      </c>
      <c r="F62" s="65">
        <f t="shared" si="0"/>
        <v>0</v>
      </c>
      <c r="G62" s="65">
        <f t="shared" si="1"/>
        <v>0</v>
      </c>
      <c r="H62" s="65">
        <f t="shared" si="5"/>
        <v>0</v>
      </c>
      <c r="I62" s="136">
        <f t="shared" si="7"/>
        <v>0</v>
      </c>
    </row>
    <row r="63" spans="1:9" ht="12.75">
      <c r="A63" s="55" t="s">
        <v>17</v>
      </c>
      <c r="B63" s="466">
        <f t="shared" si="2"/>
        <v>0</v>
      </c>
      <c r="C63" s="65">
        <f t="shared" si="3"/>
        <v>0</v>
      </c>
      <c r="D63" s="466">
        <f t="shared" si="6"/>
        <v>0</v>
      </c>
      <c r="E63" s="157">
        <f>D63*$E$51</f>
        <v>0</v>
      </c>
      <c r="F63" s="65">
        <f t="shared" si="0"/>
        <v>0</v>
      </c>
      <c r="G63" s="65">
        <f t="shared" si="1"/>
        <v>39.744899999999994</v>
      </c>
      <c r="H63" s="65">
        <f t="shared" si="5"/>
        <v>39.744899999999994</v>
      </c>
      <c r="I63" s="136">
        <f t="shared" si="7"/>
        <v>0</v>
      </c>
    </row>
    <row r="64" spans="1:9" ht="12.75">
      <c r="A64" s="55" t="s">
        <v>12</v>
      </c>
      <c r="B64" s="466">
        <f t="shared" si="2"/>
        <v>0</v>
      </c>
      <c r="C64" s="65">
        <f t="shared" si="3"/>
        <v>0</v>
      </c>
      <c r="D64" s="466">
        <f t="shared" si="6"/>
        <v>0</v>
      </c>
      <c r="E64" s="157">
        <f t="shared" si="4"/>
        <v>0</v>
      </c>
      <c r="F64" s="65">
        <f t="shared" si="0"/>
        <v>0</v>
      </c>
      <c r="G64" s="65">
        <f t="shared" si="1"/>
        <v>22.7283</v>
      </c>
      <c r="H64" s="65">
        <f t="shared" si="5"/>
        <v>22.7283</v>
      </c>
      <c r="I64" s="136">
        <f t="shared" si="7"/>
        <v>0</v>
      </c>
    </row>
    <row r="65" spans="1:9" ht="12.75">
      <c r="A65" s="55" t="s">
        <v>13</v>
      </c>
      <c r="B65" s="466">
        <f t="shared" si="2"/>
        <v>0</v>
      </c>
      <c r="C65" s="65">
        <f t="shared" si="3"/>
        <v>0</v>
      </c>
      <c r="D65" s="466">
        <f t="shared" si="6"/>
        <v>0</v>
      </c>
      <c r="E65" s="157">
        <f t="shared" si="4"/>
        <v>0</v>
      </c>
      <c r="F65" s="65">
        <f t="shared" si="0"/>
        <v>0</v>
      </c>
      <c r="G65" s="65">
        <f t="shared" si="1"/>
        <v>3.4838999999999998</v>
      </c>
      <c r="H65" s="65">
        <f t="shared" si="5"/>
        <v>3.4838999999999998</v>
      </c>
      <c r="I65" s="136">
        <f t="shared" si="7"/>
        <v>0</v>
      </c>
    </row>
    <row r="66" spans="1:9" ht="12.75">
      <c r="A66" s="55" t="s">
        <v>9</v>
      </c>
      <c r="B66" s="466">
        <f t="shared" si="2"/>
        <v>0</v>
      </c>
      <c r="C66" s="65">
        <f t="shared" si="3"/>
        <v>0</v>
      </c>
      <c r="D66" s="466">
        <f t="shared" si="6"/>
        <v>0</v>
      </c>
      <c r="E66" s="157">
        <f t="shared" si="4"/>
        <v>0</v>
      </c>
      <c r="F66" s="65">
        <f t="shared" si="0"/>
        <v>0</v>
      </c>
      <c r="G66" s="65">
        <f t="shared" si="1"/>
        <v>72.6168</v>
      </c>
      <c r="H66" s="65">
        <f t="shared" si="5"/>
        <v>72.6168</v>
      </c>
      <c r="I66" s="136">
        <f t="shared" si="7"/>
        <v>0</v>
      </c>
    </row>
    <row r="67" spans="1:9" ht="12.75">
      <c r="A67" s="55" t="s">
        <v>14</v>
      </c>
      <c r="B67" s="466">
        <f t="shared" si="2"/>
        <v>0</v>
      </c>
      <c r="C67" s="65">
        <f t="shared" si="3"/>
        <v>0</v>
      </c>
      <c r="D67" s="466">
        <f t="shared" si="6"/>
        <v>0</v>
      </c>
      <c r="E67" s="157">
        <f t="shared" si="4"/>
        <v>0</v>
      </c>
      <c r="F67" s="65">
        <f t="shared" si="0"/>
        <v>0</v>
      </c>
      <c r="G67" s="65">
        <f t="shared" si="1"/>
        <v>0</v>
      </c>
      <c r="H67" s="65">
        <f t="shared" si="5"/>
        <v>0</v>
      </c>
      <c r="I67" s="136">
        <f t="shared" si="7"/>
        <v>0</v>
      </c>
    </row>
    <row r="68" spans="1:9" ht="12.75">
      <c r="A68" s="55" t="s">
        <v>15</v>
      </c>
      <c r="B68" s="466">
        <f t="shared" si="2"/>
        <v>0</v>
      </c>
      <c r="C68" s="65">
        <f t="shared" si="3"/>
        <v>0</v>
      </c>
      <c r="D68" s="466">
        <f t="shared" si="6"/>
        <v>0</v>
      </c>
      <c r="E68" s="157">
        <f t="shared" si="4"/>
        <v>0</v>
      </c>
      <c r="F68" s="65">
        <f t="shared" si="0"/>
        <v>0</v>
      </c>
      <c r="G68" s="65">
        <f t="shared" si="1"/>
        <v>0</v>
      </c>
      <c r="H68" s="65">
        <f t="shared" si="5"/>
        <v>0</v>
      </c>
      <c r="I68" s="136">
        <f t="shared" si="7"/>
        <v>0</v>
      </c>
    </row>
    <row r="69" spans="1:9" ht="12.75">
      <c r="A69" s="55" t="s">
        <v>10</v>
      </c>
      <c r="B69" s="466">
        <f t="shared" si="2"/>
        <v>0</v>
      </c>
      <c r="C69" s="65">
        <f t="shared" si="3"/>
        <v>0</v>
      </c>
      <c r="D69" s="466">
        <f t="shared" si="6"/>
        <v>0</v>
      </c>
      <c r="E69" s="157">
        <f t="shared" si="4"/>
        <v>0</v>
      </c>
      <c r="F69" s="65">
        <f t="shared" si="0"/>
        <v>0</v>
      </c>
      <c r="G69" s="65">
        <f t="shared" si="1"/>
        <v>38.7021</v>
      </c>
      <c r="H69" s="65">
        <f t="shared" si="5"/>
        <v>38.7021</v>
      </c>
      <c r="I69" s="136">
        <f t="shared" si="7"/>
        <v>0</v>
      </c>
    </row>
    <row r="70" spans="1:9" ht="12.75">
      <c r="A70" s="55" t="s">
        <v>8</v>
      </c>
      <c r="B70" s="466">
        <f t="shared" si="2"/>
        <v>0</v>
      </c>
      <c r="C70" s="65">
        <f t="shared" si="3"/>
        <v>0</v>
      </c>
      <c r="D70" s="466">
        <f t="shared" si="6"/>
        <v>0</v>
      </c>
      <c r="E70" s="157">
        <f t="shared" si="4"/>
        <v>0</v>
      </c>
      <c r="F70" s="65">
        <f t="shared" si="0"/>
        <v>0</v>
      </c>
      <c r="G70" s="65">
        <f t="shared" si="1"/>
        <v>33.18</v>
      </c>
      <c r="H70" s="65">
        <f t="shared" si="5"/>
        <v>33.18</v>
      </c>
      <c r="I70" s="136">
        <f t="shared" si="7"/>
        <v>0</v>
      </c>
    </row>
    <row r="71" spans="1:9" ht="12.75">
      <c r="A71" s="55" t="s">
        <v>18</v>
      </c>
      <c r="B71" s="466">
        <f t="shared" si="2"/>
        <v>0</v>
      </c>
      <c r="C71" s="65">
        <f t="shared" si="3"/>
        <v>0</v>
      </c>
      <c r="D71" s="466">
        <f t="shared" si="6"/>
        <v>0</v>
      </c>
      <c r="E71" s="157">
        <f t="shared" si="4"/>
        <v>0</v>
      </c>
      <c r="F71" s="65">
        <f t="shared" si="0"/>
        <v>0</v>
      </c>
      <c r="G71" s="65">
        <f t="shared" si="1"/>
        <v>1.2324</v>
      </c>
      <c r="H71" s="65">
        <f t="shared" si="5"/>
        <v>1.2324</v>
      </c>
      <c r="I71" s="136">
        <f t="shared" si="7"/>
        <v>0</v>
      </c>
    </row>
    <row r="72" spans="1:9" ht="12.75">
      <c r="A72" s="55" t="s">
        <v>217</v>
      </c>
      <c r="B72" s="466">
        <f t="shared" si="2"/>
        <v>0</v>
      </c>
      <c r="C72" s="65">
        <f t="shared" si="3"/>
        <v>0</v>
      </c>
      <c r="D72" s="466">
        <f>B72+C72</f>
        <v>0</v>
      </c>
      <c r="E72" s="157">
        <f>D72*$E$51</f>
        <v>0</v>
      </c>
      <c r="F72" s="65">
        <f t="shared" si="0"/>
        <v>0</v>
      </c>
      <c r="G72" s="65">
        <f t="shared" si="1"/>
        <v>1.1613</v>
      </c>
      <c r="H72" s="65">
        <f>F72+G72</f>
        <v>1.1613</v>
      </c>
      <c r="I72" s="136">
        <f>H72*$I$51</f>
        <v>0</v>
      </c>
    </row>
    <row r="73" spans="1:9" ht="12.75">
      <c r="A73" s="55" t="s">
        <v>47</v>
      </c>
      <c r="B73" s="466">
        <f t="shared" si="2"/>
        <v>0</v>
      </c>
      <c r="C73" s="65">
        <f t="shared" si="3"/>
        <v>0</v>
      </c>
      <c r="D73" s="466">
        <f t="shared" si="6"/>
        <v>0</v>
      </c>
      <c r="E73" s="157">
        <f t="shared" si="4"/>
        <v>0</v>
      </c>
      <c r="F73" s="65">
        <f t="shared" si="0"/>
        <v>0</v>
      </c>
      <c r="G73" s="65">
        <f t="shared" si="1"/>
        <v>2.2278000000000002</v>
      </c>
      <c r="H73" s="65">
        <f t="shared" si="5"/>
        <v>2.2278000000000002</v>
      </c>
      <c r="I73" s="136">
        <f t="shared" si="7"/>
        <v>0</v>
      </c>
    </row>
    <row r="74" spans="1:9" ht="13.5" thickBot="1">
      <c r="A74" s="529" t="s">
        <v>58</v>
      </c>
      <c r="B74" s="535">
        <f t="shared" si="2"/>
        <v>0</v>
      </c>
      <c r="C74" s="511">
        <f t="shared" si="3"/>
        <v>0</v>
      </c>
      <c r="D74" s="535">
        <f t="shared" si="6"/>
        <v>0</v>
      </c>
      <c r="E74" s="536">
        <f t="shared" si="4"/>
        <v>0</v>
      </c>
      <c r="F74" s="511">
        <f t="shared" si="0"/>
        <v>0</v>
      </c>
      <c r="G74" s="511">
        <f t="shared" si="1"/>
        <v>0.6872999999999999</v>
      </c>
      <c r="H74" s="511">
        <f t="shared" si="5"/>
        <v>0.6872999999999999</v>
      </c>
      <c r="I74" s="537">
        <f t="shared" si="7"/>
        <v>0</v>
      </c>
    </row>
    <row r="75" spans="1:9" ht="13.5" thickBot="1">
      <c r="A75" s="538" t="s">
        <v>59</v>
      </c>
      <c r="B75" s="539">
        <f aca="true" t="shared" si="8" ref="B75:H75">SUM(B53:B74)</f>
        <v>0</v>
      </c>
      <c r="C75" s="516">
        <f>SUM(C53:C74)</f>
        <v>0</v>
      </c>
      <c r="D75" s="539">
        <f t="shared" si="8"/>
        <v>0</v>
      </c>
      <c r="E75" s="540">
        <f t="shared" si="8"/>
        <v>0</v>
      </c>
      <c r="F75" s="516">
        <f t="shared" si="8"/>
        <v>0</v>
      </c>
      <c r="G75" s="516">
        <f>SUM(G53:G74)</f>
        <v>237.00000000000003</v>
      </c>
      <c r="H75" s="516">
        <f t="shared" si="8"/>
        <v>237.00000000000003</v>
      </c>
      <c r="I75" s="541">
        <f>SUM(I53:I74)</f>
        <v>0</v>
      </c>
    </row>
    <row r="76" spans="1:9" ht="12.75">
      <c r="A76" s="190" t="s">
        <v>110</v>
      </c>
      <c r="B76" s="25"/>
      <c r="C76" s="25"/>
      <c r="D76" s="25"/>
      <c r="E76" s="9"/>
      <c r="F76" s="25"/>
      <c r="G76" s="25"/>
      <c r="H76" s="25"/>
      <c r="I76" s="9"/>
    </row>
    <row r="77" spans="1:4" ht="15">
      <c r="A77" s="61" t="s">
        <v>276</v>
      </c>
      <c r="B77" s="146"/>
      <c r="C77" s="146"/>
      <c r="D77" s="147"/>
    </row>
    <row r="78" spans="1:4" ht="15">
      <c r="A78" s="61" t="s">
        <v>121</v>
      </c>
      <c r="B78" s="146"/>
      <c r="C78" s="146"/>
      <c r="D78" s="147"/>
    </row>
    <row r="79" ht="13.5" thickBot="1"/>
    <row r="80" spans="1:2" ht="13.5" thickBot="1">
      <c r="A80" s="164" t="s">
        <v>99</v>
      </c>
      <c r="B80" s="6"/>
    </row>
    <row r="81" spans="1:4" ht="51">
      <c r="A81" s="165" t="s">
        <v>3</v>
      </c>
      <c r="B81" s="159" t="s">
        <v>122</v>
      </c>
      <c r="C81" s="160" t="s">
        <v>134</v>
      </c>
      <c r="D81" s="80"/>
    </row>
    <row r="82" spans="1:3" ht="12.75">
      <c r="A82" s="55" t="s">
        <v>30</v>
      </c>
      <c r="B82" s="156">
        <f>C15*E51</f>
        <v>0</v>
      </c>
      <c r="C82" s="166">
        <f>(C9+C12)*E51</f>
        <v>0</v>
      </c>
    </row>
    <row r="83" spans="1:3" ht="12.75">
      <c r="A83" s="55" t="s">
        <v>5</v>
      </c>
      <c r="B83" s="156">
        <f>D15*I51</f>
        <v>0</v>
      </c>
      <c r="C83" s="166">
        <f>(D9+D12)*I51</f>
        <v>0</v>
      </c>
    </row>
    <row r="84" spans="1:4" ht="13.5" thickBot="1">
      <c r="A84" s="129" t="s">
        <v>59</v>
      </c>
      <c r="B84" s="293">
        <f>SUM(B82:B83)</f>
        <v>0</v>
      </c>
      <c r="C84" s="294">
        <f>SUM(C82:C83)</f>
        <v>0</v>
      </c>
      <c r="D84" s="155" t="s">
        <v>24</v>
      </c>
    </row>
    <row r="85" ht="12.75">
      <c r="A85" s="551" t="s">
        <v>24</v>
      </c>
    </row>
  </sheetData>
  <sheetProtection/>
  <mergeCells count="8">
    <mergeCell ref="F50:I50"/>
    <mergeCell ref="B51:D51"/>
    <mergeCell ref="F51:H51"/>
    <mergeCell ref="A3:A4"/>
    <mergeCell ref="B4:C4"/>
    <mergeCell ref="A46:C46"/>
    <mergeCell ref="A49:A51"/>
    <mergeCell ref="B50:E50"/>
  </mergeCells>
  <printOptions/>
  <pageMargins left="0.7" right="0.7" top="0.25" bottom="0.25" header="0.3" footer="0.3"/>
  <pageSetup fitToHeight="1" fitToWidth="1" horizontalDpi="600" verticalDpi="600" orientation="portrait" paperSize="5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5" width="16.7109375" style="0" customWidth="1"/>
  </cols>
  <sheetData>
    <row r="1" spans="1:10" ht="18.75">
      <c r="A1" s="24" t="s">
        <v>302</v>
      </c>
      <c r="B1" s="6"/>
      <c r="C1" s="6"/>
      <c r="D1" s="6" t="s">
        <v>24</v>
      </c>
      <c r="E1" s="58" t="s">
        <v>24</v>
      </c>
      <c r="F1" s="58" t="s">
        <v>24</v>
      </c>
      <c r="G1" s="58" t="s">
        <v>24</v>
      </c>
      <c r="H1" s="6"/>
      <c r="I1" s="6"/>
      <c r="J1" s="6"/>
    </row>
    <row r="2" spans="1:6" ht="13.5" thickBot="1">
      <c r="A2" s="4" t="s">
        <v>24</v>
      </c>
      <c r="B2" s="6"/>
      <c r="C2" s="6"/>
      <c r="D2" s="305" t="s">
        <v>24</v>
      </c>
      <c r="E2" s="7" t="s">
        <v>24</v>
      </c>
      <c r="F2" s="4"/>
    </row>
    <row r="3" spans="1:10" ht="15.75" thickBot="1">
      <c r="A3" s="127" t="s">
        <v>79</v>
      </c>
      <c r="B3" s="87"/>
      <c r="C3" s="87"/>
      <c r="D3" s="87"/>
      <c r="E3" s="87"/>
      <c r="F3" s="87"/>
      <c r="G3" s="87"/>
      <c r="H3" s="87"/>
      <c r="I3" s="87" t="s">
        <v>24</v>
      </c>
      <c r="J3" s="87"/>
    </row>
    <row r="4" spans="1:10" ht="64.5" thickBot="1">
      <c r="A4" s="418" t="s">
        <v>3</v>
      </c>
      <c r="B4" s="419" t="s">
        <v>83</v>
      </c>
      <c r="C4" s="393" t="s">
        <v>235</v>
      </c>
      <c r="D4" s="420" t="s">
        <v>66</v>
      </c>
      <c r="E4" s="393" t="s">
        <v>236</v>
      </c>
      <c r="F4" s="420" t="s">
        <v>126</v>
      </c>
      <c r="G4" s="393" t="s">
        <v>63</v>
      </c>
      <c r="H4" s="421" t="s">
        <v>64</v>
      </c>
      <c r="I4" s="54"/>
      <c r="J4" s="54"/>
    </row>
    <row r="5" spans="1:10" ht="12.75">
      <c r="A5" s="413" t="s">
        <v>6</v>
      </c>
      <c r="B5" s="414">
        <v>25.51</v>
      </c>
      <c r="C5" s="415">
        <v>0</v>
      </c>
      <c r="D5" s="416">
        <f>B5+C5</f>
        <v>25.51</v>
      </c>
      <c r="E5" s="415">
        <v>0</v>
      </c>
      <c r="F5" s="416">
        <f aca="true" t="shared" si="0" ref="F5:F12">D5+E5</f>
        <v>25.51</v>
      </c>
      <c r="G5" s="415">
        <v>0</v>
      </c>
      <c r="H5" s="417">
        <f aca="true" t="shared" si="1" ref="H5:H12">F5+G5</f>
        <v>25.51</v>
      </c>
      <c r="I5" s="10"/>
      <c r="J5" s="10"/>
    </row>
    <row r="6" spans="1:10" ht="12.75">
      <c r="A6" s="379" t="s">
        <v>30</v>
      </c>
      <c r="B6" s="366">
        <f>$B$5</f>
        <v>25.51</v>
      </c>
      <c r="C6" s="67">
        <v>106.69</v>
      </c>
      <c r="D6" s="204">
        <f>B6+C6</f>
        <v>132.2</v>
      </c>
      <c r="E6" s="67">
        <v>0</v>
      </c>
      <c r="F6" s="204">
        <f t="shared" si="0"/>
        <v>132.2</v>
      </c>
      <c r="G6" s="67">
        <v>0</v>
      </c>
      <c r="H6" s="208">
        <f t="shared" si="1"/>
        <v>132.2</v>
      </c>
      <c r="I6" s="10"/>
      <c r="J6" s="10"/>
    </row>
    <row r="7" spans="1:10" ht="12.75">
      <c r="A7" s="379" t="s">
        <v>41</v>
      </c>
      <c r="B7" s="366">
        <f aca="true" t="shared" si="2" ref="B7:B12">$B$5</f>
        <v>25.51</v>
      </c>
      <c r="C7" s="67">
        <v>0</v>
      </c>
      <c r="D7" s="204">
        <f>B7+C6+C7</f>
        <v>132.2</v>
      </c>
      <c r="E7" s="67">
        <v>0</v>
      </c>
      <c r="F7" s="204">
        <f t="shared" si="0"/>
        <v>132.2</v>
      </c>
      <c r="G7" s="67">
        <v>0</v>
      </c>
      <c r="H7" s="208">
        <f t="shared" si="1"/>
        <v>132.2</v>
      </c>
      <c r="I7" s="10"/>
      <c r="J7" s="10"/>
    </row>
    <row r="8" spans="1:10" ht="12.75">
      <c r="A8" s="379" t="s">
        <v>5</v>
      </c>
      <c r="B8" s="366">
        <f t="shared" si="2"/>
        <v>25.51</v>
      </c>
      <c r="C8" s="67">
        <v>0</v>
      </c>
      <c r="D8" s="204">
        <f>B8+C6+C8</f>
        <v>132.2</v>
      </c>
      <c r="E8" s="67">
        <v>0</v>
      </c>
      <c r="F8" s="204">
        <f t="shared" si="0"/>
        <v>132.2</v>
      </c>
      <c r="G8" s="67">
        <v>0</v>
      </c>
      <c r="H8" s="208">
        <f t="shared" si="1"/>
        <v>132.2</v>
      </c>
      <c r="I8" s="10"/>
      <c r="J8" s="10"/>
    </row>
    <row r="9" spans="1:10" ht="12.75">
      <c r="A9" s="379" t="s">
        <v>8</v>
      </c>
      <c r="B9" s="366">
        <f t="shared" si="2"/>
        <v>25.51</v>
      </c>
      <c r="C9" s="67">
        <v>0</v>
      </c>
      <c r="D9" s="204">
        <f>B9+C6+C7+C9</f>
        <v>132.2</v>
      </c>
      <c r="E9" s="67">
        <v>0</v>
      </c>
      <c r="F9" s="204">
        <f t="shared" si="0"/>
        <v>132.2</v>
      </c>
      <c r="G9" s="67">
        <v>0</v>
      </c>
      <c r="H9" s="208">
        <f t="shared" si="1"/>
        <v>132.2</v>
      </c>
      <c r="I9" s="10"/>
      <c r="J9" s="10"/>
    </row>
    <row r="10" spans="1:10" ht="12.75">
      <c r="A10" s="379" t="s">
        <v>42</v>
      </c>
      <c r="B10" s="366">
        <f t="shared" si="2"/>
        <v>25.51</v>
      </c>
      <c r="C10" s="67">
        <v>124.56</v>
      </c>
      <c r="D10" s="204">
        <f>B10+C6+C7+C9+C10</f>
        <v>256.76</v>
      </c>
      <c r="E10" s="67">
        <v>0</v>
      </c>
      <c r="F10" s="204">
        <f t="shared" si="0"/>
        <v>256.76</v>
      </c>
      <c r="G10" s="67">
        <v>0</v>
      </c>
      <c r="H10" s="208">
        <f t="shared" si="1"/>
        <v>256.76</v>
      </c>
      <c r="I10" s="10"/>
      <c r="J10" s="10"/>
    </row>
    <row r="11" spans="1:10" ht="12.75">
      <c r="A11" s="379" t="s">
        <v>43</v>
      </c>
      <c r="B11" s="366">
        <f t="shared" si="2"/>
        <v>25.51</v>
      </c>
      <c r="C11" s="67">
        <v>0</v>
      </c>
      <c r="D11" s="204">
        <f>B11+C6+C7+C11</f>
        <v>132.2</v>
      </c>
      <c r="E11" s="67">
        <v>0</v>
      </c>
      <c r="F11" s="204">
        <f t="shared" si="0"/>
        <v>132.2</v>
      </c>
      <c r="G11" s="67">
        <v>0</v>
      </c>
      <c r="H11" s="208">
        <f t="shared" si="1"/>
        <v>132.2</v>
      </c>
      <c r="I11" s="10"/>
      <c r="J11" s="10"/>
    </row>
    <row r="12" spans="1:10" ht="13.5" thickBot="1">
      <c r="A12" s="380" t="s">
        <v>15</v>
      </c>
      <c r="B12" s="378">
        <f t="shared" si="2"/>
        <v>25.51</v>
      </c>
      <c r="C12" s="130">
        <v>0</v>
      </c>
      <c r="D12" s="205">
        <f>B12+C6+C8+C12</f>
        <v>132.2</v>
      </c>
      <c r="E12" s="130">
        <v>0</v>
      </c>
      <c r="F12" s="205">
        <f t="shared" si="0"/>
        <v>132.2</v>
      </c>
      <c r="G12" s="130">
        <v>0</v>
      </c>
      <c r="H12" s="209">
        <f t="shared" si="1"/>
        <v>132.2</v>
      </c>
      <c r="I12" s="10"/>
      <c r="J12" s="10"/>
    </row>
    <row r="13" spans="1:10" ht="12.75">
      <c r="A13" s="12" t="s">
        <v>29</v>
      </c>
      <c r="B13" s="35"/>
      <c r="C13" s="35"/>
      <c r="D13" s="35"/>
      <c r="E13" s="36"/>
      <c r="F13" s="25"/>
      <c r="G13" s="25"/>
      <c r="H13" s="25"/>
      <c r="I13" s="75" t="s">
        <v>24</v>
      </c>
      <c r="J13" s="75"/>
    </row>
    <row r="14" spans="1:10" ht="12.75">
      <c r="A14" s="32"/>
      <c r="B14" s="35"/>
      <c r="C14" s="35"/>
      <c r="D14" s="35"/>
      <c r="E14" s="36"/>
      <c r="F14" s="25"/>
      <c r="G14" s="25"/>
      <c r="H14" s="25"/>
      <c r="I14" s="75"/>
      <c r="J14" s="75"/>
    </row>
    <row r="15" spans="1:10" ht="13.5" thickBot="1">
      <c r="A15" s="12"/>
      <c r="B15" s="35"/>
      <c r="C15" s="35"/>
      <c r="D15" s="35"/>
      <c r="E15" s="36"/>
      <c r="F15" s="25"/>
      <c r="G15" s="25"/>
      <c r="H15" s="25"/>
      <c r="I15" s="75"/>
      <c r="J15" s="75"/>
    </row>
    <row r="16" spans="1:10" ht="15.75" thickBot="1">
      <c r="A16" s="874" t="s">
        <v>263</v>
      </c>
      <c r="B16" s="840"/>
      <c r="C16" s="841"/>
      <c r="D16" s="306"/>
      <c r="E16" s="36"/>
      <c r="F16" s="25"/>
      <c r="G16" s="25"/>
      <c r="H16" s="25"/>
      <c r="I16" s="75"/>
      <c r="J16" s="75"/>
    </row>
    <row r="17" spans="1:18" ht="12.75">
      <c r="A17" s="875" t="s">
        <v>3</v>
      </c>
      <c r="B17" s="876" t="s">
        <v>186</v>
      </c>
      <c r="C17" s="877"/>
      <c r="D17" s="877"/>
      <c r="E17" s="878"/>
      <c r="F17" s="876" t="s">
        <v>187</v>
      </c>
      <c r="G17" s="877"/>
      <c r="H17" s="877"/>
      <c r="I17" s="878"/>
      <c r="J17" s="876" t="s">
        <v>188</v>
      </c>
      <c r="K17" s="877"/>
      <c r="L17" s="877"/>
      <c r="M17" s="878"/>
      <c r="N17" s="876" t="s">
        <v>189</v>
      </c>
      <c r="O17" s="877"/>
      <c r="P17" s="877"/>
      <c r="Q17" s="878"/>
      <c r="R17" s="75"/>
    </row>
    <row r="18" spans="1:17" ht="38.25">
      <c r="A18" s="875"/>
      <c r="B18" s="630" t="s">
        <v>190</v>
      </c>
      <c r="C18" s="273" t="s">
        <v>191</v>
      </c>
      <c r="D18" s="273" t="s">
        <v>192</v>
      </c>
      <c r="E18" s="631" t="s">
        <v>193</v>
      </c>
      <c r="F18" s="630" t="s">
        <v>190</v>
      </c>
      <c r="G18" s="273" t="s">
        <v>191</v>
      </c>
      <c r="H18" s="273" t="s">
        <v>192</v>
      </c>
      <c r="I18" s="631" t="s">
        <v>193</v>
      </c>
      <c r="J18" s="630" t="s">
        <v>190</v>
      </c>
      <c r="K18" s="273" t="s">
        <v>191</v>
      </c>
      <c r="L18" s="273" t="s">
        <v>192</v>
      </c>
      <c r="M18" s="631" t="s">
        <v>193</v>
      </c>
      <c r="N18" s="630" t="s">
        <v>190</v>
      </c>
      <c r="O18" s="273" t="s">
        <v>191</v>
      </c>
      <c r="P18" s="273" t="s">
        <v>192</v>
      </c>
      <c r="Q18" s="632" t="s">
        <v>256</v>
      </c>
    </row>
    <row r="19" spans="1:17" ht="12.75">
      <c r="A19" s="628" t="s">
        <v>6</v>
      </c>
      <c r="B19" s="382">
        <v>818.7</v>
      </c>
      <c r="C19" s="345">
        <v>215.2</v>
      </c>
      <c r="D19" s="345">
        <v>1648.4</v>
      </c>
      <c r="E19" s="383">
        <f>B19+C19+D19</f>
        <v>2682.3</v>
      </c>
      <c r="F19" s="400">
        <v>325.3</v>
      </c>
      <c r="G19" s="345">
        <v>203.1</v>
      </c>
      <c r="H19" s="346">
        <v>3449.4</v>
      </c>
      <c r="I19" s="383">
        <f aca="true" t="shared" si="3" ref="I19:I26">F19+G19+H19</f>
        <v>3977.8</v>
      </c>
      <c r="J19" s="382">
        <f>B19-F19</f>
        <v>493.40000000000003</v>
      </c>
      <c r="K19" s="345">
        <f aca="true" t="shared" si="4" ref="K19:L26">C19-G19</f>
        <v>12.099999999999994</v>
      </c>
      <c r="L19" s="345">
        <f t="shared" si="4"/>
        <v>-1801</v>
      </c>
      <c r="M19" s="383">
        <f>J19+K19+L19</f>
        <v>-1295.5</v>
      </c>
      <c r="N19" s="408">
        <v>0</v>
      </c>
      <c r="O19" s="53">
        <v>0</v>
      </c>
      <c r="P19" s="53">
        <v>0</v>
      </c>
      <c r="Q19" s="409">
        <v>0</v>
      </c>
    </row>
    <row r="20" spans="1:17" ht="12.75">
      <c r="A20" s="628" t="s">
        <v>30</v>
      </c>
      <c r="B20" s="382">
        <v>366.1</v>
      </c>
      <c r="C20" s="345">
        <v>209.2</v>
      </c>
      <c r="D20" s="345">
        <v>898.2</v>
      </c>
      <c r="E20" s="383">
        <f aca="true" t="shared" si="5" ref="E20:E26">B20+C20+D20</f>
        <v>1473.5</v>
      </c>
      <c r="F20" s="400">
        <v>95.8</v>
      </c>
      <c r="G20" s="345">
        <v>0</v>
      </c>
      <c r="H20" s="347">
        <v>1364.6</v>
      </c>
      <c r="I20" s="383">
        <f t="shared" si="3"/>
        <v>1460.3999999999999</v>
      </c>
      <c r="J20" s="382">
        <f aca="true" t="shared" si="6" ref="J20:J26">B20-F20</f>
        <v>270.3</v>
      </c>
      <c r="K20" s="345">
        <f t="shared" si="4"/>
        <v>209.2</v>
      </c>
      <c r="L20" s="345">
        <f t="shared" si="4"/>
        <v>-466.39999999999986</v>
      </c>
      <c r="M20" s="383">
        <f aca="true" t="shared" si="7" ref="M20:M26">J20+K20+L20</f>
        <v>13.100000000000136</v>
      </c>
      <c r="N20" s="408">
        <v>0</v>
      </c>
      <c r="O20" s="53">
        <v>0</v>
      </c>
      <c r="P20" s="53">
        <v>0</v>
      </c>
      <c r="Q20" s="409">
        <v>0</v>
      </c>
    </row>
    <row r="21" spans="1:17" ht="12.75">
      <c r="A21" s="628" t="s">
        <v>41</v>
      </c>
      <c r="B21" s="382">
        <v>118</v>
      </c>
      <c r="C21" s="345">
        <v>90.5</v>
      </c>
      <c r="D21" s="345">
        <v>232.3</v>
      </c>
      <c r="E21" s="383">
        <f t="shared" si="5"/>
        <v>440.8</v>
      </c>
      <c r="F21" s="400">
        <v>27.8</v>
      </c>
      <c r="G21" s="345">
        <v>0</v>
      </c>
      <c r="H21" s="347">
        <v>1027.2</v>
      </c>
      <c r="I21" s="383">
        <f t="shared" si="3"/>
        <v>1055</v>
      </c>
      <c r="J21" s="382">
        <f t="shared" si="6"/>
        <v>90.2</v>
      </c>
      <c r="K21" s="345">
        <f t="shared" si="4"/>
        <v>90.5</v>
      </c>
      <c r="L21" s="345">
        <f t="shared" si="4"/>
        <v>-794.9000000000001</v>
      </c>
      <c r="M21" s="383">
        <f t="shared" si="7"/>
        <v>-614.2</v>
      </c>
      <c r="N21" s="408">
        <v>0</v>
      </c>
      <c r="O21" s="53">
        <v>0</v>
      </c>
      <c r="P21" s="53">
        <v>0</v>
      </c>
      <c r="Q21" s="409">
        <v>0</v>
      </c>
    </row>
    <row r="22" spans="1:17" ht="12.75">
      <c r="A22" s="628" t="s">
        <v>5</v>
      </c>
      <c r="B22" s="382">
        <v>0</v>
      </c>
      <c r="C22" s="345">
        <v>113.1</v>
      </c>
      <c r="D22" s="345">
        <v>47.1</v>
      </c>
      <c r="E22" s="383">
        <f t="shared" si="5"/>
        <v>160.2</v>
      </c>
      <c r="F22" s="400">
        <v>11.4</v>
      </c>
      <c r="G22" s="345">
        <v>0</v>
      </c>
      <c r="H22" s="347">
        <v>146.1</v>
      </c>
      <c r="I22" s="383">
        <f t="shared" si="3"/>
        <v>157.5</v>
      </c>
      <c r="J22" s="382">
        <f t="shared" si="6"/>
        <v>-11.4</v>
      </c>
      <c r="K22" s="345">
        <f t="shared" si="4"/>
        <v>113.1</v>
      </c>
      <c r="L22" s="345">
        <f t="shared" si="4"/>
        <v>-99</v>
      </c>
      <c r="M22" s="383">
        <f t="shared" si="7"/>
        <v>2.6999999999999886</v>
      </c>
      <c r="N22" s="410">
        <v>0</v>
      </c>
      <c r="O22" s="93">
        <v>0</v>
      </c>
      <c r="P22" s="93">
        <v>0</v>
      </c>
      <c r="Q22" s="409">
        <v>0</v>
      </c>
    </row>
    <row r="23" spans="1:17" ht="12.75">
      <c r="A23" s="628" t="s">
        <v>8</v>
      </c>
      <c r="B23" s="382">
        <v>102.6</v>
      </c>
      <c r="C23" s="345">
        <v>86.4</v>
      </c>
      <c r="D23" s="345">
        <v>13.5</v>
      </c>
      <c r="E23" s="383">
        <f t="shared" si="5"/>
        <v>202.5</v>
      </c>
      <c r="F23" s="400">
        <v>0.2</v>
      </c>
      <c r="G23" s="345">
        <v>0</v>
      </c>
      <c r="H23" s="347">
        <v>347.3</v>
      </c>
      <c r="I23" s="383">
        <f t="shared" si="3"/>
        <v>347.5</v>
      </c>
      <c r="J23" s="382">
        <f t="shared" si="6"/>
        <v>102.39999999999999</v>
      </c>
      <c r="K23" s="345">
        <f t="shared" si="4"/>
        <v>86.4</v>
      </c>
      <c r="L23" s="345">
        <f t="shared" si="4"/>
        <v>-333.8</v>
      </c>
      <c r="M23" s="383">
        <f t="shared" si="7"/>
        <v>-145</v>
      </c>
      <c r="N23" s="410">
        <v>0</v>
      </c>
      <c r="O23" s="93">
        <v>0</v>
      </c>
      <c r="P23" s="93">
        <v>0</v>
      </c>
      <c r="Q23" s="409">
        <v>0</v>
      </c>
    </row>
    <row r="24" spans="1:17" ht="12.75">
      <c r="A24" s="628" t="s">
        <v>42</v>
      </c>
      <c r="B24" s="382">
        <v>92</v>
      </c>
      <c r="C24" s="345">
        <v>83.1</v>
      </c>
      <c r="D24" s="345">
        <v>10.2</v>
      </c>
      <c r="E24" s="383">
        <f t="shared" si="5"/>
        <v>185.29999999999998</v>
      </c>
      <c r="F24" s="400">
        <v>0</v>
      </c>
      <c r="G24" s="345">
        <v>0</v>
      </c>
      <c r="H24" s="346">
        <v>282.1</v>
      </c>
      <c r="I24" s="383">
        <f t="shared" si="3"/>
        <v>282.1</v>
      </c>
      <c r="J24" s="382">
        <f t="shared" si="6"/>
        <v>92</v>
      </c>
      <c r="K24" s="345">
        <f t="shared" si="4"/>
        <v>83.1</v>
      </c>
      <c r="L24" s="345">
        <f t="shared" si="4"/>
        <v>-271.90000000000003</v>
      </c>
      <c r="M24" s="383">
        <f t="shared" si="7"/>
        <v>-96.80000000000004</v>
      </c>
      <c r="N24" s="410">
        <v>0</v>
      </c>
      <c r="O24" s="93">
        <v>0</v>
      </c>
      <c r="P24" s="93">
        <v>0</v>
      </c>
      <c r="Q24" s="409">
        <v>0</v>
      </c>
    </row>
    <row r="25" spans="1:17" ht="12.75">
      <c r="A25" s="628" t="s">
        <v>43</v>
      </c>
      <c r="B25" s="382">
        <v>1</v>
      </c>
      <c r="C25" s="345">
        <v>0</v>
      </c>
      <c r="D25" s="345">
        <v>4.8</v>
      </c>
      <c r="E25" s="383">
        <f t="shared" si="5"/>
        <v>5.8</v>
      </c>
      <c r="F25" s="400">
        <v>0</v>
      </c>
      <c r="G25" s="345">
        <v>0</v>
      </c>
      <c r="H25" s="346">
        <v>61.8</v>
      </c>
      <c r="I25" s="383">
        <f t="shared" si="3"/>
        <v>61.8</v>
      </c>
      <c r="J25" s="382">
        <f t="shared" si="6"/>
        <v>1</v>
      </c>
      <c r="K25" s="345">
        <f t="shared" si="4"/>
        <v>0</v>
      </c>
      <c r="L25" s="345">
        <f t="shared" si="4"/>
        <v>-57</v>
      </c>
      <c r="M25" s="383">
        <f t="shared" si="7"/>
        <v>-56</v>
      </c>
      <c r="N25" s="410">
        <v>0</v>
      </c>
      <c r="O25" s="93">
        <v>0</v>
      </c>
      <c r="P25" s="93">
        <v>0</v>
      </c>
      <c r="Q25" s="409">
        <v>0</v>
      </c>
    </row>
    <row r="26" spans="1:17" ht="13.5" thickBot="1">
      <c r="A26" s="629" t="s">
        <v>15</v>
      </c>
      <c r="B26" s="384">
        <v>0</v>
      </c>
      <c r="C26" s="386">
        <v>36.6</v>
      </c>
      <c r="D26" s="386">
        <v>13.4</v>
      </c>
      <c r="E26" s="387">
        <f t="shared" si="5"/>
        <v>50</v>
      </c>
      <c r="F26" s="384">
        <v>7.9</v>
      </c>
      <c r="G26" s="386">
        <v>0</v>
      </c>
      <c r="H26" s="386">
        <v>7.5</v>
      </c>
      <c r="I26" s="387">
        <f t="shared" si="3"/>
        <v>15.4</v>
      </c>
      <c r="J26" s="402">
        <f t="shared" si="6"/>
        <v>-7.9</v>
      </c>
      <c r="K26" s="403">
        <f t="shared" si="4"/>
        <v>36.6</v>
      </c>
      <c r="L26" s="403">
        <f t="shared" si="4"/>
        <v>5.9</v>
      </c>
      <c r="M26" s="387">
        <f t="shared" si="7"/>
        <v>34.6</v>
      </c>
      <c r="N26" s="411">
        <v>0</v>
      </c>
      <c r="O26" s="106">
        <v>0</v>
      </c>
      <c r="P26" s="106">
        <v>0</v>
      </c>
      <c r="Q26" s="412">
        <v>0</v>
      </c>
    </row>
    <row r="27" spans="1:17" ht="12.75">
      <c r="A27" s="12"/>
      <c r="B27" s="339"/>
      <c r="C27" s="340"/>
      <c r="D27" s="339"/>
      <c r="E27" s="341"/>
      <c r="F27" s="339"/>
      <c r="G27" s="340"/>
      <c r="H27" s="339"/>
      <c r="I27" s="341"/>
      <c r="J27" s="342"/>
      <c r="K27" s="342"/>
      <c r="L27" s="342"/>
      <c r="M27" s="341"/>
      <c r="N27" s="12"/>
      <c r="O27" s="12"/>
      <c r="P27" s="12"/>
      <c r="Q27" s="12"/>
    </row>
    <row r="28" spans="1:17" ht="13.5" thickBot="1">
      <c r="A28" s="12"/>
      <c r="B28" s="339"/>
      <c r="C28" s="340"/>
      <c r="D28" s="339"/>
      <c r="E28" s="341"/>
      <c r="F28" s="339"/>
      <c r="G28" s="340"/>
      <c r="H28" s="339"/>
      <c r="I28" s="341"/>
      <c r="J28" s="342"/>
      <c r="K28" s="342"/>
      <c r="L28" s="342" t="s">
        <v>24</v>
      </c>
      <c r="M28" s="341"/>
      <c r="N28" s="12"/>
      <c r="O28" s="12"/>
      <c r="P28" s="12"/>
      <c r="Q28" s="12"/>
    </row>
    <row r="29" spans="1:17" ht="15.75" thickBot="1">
      <c r="A29" s="852" t="s">
        <v>253</v>
      </c>
      <c r="B29" s="853"/>
      <c r="C29" s="340"/>
      <c r="D29" s="339"/>
      <c r="E29" s="341"/>
      <c r="F29" s="339"/>
      <c r="G29" s="340"/>
      <c r="H29" s="339"/>
      <c r="I29" s="341"/>
      <c r="J29" s="342"/>
      <c r="K29" s="342"/>
      <c r="L29" s="342"/>
      <c r="M29" s="341"/>
      <c r="N29" s="12"/>
      <c r="O29" s="12"/>
      <c r="P29" s="12"/>
      <c r="Q29" s="10"/>
    </row>
    <row r="30" spans="1:18" ht="13.5" thickBot="1">
      <c r="A30" s="844" t="s">
        <v>3</v>
      </c>
      <c r="B30" s="836" t="s">
        <v>264</v>
      </c>
      <c r="C30" s="837"/>
      <c r="D30" s="837"/>
      <c r="E30" s="838"/>
      <c r="F30" s="836" t="s">
        <v>265</v>
      </c>
      <c r="G30" s="837"/>
      <c r="H30" s="837"/>
      <c r="I30" s="838"/>
      <c r="J30" s="836" t="s">
        <v>266</v>
      </c>
      <c r="K30" s="837"/>
      <c r="L30" s="837"/>
      <c r="M30" s="838"/>
      <c r="N30" s="52"/>
      <c r="O30" s="469"/>
      <c r="P30" s="469"/>
      <c r="Q30" s="469"/>
      <c r="R30" s="75"/>
    </row>
    <row r="31" spans="1:17" ht="39" thickBot="1">
      <c r="A31" s="845"/>
      <c r="B31" s="392" t="s">
        <v>190</v>
      </c>
      <c r="C31" s="393" t="s">
        <v>191</v>
      </c>
      <c r="D31" s="393" t="s">
        <v>192</v>
      </c>
      <c r="E31" s="394" t="s">
        <v>193</v>
      </c>
      <c r="F31" s="392" t="s">
        <v>190</v>
      </c>
      <c r="G31" s="393" t="s">
        <v>191</v>
      </c>
      <c r="H31" s="393" t="s">
        <v>192</v>
      </c>
      <c r="I31" s="394" t="s">
        <v>193</v>
      </c>
      <c r="J31" s="392" t="s">
        <v>190</v>
      </c>
      <c r="K31" s="393" t="s">
        <v>191</v>
      </c>
      <c r="L31" s="393" t="s">
        <v>192</v>
      </c>
      <c r="M31" s="394" t="s">
        <v>193</v>
      </c>
      <c r="N31" s="23"/>
      <c r="O31" s="172"/>
      <c r="P31" s="172"/>
      <c r="Q31" s="172"/>
    </row>
    <row r="32" spans="1:19" ht="12.75">
      <c r="A32" s="422" t="s">
        <v>6</v>
      </c>
      <c r="B32" s="401">
        <v>1499.2</v>
      </c>
      <c r="C32" s="396">
        <v>0</v>
      </c>
      <c r="D32" s="397">
        <v>0</v>
      </c>
      <c r="E32" s="398">
        <f aca="true" t="shared" si="8" ref="E32:E39">B32+C32+D32</f>
        <v>1499.2</v>
      </c>
      <c r="F32" s="395">
        <v>0</v>
      </c>
      <c r="G32" s="396">
        <v>0</v>
      </c>
      <c r="H32" s="397">
        <v>203.7</v>
      </c>
      <c r="I32" s="398">
        <f aca="true" t="shared" si="9" ref="I32:I39">F32+G32+H32</f>
        <v>203.7</v>
      </c>
      <c r="J32" s="395">
        <f>B32-F32</f>
        <v>1499.2</v>
      </c>
      <c r="K32" s="396">
        <f aca="true" t="shared" si="10" ref="K32:L39">C32-G32</f>
        <v>0</v>
      </c>
      <c r="L32" s="396">
        <f t="shared" si="10"/>
        <v>-203.7</v>
      </c>
      <c r="M32" s="398">
        <f aca="true" t="shared" si="11" ref="M32:M39">J32+K32+L32</f>
        <v>1295.5</v>
      </c>
      <c r="N32" s="10"/>
      <c r="O32" s="12"/>
      <c r="P32" s="51"/>
      <c r="Q32" s="51"/>
      <c r="R32" s="462"/>
      <c r="S32" s="155"/>
    </row>
    <row r="33" spans="1:19" ht="12.75">
      <c r="A33" s="259" t="s">
        <v>30</v>
      </c>
      <c r="B33" s="382">
        <v>181.4</v>
      </c>
      <c r="C33" s="345">
        <v>0</v>
      </c>
      <c r="D33" s="346">
        <v>0</v>
      </c>
      <c r="E33" s="383">
        <f t="shared" si="8"/>
        <v>181.4</v>
      </c>
      <c r="F33" s="399">
        <v>0</v>
      </c>
      <c r="G33" s="345">
        <v>0</v>
      </c>
      <c r="H33" s="346">
        <v>203.7</v>
      </c>
      <c r="I33" s="383">
        <f t="shared" si="9"/>
        <v>203.7</v>
      </c>
      <c r="J33" s="382">
        <f aca="true" t="shared" si="12" ref="J33:J39">B33-F33</f>
        <v>181.4</v>
      </c>
      <c r="K33" s="345">
        <f t="shared" si="10"/>
        <v>0</v>
      </c>
      <c r="L33" s="345">
        <f t="shared" si="10"/>
        <v>-203.7</v>
      </c>
      <c r="M33" s="383">
        <f t="shared" si="11"/>
        <v>-22.299999999999983</v>
      </c>
      <c r="N33" s="10"/>
      <c r="O33" s="12"/>
      <c r="P33" s="51"/>
      <c r="Q33" s="51"/>
      <c r="R33" s="463"/>
      <c r="S33" s="155"/>
    </row>
    <row r="34" spans="1:19" ht="12.75">
      <c r="A34" s="259" t="s">
        <v>41</v>
      </c>
      <c r="B34" s="382">
        <v>163.6</v>
      </c>
      <c r="C34" s="345">
        <v>0</v>
      </c>
      <c r="D34" s="346">
        <v>0</v>
      </c>
      <c r="E34" s="383">
        <f t="shared" si="8"/>
        <v>163.6</v>
      </c>
      <c r="F34" s="399">
        <v>0</v>
      </c>
      <c r="G34" s="345">
        <v>0</v>
      </c>
      <c r="H34" s="346">
        <f>H36</f>
        <v>0</v>
      </c>
      <c r="I34" s="383">
        <f t="shared" si="9"/>
        <v>0</v>
      </c>
      <c r="J34" s="382">
        <f t="shared" si="12"/>
        <v>163.6</v>
      </c>
      <c r="K34" s="345">
        <f t="shared" si="10"/>
        <v>0</v>
      </c>
      <c r="L34" s="345">
        <f t="shared" si="10"/>
        <v>0</v>
      </c>
      <c r="M34" s="383">
        <f t="shared" si="11"/>
        <v>163.6</v>
      </c>
      <c r="N34" s="10"/>
      <c r="O34" s="12"/>
      <c r="P34" s="51"/>
      <c r="Q34" s="12"/>
      <c r="R34" s="463"/>
      <c r="S34" s="155"/>
    </row>
    <row r="35" spans="1:19" ht="12.75">
      <c r="A35" s="259" t="s">
        <v>5</v>
      </c>
      <c r="B35" s="382">
        <v>0</v>
      </c>
      <c r="C35" s="345">
        <v>0</v>
      </c>
      <c r="D35" s="346">
        <v>0</v>
      </c>
      <c r="E35" s="383">
        <f t="shared" si="8"/>
        <v>0</v>
      </c>
      <c r="F35" s="399">
        <v>0</v>
      </c>
      <c r="G35" s="345">
        <v>0</v>
      </c>
      <c r="H35" s="346">
        <v>203.7</v>
      </c>
      <c r="I35" s="383">
        <f t="shared" si="9"/>
        <v>203.7</v>
      </c>
      <c r="J35" s="382">
        <f t="shared" si="12"/>
        <v>0</v>
      </c>
      <c r="K35" s="345">
        <f t="shared" si="10"/>
        <v>0</v>
      </c>
      <c r="L35" s="345">
        <f t="shared" si="10"/>
        <v>-203.7</v>
      </c>
      <c r="M35" s="383">
        <f t="shared" si="11"/>
        <v>-203.7</v>
      </c>
      <c r="N35" s="12"/>
      <c r="O35" s="12"/>
      <c r="P35" s="51"/>
      <c r="Q35" s="12"/>
      <c r="R35" s="463"/>
      <c r="S35" s="155"/>
    </row>
    <row r="36" spans="1:19" ht="12.75">
      <c r="A36" s="259" t="s">
        <v>8</v>
      </c>
      <c r="B36" s="382">
        <v>96.8</v>
      </c>
      <c r="C36" s="345">
        <v>0</v>
      </c>
      <c r="D36" s="346">
        <v>0</v>
      </c>
      <c r="E36" s="383">
        <f t="shared" si="8"/>
        <v>96.8</v>
      </c>
      <c r="F36" s="399">
        <v>0</v>
      </c>
      <c r="G36" s="345">
        <v>0</v>
      </c>
      <c r="H36" s="346">
        <v>0</v>
      </c>
      <c r="I36" s="383">
        <f t="shared" si="9"/>
        <v>0</v>
      </c>
      <c r="J36" s="382">
        <f t="shared" si="12"/>
        <v>96.8</v>
      </c>
      <c r="K36" s="345">
        <f t="shared" si="10"/>
        <v>0</v>
      </c>
      <c r="L36" s="345">
        <f t="shared" si="10"/>
        <v>0</v>
      </c>
      <c r="M36" s="383">
        <f t="shared" si="11"/>
        <v>96.8</v>
      </c>
      <c r="N36" s="12"/>
      <c r="O36" s="12"/>
      <c r="P36" s="51"/>
      <c r="Q36" s="12"/>
      <c r="R36" s="463"/>
      <c r="S36" s="155"/>
    </row>
    <row r="37" spans="1:17" ht="12.75">
      <c r="A37" s="259" t="s">
        <v>42</v>
      </c>
      <c r="B37" s="382">
        <v>96.8</v>
      </c>
      <c r="C37" s="345">
        <v>0</v>
      </c>
      <c r="D37" s="346">
        <v>0</v>
      </c>
      <c r="E37" s="383">
        <f t="shared" si="8"/>
        <v>96.8</v>
      </c>
      <c r="F37" s="400">
        <v>0</v>
      </c>
      <c r="G37" s="345">
        <v>0</v>
      </c>
      <c r="H37" s="346">
        <v>0</v>
      </c>
      <c r="I37" s="383">
        <f t="shared" si="9"/>
        <v>0</v>
      </c>
      <c r="J37" s="382">
        <f t="shared" si="12"/>
        <v>96.8</v>
      </c>
      <c r="K37" s="345">
        <f t="shared" si="10"/>
        <v>0</v>
      </c>
      <c r="L37" s="345">
        <f t="shared" si="10"/>
        <v>0</v>
      </c>
      <c r="M37" s="383">
        <f t="shared" si="11"/>
        <v>96.8</v>
      </c>
      <c r="N37" s="12"/>
      <c r="O37" s="51"/>
      <c r="P37" s="12"/>
      <c r="Q37" s="12"/>
    </row>
    <row r="38" spans="1:17" ht="12.75">
      <c r="A38" s="259" t="s">
        <v>43</v>
      </c>
      <c r="B38" s="382">
        <v>49.5</v>
      </c>
      <c r="C38" s="345">
        <v>0</v>
      </c>
      <c r="D38" s="346">
        <v>0</v>
      </c>
      <c r="E38" s="383">
        <f t="shared" si="8"/>
        <v>49.5</v>
      </c>
      <c r="F38" s="400">
        <v>0</v>
      </c>
      <c r="G38" s="345">
        <v>0</v>
      </c>
      <c r="H38" s="346">
        <v>0</v>
      </c>
      <c r="I38" s="383">
        <f t="shared" si="9"/>
        <v>0</v>
      </c>
      <c r="J38" s="382">
        <f t="shared" si="12"/>
        <v>49.5</v>
      </c>
      <c r="K38" s="345">
        <f t="shared" si="10"/>
        <v>0</v>
      </c>
      <c r="L38" s="345">
        <f t="shared" si="10"/>
        <v>0</v>
      </c>
      <c r="M38" s="383">
        <f t="shared" si="11"/>
        <v>49.5</v>
      </c>
      <c r="N38" s="12"/>
      <c r="O38" s="12"/>
      <c r="P38" s="12"/>
      <c r="Q38" s="12"/>
    </row>
    <row r="39" spans="1:17" ht="13.5" thickBot="1">
      <c r="A39" s="381" t="s">
        <v>15</v>
      </c>
      <c r="B39" s="384">
        <v>0</v>
      </c>
      <c r="C39" s="385">
        <v>0</v>
      </c>
      <c r="D39" s="386">
        <v>0</v>
      </c>
      <c r="E39" s="387">
        <f t="shared" si="8"/>
        <v>0</v>
      </c>
      <c r="F39" s="384">
        <v>0</v>
      </c>
      <c r="G39" s="403">
        <v>0</v>
      </c>
      <c r="H39" s="386">
        <v>171.3</v>
      </c>
      <c r="I39" s="387">
        <f t="shared" si="9"/>
        <v>171.3</v>
      </c>
      <c r="J39" s="402">
        <f t="shared" si="12"/>
        <v>0</v>
      </c>
      <c r="K39" s="403">
        <f t="shared" si="10"/>
        <v>0</v>
      </c>
      <c r="L39" s="403">
        <f t="shared" si="10"/>
        <v>-171.3</v>
      </c>
      <c r="M39" s="387">
        <f t="shared" si="11"/>
        <v>-171.3</v>
      </c>
      <c r="N39" s="12"/>
      <c r="O39" s="470"/>
      <c r="P39" s="471"/>
      <c r="Q39" s="472"/>
    </row>
    <row r="40" spans="1:17" ht="13.5" thickBot="1">
      <c r="A40" s="12"/>
      <c r="B40" s="339"/>
      <c r="C40" s="340"/>
      <c r="D40" s="339"/>
      <c r="E40" s="341"/>
      <c r="F40" s="339"/>
      <c r="G40" s="340"/>
      <c r="H40" s="339"/>
      <c r="I40" s="341"/>
      <c r="J40" s="342"/>
      <c r="K40" s="342"/>
      <c r="L40" s="342"/>
      <c r="M40" s="341"/>
      <c r="N40" s="12"/>
      <c r="O40" s="12"/>
      <c r="P40" s="12"/>
      <c r="Q40" s="10"/>
    </row>
    <row r="41" spans="1:10" ht="15.75" thickBot="1">
      <c r="A41" s="376" t="s">
        <v>269</v>
      </c>
      <c r="B41" s="35"/>
      <c r="C41" s="35"/>
      <c r="D41" s="35"/>
      <c r="E41" s="36"/>
      <c r="F41" s="25"/>
      <c r="G41" s="25"/>
      <c r="H41" s="25"/>
      <c r="I41" s="75"/>
      <c r="J41" s="75"/>
    </row>
    <row r="42" spans="1:25" ht="13.5" thickBot="1">
      <c r="A42" s="842" t="s">
        <v>3</v>
      </c>
      <c r="B42" s="836" t="s">
        <v>186</v>
      </c>
      <c r="C42" s="837"/>
      <c r="D42" s="837"/>
      <c r="E42" s="838"/>
      <c r="F42" s="836" t="s">
        <v>187</v>
      </c>
      <c r="G42" s="837"/>
      <c r="H42" s="837"/>
      <c r="I42" s="838"/>
      <c r="J42" s="836" t="s">
        <v>188</v>
      </c>
      <c r="K42" s="837"/>
      <c r="L42" s="837"/>
      <c r="M42" s="838"/>
      <c r="N42" s="833" t="s">
        <v>194</v>
      </c>
      <c r="O42" s="834"/>
      <c r="P42" s="834"/>
      <c r="Q42" s="835"/>
      <c r="R42" s="833" t="s">
        <v>195</v>
      </c>
      <c r="S42" s="834"/>
      <c r="T42" s="834"/>
      <c r="U42" s="835"/>
      <c r="V42" s="833" t="s">
        <v>237</v>
      </c>
      <c r="W42" s="834"/>
      <c r="X42" s="834"/>
      <c r="Y42" s="835"/>
    </row>
    <row r="43" spans="1:25" ht="39" thickBot="1">
      <c r="A43" s="843"/>
      <c r="B43" s="392" t="s">
        <v>190</v>
      </c>
      <c r="C43" s="393" t="s">
        <v>191</v>
      </c>
      <c r="D43" s="393" t="s">
        <v>192</v>
      </c>
      <c r="E43" s="394" t="s">
        <v>193</v>
      </c>
      <c r="F43" s="392" t="s">
        <v>190</v>
      </c>
      <c r="G43" s="393" t="s">
        <v>191</v>
      </c>
      <c r="H43" s="393" t="s">
        <v>192</v>
      </c>
      <c r="I43" s="394" t="s">
        <v>193</v>
      </c>
      <c r="J43" s="392" t="s">
        <v>190</v>
      </c>
      <c r="K43" s="393" t="s">
        <v>191</v>
      </c>
      <c r="L43" s="393" t="s">
        <v>192</v>
      </c>
      <c r="M43" s="394" t="s">
        <v>193</v>
      </c>
      <c r="N43" s="392" t="s">
        <v>190</v>
      </c>
      <c r="O43" s="393" t="s">
        <v>191</v>
      </c>
      <c r="P43" s="393" t="s">
        <v>192</v>
      </c>
      <c r="Q43" s="394" t="s">
        <v>193</v>
      </c>
      <c r="R43" s="392" t="s">
        <v>190</v>
      </c>
      <c r="S43" s="393" t="s">
        <v>191</v>
      </c>
      <c r="T43" s="393" t="s">
        <v>192</v>
      </c>
      <c r="U43" s="394" t="s">
        <v>193</v>
      </c>
      <c r="V43" s="392" t="s">
        <v>190</v>
      </c>
      <c r="W43" s="393" t="s">
        <v>191</v>
      </c>
      <c r="X43" s="393" t="s">
        <v>192</v>
      </c>
      <c r="Y43" s="394" t="s">
        <v>193</v>
      </c>
    </row>
    <row r="44" spans="1:25" ht="12.75">
      <c r="A44" s="423" t="s">
        <v>54</v>
      </c>
      <c r="B44" s="425">
        <f>B19-B20</f>
        <v>452.6</v>
      </c>
      <c r="C44" s="426">
        <f>C19-C20</f>
        <v>6</v>
      </c>
      <c r="D44" s="426">
        <f>D19-D20</f>
        <v>750.2</v>
      </c>
      <c r="E44" s="427">
        <f aca="true" t="shared" si="13" ref="E44:E51">B44+C44+D44</f>
        <v>1208.8000000000002</v>
      </c>
      <c r="F44" s="425">
        <f>F19-F20</f>
        <v>229.5</v>
      </c>
      <c r="G44" s="426">
        <f>G19-G20</f>
        <v>203.1</v>
      </c>
      <c r="H44" s="426">
        <f>H19-H20</f>
        <v>2084.8</v>
      </c>
      <c r="I44" s="427">
        <f>F44+G44+H44</f>
        <v>2517.4</v>
      </c>
      <c r="J44" s="430">
        <f>B44-F44</f>
        <v>223.10000000000002</v>
      </c>
      <c r="K44" s="431">
        <f aca="true" t="shared" si="14" ref="J44:L51">C44-G44</f>
        <v>-197.1</v>
      </c>
      <c r="L44" s="431">
        <f t="shared" si="14"/>
        <v>-1334.6000000000001</v>
      </c>
      <c r="M44" s="398">
        <f aca="true" t="shared" si="15" ref="M44:M51">J44+K44+L44</f>
        <v>-1308.6000000000001</v>
      </c>
      <c r="N44" s="436">
        <f>B44*D5</f>
        <v>11545.826000000001</v>
      </c>
      <c r="O44" s="437">
        <f aca="true" t="shared" si="16" ref="O44:O51">C44*F5</f>
        <v>153.06</v>
      </c>
      <c r="P44" s="437">
        <f aca="true" t="shared" si="17" ref="P44:P51">D44*H5</f>
        <v>19137.602000000003</v>
      </c>
      <c r="Q44" s="438">
        <f>N44+O44+P44</f>
        <v>30836.488000000005</v>
      </c>
      <c r="R44" s="436">
        <f>F44*D5</f>
        <v>5854.545</v>
      </c>
      <c r="S44" s="437">
        <f aca="true" t="shared" si="18" ref="S44:S51">G44*F5</f>
        <v>5181.081</v>
      </c>
      <c r="T44" s="437">
        <f aca="true" t="shared" si="19" ref="T44:T51">H44*H5</f>
        <v>53183.24800000001</v>
      </c>
      <c r="U44" s="438">
        <f aca="true" t="shared" si="20" ref="U44:U51">R44+S44+T44</f>
        <v>64218.87400000001</v>
      </c>
      <c r="V44" s="439">
        <f>N44-R44</f>
        <v>5691.281000000001</v>
      </c>
      <c r="W44" s="440">
        <f aca="true" t="shared" si="21" ref="V44:X51">O44-S44</f>
        <v>-5028.021</v>
      </c>
      <c r="X44" s="440">
        <f t="shared" si="21"/>
        <v>-34045.64600000001</v>
      </c>
      <c r="Y44" s="441">
        <f aca="true" t="shared" si="22" ref="Y44:Y51">V44+W44+X44</f>
        <v>-33382.386000000006</v>
      </c>
    </row>
    <row r="45" spans="1:25" ht="12.75">
      <c r="A45" s="259" t="s">
        <v>57</v>
      </c>
      <c r="B45" s="367">
        <f>B20-B21-B22</f>
        <v>248.10000000000002</v>
      </c>
      <c r="C45" s="63">
        <f>C20-C21-C22</f>
        <v>5.599999999999994</v>
      </c>
      <c r="D45" s="63">
        <f>D20-D21-D22</f>
        <v>618.8000000000001</v>
      </c>
      <c r="E45" s="428">
        <f t="shared" si="13"/>
        <v>872.5000000000001</v>
      </c>
      <c r="F45" s="367">
        <f>F20-F21-F22</f>
        <v>56.6</v>
      </c>
      <c r="G45" s="63">
        <f>G20-G21-G22</f>
        <v>0</v>
      </c>
      <c r="H45" s="63">
        <f>H20-H21-H22</f>
        <v>191.29999999999987</v>
      </c>
      <c r="I45" s="428">
        <f aca="true" t="shared" si="23" ref="I45:I51">F45+G45+H45</f>
        <v>247.89999999999986</v>
      </c>
      <c r="J45" s="432">
        <f t="shared" si="14"/>
        <v>191.50000000000003</v>
      </c>
      <c r="K45" s="274">
        <f t="shared" si="14"/>
        <v>5.599999999999994</v>
      </c>
      <c r="L45" s="274">
        <f t="shared" si="14"/>
        <v>427.5000000000002</v>
      </c>
      <c r="M45" s="383">
        <f t="shared" si="15"/>
        <v>624.6000000000003</v>
      </c>
      <c r="N45" s="434">
        <f aca="true" t="shared" si="24" ref="N45:N51">B45*D6</f>
        <v>32798.82</v>
      </c>
      <c r="O45" s="157">
        <f t="shared" si="16"/>
        <v>740.3199999999991</v>
      </c>
      <c r="P45" s="157">
        <f t="shared" si="17"/>
        <v>81805.36</v>
      </c>
      <c r="Q45" s="136">
        <f aca="true" t="shared" si="25" ref="Q45:Q51">N45+O45+P45</f>
        <v>115344.5</v>
      </c>
      <c r="R45" s="434">
        <f aca="true" t="shared" si="26" ref="R45:R51">F45*D6</f>
        <v>7482.5199999999995</v>
      </c>
      <c r="S45" s="157">
        <f t="shared" si="18"/>
        <v>0</v>
      </c>
      <c r="T45" s="157">
        <f t="shared" si="19"/>
        <v>25289.85999999998</v>
      </c>
      <c r="U45" s="136">
        <f t="shared" si="20"/>
        <v>32772.379999999976</v>
      </c>
      <c r="V45" s="434">
        <f t="shared" si="21"/>
        <v>25316.3</v>
      </c>
      <c r="W45" s="157">
        <f t="shared" si="21"/>
        <v>740.3199999999991</v>
      </c>
      <c r="X45" s="157">
        <f t="shared" si="21"/>
        <v>56515.50000000002</v>
      </c>
      <c r="Y45" s="136">
        <f t="shared" si="22"/>
        <v>82572.12000000002</v>
      </c>
    </row>
    <row r="46" spans="1:25" ht="12.75">
      <c r="A46" s="259" t="s">
        <v>56</v>
      </c>
      <c r="B46" s="367">
        <f>B21-B23-B25</f>
        <v>14.400000000000006</v>
      </c>
      <c r="C46" s="63">
        <f>C21-C23-C25</f>
        <v>4.099999999999994</v>
      </c>
      <c r="D46" s="63">
        <f>D21-D23-D25</f>
        <v>214</v>
      </c>
      <c r="E46" s="428">
        <f t="shared" si="13"/>
        <v>232.5</v>
      </c>
      <c r="F46" s="367">
        <f>F21-F23-F25</f>
        <v>27.6</v>
      </c>
      <c r="G46" s="63">
        <f>G21-G23-G25</f>
        <v>0</v>
      </c>
      <c r="H46" s="63">
        <f>H21-H23-H25</f>
        <v>618.1000000000001</v>
      </c>
      <c r="I46" s="428">
        <f t="shared" si="23"/>
        <v>645.7000000000002</v>
      </c>
      <c r="J46" s="432">
        <f t="shared" si="14"/>
        <v>-13.199999999999996</v>
      </c>
      <c r="K46" s="274">
        <f t="shared" si="14"/>
        <v>4.099999999999994</v>
      </c>
      <c r="L46" s="274">
        <f t="shared" si="14"/>
        <v>-404.10000000000014</v>
      </c>
      <c r="M46" s="383">
        <f t="shared" si="15"/>
        <v>-413.20000000000016</v>
      </c>
      <c r="N46" s="434">
        <f t="shared" si="24"/>
        <v>1903.6800000000005</v>
      </c>
      <c r="O46" s="157">
        <f t="shared" si="16"/>
        <v>542.0199999999992</v>
      </c>
      <c r="P46" s="157">
        <f t="shared" si="17"/>
        <v>28290.8</v>
      </c>
      <c r="Q46" s="136">
        <f t="shared" si="25"/>
        <v>30736.5</v>
      </c>
      <c r="R46" s="434">
        <f t="shared" si="26"/>
        <v>3648.72</v>
      </c>
      <c r="S46" s="157">
        <f t="shared" si="18"/>
        <v>0</v>
      </c>
      <c r="T46" s="157">
        <f t="shared" si="19"/>
        <v>81712.82</v>
      </c>
      <c r="U46" s="136">
        <f t="shared" si="20"/>
        <v>85361.54000000001</v>
      </c>
      <c r="V46" s="434">
        <f t="shared" si="21"/>
        <v>-1745.0399999999993</v>
      </c>
      <c r="W46" s="157">
        <f t="shared" si="21"/>
        <v>542.0199999999992</v>
      </c>
      <c r="X46" s="157">
        <f t="shared" si="21"/>
        <v>-53422.020000000004</v>
      </c>
      <c r="Y46" s="136">
        <f t="shared" si="22"/>
        <v>-54625.04</v>
      </c>
    </row>
    <row r="47" spans="1:25" ht="12.75">
      <c r="A47" s="259" t="s">
        <v>55</v>
      </c>
      <c r="B47" s="367">
        <f>B22-B26</f>
        <v>0</v>
      </c>
      <c r="C47" s="63">
        <f>C22-C26</f>
        <v>76.5</v>
      </c>
      <c r="D47" s="63">
        <f>D22-D26</f>
        <v>33.7</v>
      </c>
      <c r="E47" s="428">
        <f t="shared" si="13"/>
        <v>110.2</v>
      </c>
      <c r="F47" s="367">
        <f>F22-F26</f>
        <v>3.5</v>
      </c>
      <c r="G47" s="63">
        <f>G22-G26</f>
        <v>0</v>
      </c>
      <c r="H47" s="63">
        <f>H22-H26</f>
        <v>138.6</v>
      </c>
      <c r="I47" s="428">
        <f t="shared" si="23"/>
        <v>142.1</v>
      </c>
      <c r="J47" s="432">
        <f t="shared" si="14"/>
        <v>-3.5</v>
      </c>
      <c r="K47" s="274">
        <f t="shared" si="14"/>
        <v>76.5</v>
      </c>
      <c r="L47" s="274">
        <f t="shared" si="14"/>
        <v>-104.89999999999999</v>
      </c>
      <c r="M47" s="383">
        <f t="shared" si="15"/>
        <v>-31.89999999999999</v>
      </c>
      <c r="N47" s="434">
        <f t="shared" si="24"/>
        <v>0</v>
      </c>
      <c r="O47" s="157">
        <f t="shared" si="16"/>
        <v>10113.3</v>
      </c>
      <c r="P47" s="157">
        <f t="shared" si="17"/>
        <v>4455.14</v>
      </c>
      <c r="Q47" s="136">
        <f t="shared" si="25"/>
        <v>14568.439999999999</v>
      </c>
      <c r="R47" s="434">
        <f t="shared" si="26"/>
        <v>462.69999999999993</v>
      </c>
      <c r="S47" s="157">
        <f t="shared" si="18"/>
        <v>0</v>
      </c>
      <c r="T47" s="157">
        <f t="shared" si="19"/>
        <v>18322.92</v>
      </c>
      <c r="U47" s="136">
        <f t="shared" si="20"/>
        <v>18785.62</v>
      </c>
      <c r="V47" s="434">
        <f t="shared" si="21"/>
        <v>-462.69999999999993</v>
      </c>
      <c r="W47" s="157">
        <f t="shared" si="21"/>
        <v>10113.3</v>
      </c>
      <c r="X47" s="157">
        <f t="shared" si="21"/>
        <v>-13867.779999999999</v>
      </c>
      <c r="Y47" s="136">
        <f t="shared" si="22"/>
        <v>-4217.18</v>
      </c>
    </row>
    <row r="48" spans="1:25" ht="12.75">
      <c r="A48" s="259" t="s">
        <v>45</v>
      </c>
      <c r="B48" s="367">
        <f>B23-B24</f>
        <v>10.599999999999994</v>
      </c>
      <c r="C48" s="63">
        <f>C23-C24</f>
        <v>3.3000000000000114</v>
      </c>
      <c r="D48" s="63">
        <f>D23-D24</f>
        <v>3.3000000000000007</v>
      </c>
      <c r="E48" s="428">
        <f t="shared" si="13"/>
        <v>17.200000000000006</v>
      </c>
      <c r="F48" s="367">
        <f>F23-F24</f>
        <v>0.2</v>
      </c>
      <c r="G48" s="63">
        <f>G23-G24</f>
        <v>0</v>
      </c>
      <c r="H48" s="63">
        <f>H23-H24</f>
        <v>65.19999999999999</v>
      </c>
      <c r="I48" s="428">
        <f t="shared" si="23"/>
        <v>65.39999999999999</v>
      </c>
      <c r="J48" s="432">
        <f t="shared" si="14"/>
        <v>10.399999999999995</v>
      </c>
      <c r="K48" s="274">
        <f t="shared" si="14"/>
        <v>3.3000000000000114</v>
      </c>
      <c r="L48" s="274">
        <f t="shared" si="14"/>
        <v>-61.89999999999999</v>
      </c>
      <c r="M48" s="383">
        <f t="shared" si="15"/>
        <v>-48.19999999999999</v>
      </c>
      <c r="N48" s="434">
        <f t="shared" si="24"/>
        <v>1401.319999999999</v>
      </c>
      <c r="O48" s="157">
        <f t="shared" si="16"/>
        <v>436.26000000000147</v>
      </c>
      <c r="P48" s="157">
        <f t="shared" si="17"/>
        <v>436.26000000000005</v>
      </c>
      <c r="Q48" s="136">
        <f t="shared" si="25"/>
        <v>2273.8400000000006</v>
      </c>
      <c r="R48" s="434">
        <f t="shared" si="26"/>
        <v>26.439999999999998</v>
      </c>
      <c r="S48" s="157">
        <f t="shared" si="18"/>
        <v>0</v>
      </c>
      <c r="T48" s="157">
        <f t="shared" si="19"/>
        <v>8619.439999999997</v>
      </c>
      <c r="U48" s="136">
        <f t="shared" si="20"/>
        <v>8645.879999999997</v>
      </c>
      <c r="V48" s="434">
        <f t="shared" si="21"/>
        <v>1374.879999999999</v>
      </c>
      <c r="W48" s="157">
        <f t="shared" si="21"/>
        <v>436.26000000000147</v>
      </c>
      <c r="X48" s="157">
        <f t="shared" si="21"/>
        <v>-8183.179999999997</v>
      </c>
      <c r="Y48" s="136">
        <f t="shared" si="22"/>
        <v>-6372.039999999996</v>
      </c>
    </row>
    <row r="49" spans="1:25" ht="12.75">
      <c r="A49" s="259" t="s">
        <v>42</v>
      </c>
      <c r="B49" s="367">
        <f>B24</f>
        <v>92</v>
      </c>
      <c r="C49" s="63">
        <f aca="true" t="shared" si="27" ref="C49:D51">C24</f>
        <v>83.1</v>
      </c>
      <c r="D49" s="63">
        <f t="shared" si="27"/>
        <v>10.2</v>
      </c>
      <c r="E49" s="428">
        <f t="shared" si="13"/>
        <v>185.29999999999998</v>
      </c>
      <c r="F49" s="367">
        <f aca="true" t="shared" si="28" ref="F49:H51">F24</f>
        <v>0</v>
      </c>
      <c r="G49" s="63">
        <f t="shared" si="28"/>
        <v>0</v>
      </c>
      <c r="H49" s="63">
        <f t="shared" si="28"/>
        <v>282.1</v>
      </c>
      <c r="I49" s="428">
        <f t="shared" si="23"/>
        <v>282.1</v>
      </c>
      <c r="J49" s="432">
        <f t="shared" si="14"/>
        <v>92</v>
      </c>
      <c r="K49" s="274">
        <f t="shared" si="14"/>
        <v>83.1</v>
      </c>
      <c r="L49" s="274">
        <f t="shared" si="14"/>
        <v>-271.90000000000003</v>
      </c>
      <c r="M49" s="383">
        <f t="shared" si="15"/>
        <v>-96.80000000000004</v>
      </c>
      <c r="N49" s="434">
        <f t="shared" si="24"/>
        <v>23621.92</v>
      </c>
      <c r="O49" s="157">
        <f t="shared" si="16"/>
        <v>21336.755999999998</v>
      </c>
      <c r="P49" s="157">
        <f t="shared" si="17"/>
        <v>2618.9519999999998</v>
      </c>
      <c r="Q49" s="136">
        <f t="shared" si="25"/>
        <v>47577.62799999999</v>
      </c>
      <c r="R49" s="434">
        <f t="shared" si="26"/>
        <v>0</v>
      </c>
      <c r="S49" s="157">
        <f t="shared" si="18"/>
        <v>0</v>
      </c>
      <c r="T49" s="157">
        <f t="shared" si="19"/>
        <v>72431.996</v>
      </c>
      <c r="U49" s="136">
        <f t="shared" si="20"/>
        <v>72431.996</v>
      </c>
      <c r="V49" s="434">
        <f t="shared" si="21"/>
        <v>23621.92</v>
      </c>
      <c r="W49" s="157">
        <f t="shared" si="21"/>
        <v>21336.755999999998</v>
      </c>
      <c r="X49" s="157">
        <f t="shared" si="21"/>
        <v>-69813.044</v>
      </c>
      <c r="Y49" s="136">
        <f t="shared" si="22"/>
        <v>-24854.368000000002</v>
      </c>
    </row>
    <row r="50" spans="1:25" ht="12.75">
      <c r="A50" s="259" t="s">
        <v>43</v>
      </c>
      <c r="B50" s="367">
        <f>B25</f>
        <v>1</v>
      </c>
      <c r="C50" s="63">
        <f t="shared" si="27"/>
        <v>0</v>
      </c>
      <c r="D50" s="63">
        <f t="shared" si="27"/>
        <v>4.8</v>
      </c>
      <c r="E50" s="428">
        <f t="shared" si="13"/>
        <v>5.8</v>
      </c>
      <c r="F50" s="367">
        <f t="shared" si="28"/>
        <v>0</v>
      </c>
      <c r="G50" s="63">
        <f t="shared" si="28"/>
        <v>0</v>
      </c>
      <c r="H50" s="63">
        <f t="shared" si="28"/>
        <v>61.8</v>
      </c>
      <c r="I50" s="428">
        <f t="shared" si="23"/>
        <v>61.8</v>
      </c>
      <c r="J50" s="432">
        <f t="shared" si="14"/>
        <v>1</v>
      </c>
      <c r="K50" s="274">
        <f t="shared" si="14"/>
        <v>0</v>
      </c>
      <c r="L50" s="274">
        <f t="shared" si="14"/>
        <v>-57</v>
      </c>
      <c r="M50" s="383">
        <f t="shared" si="15"/>
        <v>-56</v>
      </c>
      <c r="N50" s="434">
        <f t="shared" si="24"/>
        <v>132.2</v>
      </c>
      <c r="O50" s="157">
        <f t="shared" si="16"/>
        <v>0</v>
      </c>
      <c r="P50" s="157">
        <f t="shared" si="17"/>
        <v>634.56</v>
      </c>
      <c r="Q50" s="136">
        <f t="shared" si="25"/>
        <v>766.76</v>
      </c>
      <c r="R50" s="434">
        <f t="shared" si="26"/>
        <v>0</v>
      </c>
      <c r="S50" s="157">
        <f t="shared" si="18"/>
        <v>0</v>
      </c>
      <c r="T50" s="157">
        <f t="shared" si="19"/>
        <v>8169.959999999999</v>
      </c>
      <c r="U50" s="136">
        <f t="shared" si="20"/>
        <v>8169.959999999999</v>
      </c>
      <c r="V50" s="434">
        <f t="shared" si="21"/>
        <v>132.2</v>
      </c>
      <c r="W50" s="157">
        <f t="shared" si="21"/>
        <v>0</v>
      </c>
      <c r="X50" s="157">
        <f t="shared" si="21"/>
        <v>-7535.4</v>
      </c>
      <c r="Y50" s="136">
        <f t="shared" si="22"/>
        <v>-7403.2</v>
      </c>
    </row>
    <row r="51" spans="1:25" ht="12.75">
      <c r="A51" s="259" t="s">
        <v>15</v>
      </c>
      <c r="B51" s="367">
        <f>B26</f>
        <v>0</v>
      </c>
      <c r="C51" s="63">
        <f t="shared" si="27"/>
        <v>36.6</v>
      </c>
      <c r="D51" s="63">
        <f t="shared" si="27"/>
        <v>13.4</v>
      </c>
      <c r="E51" s="428">
        <f t="shared" si="13"/>
        <v>50</v>
      </c>
      <c r="F51" s="367">
        <f t="shared" si="28"/>
        <v>7.9</v>
      </c>
      <c r="G51" s="63">
        <f t="shared" si="28"/>
        <v>0</v>
      </c>
      <c r="H51" s="63">
        <f t="shared" si="28"/>
        <v>7.5</v>
      </c>
      <c r="I51" s="428">
        <f t="shared" si="23"/>
        <v>15.4</v>
      </c>
      <c r="J51" s="432">
        <f t="shared" si="14"/>
        <v>-7.9</v>
      </c>
      <c r="K51" s="274">
        <f t="shared" si="14"/>
        <v>36.6</v>
      </c>
      <c r="L51" s="274">
        <f t="shared" si="14"/>
        <v>5.9</v>
      </c>
      <c r="M51" s="383">
        <f t="shared" si="15"/>
        <v>34.6</v>
      </c>
      <c r="N51" s="434">
        <f t="shared" si="24"/>
        <v>0</v>
      </c>
      <c r="O51" s="157">
        <f t="shared" si="16"/>
        <v>4838.5199999999995</v>
      </c>
      <c r="P51" s="157">
        <f t="shared" si="17"/>
        <v>1771.4799999999998</v>
      </c>
      <c r="Q51" s="136">
        <f t="shared" si="25"/>
        <v>6609.999999999999</v>
      </c>
      <c r="R51" s="434">
        <f t="shared" si="26"/>
        <v>1044.3799999999999</v>
      </c>
      <c r="S51" s="157">
        <f t="shared" si="18"/>
        <v>0</v>
      </c>
      <c r="T51" s="157">
        <f t="shared" si="19"/>
        <v>991.4999999999999</v>
      </c>
      <c r="U51" s="136">
        <f t="shared" si="20"/>
        <v>2035.8799999999997</v>
      </c>
      <c r="V51" s="434">
        <f t="shared" si="21"/>
        <v>-1044.3799999999999</v>
      </c>
      <c r="W51" s="157">
        <f t="shared" si="21"/>
        <v>4838.5199999999995</v>
      </c>
      <c r="X51" s="157">
        <f t="shared" si="21"/>
        <v>779.9799999999999</v>
      </c>
      <c r="Y51" s="136">
        <f t="shared" si="22"/>
        <v>4574.119999999999</v>
      </c>
    </row>
    <row r="52" spans="1:25" ht="13.5" thickBot="1">
      <c r="A52" s="424" t="s">
        <v>59</v>
      </c>
      <c r="B52" s="369">
        <f>SUM(B44:B51)</f>
        <v>818.7</v>
      </c>
      <c r="C52" s="275">
        <f>SUM(C44:C51)</f>
        <v>215.2</v>
      </c>
      <c r="D52" s="275">
        <f>SUM(D44:D51)</f>
        <v>1648.4</v>
      </c>
      <c r="E52" s="429">
        <f>SUM(E44:E51)</f>
        <v>2682.3</v>
      </c>
      <c r="F52" s="369">
        <f aca="true" t="shared" si="29" ref="F52:Y52">SUM(F44:F51)</f>
        <v>325.3</v>
      </c>
      <c r="G52" s="275">
        <f>SUM(G44:G51)</f>
        <v>203.1</v>
      </c>
      <c r="H52" s="275">
        <f>SUM(H44:H51)</f>
        <v>3449.3999999999996</v>
      </c>
      <c r="I52" s="429">
        <f>SUM(I44:I51)</f>
        <v>3977.8000000000006</v>
      </c>
      <c r="J52" s="369">
        <f t="shared" si="29"/>
        <v>493.40000000000003</v>
      </c>
      <c r="K52" s="275">
        <f t="shared" si="29"/>
        <v>12.100000000000001</v>
      </c>
      <c r="L52" s="275">
        <f t="shared" si="29"/>
        <v>-1801.0000000000002</v>
      </c>
      <c r="M52" s="370">
        <f t="shared" si="29"/>
        <v>-1295.5000000000002</v>
      </c>
      <c r="N52" s="435">
        <f t="shared" si="29"/>
        <v>71403.76599999999</v>
      </c>
      <c r="O52" s="293">
        <f t="shared" si="29"/>
        <v>38160.236</v>
      </c>
      <c r="P52" s="293">
        <f t="shared" si="29"/>
        <v>139150.154</v>
      </c>
      <c r="Q52" s="294">
        <f t="shared" si="29"/>
        <v>248714.15600000002</v>
      </c>
      <c r="R52" s="435">
        <f t="shared" si="29"/>
        <v>18519.305</v>
      </c>
      <c r="S52" s="293">
        <f t="shared" si="29"/>
        <v>5181.081</v>
      </c>
      <c r="T52" s="293">
        <f t="shared" si="29"/>
        <v>268721.744</v>
      </c>
      <c r="U52" s="294">
        <f t="shared" si="29"/>
        <v>292422.13</v>
      </c>
      <c r="V52" s="435">
        <f t="shared" si="29"/>
        <v>52884.46099999999</v>
      </c>
      <c r="W52" s="293">
        <f t="shared" si="29"/>
        <v>32979.15499999999</v>
      </c>
      <c r="X52" s="293">
        <f t="shared" si="29"/>
        <v>-129571.58999999998</v>
      </c>
      <c r="Y52" s="294">
        <f t="shared" si="29"/>
        <v>-43707.97399999999</v>
      </c>
    </row>
    <row r="53" spans="1:25" ht="13.5" thickBot="1">
      <c r="A53" s="10"/>
      <c r="B53" s="361"/>
      <c r="C53" s="361"/>
      <c r="D53" s="361"/>
      <c r="E53" s="362"/>
      <c r="F53" s="361"/>
      <c r="G53" s="361"/>
      <c r="H53" s="361"/>
      <c r="I53" s="362"/>
      <c r="J53" s="361"/>
      <c r="K53" s="361"/>
      <c r="L53" s="361"/>
      <c r="M53" s="361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10" ht="15.75" thickBot="1">
      <c r="A54" s="171" t="s">
        <v>136</v>
      </c>
      <c r="B54" s="18"/>
      <c r="C54" s="18"/>
      <c r="D54" s="18"/>
      <c r="F54" s="81"/>
      <c r="G54" s="35"/>
      <c r="H54" s="35"/>
      <c r="I54" s="9"/>
      <c r="J54" s="18"/>
    </row>
    <row r="55" spans="1:10" ht="13.5" thickBot="1">
      <c r="A55" s="842" t="s">
        <v>3</v>
      </c>
      <c r="B55" s="846" t="s">
        <v>189</v>
      </c>
      <c r="C55" s="847"/>
      <c r="D55" s="848"/>
      <c r="E55" s="849" t="s">
        <v>196</v>
      </c>
      <c r="F55" s="850"/>
      <c r="G55" s="850"/>
      <c r="H55" s="851"/>
      <c r="I55" s="9"/>
      <c r="J55" s="18"/>
    </row>
    <row r="56" spans="1:10" ht="64.5" thickBot="1">
      <c r="A56" s="843"/>
      <c r="B56" s="377" t="s">
        <v>190</v>
      </c>
      <c r="C56" s="111" t="s">
        <v>191</v>
      </c>
      <c r="D56" s="128" t="s">
        <v>192</v>
      </c>
      <c r="E56" s="178" t="s">
        <v>190</v>
      </c>
      <c r="F56" s="111" t="s">
        <v>191</v>
      </c>
      <c r="G56" s="111" t="s">
        <v>192</v>
      </c>
      <c r="H56" s="371" t="s">
        <v>137</v>
      </c>
      <c r="I56" s="110" t="s">
        <v>267</v>
      </c>
      <c r="J56" s="113" t="s">
        <v>268</v>
      </c>
    </row>
    <row r="57" spans="1:10" ht="12.75">
      <c r="A57" s="442" t="s">
        <v>54</v>
      </c>
      <c r="B57" s="367">
        <f>N19-N20</f>
        <v>0</v>
      </c>
      <c r="C57" s="63">
        <f>O19-O20</f>
        <v>0</v>
      </c>
      <c r="D57" s="368">
        <f>P19-P20</f>
        <v>0</v>
      </c>
      <c r="E57" s="372">
        <f aca="true" t="shared" si="30" ref="E57:E64">B57*D5</f>
        <v>0</v>
      </c>
      <c r="F57" s="67">
        <f aca="true" t="shared" si="31" ref="F57:F64">C57*F5</f>
        <v>0</v>
      </c>
      <c r="G57" s="67">
        <f aca="true" t="shared" si="32" ref="G57:G64">D57*H5</f>
        <v>0</v>
      </c>
      <c r="H57" s="56">
        <f>E57+F57+G57</f>
        <v>0</v>
      </c>
      <c r="I57" s="372">
        <v>0</v>
      </c>
      <c r="J57" s="56">
        <v>0</v>
      </c>
    </row>
    <row r="58" spans="1:10" ht="12.75">
      <c r="A58" s="311" t="s">
        <v>57</v>
      </c>
      <c r="B58" s="367">
        <f>N20-N21-N22</f>
        <v>0</v>
      </c>
      <c r="C58" s="63">
        <f>O20-O21-O22</f>
        <v>0</v>
      </c>
      <c r="D58" s="368">
        <f>P20-P21-P22</f>
        <v>0</v>
      </c>
      <c r="E58" s="372">
        <f t="shared" si="30"/>
        <v>0</v>
      </c>
      <c r="F58" s="67">
        <f t="shared" si="31"/>
        <v>0</v>
      </c>
      <c r="G58" s="67">
        <f t="shared" si="32"/>
        <v>0</v>
      </c>
      <c r="H58" s="56">
        <f aca="true" t="shared" si="33" ref="H58:H64">E58+F58+G58</f>
        <v>0</v>
      </c>
      <c r="I58" s="372">
        <v>0</v>
      </c>
      <c r="J58" s="56">
        <v>0</v>
      </c>
    </row>
    <row r="59" spans="1:10" ht="12.75">
      <c r="A59" s="311" t="s">
        <v>56</v>
      </c>
      <c r="B59" s="367">
        <f>N21-N23-N25</f>
        <v>0</v>
      </c>
      <c r="C59" s="63">
        <f>O21-O23-O25</f>
        <v>0</v>
      </c>
      <c r="D59" s="368">
        <f>P21-P23-P25</f>
        <v>0</v>
      </c>
      <c r="E59" s="372">
        <f t="shared" si="30"/>
        <v>0</v>
      </c>
      <c r="F59" s="67">
        <f t="shared" si="31"/>
        <v>0</v>
      </c>
      <c r="G59" s="67">
        <f t="shared" si="32"/>
        <v>0</v>
      </c>
      <c r="H59" s="56">
        <f t="shared" si="33"/>
        <v>0</v>
      </c>
      <c r="I59" s="372">
        <v>0</v>
      </c>
      <c r="J59" s="56">
        <v>0</v>
      </c>
    </row>
    <row r="60" spans="1:10" ht="12.75">
      <c r="A60" s="311" t="s">
        <v>55</v>
      </c>
      <c r="B60" s="367">
        <f>N22-N26</f>
        <v>0</v>
      </c>
      <c r="C60" s="63">
        <f>O22-O26</f>
        <v>0</v>
      </c>
      <c r="D60" s="368">
        <f>P22-P26</f>
        <v>0</v>
      </c>
      <c r="E60" s="372">
        <f t="shared" si="30"/>
        <v>0</v>
      </c>
      <c r="F60" s="67">
        <f t="shared" si="31"/>
        <v>0</v>
      </c>
      <c r="G60" s="67">
        <f t="shared" si="32"/>
        <v>0</v>
      </c>
      <c r="H60" s="56">
        <f t="shared" si="33"/>
        <v>0</v>
      </c>
      <c r="I60" s="372">
        <v>0</v>
      </c>
      <c r="J60" s="56">
        <v>0</v>
      </c>
    </row>
    <row r="61" spans="1:10" ht="12.75">
      <c r="A61" s="311" t="s">
        <v>45</v>
      </c>
      <c r="B61" s="367">
        <f>N23-N24</f>
        <v>0</v>
      </c>
      <c r="C61" s="63">
        <f>O23-O24</f>
        <v>0</v>
      </c>
      <c r="D61" s="368">
        <f>P23-P24</f>
        <v>0</v>
      </c>
      <c r="E61" s="372">
        <f t="shared" si="30"/>
        <v>0</v>
      </c>
      <c r="F61" s="67">
        <f t="shared" si="31"/>
        <v>0</v>
      </c>
      <c r="G61" s="67">
        <f t="shared" si="32"/>
        <v>0</v>
      </c>
      <c r="H61" s="56">
        <f t="shared" si="33"/>
        <v>0</v>
      </c>
      <c r="I61" s="372">
        <v>0</v>
      </c>
      <c r="J61" s="56">
        <v>0</v>
      </c>
    </row>
    <row r="62" spans="1:10" ht="12.75">
      <c r="A62" s="311" t="s">
        <v>42</v>
      </c>
      <c r="B62" s="367">
        <f>N24</f>
        <v>0</v>
      </c>
      <c r="C62" s="63">
        <f aca="true" t="shared" si="34" ref="C62:D64">O24</f>
        <v>0</v>
      </c>
      <c r="D62" s="368">
        <f t="shared" si="34"/>
        <v>0</v>
      </c>
      <c r="E62" s="372">
        <f t="shared" si="30"/>
        <v>0</v>
      </c>
      <c r="F62" s="67">
        <f t="shared" si="31"/>
        <v>0</v>
      </c>
      <c r="G62" s="67">
        <f t="shared" si="32"/>
        <v>0</v>
      </c>
      <c r="H62" s="56">
        <f t="shared" si="33"/>
        <v>0</v>
      </c>
      <c r="I62" s="372">
        <v>0</v>
      </c>
      <c r="J62" s="56">
        <v>0</v>
      </c>
    </row>
    <row r="63" spans="1:10" ht="12.75">
      <c r="A63" s="311" t="s">
        <v>43</v>
      </c>
      <c r="B63" s="367">
        <f>N25</f>
        <v>0</v>
      </c>
      <c r="C63" s="63">
        <f t="shared" si="34"/>
        <v>0</v>
      </c>
      <c r="D63" s="368">
        <f t="shared" si="34"/>
        <v>0</v>
      </c>
      <c r="E63" s="372">
        <f t="shared" si="30"/>
        <v>0</v>
      </c>
      <c r="F63" s="67">
        <f t="shared" si="31"/>
        <v>0</v>
      </c>
      <c r="G63" s="67">
        <f t="shared" si="32"/>
        <v>0</v>
      </c>
      <c r="H63" s="56">
        <f t="shared" si="33"/>
        <v>0</v>
      </c>
      <c r="I63" s="372">
        <v>0</v>
      </c>
      <c r="J63" s="56">
        <v>0</v>
      </c>
    </row>
    <row r="64" spans="1:10" ht="12.75">
      <c r="A64" s="311" t="s">
        <v>15</v>
      </c>
      <c r="B64" s="367">
        <f>N26</f>
        <v>0</v>
      </c>
      <c r="C64" s="63">
        <f t="shared" si="34"/>
        <v>0</v>
      </c>
      <c r="D64" s="368">
        <f t="shared" si="34"/>
        <v>0</v>
      </c>
      <c r="E64" s="372">
        <f t="shared" si="30"/>
        <v>0</v>
      </c>
      <c r="F64" s="67">
        <f t="shared" si="31"/>
        <v>0</v>
      </c>
      <c r="G64" s="67">
        <f t="shared" si="32"/>
        <v>0</v>
      </c>
      <c r="H64" s="56">
        <f t="shared" si="33"/>
        <v>0</v>
      </c>
      <c r="I64" s="372">
        <v>0</v>
      </c>
      <c r="J64" s="56">
        <v>0</v>
      </c>
    </row>
    <row r="65" spans="1:10" ht="13.5" thickBot="1">
      <c r="A65" s="365" t="s">
        <v>59</v>
      </c>
      <c r="B65" s="369">
        <f aca="true" t="shared" si="35" ref="B65:H65">SUM(B57:B64)</f>
        <v>0</v>
      </c>
      <c r="C65" s="275">
        <f t="shared" si="35"/>
        <v>0</v>
      </c>
      <c r="D65" s="370">
        <f t="shared" si="35"/>
        <v>0</v>
      </c>
      <c r="E65" s="373">
        <f t="shared" si="35"/>
        <v>0</v>
      </c>
      <c r="F65" s="363">
        <f t="shared" si="35"/>
        <v>0</v>
      </c>
      <c r="G65" s="363">
        <f t="shared" si="35"/>
        <v>0</v>
      </c>
      <c r="H65" s="364">
        <f t="shared" si="35"/>
        <v>0</v>
      </c>
      <c r="I65" s="374">
        <f>SUM(I57:I64)</f>
        <v>0</v>
      </c>
      <c r="J65" s="375">
        <v>0</v>
      </c>
    </row>
  </sheetData>
  <sheetProtection/>
  <mergeCells count="21">
    <mergeCell ref="N42:Q42"/>
    <mergeCell ref="R42:U42"/>
    <mergeCell ref="V42:Y42"/>
    <mergeCell ref="A55:A56"/>
    <mergeCell ref="B55:D55"/>
    <mergeCell ref="E55:H55"/>
    <mergeCell ref="A29:B29"/>
    <mergeCell ref="A30:A31"/>
    <mergeCell ref="B30:E30"/>
    <mergeCell ref="F30:I30"/>
    <mergeCell ref="J30:M30"/>
    <mergeCell ref="A42:A43"/>
    <mergeCell ref="B42:E42"/>
    <mergeCell ref="F42:I42"/>
    <mergeCell ref="J42:M42"/>
    <mergeCell ref="A16:C16"/>
    <mergeCell ref="A17:A18"/>
    <mergeCell ref="B17:E17"/>
    <mergeCell ref="F17:I17"/>
    <mergeCell ref="J17:M17"/>
    <mergeCell ref="N17:Q17"/>
  </mergeCells>
  <printOptions/>
  <pageMargins left="0.45" right="0.45" top="0.5" bottom="0.5" header="0.3" footer="0.3"/>
  <pageSetup fitToHeight="1" fitToWidth="1" horizontalDpi="600" verticalDpi="600" orientation="landscape" paperSize="5" scale="3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11" width="16.7109375" style="0" customWidth="1"/>
    <col min="12" max="13" width="15.7109375" style="0" customWidth="1"/>
  </cols>
  <sheetData>
    <row r="1" spans="1:12" ht="18.75">
      <c r="A1" s="3" t="s">
        <v>303</v>
      </c>
      <c r="B1" s="6"/>
      <c r="C1" s="6"/>
      <c r="D1" s="6"/>
      <c r="E1" s="58" t="s">
        <v>24</v>
      </c>
      <c r="F1" s="58" t="s">
        <v>24</v>
      </c>
      <c r="G1" s="58" t="s">
        <v>24</v>
      </c>
      <c r="H1" s="6"/>
      <c r="I1" s="6"/>
      <c r="J1" s="6"/>
      <c r="K1" s="6"/>
      <c r="L1" s="6"/>
    </row>
    <row r="2" spans="1:12" ht="13.5" thickBot="1">
      <c r="A2" s="12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thickBot="1">
      <c r="A3" s="125" t="s">
        <v>0</v>
      </c>
      <c r="B3" s="6"/>
      <c r="C3" s="6"/>
      <c r="D3" s="1" t="s">
        <v>24</v>
      </c>
      <c r="E3" s="6"/>
      <c r="F3" s="6"/>
      <c r="G3" s="6"/>
      <c r="H3" s="6"/>
      <c r="I3" s="6"/>
      <c r="J3" s="6"/>
      <c r="K3" s="6"/>
      <c r="L3" s="6"/>
    </row>
    <row r="4" spans="1:12" ht="12.75">
      <c r="A4" s="116" t="s">
        <v>1</v>
      </c>
      <c r="B4" s="117">
        <v>0.162</v>
      </c>
      <c r="C4" s="6"/>
      <c r="D4" s="21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K4" s="6"/>
      <c r="L4" s="23" t="s">
        <v>24</v>
      </c>
    </row>
    <row r="5" spans="1:12" ht="12.75">
      <c r="A5" s="118" t="s">
        <v>2</v>
      </c>
      <c r="B5" s="119">
        <v>0.0597</v>
      </c>
      <c r="C5" s="6"/>
      <c r="D5" s="288" t="s">
        <v>24</v>
      </c>
      <c r="E5" s="14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</row>
    <row r="6" spans="1:12" ht="12.75">
      <c r="A6" s="55" t="s">
        <v>4</v>
      </c>
      <c r="B6" s="120">
        <v>1.0926</v>
      </c>
      <c r="C6" s="6"/>
      <c r="D6" s="72" t="s">
        <v>24</v>
      </c>
      <c r="E6" s="38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</row>
    <row r="7" spans="1:12" ht="12.75">
      <c r="A7" s="55" t="s">
        <v>38</v>
      </c>
      <c r="B7" s="121">
        <v>141983.1</v>
      </c>
      <c r="C7" s="6"/>
      <c r="D7" s="10" t="s">
        <v>24</v>
      </c>
      <c r="E7" s="14" t="s">
        <v>24</v>
      </c>
      <c r="F7" s="37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</row>
    <row r="8" spans="1:12" ht="12.75">
      <c r="A8" s="55" t="s">
        <v>39</v>
      </c>
      <c r="B8" s="122" t="s">
        <v>304</v>
      </c>
      <c r="C8" s="6"/>
      <c r="D8" s="10" t="s">
        <v>24</v>
      </c>
      <c r="E8" s="14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</row>
    <row r="9" spans="1:12" ht="12.75">
      <c r="A9" s="55" t="s">
        <v>40</v>
      </c>
      <c r="B9" s="123">
        <f>0*'BRA Load Pricing Results'!B9</f>
        <v>0</v>
      </c>
      <c r="C9" s="6"/>
      <c r="D9" s="9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</row>
    <row r="10" spans="1:12" ht="13.5" thickBot="1">
      <c r="A10" s="57" t="s">
        <v>23</v>
      </c>
      <c r="B10" s="124">
        <f>(B15-B9)/(G54*B6)</f>
        <v>1.0359914726644224</v>
      </c>
      <c r="C10" s="276" t="s">
        <v>24</v>
      </c>
      <c r="D10" s="289" t="s">
        <v>24</v>
      </c>
      <c r="E10" s="14" t="s">
        <v>24</v>
      </c>
      <c r="F10" s="37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</row>
    <row r="11" spans="1:12" ht="12.75">
      <c r="A11" s="6"/>
      <c r="B11" s="7"/>
      <c r="C11" s="6"/>
      <c r="D11" s="12"/>
      <c r="E11" s="7" t="s">
        <v>24</v>
      </c>
      <c r="F11" s="4" t="s">
        <v>24</v>
      </c>
      <c r="G11" s="7"/>
      <c r="H11" s="28" t="s">
        <v>24</v>
      </c>
      <c r="I11" s="6"/>
      <c r="J11" s="6"/>
      <c r="K11" s="6"/>
      <c r="L11" s="6" t="s">
        <v>24</v>
      </c>
    </row>
    <row r="12" spans="1:12" ht="13.5" thickBot="1">
      <c r="A12" s="12"/>
      <c r="B12" s="222"/>
      <c r="C12" s="454"/>
      <c r="D12" s="35"/>
      <c r="E12" s="36"/>
      <c r="F12" s="25"/>
      <c r="G12" s="25"/>
      <c r="H12" s="25"/>
      <c r="I12" s="75"/>
      <c r="J12" s="75"/>
      <c r="K12" s="75"/>
      <c r="L12" s="52"/>
    </row>
    <row r="13" spans="1:12" ht="15.75" thickBot="1">
      <c r="A13" s="109" t="s">
        <v>78</v>
      </c>
      <c r="B13" s="35"/>
      <c r="C13" s="35"/>
      <c r="D13" s="35"/>
      <c r="E13" s="711" t="s">
        <v>24</v>
      </c>
      <c r="F13" s="712"/>
      <c r="G13" s="712"/>
      <c r="H13" s="712"/>
      <c r="I13" s="75"/>
      <c r="J13" s="75"/>
      <c r="K13" s="75"/>
      <c r="L13" s="52"/>
    </row>
    <row r="14" spans="1:12" ht="89.25">
      <c r="A14" s="110" t="s">
        <v>3</v>
      </c>
      <c r="B14" s="112" t="s">
        <v>198</v>
      </c>
      <c r="C14" s="112" t="s">
        <v>199</v>
      </c>
      <c r="D14" s="112" t="s">
        <v>200</v>
      </c>
      <c r="E14" s="112" t="s">
        <v>290</v>
      </c>
      <c r="F14" s="112" t="s">
        <v>157</v>
      </c>
      <c r="G14" s="112" t="s">
        <v>291</v>
      </c>
      <c r="H14" s="112" t="s">
        <v>238</v>
      </c>
      <c r="I14" s="112" t="s">
        <v>201</v>
      </c>
      <c r="J14" s="112" t="s">
        <v>202</v>
      </c>
      <c r="K14" s="113" t="s">
        <v>203</v>
      </c>
      <c r="L14" s="83"/>
    </row>
    <row r="15" spans="1:12" ht="12.75">
      <c r="A15" s="55" t="s">
        <v>6</v>
      </c>
      <c r="B15" s="213">
        <f>'BRA Resource Clearing Results'!E17-'1stIA Resource Clearing Results'!M19-'2ndIA Resource Clearing Results'!M19-'3rdIA Resource Clearing Results'!M19+B9</f>
        <v>147093.3</v>
      </c>
      <c r="C15" s="231">
        <f>('BRA Resource Clearing Results'!E17*'BRA Resource Clearing Results'!B5-'1stIA Resource Clearing Results'!M19*'1stIA Resource Clearing Results'!B5-'2ndIA Resource Clearing Results'!M19*'2ndIA Resource Clearing Results'!B5-'3rdIA Resource Clearing Results'!M19*'3rdIA Resource Clearing Results'!B5)/('BRA Resource Clearing Results'!E17-'1stIA Resource Clearing Results'!M19-'2ndIA Resource Clearing Results'!M19-'3rdIA Resource Clearing Results'!M19)</f>
        <v>127.88565498224594</v>
      </c>
      <c r="D15" s="231">
        <f>('BRA Resource Clearing Results'!E17*'BRA Resource Clearing Results'!C5-'1stIA Resource Clearing Results'!M19*'1stIA Resource Clearing Results'!C5-'2ndIA Resource Clearing Results'!M19*'2ndIA Resource Clearing Results'!C5-'3rdIA Resource Clearing Results'!M19*'3rdIA Resource Clearing Results'!C5)/('BRA Resource Clearing Results'!E17-'1stIA Resource Clearing Results'!M19-'2ndIA Resource Clearing Results'!M19-'3rdIA Resource Clearing Results'!M19)</f>
        <v>0</v>
      </c>
      <c r="E15" s="214">
        <f>('BRA Resource Clearing Results'!C17+'BRA Resource Clearing Results'!D17)*'BRA Resource Clearing Results'!E5-('1stIA Resource Clearing Results'!K19+'1stIA Resource Clearing Results'!L19)*'1stIA Resource Clearing Results'!E5-('2ndIA Resource Clearing Results'!K19+'2ndIA Resource Clearing Results'!L19)*'2ndIA Resource Clearing Results'!E5-('3rdIA Resource Clearing Results'!K19+'3rdIA Resource Clearing Results'!L19)*'3rdIA Resource Clearing Results'!E5+713.408</f>
        <v>72883.108</v>
      </c>
      <c r="F15" s="231">
        <f>E15/B15</f>
        <v>0.4954889719654124</v>
      </c>
      <c r="G15" s="214">
        <f>'BRA Resource Clearing Results'!D17*'BRA Resource Clearing Results'!G5-'1stIA Resource Clearing Results'!L19*'1stIA Resource Clearing Results'!G5-'2ndIA Resource Clearing Results'!L19*'2ndIA Resource Clearing Results'!G5-'3rdIA Resource Clearing Results'!L19*'3rdIA Resource Clearing Results'!G5</f>
        <v>0</v>
      </c>
      <c r="H15" s="231">
        <f>G15/B15</f>
        <v>0</v>
      </c>
      <c r="I15" s="214">
        <f>'BRA Resource Clearing Results'!J40+'1stIA Resource Clearing Results'!H57+'2ndIA Resource Clearing Results'!H57+'3rdIA Resource Clearing Results'!H57</f>
        <v>0</v>
      </c>
      <c r="J15" s="231">
        <f>I15/B15</f>
        <v>0</v>
      </c>
      <c r="K15" s="233">
        <f>C15+D15+F15+H15+J15</f>
        <v>128.38114395421135</v>
      </c>
      <c r="L15" s="456"/>
    </row>
    <row r="16" spans="1:12" ht="12.75">
      <c r="A16" s="55" t="s">
        <v>30</v>
      </c>
      <c r="B16" s="213">
        <f>K35+K39+(SUM(K45:K53))</f>
        <v>66139.46778190986</v>
      </c>
      <c r="C16" s="231">
        <f>$C$15</f>
        <v>127.88565498224594</v>
      </c>
      <c r="D16" s="231">
        <f>D15+('BRA Resource Clearing Results'!E18*'BRA Resource Clearing Results'!C6-'1stIA Resource Clearing Results'!M20*'1stIA Resource Clearing Results'!C6-'2ndIA Resource Clearing Results'!M20*'2ndIA Resource Clearing Results'!C6-'3rdIA Resource Clearing Results'!M20*'3rdIA Resource Clearing Results'!C6)/('BRA Resource Clearing Results'!E18-'1stIA Resource Clearing Results'!M20-'2ndIA Resource Clearing Results'!M20-'3rdIA Resource Clearing Results'!M20)</f>
        <v>-0.6194749615266238</v>
      </c>
      <c r="E16" s="214">
        <f>('BRA Resource Clearing Results'!C18+'BRA Resource Clearing Results'!D18)*('BRA Resource Clearing Results'!E6-'BRA Resource Clearing Results'!E5)-('1stIA Resource Clearing Results'!K20+'1stIA Resource Clearing Results'!L20)*('1stIA Resource Clearing Results'!E6-'1stIA Resource Clearing Results'!E5)-('2ndIA Resource Clearing Results'!K20+'2ndIA Resource Clearing Results'!L20)*('2ndIA Resource Clearing Results'!E6-'2ndIA Resource Clearing Results'!E5)-('3rdIA Resource Clearing Results'!K20+'3rdIA Resource Clearing Results'!L20)*('3rdIA Resource Clearing Results'!E6-'3rdIA Resource Clearing Results'!E5)+542.316</f>
        <v>644873.287</v>
      </c>
      <c r="F16" s="231">
        <f>F15+(E16/B16)</f>
        <v>10.245692725137776</v>
      </c>
      <c r="G16" s="214">
        <f>'BRA Resource Clearing Results'!D18*('BRA Resource Clearing Results'!G6-'BRA Resource Clearing Results'!G5)-'1stIA Resource Clearing Results'!L20*('1stIA Resource Clearing Results'!G6-'1stIA Resource Clearing Results'!G5)-'2ndIA Resource Clearing Results'!L20*('2ndIA Resource Clearing Results'!G6-'2ndIA Resource Clearing Results'!G5)-'3rdIA Resource Clearing Results'!L20*('3rdIA Resource Clearing Results'!G6-'3rdIA Resource Clearing Results'!G5)</f>
        <v>0</v>
      </c>
      <c r="H16" s="231">
        <f>H15+(G16/B16)</f>
        <v>0</v>
      </c>
      <c r="I16" s="214">
        <f>'BRA Resource Clearing Results'!J41+'1stIA Resource Clearing Results'!H58+'2ndIA Resource Clearing Results'!H58+'3rdIA Resource Clearing Results'!H58</f>
        <v>0</v>
      </c>
      <c r="J16" s="231">
        <f>J15+I16/B16</f>
        <v>0</v>
      </c>
      <c r="K16" s="233">
        <f>C16+D16+F16+H16+J16</f>
        <v>137.5118727458571</v>
      </c>
      <c r="L16" s="456"/>
    </row>
    <row r="17" spans="1:12" ht="12.75">
      <c r="A17" s="55" t="s">
        <v>41</v>
      </c>
      <c r="B17" s="213">
        <f>K35+K45+K46+K48+K52+K53</f>
        <v>36098.19731021012</v>
      </c>
      <c r="C17" s="231">
        <f>$C$15</f>
        <v>127.88565498224594</v>
      </c>
      <c r="D17" s="231">
        <f>D16+('BRA Resource Clearing Results'!E19*'BRA Resource Clearing Results'!C7-'1stIA Resource Clearing Results'!M21*'1stIA Resource Clearing Results'!C7-'2ndIA Resource Clearing Results'!M21*'2ndIA Resource Clearing Results'!C7-'3rdIA Resource Clearing Results'!M21*'3rdIA Resource Clearing Results'!C7)/('BRA Resource Clearing Results'!E19-'1stIA Resource Clearing Results'!M21-'2ndIA Resource Clearing Results'!M21-'3rdIA Resource Clearing Results'!M21)</f>
        <v>-0.6194749615266238</v>
      </c>
      <c r="E17" s="214">
        <f>('BRA Resource Clearing Results'!C19+'BRA Resource Clearing Results'!D19)*('BRA Resource Clearing Results'!E7-'BRA Resource Clearing Results'!E6)-('1stIA Resource Clearing Results'!K21+'1stIA Resource Clearing Results'!L21)*('1stIA Resource Clearing Results'!E7-'1stIA Resource Clearing Results'!E6)-('2ndIA Resource Clearing Results'!K21+'2ndIA Resource Clearing Results'!L21)*('2ndIA Resource Clearing Results'!E7-'2ndIA Resource Clearing Results'!E6)-('3rdIA Resource Clearing Results'!K21+'3rdIA Resource Clearing Results'!L21)*('3rdIA Resource Clearing Results'!E7-'3rdIA Resource Clearing Results'!E6)+246.985</f>
        <v>246.985</v>
      </c>
      <c r="F17" s="231">
        <f>F16+(E17/B17)</f>
        <v>10.252534756552185</v>
      </c>
      <c r="G17" s="214">
        <f>'BRA Resource Clearing Results'!D19*('BRA Resource Clearing Results'!G7-'BRA Resource Clearing Results'!G6)-'1stIA Resource Clearing Results'!L21*('1stIA Resource Clearing Results'!G7-'1stIA Resource Clearing Results'!G6)-'2ndIA Resource Clearing Results'!L21*('2ndIA Resource Clearing Results'!G7-'2ndIA Resource Clearing Results'!G6)-'3rdIA Resource Clearing Results'!L21*('3rdIA Resource Clearing Results'!G7-'3rdIA Resource Clearing Results'!G6)</f>
        <v>0</v>
      </c>
      <c r="H17" s="231">
        <f>H16+(G17/B17)</f>
        <v>0</v>
      </c>
      <c r="I17" s="214">
        <f>'BRA Resource Clearing Results'!J42+'1stIA Resource Clearing Results'!H59+'2ndIA Resource Clearing Results'!H59+'3rdIA Resource Clearing Results'!H59</f>
        <v>0</v>
      </c>
      <c r="J17" s="231">
        <f>J16+I17/B17</f>
        <v>0</v>
      </c>
      <c r="K17" s="233">
        <f>C17+D17+F17+H17+J17</f>
        <v>137.5187147772715</v>
      </c>
      <c r="L17" s="456"/>
    </row>
    <row r="18" spans="1:12" ht="12.75">
      <c r="A18" s="55" t="s">
        <v>5</v>
      </c>
      <c r="B18" s="213">
        <f>K39+K50</f>
        <v>15383.982930703514</v>
      </c>
      <c r="C18" s="231">
        <f>$C$15</f>
        <v>127.88565498224594</v>
      </c>
      <c r="D18" s="231">
        <f>D16+('BRA Resource Clearing Results'!E20*'BRA Resource Clearing Results'!C8-'1stIA Resource Clearing Results'!M22*'1stIA Resource Clearing Results'!C8-'2ndIA Resource Clearing Results'!M22*'2ndIA Resource Clearing Results'!C8-'3rdIA Resource Clearing Results'!M22*'3rdIA Resource Clearing Results'!C8)/('BRA Resource Clearing Results'!E20-'1stIA Resource Clearing Results'!M22-'2ndIA Resource Clearing Results'!M22-'3rdIA Resource Clearing Results'!M22)</f>
        <v>-0.6194749615266238</v>
      </c>
      <c r="E18" s="214">
        <f>('BRA Resource Clearing Results'!C20+'BRA Resource Clearing Results'!D20)*('BRA Resource Clearing Results'!E8-'BRA Resource Clearing Results'!E6)-('1stIA Resource Clearing Results'!K22+'1stIA Resource Clearing Results'!L22)*('1stIA Resource Clearing Results'!E8-'1stIA Resource Clearing Results'!E6)-('2ndIA Resource Clearing Results'!K22+'2ndIA Resource Clearing Results'!L22)*('2ndIA Resource Clearing Results'!E8-'2ndIA Resource Clearing Results'!E6)-('3rdIA Resource Clearing Results'!K22+'3rdIA Resource Clearing Results'!L22)*('3rdIA Resource Clearing Results'!E8-'3rdIA Resource Clearing Results'!E6)</f>
        <v>0</v>
      </c>
      <c r="F18" s="231">
        <f>F16+(E18/B18)</f>
        <v>10.245692725137776</v>
      </c>
      <c r="G18" s="214">
        <f>'BRA Resource Clearing Results'!D20*('BRA Resource Clearing Results'!G8-'BRA Resource Clearing Results'!G6)-'1stIA Resource Clearing Results'!L22*('1stIA Resource Clearing Results'!G8-'1stIA Resource Clearing Results'!G6)-'2ndIA Resource Clearing Results'!L22*('2ndIA Resource Clearing Results'!G8-'2ndIA Resource Clearing Results'!G6)-'3rdIA Resource Clearing Results'!L22*('3rdIA Resource Clearing Results'!G8-'3rdIA Resource Clearing Results'!G6)</f>
        <v>0</v>
      </c>
      <c r="H18" s="231">
        <f>H16+(G18/B18)</f>
        <v>0</v>
      </c>
      <c r="I18" s="214">
        <f>'BRA Resource Clearing Results'!J43+'1stIA Resource Clearing Results'!H60+'2ndIA Resource Clearing Results'!H60+'3rdIA Resource Clearing Results'!H60</f>
        <v>0</v>
      </c>
      <c r="J18" s="231">
        <f>J16+I18/B18</f>
        <v>0</v>
      </c>
      <c r="K18" s="233">
        <f>C18+D18+F18+H18+J18</f>
        <v>137.5118727458571</v>
      </c>
      <c r="L18" s="456"/>
    </row>
    <row r="19" spans="1:12" ht="13.5" thickBot="1">
      <c r="A19" s="57" t="s">
        <v>15</v>
      </c>
      <c r="B19" s="215">
        <f>K50</f>
        <v>7472.964116584843</v>
      </c>
      <c r="C19" s="307">
        <f>$C$15</f>
        <v>127.88565498224594</v>
      </c>
      <c r="D19" s="307">
        <f>D18+('BRA Resource Clearing Results'!E24*'BRA Resource Clearing Results'!C12-'1stIA Resource Clearing Results'!M26*'1stIA Resource Clearing Results'!C12-'2ndIA Resource Clearing Results'!M26*'2ndIA Resource Clearing Results'!C12-'3rdIA Resource Clearing Results'!M26*'3rdIA Resource Clearing Results'!C12)/('BRA Resource Clearing Results'!E24-'1stIA Resource Clearing Results'!M26-'2ndIA Resource Clearing Results'!M26-'3rdIA Resource Clearing Results'!M26)</f>
        <v>-0.6194749615266238</v>
      </c>
      <c r="E19" s="130">
        <f>('BRA Resource Clearing Results'!C24+'BRA Resource Clearing Results'!D24)*('BRA Resource Clearing Results'!E12-'BRA Resource Clearing Results'!E8)-('1stIA Resource Clearing Results'!K26+'1stIA Resource Clearing Results'!L26)*('1stIA Resource Clearing Results'!E12-'1stIA Resource Clearing Results'!E8)-('2ndIA Resource Clearing Results'!K26+'2ndIA Resource Clearing Results'!L26)*('2ndIA Resource Clearing Results'!E12-'2ndIA Resource Clearing Results'!E8)-('3rdIA Resource Clearing Results'!K26+'3rdIA Resource Clearing Results'!L26)*('3rdIA Resource Clearing Results'!E12-'3rdIA Resource Clearing Results'!E8)</f>
        <v>0</v>
      </c>
      <c r="F19" s="307">
        <f>F18+(E19/B19)</f>
        <v>10.245692725137776</v>
      </c>
      <c r="G19" s="130">
        <f>'BRA Resource Clearing Results'!D24*('BRA Resource Clearing Results'!G12-'BRA Resource Clearing Results'!G8)-'1stIA Resource Clearing Results'!L23*('1stIA Resource Clearing Results'!G12-'1stIA Resource Clearing Results'!G8)-'2ndIA Resource Clearing Results'!L23*('2ndIA Resource Clearing Results'!G12-'2ndIA Resource Clearing Results'!G8)-'3rdIA Resource Clearing Results'!L23*('3rdIA Resource Clearing Results'!G12-'3rdIA Resource Clearing Results'!G8)</f>
        <v>0</v>
      </c>
      <c r="H19" s="307">
        <f>H18+(G19/B19)</f>
        <v>0</v>
      </c>
      <c r="I19" s="130">
        <f>'BRA Resource Clearing Results'!J47+'1stIA Resource Clearing Results'!H64+'2ndIA Resource Clearing Results'!H64+'3rdIA Resource Clearing Results'!H64</f>
        <v>0</v>
      </c>
      <c r="J19" s="307">
        <f>J18+I19/B19</f>
        <v>0</v>
      </c>
      <c r="K19" s="309">
        <f>C19+D19+F19+H19+J19</f>
        <v>137.5118727458571</v>
      </c>
      <c r="L19" s="456"/>
    </row>
    <row r="20" spans="1:12" ht="12.75">
      <c r="A20" s="202" t="s">
        <v>159</v>
      </c>
      <c r="B20" s="35"/>
      <c r="C20" s="18"/>
      <c r="D20" s="295" t="s">
        <v>24</v>
      </c>
      <c r="E20" s="51" t="s">
        <v>24</v>
      </c>
      <c r="F20" s="81"/>
      <c r="H20" s="88"/>
      <c r="I20" s="88"/>
      <c r="J20" s="341"/>
      <c r="K20" s="88"/>
      <c r="L20" s="15"/>
    </row>
    <row r="21" spans="1:12" ht="12.75">
      <c r="A21" s="32" t="s">
        <v>294</v>
      </c>
      <c r="B21" s="32"/>
      <c r="C21" s="32"/>
      <c r="D21" s="32"/>
      <c r="E21" s="32"/>
      <c r="F21" s="32"/>
      <c r="G21" s="32"/>
      <c r="H21" s="32"/>
      <c r="I21" s="88"/>
      <c r="J21" s="341"/>
      <c r="K21" s="88"/>
      <c r="L21" s="612"/>
    </row>
    <row r="22" spans="1:12" ht="12.75">
      <c r="A22" s="203"/>
      <c r="B22" s="35"/>
      <c r="C22" s="18"/>
      <c r="D22" s="18"/>
      <c r="E22" s="18"/>
      <c r="F22" s="81"/>
      <c r="H22" s="35"/>
      <c r="I22" s="35"/>
      <c r="J22" s="18"/>
      <c r="K22" s="35"/>
      <c r="L22" s="15"/>
    </row>
    <row r="23" spans="1:12" ht="30.75" thickBot="1">
      <c r="A23" s="217" t="s">
        <v>127</v>
      </c>
      <c r="B23" s="6"/>
      <c r="C23" s="6"/>
      <c r="D23" s="78" t="s">
        <v>24</v>
      </c>
      <c r="E23" s="4" t="s">
        <v>24</v>
      </c>
      <c r="F23" s="6"/>
      <c r="G23" s="6"/>
      <c r="H23" s="6"/>
      <c r="I23" s="6"/>
      <c r="J23" s="39" t="s">
        <v>24</v>
      </c>
      <c r="K23" s="60" t="s">
        <v>24</v>
      </c>
      <c r="L23" s="6"/>
    </row>
    <row r="24" spans="1:12" ht="89.25">
      <c r="A24" s="218" t="s">
        <v>81</v>
      </c>
      <c r="B24" s="112" t="s">
        <v>163</v>
      </c>
      <c r="C24" s="112" t="s">
        <v>305</v>
      </c>
      <c r="D24" s="111" t="s">
        <v>306</v>
      </c>
      <c r="E24" s="112" t="s">
        <v>292</v>
      </c>
      <c r="F24" s="112" t="s">
        <v>239</v>
      </c>
      <c r="G24" s="112" t="s">
        <v>293</v>
      </c>
      <c r="H24" s="112" t="s">
        <v>240</v>
      </c>
      <c r="I24" s="111" t="s">
        <v>205</v>
      </c>
      <c r="J24" s="111" t="s">
        <v>241</v>
      </c>
      <c r="K24" s="128" t="s">
        <v>206</v>
      </c>
      <c r="L24" s="6"/>
    </row>
    <row r="25" spans="1:12" ht="12.75">
      <c r="A25" s="55" t="s">
        <v>45</v>
      </c>
      <c r="B25" s="45"/>
      <c r="C25" s="213">
        <f>'BRA Resource Clearing Results'!E32-'1stIA Resource Clearing Results'!M48-'2ndIA Resource Clearing Results'!M48-'3rdIA Resource Clearing Results'!M48</f>
        <v>3521</v>
      </c>
      <c r="D25" s="67">
        <f>('BRA Resource Clearing Results'!E21*'BRA Resource Clearing Results'!C9-'1stIA Resource Clearing Results'!M23*'1stIA Resource Clearing Results'!C9-'2ndIA Resource Clearing Results'!M23*'2ndIA Resource Clearing Results'!C9-'3rdIA Resource Clearing Results'!M23*'3rdIA Resource Clearing Results'!C9)/('BRA Resource Clearing Results'!E21-'1stIA Resource Clearing Results'!M23-'2ndIA Resource Clearing Results'!M23-'3rdIA Resource Clearing Results'!M23)</f>
        <v>0</v>
      </c>
      <c r="E25" s="67">
        <f>('BRA Resource Clearing Results'!C21+'BRA Resource Clearing Results'!D21)*('BRA Resource Clearing Results'!E9-'BRA Resource Clearing Results'!E7)-('1stIA Resource Clearing Results'!K23+'1stIA Resource Clearing Results'!L23)*('1stIA Resource Clearing Results'!E9-'1stIA Resource Clearing Results'!E7)-('2ndIA Resource Clearing Results'!K23+'2ndIA Resource Clearing Results'!L23)*('2ndIA Resource Clearing Results'!E9-'2ndIA Resource Clearing Results'!E7)-('3rdIA Resource Clearing Results'!K23+'3rdIA Resource Clearing Results'!L23)*('3rdIA Resource Clearing Results'!E9-'3rdIA Resource Clearing Results'!E7)</f>
        <v>0</v>
      </c>
      <c r="F25" s="67"/>
      <c r="G25" s="67">
        <f>'BRA Resource Clearing Results'!D21*('BRA Resource Clearing Results'!G9-'BRA Resource Clearing Results'!G7)-'1stIA Resource Clearing Results'!L23*('1stIA Resource Clearing Results'!G9-'1stIA Resource Clearing Results'!G7)-'2ndIA Resource Clearing Results'!L23*('2ndIA Resource Clearing Results'!G9-'2ndIA Resource Clearing Results'!G7)-'3rdIA Resource Clearing Results'!L23*('3rdIA Resource Clearing Results'!G9-'3rdIA Resource Clearing Results'!G7)</f>
        <v>0</v>
      </c>
      <c r="H25" s="67"/>
      <c r="I25" s="96">
        <f>'BRA Resource Clearing Results'!J44+'1stIA Resource Clearing Results'!H61+'2ndIA Resource Clearing Results'!H61+'3rdIA Resource Clearing Results'!H61</f>
        <v>0</v>
      </c>
      <c r="J25" s="45"/>
      <c r="K25" s="131"/>
      <c r="L25" s="6"/>
    </row>
    <row r="26" spans="1:12" ht="12.75">
      <c r="A26" s="55" t="s">
        <v>42</v>
      </c>
      <c r="B26" s="45"/>
      <c r="C26" s="73">
        <f>'BRA Resource Clearing Results'!E33-'1stIA Resource Clearing Results'!M49-'2ndIA Resource Clearing Results'!M49-'3rdIA Resource Clearing Results'!M49</f>
        <v>4006.7000000000003</v>
      </c>
      <c r="D26" s="67">
        <f>D25+('BRA Resource Clearing Results'!E22*'BRA Resource Clearing Results'!C10-'1stIA Resource Clearing Results'!M24*'1stIA Resource Clearing Results'!C10-'2ndIA Resource Clearing Results'!M24*'2ndIA Resource Clearing Results'!C10-'3rdIA Resource Clearing Results'!M24*'3rdIA Resource Clearing Results'!C10)/('BRA Resource Clearing Results'!E22-'1stIA Resource Clearing Results'!M24-'2ndIA Resource Clearing Results'!M24-'3rdIA Resource Clearing Results'!M24)</f>
        <v>96.42543589487607</v>
      </c>
      <c r="E26" s="67">
        <f>('BRA Resource Clearing Results'!C22+'BRA Resource Clearing Results'!D22)*('BRA Resource Clearing Results'!E10-'BRA Resource Clearing Results'!E9)-('1stIA Resource Clearing Results'!K24+'1stIA Resource Clearing Results'!L24)*('1stIA Resource Clearing Results'!E10-'1stIA Resource Clearing Results'!E9)-('2ndIA Resource Clearing Results'!K24+'2ndIA Resource Clearing Results'!L24)*('2ndIA Resource Clearing Results'!E10-'2ndIA Resource Clearing Results'!E9)-('3rdIA Resource Clearing Results'!K24+'3rdIA Resource Clearing Results'!L24)*('3rdIA Resource Clearing Results'!E10-'3rdIA Resource Clearing Results'!E9)</f>
        <v>0</v>
      </c>
      <c r="F26" s="67"/>
      <c r="G26" s="67">
        <f>'BRA Resource Clearing Results'!D22*('BRA Resource Clearing Results'!G10-'BRA Resource Clearing Results'!G9)-'1stIA Resource Clearing Results'!L24*('1stIA Resource Clearing Results'!G10-'1stIA Resource Clearing Results'!G9)-'2ndIA Resource Clearing Results'!L24*('2ndIA Resource Clearing Results'!G10-'2ndIA Resource Clearing Results'!G9)-'3rdIA Resource Clearing Results'!L24*('3rdIA Resource Clearing Results'!G10-'3rdIA Resource Clearing Results'!G9)</f>
        <v>0</v>
      </c>
      <c r="H26" s="67"/>
      <c r="I26" s="96">
        <f>'BRA Resource Clearing Results'!J45+'1stIA Resource Clearing Results'!H62+'2ndIA Resource Clearing Results'!H62+'3rdIA Resource Clearing Results'!H62</f>
        <v>0</v>
      </c>
      <c r="J26" s="45"/>
      <c r="K26" s="131"/>
      <c r="L26" s="6"/>
    </row>
    <row r="27" spans="1:12" ht="12.75">
      <c r="A27" s="219" t="s">
        <v>8</v>
      </c>
      <c r="B27" s="235">
        <f>K17</f>
        <v>137.5187147772715</v>
      </c>
      <c r="C27" s="73">
        <f>C26+C25</f>
        <v>7527.700000000001</v>
      </c>
      <c r="D27" s="236">
        <f>(C26*D26+C25*D25)/C27</f>
        <v>51.32348446404612</v>
      </c>
      <c r="E27" s="638">
        <f>E25+E26+21.02</f>
        <v>21.02</v>
      </c>
      <c r="F27" s="236">
        <f>E27/K52</f>
        <v>0.0018177512440804115</v>
      </c>
      <c r="G27" s="236">
        <f>G25+G26</f>
        <v>0</v>
      </c>
      <c r="H27" s="236">
        <f>G27/K52</f>
        <v>0</v>
      </c>
      <c r="I27" s="96">
        <f>I25+I26</f>
        <v>0</v>
      </c>
      <c r="J27" s="237">
        <f>I27/K52</f>
        <v>0</v>
      </c>
      <c r="K27" s="229">
        <f>B27+D27+F27+H27+J27</f>
        <v>188.8440169925617</v>
      </c>
      <c r="L27" s="455"/>
    </row>
    <row r="28" spans="1:12" ht="12.75">
      <c r="A28" s="55" t="s">
        <v>44</v>
      </c>
      <c r="B28" s="45"/>
      <c r="C28" s="73">
        <f>'BRA Load Pricing Results'!C27</f>
        <v>2858.5</v>
      </c>
      <c r="D28" s="67">
        <v>0</v>
      </c>
      <c r="E28" s="67">
        <v>0</v>
      </c>
      <c r="F28" s="67"/>
      <c r="G28" s="67">
        <v>0</v>
      </c>
      <c r="H28" s="67"/>
      <c r="I28" s="96">
        <v>0</v>
      </c>
      <c r="J28" s="45"/>
      <c r="K28" s="131"/>
      <c r="L28" s="6"/>
    </row>
    <row r="29" spans="1:12" ht="12.75">
      <c r="A29" s="55" t="s">
        <v>43</v>
      </c>
      <c r="B29" s="45"/>
      <c r="C29" s="73">
        <f>'BRA Resource Clearing Results'!E34-'1stIA Resource Clearing Results'!M50-'2ndIA Resource Clearing Results'!M50-'3rdIA Resource Clearing Results'!M50</f>
        <v>1337.3</v>
      </c>
      <c r="D29" s="67">
        <f>('BRA Resource Clearing Results'!E23*'BRA Resource Clearing Results'!C11-'1stIA Resource Clearing Results'!M25*'1stIA Resource Clearing Results'!C11-'2ndIA Resource Clearing Results'!M25*'2ndIA Resource Clearing Results'!C11-'3rdIA Resource Clearing Results'!M25*'3rdIA Resource Clearing Results'!C11)/('BRA Resource Clearing Results'!E23-'1stIA Resource Clearing Results'!M25-'2ndIA Resource Clearing Results'!M25-'3rdIA Resource Clearing Results'!M25)</f>
        <v>0</v>
      </c>
      <c r="E29" s="67">
        <f>('BRA Resource Clearing Results'!C23+'BRA Resource Clearing Results'!D23)*('BRA Resource Clearing Results'!E11-'BRA Resource Clearing Results'!E7)-('1stIA Resource Clearing Results'!K25+'1stIA Resource Clearing Results'!L25)*('1stIA Resource Clearing Results'!E11-'1stIA Resource Clearing Results'!E7)-('2ndIA Resource Clearing Results'!K25+'2ndIA Resource Clearing Results'!L25)*('2ndIA Resource Clearing Results'!E11-'2ndIA Resource Clearing Results'!E7)-('3rdIA Resource Clearing Results'!K25+'3rdIA Resource Clearing Results'!L25)*('3rdIA Resource Clearing Results'!E11-'3rdIA Resource Clearing Results'!E7)</f>
        <v>0</v>
      </c>
      <c r="F29" s="95"/>
      <c r="G29" s="67">
        <f>'BRA Resource Clearing Results'!D23*('BRA Resource Clearing Results'!G11-'BRA Resource Clearing Results'!G7)-'1stIA Resource Clearing Results'!L25*('1stIA Resource Clearing Results'!G11-'1stIA Resource Clearing Results'!G7)-'2ndIA Resource Clearing Results'!L25*('2ndIA Resource Clearing Results'!G11-'2ndIA Resource Clearing Results'!G7)-'3rdIA Resource Clearing Results'!L25*('3rdIA Resource Clearing Results'!G11-'3rdIA Resource Clearing Results'!G7)</f>
        <v>0</v>
      </c>
      <c r="H29" s="95"/>
      <c r="I29" s="96">
        <f>'BRA Resource Clearing Results'!J46+'1stIA Resource Clearing Results'!H63+'2ndIA Resource Clearing Results'!H63+'3rdIA Resource Clearing Results'!H63</f>
        <v>35693.1</v>
      </c>
      <c r="J29" s="45"/>
      <c r="K29" s="131"/>
      <c r="L29" s="6"/>
    </row>
    <row r="30" spans="1:12" ht="13.5" thickBot="1">
      <c r="A30" s="220" t="s">
        <v>17</v>
      </c>
      <c r="B30" s="238">
        <f>K17</f>
        <v>137.5187147772715</v>
      </c>
      <c r="C30" s="132">
        <f>C28+C29</f>
        <v>4195.8</v>
      </c>
      <c r="D30" s="239">
        <f>(C29*D29+C28*D28)/C30</f>
        <v>0</v>
      </c>
      <c r="E30" s="634">
        <f>E28+E29</f>
        <v>0</v>
      </c>
      <c r="F30" s="239">
        <f>E30/K45</f>
        <v>0</v>
      </c>
      <c r="G30" s="634">
        <f>G28+G29</f>
        <v>0</v>
      </c>
      <c r="H30" s="239">
        <f>G30/K45</f>
        <v>0</v>
      </c>
      <c r="I30" s="240">
        <f>I28+I29</f>
        <v>35693.1</v>
      </c>
      <c r="J30" s="241">
        <f>I30/K45</f>
        <v>7.842107994846324</v>
      </c>
      <c r="K30" s="230">
        <f>B30+D30+F30+H30+J30</f>
        <v>145.3608227721178</v>
      </c>
      <c r="L30" s="455"/>
    </row>
    <row r="31" spans="1:12" ht="12.75">
      <c r="A31" s="613" t="s">
        <v>294</v>
      </c>
      <c r="B31" s="613"/>
      <c r="C31" s="613"/>
      <c r="D31" s="613"/>
      <c r="E31" s="613"/>
      <c r="F31" s="613"/>
      <c r="G31" s="613"/>
      <c r="H31" s="613"/>
      <c r="I31" s="58"/>
      <c r="J31" s="58"/>
      <c r="K31" s="58"/>
      <c r="L31" s="58"/>
    </row>
    <row r="32" spans="1:12" ht="13.5" thickBot="1">
      <c r="A32" s="10"/>
      <c r="B32" s="9"/>
      <c r="C32" s="9"/>
      <c r="D32" s="9" t="s">
        <v>24</v>
      </c>
      <c r="E32" s="72" t="s">
        <v>24</v>
      </c>
      <c r="F32" s="44" t="s">
        <v>24</v>
      </c>
      <c r="G32" s="633" t="s">
        <v>24</v>
      </c>
      <c r="H32" s="5"/>
      <c r="I32" s="5"/>
      <c r="J32" s="5"/>
      <c r="K32" s="5"/>
      <c r="L32" s="13"/>
    </row>
    <row r="33" spans="1:14" ht="19.5" thickBot="1">
      <c r="A33" s="108" t="s">
        <v>213</v>
      </c>
      <c r="B33" s="3"/>
      <c r="C33" s="2"/>
      <c r="D33" s="2"/>
      <c r="E33" s="86" t="s">
        <v>24</v>
      </c>
      <c r="F33" s="86"/>
      <c r="G33" s="468"/>
      <c r="H33" s="86"/>
      <c r="I33" s="86"/>
      <c r="J33" s="86"/>
      <c r="K33" s="86"/>
      <c r="L33" s="43"/>
      <c r="M33" s="58" t="s">
        <v>24</v>
      </c>
      <c r="N33" s="314"/>
    </row>
    <row r="34" spans="1:13" ht="66" customHeight="1" thickBot="1">
      <c r="A34" s="705" t="s">
        <v>7</v>
      </c>
      <c r="B34" s="706" t="s">
        <v>28</v>
      </c>
      <c r="C34" s="706" t="s">
        <v>27</v>
      </c>
      <c r="D34" s="706" t="s">
        <v>36</v>
      </c>
      <c r="E34" s="706" t="s">
        <v>307</v>
      </c>
      <c r="F34" s="706" t="s">
        <v>22</v>
      </c>
      <c r="G34" s="706" t="s">
        <v>308</v>
      </c>
      <c r="H34" s="706" t="s">
        <v>309</v>
      </c>
      <c r="I34" s="707" t="s">
        <v>23</v>
      </c>
      <c r="J34" s="707" t="s">
        <v>328</v>
      </c>
      <c r="K34" s="707" t="s">
        <v>327</v>
      </c>
      <c r="L34" s="708" t="s">
        <v>326</v>
      </c>
      <c r="M34" s="709" t="s">
        <v>7</v>
      </c>
    </row>
    <row r="35" spans="1:13" ht="12.75">
      <c r="A35" s="696" t="s">
        <v>16</v>
      </c>
      <c r="B35" s="697" t="s">
        <v>30</v>
      </c>
      <c r="C35" s="697" t="s">
        <v>41</v>
      </c>
      <c r="D35" s="698"/>
      <c r="E35" s="699">
        <v>2590</v>
      </c>
      <c r="F35" s="700">
        <f>G35/E35</f>
        <v>1.0208494208494208</v>
      </c>
      <c r="G35" s="701">
        <v>2644</v>
      </c>
      <c r="H35" s="702">
        <f>0*'BRA Load Pricing Results'!H34</f>
        <v>0</v>
      </c>
      <c r="I35" s="703">
        <f aca="true" t="shared" si="0" ref="I35:I53">$B$10</f>
        <v>1.0359914726644224</v>
      </c>
      <c r="J35" s="703">
        <f>I35*F35</f>
        <v>1.0575912948744142</v>
      </c>
      <c r="K35" s="701">
        <f>E35*J35*$B$6+H35</f>
        <v>2992.807804339643</v>
      </c>
      <c r="L35" s="704">
        <f>K17</f>
        <v>137.5187147772715</v>
      </c>
      <c r="M35" s="422" t="s">
        <v>16</v>
      </c>
    </row>
    <row r="36" spans="1:13" ht="12.75">
      <c r="A36" s="55" t="s">
        <v>271</v>
      </c>
      <c r="B36" s="98"/>
      <c r="C36" s="98"/>
      <c r="D36" s="279"/>
      <c r="E36" s="99">
        <v>2206.2</v>
      </c>
      <c r="F36" s="91">
        <v>0.9954565505072783</v>
      </c>
      <c r="G36" s="92">
        <f>E36*F36</f>
        <v>2196.1762417291575</v>
      </c>
      <c r="H36" s="93">
        <f>0*'BRA Load Pricing Results'!H35</f>
        <v>0</v>
      </c>
      <c r="I36" s="94">
        <f t="shared" si="0"/>
        <v>1.0359914726644224</v>
      </c>
      <c r="J36" s="94">
        <f>I36*F36</f>
        <v>1.0312844977334812</v>
      </c>
      <c r="K36" s="92">
        <f aca="true" t="shared" si="1" ref="K36:K53">E36*J36*$B$6+H36</f>
        <v>2485.9052178337097</v>
      </c>
      <c r="L36" s="227">
        <f>K15</f>
        <v>128.38114395421135</v>
      </c>
      <c r="M36" s="259" t="s">
        <v>271</v>
      </c>
    </row>
    <row r="37" spans="1:13" ht="12.75">
      <c r="A37" s="55" t="s">
        <v>19</v>
      </c>
      <c r="B37" s="98" t="s">
        <v>24</v>
      </c>
      <c r="C37" s="98"/>
      <c r="D37" s="279"/>
      <c r="E37" s="99">
        <v>8270</v>
      </c>
      <c r="F37" s="91">
        <f>G37/E37</f>
        <v>1.0249093107617897</v>
      </c>
      <c r="G37" s="92">
        <v>8476</v>
      </c>
      <c r="H37" s="93">
        <f>0*'BRA Load Pricing Results'!H36</f>
        <v>0</v>
      </c>
      <c r="I37" s="94">
        <f t="shared" si="0"/>
        <v>1.0359914726644224</v>
      </c>
      <c r="J37" s="94">
        <f>I37*F37</f>
        <v>1.0617973062035846</v>
      </c>
      <c r="K37" s="92">
        <f t="shared" si="1"/>
        <v>9594.190222988962</v>
      </c>
      <c r="L37" s="227">
        <f>K15</f>
        <v>128.38114395421135</v>
      </c>
      <c r="M37" s="259" t="s">
        <v>19</v>
      </c>
    </row>
    <row r="38" spans="1:13" ht="12.75">
      <c r="A38" s="55" t="s">
        <v>53</v>
      </c>
      <c r="B38" s="98"/>
      <c r="C38" s="98"/>
      <c r="D38" s="279"/>
      <c r="E38" s="99">
        <v>12680</v>
      </c>
      <c r="F38" s="91">
        <f>G38/E38</f>
        <v>1.0087539432176655</v>
      </c>
      <c r="G38" s="92">
        <v>12791</v>
      </c>
      <c r="H38" s="93">
        <f>0*'BRA Load Pricing Results'!H37</f>
        <v>0</v>
      </c>
      <c r="I38" s="94">
        <f t="shared" si="0"/>
        <v>1.0359914726644224</v>
      </c>
      <c r="J38" s="94">
        <f>I38*F38</f>
        <v>1.0450604831901125</v>
      </c>
      <c r="K38" s="92">
        <f>E38*J38*$B$6+H38</f>
        <v>14478.443504276993</v>
      </c>
      <c r="L38" s="227">
        <f>K15</f>
        <v>128.38114395421135</v>
      </c>
      <c r="M38" s="259" t="s">
        <v>53</v>
      </c>
    </row>
    <row r="39" spans="1:13" ht="12.75">
      <c r="A39" s="55" t="s">
        <v>11</v>
      </c>
      <c r="B39" s="98" t="s">
        <v>30</v>
      </c>
      <c r="C39" s="98" t="s">
        <v>5</v>
      </c>
      <c r="D39" s="279"/>
      <c r="E39" s="99">
        <v>6920</v>
      </c>
      <c r="F39" s="91">
        <f>G39/E39</f>
        <v>1.009971098265896</v>
      </c>
      <c r="G39" s="92">
        <v>6989</v>
      </c>
      <c r="H39" s="93">
        <f>0*'BRA Load Pricing Results'!H38</f>
        <v>0</v>
      </c>
      <c r="I39" s="94">
        <f t="shared" si="0"/>
        <v>1.0359914726644224</v>
      </c>
      <c r="J39" s="94">
        <f aca="true" t="shared" si="2" ref="J39:J53">I39*F39</f>
        <v>1.0463214454409897</v>
      </c>
      <c r="K39" s="92">
        <f t="shared" si="1"/>
        <v>7911.018814118672</v>
      </c>
      <c r="L39" s="227">
        <f>K18</f>
        <v>137.5118727458571</v>
      </c>
      <c r="M39" s="259" t="s">
        <v>11</v>
      </c>
    </row>
    <row r="40" spans="1:13" ht="12.75">
      <c r="A40" s="55" t="s">
        <v>20</v>
      </c>
      <c r="B40" s="98"/>
      <c r="C40" s="98"/>
      <c r="D40" s="279"/>
      <c r="E40" s="99">
        <v>21830</v>
      </c>
      <c r="F40" s="91">
        <f>G40/E40</f>
        <v>1.020247366010078</v>
      </c>
      <c r="G40" s="92">
        <v>22272</v>
      </c>
      <c r="H40" s="93">
        <f>0*'BRA Load Pricing Results'!H39</f>
        <v>0</v>
      </c>
      <c r="I40" s="94">
        <f t="shared" si="0"/>
        <v>1.0359914726644224</v>
      </c>
      <c r="J40" s="94">
        <f t="shared" si="2"/>
        <v>1.0569675711947786</v>
      </c>
      <c r="K40" s="92">
        <f t="shared" si="1"/>
        <v>25210.21763171427</v>
      </c>
      <c r="L40" s="227">
        <f>K15</f>
        <v>128.38114395421135</v>
      </c>
      <c r="M40" s="259" t="s">
        <v>20</v>
      </c>
    </row>
    <row r="41" spans="1:13" ht="12.75">
      <c r="A41" s="55" t="s">
        <v>21</v>
      </c>
      <c r="B41" s="98"/>
      <c r="C41" s="98"/>
      <c r="D41" s="279"/>
      <c r="E41" s="99">
        <v>3260</v>
      </c>
      <c r="F41" s="91">
        <f>G41/E41</f>
        <v>1.0150306748466258</v>
      </c>
      <c r="G41" s="92">
        <v>3309</v>
      </c>
      <c r="H41" s="93">
        <f>0*'BRA Load Pricing Results'!H40</f>
        <v>0</v>
      </c>
      <c r="I41" s="94">
        <f t="shared" si="0"/>
        <v>1.0359914726644224</v>
      </c>
      <c r="J41" s="94">
        <f t="shared" si="2"/>
        <v>1.0515631236339182</v>
      </c>
      <c r="K41" s="92">
        <f t="shared" si="1"/>
        <v>3745.5374525566863</v>
      </c>
      <c r="L41" s="227">
        <f>K15</f>
        <v>128.38114395421135</v>
      </c>
      <c r="M41" s="259" t="s">
        <v>21</v>
      </c>
    </row>
    <row r="42" spans="1:13" ht="12.75">
      <c r="A42" s="55" t="s">
        <v>272</v>
      </c>
      <c r="B42" s="98"/>
      <c r="C42" s="98"/>
      <c r="D42" s="279"/>
      <c r="E42" s="99">
        <v>180.2</v>
      </c>
      <c r="F42" s="91">
        <v>1.0132827324478177</v>
      </c>
      <c r="G42" s="92">
        <f>E42*F42</f>
        <v>182.59354838709675</v>
      </c>
      <c r="H42" s="93">
        <f>0*'BRA Load Pricing Results'!H41</f>
        <v>0</v>
      </c>
      <c r="I42" s="94">
        <f t="shared" si="0"/>
        <v>1.0359914726644224</v>
      </c>
      <c r="J42" s="94">
        <f>I42*F42</f>
        <v>1.0497522702140445</v>
      </c>
      <c r="K42" s="92">
        <f>E42*J42*$B$6+H42</f>
        <v>206.68207134454286</v>
      </c>
      <c r="L42" s="227">
        <f>K15</f>
        <v>128.38114395421135</v>
      </c>
      <c r="M42" s="259" t="s">
        <v>272</v>
      </c>
    </row>
    <row r="43" spans="1:13" ht="12.75">
      <c r="A43" s="55" t="s">
        <v>52</v>
      </c>
      <c r="B43" s="98"/>
      <c r="C43" s="98"/>
      <c r="D43" s="279"/>
      <c r="E43" s="99">
        <v>2820</v>
      </c>
      <c r="F43" s="91">
        <f aca="true" t="shared" si="3" ref="F43:F53">G43/E43</f>
        <v>1.0145390070921987</v>
      </c>
      <c r="G43" s="92">
        <v>2861</v>
      </c>
      <c r="H43" s="93">
        <f>0*'BRA Load Pricing Results'!H42</f>
        <v>0</v>
      </c>
      <c r="I43" s="94">
        <f t="shared" si="0"/>
        <v>1.0359914726644224</v>
      </c>
      <c r="J43" s="94">
        <f t="shared" si="2"/>
        <v>1.0510537600329477</v>
      </c>
      <c r="K43" s="92">
        <f t="shared" si="1"/>
        <v>3238.4353737578367</v>
      </c>
      <c r="L43" s="227">
        <f>K15</f>
        <v>128.38114395421135</v>
      </c>
      <c r="M43" s="259" t="s">
        <v>52</v>
      </c>
    </row>
    <row r="44" spans="1:13" ht="12.75">
      <c r="A44" s="55" t="s">
        <v>33</v>
      </c>
      <c r="B44" s="98"/>
      <c r="C44" s="98"/>
      <c r="D44" s="279"/>
      <c r="E44" s="99">
        <v>18980</v>
      </c>
      <c r="F44" s="91">
        <f t="shared" si="3"/>
        <v>1.0237618545837723</v>
      </c>
      <c r="G44" s="92">
        <v>19431</v>
      </c>
      <c r="H44" s="93">
        <f>0*'BRA Load Pricing Results'!H43</f>
        <v>0</v>
      </c>
      <c r="I44" s="94">
        <f t="shared" si="0"/>
        <v>1.0359914726644224</v>
      </c>
      <c r="J44" s="94">
        <f t="shared" si="2"/>
        <v>1.0606085513879024</v>
      </c>
      <c r="K44" s="92">
        <f t="shared" si="1"/>
        <v>21994.420743617095</v>
      </c>
      <c r="L44" s="227">
        <f>K15</f>
        <v>128.38114395421135</v>
      </c>
      <c r="M44" s="259" t="s">
        <v>33</v>
      </c>
    </row>
    <row r="45" spans="1:13" ht="12.75">
      <c r="A45" s="55" t="s">
        <v>17</v>
      </c>
      <c r="B45" s="98" t="s">
        <v>30</v>
      </c>
      <c r="C45" s="98" t="s">
        <v>41</v>
      </c>
      <c r="D45" s="279" t="s">
        <v>17</v>
      </c>
      <c r="E45" s="99">
        <v>3970</v>
      </c>
      <c r="F45" s="91">
        <f t="shared" si="3"/>
        <v>1.0128463476070528</v>
      </c>
      <c r="G45" s="92">
        <v>4021</v>
      </c>
      <c r="H45" s="93">
        <f>0*'BRA Load Pricing Results'!H44</f>
        <v>0</v>
      </c>
      <c r="I45" s="94">
        <f t="shared" si="0"/>
        <v>1.0359914726644224</v>
      </c>
      <c r="J45" s="94">
        <f t="shared" si="2"/>
        <v>1.0493001792402121</v>
      </c>
      <c r="K45" s="92">
        <f t="shared" si="1"/>
        <v>4551.467542076287</v>
      </c>
      <c r="L45" s="227">
        <f>K30</f>
        <v>145.3608227721178</v>
      </c>
      <c r="M45" s="259" t="s">
        <v>17</v>
      </c>
    </row>
    <row r="46" spans="1:13" ht="12.75">
      <c r="A46" s="55" t="s">
        <v>12</v>
      </c>
      <c r="B46" s="98" t="s">
        <v>30</v>
      </c>
      <c r="C46" s="98" t="s">
        <v>41</v>
      </c>
      <c r="D46" s="279"/>
      <c r="E46" s="99">
        <v>6020</v>
      </c>
      <c r="F46" s="91">
        <f t="shared" si="3"/>
        <v>1.0151162790697674</v>
      </c>
      <c r="G46" s="92">
        <v>6111</v>
      </c>
      <c r="H46" s="93">
        <f>0*'BRA Load Pricing Results'!H45</f>
        <v>0</v>
      </c>
      <c r="I46" s="94">
        <f t="shared" si="0"/>
        <v>1.0359914726644224</v>
      </c>
      <c r="J46" s="94">
        <f t="shared" si="2"/>
        <v>1.0516518088791171</v>
      </c>
      <c r="K46" s="92">
        <f t="shared" si="1"/>
        <v>6917.189293615567</v>
      </c>
      <c r="L46" s="227">
        <f>K17</f>
        <v>137.5187147772715</v>
      </c>
      <c r="M46" s="259" t="s">
        <v>12</v>
      </c>
    </row>
    <row r="47" spans="1:13" ht="12.75">
      <c r="A47" s="55" t="s">
        <v>13</v>
      </c>
      <c r="B47" s="98" t="s">
        <v>30</v>
      </c>
      <c r="C47" s="98"/>
      <c r="D47" s="279"/>
      <c r="E47" s="99">
        <v>2840</v>
      </c>
      <c r="F47" s="91">
        <f t="shared" si="3"/>
        <v>1.0193661971830985</v>
      </c>
      <c r="G47" s="92">
        <v>2895</v>
      </c>
      <c r="H47" s="93">
        <f>0*'BRA Load Pricing Results'!H46</f>
        <v>0</v>
      </c>
      <c r="I47" s="94">
        <f t="shared" si="0"/>
        <v>1.0359914726644224</v>
      </c>
      <c r="J47" s="94">
        <f t="shared" si="2"/>
        <v>1.0560546878040502</v>
      </c>
      <c r="K47" s="92">
        <f t="shared" si="1"/>
        <v>3276.9207993809628</v>
      </c>
      <c r="L47" s="227">
        <f>K16</f>
        <v>137.5118727458571</v>
      </c>
      <c r="M47" s="259" t="s">
        <v>13</v>
      </c>
    </row>
    <row r="48" spans="1:13" ht="12.75">
      <c r="A48" s="55" t="s">
        <v>9</v>
      </c>
      <c r="B48" s="98" t="s">
        <v>30</v>
      </c>
      <c r="C48" s="98" t="s">
        <v>41</v>
      </c>
      <c r="D48" s="279"/>
      <c r="E48" s="99">
        <v>8360</v>
      </c>
      <c r="F48" s="91">
        <f t="shared" si="3"/>
        <v>1.0159090909090909</v>
      </c>
      <c r="G48" s="92">
        <v>8493</v>
      </c>
      <c r="H48" s="93">
        <f>0*'BRA Load Pricing Results'!H47</f>
        <v>0</v>
      </c>
      <c r="I48" s="94">
        <f t="shared" si="0"/>
        <v>1.0359914726644224</v>
      </c>
      <c r="J48" s="94">
        <f t="shared" si="2"/>
        <v>1.0524731551840836</v>
      </c>
      <c r="K48" s="92">
        <f t="shared" si="1"/>
        <v>9613.432935800525</v>
      </c>
      <c r="L48" s="227">
        <f>K17</f>
        <v>137.5187147772715</v>
      </c>
      <c r="M48" s="259" t="s">
        <v>9</v>
      </c>
    </row>
    <row r="49" spans="1:13" ht="12.75">
      <c r="A49" s="55" t="s">
        <v>14</v>
      </c>
      <c r="B49" s="98" t="s">
        <v>30</v>
      </c>
      <c r="C49" s="98"/>
      <c r="D49" s="279"/>
      <c r="E49" s="99">
        <v>2770</v>
      </c>
      <c r="F49" s="91">
        <f t="shared" si="3"/>
        <v>1.0216606498194947</v>
      </c>
      <c r="G49" s="92">
        <v>2830</v>
      </c>
      <c r="H49" s="93">
        <f>0*'BRA Load Pricing Results'!H48</f>
        <v>0</v>
      </c>
      <c r="I49" s="94">
        <f t="shared" si="0"/>
        <v>1.0359914726644224</v>
      </c>
      <c r="J49" s="94">
        <f t="shared" si="2"/>
        <v>1.0584317211697891</v>
      </c>
      <c r="K49" s="92">
        <f t="shared" si="1"/>
        <v>3203.3457209838093</v>
      </c>
      <c r="L49" s="227">
        <f>K16</f>
        <v>137.5118727458571</v>
      </c>
      <c r="M49" s="259" t="s">
        <v>14</v>
      </c>
    </row>
    <row r="50" spans="1:13" ht="12.75">
      <c r="A50" s="55" t="s">
        <v>15</v>
      </c>
      <c r="B50" s="98" t="s">
        <v>30</v>
      </c>
      <c r="C50" s="98" t="s">
        <v>5</v>
      </c>
      <c r="D50" s="279" t="s">
        <v>15</v>
      </c>
      <c r="E50" s="99">
        <v>6520</v>
      </c>
      <c r="F50" s="91">
        <f t="shared" si="3"/>
        <v>1.0125766871165645</v>
      </c>
      <c r="G50" s="92">
        <v>6602</v>
      </c>
      <c r="H50" s="93">
        <f>0*'BRA Load Pricing Results'!H49</f>
        <v>0</v>
      </c>
      <c r="I50" s="94">
        <f t="shared" si="0"/>
        <v>1.0359914726644224</v>
      </c>
      <c r="J50" s="94">
        <f t="shared" si="2"/>
        <v>1.0490208132715517</v>
      </c>
      <c r="K50" s="92">
        <f t="shared" si="1"/>
        <v>7472.964116584843</v>
      </c>
      <c r="L50" s="227">
        <f>K19</f>
        <v>137.5118727458571</v>
      </c>
      <c r="M50" s="259" t="s">
        <v>15</v>
      </c>
    </row>
    <row r="51" spans="1:13" ht="12.75">
      <c r="A51" s="55" t="s">
        <v>10</v>
      </c>
      <c r="B51" s="98" t="s">
        <v>30</v>
      </c>
      <c r="C51" s="98"/>
      <c r="D51" s="279"/>
      <c r="E51" s="99">
        <f>7115</f>
        <v>7115</v>
      </c>
      <c r="F51" s="91">
        <f t="shared" si="3"/>
        <v>1.0153197470133521</v>
      </c>
      <c r="G51" s="92">
        <f>7034+190</f>
        <v>7224</v>
      </c>
      <c r="H51" s="93">
        <f>0*'BRA Load Pricing Results'!H50</f>
        <v>0</v>
      </c>
      <c r="I51" s="94">
        <f t="shared" si="0"/>
        <v>1.0359914726644224</v>
      </c>
      <c r="J51" s="94">
        <f t="shared" si="2"/>
        <v>1.0518625999336315</v>
      </c>
      <c r="K51" s="92">
        <f t="shared" si="1"/>
        <v>8177.021020631461</v>
      </c>
      <c r="L51" s="227">
        <f>K16</f>
        <v>137.5118727458571</v>
      </c>
      <c r="M51" s="259" t="s">
        <v>10</v>
      </c>
    </row>
    <row r="52" spans="1:13" ht="12.75">
      <c r="A52" s="55" t="s">
        <v>8</v>
      </c>
      <c r="B52" s="98" t="s">
        <v>30</v>
      </c>
      <c r="C52" s="98" t="s">
        <v>41</v>
      </c>
      <c r="D52" s="279" t="s">
        <v>8</v>
      </c>
      <c r="E52" s="99">
        <v>10120</v>
      </c>
      <c r="F52" s="91">
        <f t="shared" si="3"/>
        <v>1.009486166007905</v>
      </c>
      <c r="G52" s="92">
        <v>10216</v>
      </c>
      <c r="H52" s="93">
        <f>0*'BRA Load Pricing Results'!H51</f>
        <v>0</v>
      </c>
      <c r="I52" s="94">
        <f t="shared" si="0"/>
        <v>1.0359914726644224</v>
      </c>
      <c r="J52" s="94">
        <f t="shared" si="2"/>
        <v>1.045819059756891</v>
      </c>
      <c r="K52" s="92">
        <f t="shared" si="1"/>
        <v>11563.738475466636</v>
      </c>
      <c r="L52" s="227">
        <f>K27</f>
        <v>188.8440169925617</v>
      </c>
      <c r="M52" s="259" t="s">
        <v>8</v>
      </c>
    </row>
    <row r="53" spans="1:13" ht="13.5" thickBot="1">
      <c r="A53" s="57" t="s">
        <v>18</v>
      </c>
      <c r="B53" s="104" t="s">
        <v>30</v>
      </c>
      <c r="C53" s="104" t="s">
        <v>41</v>
      </c>
      <c r="D53" s="281"/>
      <c r="E53" s="105">
        <v>400</v>
      </c>
      <c r="F53" s="282">
        <f t="shared" si="3"/>
        <v>1.015</v>
      </c>
      <c r="G53" s="283">
        <v>406</v>
      </c>
      <c r="H53" s="639">
        <f>0*'BRA Load Pricing Results'!H52</f>
        <v>0</v>
      </c>
      <c r="I53" s="107">
        <f t="shared" si="0"/>
        <v>1.0359914726644224</v>
      </c>
      <c r="J53" s="107">
        <f t="shared" si="2"/>
        <v>1.0515313447543886</v>
      </c>
      <c r="K53" s="283">
        <f t="shared" si="1"/>
        <v>459.561258911458</v>
      </c>
      <c r="L53" s="228">
        <f>K17</f>
        <v>137.5187147772715</v>
      </c>
      <c r="M53" s="424" t="s">
        <v>18</v>
      </c>
    </row>
    <row r="54" spans="2:12" ht="13.5" thickBot="1">
      <c r="B54" s="12"/>
      <c r="C54" s="6"/>
      <c r="D54" s="6"/>
      <c r="E54" s="100">
        <f>SUM(E35:E53)</f>
        <v>127851.4</v>
      </c>
      <c r="F54" s="59"/>
      <c r="G54" s="89">
        <f>SUM(G35:G53)</f>
        <v>129949.76979011626</v>
      </c>
      <c r="H54" s="640">
        <f>SUM(H35:H53)</f>
        <v>0</v>
      </c>
      <c r="I54" s="4"/>
      <c r="J54" s="4"/>
      <c r="K54" s="485">
        <f>SUM(K35:K53)</f>
        <v>147093.29999999996</v>
      </c>
      <c r="L54" s="19" t="s">
        <v>332</v>
      </c>
    </row>
    <row r="55" spans="1:12" ht="12.75">
      <c r="A55" s="193" t="s">
        <v>110</v>
      </c>
      <c r="B55" s="12"/>
      <c r="C55" s="6"/>
      <c r="D55" s="6"/>
      <c r="E55" s="458" t="s">
        <v>24</v>
      </c>
      <c r="F55" s="59"/>
      <c r="G55" s="459" t="s">
        <v>24</v>
      </c>
      <c r="H55" s="459"/>
      <c r="I55" s="4"/>
      <c r="J55" s="4"/>
      <c r="K55" s="460"/>
      <c r="L55" s="484"/>
    </row>
    <row r="56" spans="1:12" ht="12.75">
      <c r="A56" s="854" t="s">
        <v>273</v>
      </c>
      <c r="B56" s="854"/>
      <c r="C56" s="10"/>
      <c r="D56" s="10"/>
      <c r="E56" s="619" t="s">
        <v>24</v>
      </c>
      <c r="F56" s="10"/>
      <c r="G56" s="619" t="s">
        <v>24</v>
      </c>
      <c r="H56" s="10"/>
      <c r="I56" s="10"/>
      <c r="J56" s="10"/>
      <c r="K56" s="10"/>
      <c r="L56" s="484"/>
    </row>
    <row r="57" spans="1:12" ht="12.75">
      <c r="A57" s="854"/>
      <c r="B57" s="854"/>
      <c r="C57" s="10"/>
      <c r="D57" s="10"/>
      <c r="E57" s="619"/>
      <c r="F57" s="10"/>
      <c r="G57" s="619"/>
      <c r="H57" s="10"/>
      <c r="I57" s="10"/>
      <c r="J57" s="10"/>
      <c r="K57" s="10"/>
      <c r="L57" s="484"/>
    </row>
    <row r="58" spans="1:12" ht="12.75">
      <c r="A58" s="801" t="s">
        <v>24</v>
      </c>
      <c r="B58" s="801"/>
      <c r="C58" s="801"/>
      <c r="D58" s="801"/>
      <c r="E58" s="801"/>
      <c r="F58" s="801"/>
      <c r="G58" s="801"/>
      <c r="H58" s="801"/>
      <c r="I58" s="801"/>
      <c r="J58" s="801"/>
      <c r="K58" s="801"/>
      <c r="L58" s="801"/>
    </row>
  </sheetData>
  <sheetProtection/>
  <mergeCells count="3">
    <mergeCell ref="A56:B56"/>
    <mergeCell ref="A57:B57"/>
    <mergeCell ref="A58:L58"/>
  </mergeCells>
  <printOptions/>
  <pageMargins left="0.45" right="0.45" top="0.5" bottom="0.5" header="0.3" footer="0.3"/>
  <pageSetup fitToHeight="1" fitToWidth="1" horizontalDpi="600" verticalDpi="600" orientation="landscape" paperSize="5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0" width="15.7109375" style="0" customWidth="1"/>
  </cols>
  <sheetData>
    <row r="1" spans="1:17" ht="18.75">
      <c r="A1" s="24" t="s">
        <v>310</v>
      </c>
      <c r="B1" s="6"/>
      <c r="C1" s="6"/>
      <c r="D1" s="6"/>
      <c r="E1" s="6"/>
      <c r="F1" s="494" t="s">
        <v>24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9.5" thickBot="1">
      <c r="A2" s="1" t="s">
        <v>24</v>
      </c>
      <c r="B2" s="6"/>
      <c r="C2" s="6"/>
      <c r="D2" s="6" t="s">
        <v>24</v>
      </c>
      <c r="E2" s="3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9.5" thickBot="1">
      <c r="A3" s="125" t="s">
        <v>104</v>
      </c>
      <c r="B3" s="1"/>
      <c r="C3" s="296" t="s">
        <v>24</v>
      </c>
      <c r="D3" s="1"/>
      <c r="E3" s="285" t="s">
        <v>24</v>
      </c>
      <c r="F3" s="285"/>
      <c r="G3" s="6"/>
      <c r="H3" s="6"/>
      <c r="I3" s="6"/>
      <c r="J3" s="6"/>
      <c r="K3" s="19"/>
      <c r="L3" s="19"/>
      <c r="Q3" s="19"/>
    </row>
    <row r="4" spans="1:16" ht="114.75">
      <c r="A4" s="178" t="s">
        <v>3</v>
      </c>
      <c r="B4" s="112" t="s">
        <v>198</v>
      </c>
      <c r="C4" s="112" t="s">
        <v>246</v>
      </c>
      <c r="D4" s="112" t="s">
        <v>311</v>
      </c>
      <c r="E4" s="112" t="s">
        <v>221</v>
      </c>
      <c r="F4" s="111" t="s">
        <v>108</v>
      </c>
      <c r="G4" s="111" t="s">
        <v>129</v>
      </c>
      <c r="H4" s="111" t="s">
        <v>118</v>
      </c>
      <c r="I4" s="111" t="s">
        <v>247</v>
      </c>
      <c r="J4" s="128" t="s">
        <v>248</v>
      </c>
      <c r="K4" s="23"/>
      <c r="N4" s="23"/>
      <c r="O4" s="23"/>
      <c r="P4" s="23"/>
    </row>
    <row r="5" spans="1:16" ht="12.75">
      <c r="A5" s="179" t="s">
        <v>30</v>
      </c>
      <c r="B5" s="194">
        <f>'3rd IA Load Pricing Results'!B16</f>
        <v>66139.46778190986</v>
      </c>
      <c r="C5" s="286">
        <f>'BRA Resource Clearing Results'!E18-'1stIA Resource Clearing Results'!M20-'2ndIA Resource Clearing Results'!M20-'3rdIA Resource Clearing Results'!M20</f>
        <v>64980</v>
      </c>
      <c r="D5" s="63">
        <f>'3rd IA Load Pricing Results'!H47+'3rd IA Load Pricing Results'!H49+'3rd IA Load Pricing Results'!H51+D6+D7</f>
        <v>0</v>
      </c>
      <c r="E5" s="176">
        <f>B5-C5-D5</f>
        <v>1159.4677819098579</v>
      </c>
      <c r="F5" s="290">
        <v>0</v>
      </c>
      <c r="G5" s="63">
        <f aca="true" t="shared" si="0" ref="G5:G10">E5-F5</f>
        <v>1159.4677819098579</v>
      </c>
      <c r="H5" s="63">
        <f>'3rd IA ICTRs'!C15</f>
        <v>0</v>
      </c>
      <c r="I5" s="63">
        <f>'3rd IA ICTRs'!C9+'3rd IA ICTRs'!C12</f>
        <v>0</v>
      </c>
      <c r="J5" s="368">
        <f>IF(G5-H5-I5&lt;0,0,G5-H5-I5)</f>
        <v>1159.4677819098579</v>
      </c>
      <c r="K5" s="177"/>
      <c r="N5" s="9"/>
      <c r="O5" s="9"/>
      <c r="P5" s="9"/>
    </row>
    <row r="6" spans="1:16" ht="12.75">
      <c r="A6" s="179" t="s">
        <v>41</v>
      </c>
      <c r="B6" s="194">
        <f>'3rd IA Load Pricing Results'!B17</f>
        <v>36098.19731021012</v>
      </c>
      <c r="C6" s="286">
        <f>'BRA Resource Clearing Results'!E19-'1stIA Resource Clearing Results'!M21-'2ndIA Resource Clearing Results'!M21-'3rdIA Resource Clearing Results'!M21</f>
        <v>31705.399999999998</v>
      </c>
      <c r="D6" s="63">
        <f>'3rd IA Load Pricing Results'!H35+'3rd IA Load Pricing Results'!H45+'3rd IA Load Pricing Results'!H46+'3rd IA Load Pricing Results'!H48+'3rd IA Load Pricing Results'!H52+'3rd IA Load Pricing Results'!H53</f>
        <v>0</v>
      </c>
      <c r="E6" s="297">
        <f>B6-C6-D6</f>
        <v>4392.7973102101205</v>
      </c>
      <c r="F6" s="290">
        <v>0</v>
      </c>
      <c r="G6" s="64">
        <f t="shared" si="0"/>
        <v>4392.7973102101205</v>
      </c>
      <c r="H6" s="63">
        <v>0</v>
      </c>
      <c r="I6" s="63">
        <v>0</v>
      </c>
      <c r="J6" s="180">
        <f>G6-H6-I6</f>
        <v>4392.7973102101205</v>
      </c>
      <c r="K6" s="177"/>
      <c r="N6" s="9" t="s">
        <v>24</v>
      </c>
      <c r="O6" s="9"/>
      <c r="P6" s="9"/>
    </row>
    <row r="7" spans="1:16" ht="12.75">
      <c r="A7" s="179" t="s">
        <v>5</v>
      </c>
      <c r="B7" s="194">
        <f>'3rd IA Load Pricing Results'!B18</f>
        <v>15383.982930703514</v>
      </c>
      <c r="C7" s="286">
        <f>'BRA Resource Clearing Results'!E20-'1stIA Resource Clearing Results'!M22-'2ndIA Resource Clearing Results'!M22-'3rdIA Resource Clearing Results'!M22</f>
        <v>11085.1</v>
      </c>
      <c r="D7" s="63">
        <f>'3rd IA Load Pricing Results'!H39+'3rd IA Load Pricing Results'!H50</f>
        <v>0</v>
      </c>
      <c r="E7" s="297">
        <f>B7-C7-D7</f>
        <v>4298.882930703514</v>
      </c>
      <c r="F7" s="290">
        <v>0</v>
      </c>
      <c r="G7" s="64">
        <f t="shared" si="0"/>
        <v>4298.882930703514</v>
      </c>
      <c r="H7" s="63">
        <f>'3rd IA ICTRs'!D15</f>
        <v>0</v>
      </c>
      <c r="I7" s="63">
        <f>'3rd IA ICTRs'!D9+'3rd IA ICTRs'!D12</f>
        <v>237</v>
      </c>
      <c r="J7" s="180">
        <f>G7-H7-I7</f>
        <v>4061.882930703514</v>
      </c>
      <c r="K7" s="177"/>
      <c r="N7" s="9"/>
      <c r="O7" s="9"/>
      <c r="P7" s="9"/>
    </row>
    <row r="8" spans="1:16" ht="12.75">
      <c r="A8" s="179" t="s">
        <v>50</v>
      </c>
      <c r="B8" s="194">
        <f>'3rd IA Load Pricing Results'!K52</f>
        <v>11563.738475466636</v>
      </c>
      <c r="C8" s="92">
        <f>'3rd IA Load Pricing Results'!C27</f>
        <v>7527.700000000001</v>
      </c>
      <c r="D8" s="63">
        <f>'3rd IA Load Pricing Results'!H52</f>
        <v>0</v>
      </c>
      <c r="E8" s="641">
        <f>B8-C8-D8-1.736181491759</f>
        <v>4034.3022939748766</v>
      </c>
      <c r="F8" s="290">
        <v>0</v>
      </c>
      <c r="G8" s="64">
        <f t="shared" si="0"/>
        <v>4034.3022939748766</v>
      </c>
      <c r="H8" s="63">
        <v>0</v>
      </c>
      <c r="I8" s="63">
        <v>0</v>
      </c>
      <c r="J8" s="180">
        <f>G8-H8-I8</f>
        <v>4034.3022939748766</v>
      </c>
      <c r="K8" s="177"/>
      <c r="N8" s="9"/>
      <c r="O8" s="9"/>
      <c r="P8" s="9"/>
    </row>
    <row r="9" spans="1:16" ht="12.75">
      <c r="A9" s="179" t="s">
        <v>48</v>
      </c>
      <c r="B9" s="194">
        <f>'3rd IA Load Pricing Results'!K45</f>
        <v>4551.467542076287</v>
      </c>
      <c r="C9" s="92">
        <f>'3rd IA Load Pricing Results'!C30</f>
        <v>4195.8</v>
      </c>
      <c r="D9" s="63">
        <f>'3rd IA Load Pricing Results'!H45</f>
        <v>0</v>
      </c>
      <c r="E9" s="297">
        <f>B9-C9-D9</f>
        <v>355.66754207628674</v>
      </c>
      <c r="F9" s="290">
        <v>0</v>
      </c>
      <c r="G9" s="64">
        <f t="shared" si="0"/>
        <v>355.66754207628674</v>
      </c>
      <c r="H9" s="63">
        <v>0</v>
      </c>
      <c r="I9" s="63">
        <v>0</v>
      </c>
      <c r="J9" s="180">
        <f>G9-H9-I9</f>
        <v>355.66754207628674</v>
      </c>
      <c r="K9" s="177"/>
      <c r="N9" s="9"/>
      <c r="O9" s="9"/>
      <c r="P9" s="9"/>
    </row>
    <row r="10" spans="1:16" ht="13.5" thickBot="1">
      <c r="A10" s="154" t="s">
        <v>15</v>
      </c>
      <c r="B10" s="195">
        <f>'3rd IA Load Pricing Results'!B19</f>
        <v>7472.964116584843</v>
      </c>
      <c r="C10" s="496">
        <f>'BRA Resource Clearing Results'!E24-'1stIA Resource Clearing Results'!M26-'2ndIA Resource Clearing Results'!M26-'3rdIA Resource Clearing Results'!M26</f>
        <v>5249.1</v>
      </c>
      <c r="D10" s="137">
        <f>'3rd IA Load Pricing Results'!H50</f>
        <v>0</v>
      </c>
      <c r="E10" s="497">
        <f>B10-C10-D10</f>
        <v>2223.864116584843</v>
      </c>
      <c r="F10" s="498">
        <v>0</v>
      </c>
      <c r="G10" s="137">
        <f t="shared" si="0"/>
        <v>2223.864116584843</v>
      </c>
      <c r="H10" s="137">
        <v>0</v>
      </c>
      <c r="I10" s="137">
        <v>0</v>
      </c>
      <c r="J10" s="182">
        <f>G10-H10-I10</f>
        <v>2223.864116584843</v>
      </c>
      <c r="K10" s="177"/>
      <c r="N10" s="9"/>
      <c r="O10" s="9"/>
      <c r="P10" s="9"/>
    </row>
    <row r="11" spans="1:16" ht="15">
      <c r="A11" s="495" t="s">
        <v>296</v>
      </c>
      <c r="B11" s="42"/>
      <c r="C11" s="42"/>
      <c r="D11" s="18"/>
      <c r="E11" s="42"/>
      <c r="F11" s="18"/>
      <c r="G11" s="26"/>
      <c r="H11" s="20"/>
      <c r="I11" s="26"/>
      <c r="J11" s="25"/>
      <c r="K11" s="62"/>
      <c r="N11" s="9"/>
      <c r="O11" s="9"/>
      <c r="P11" s="9"/>
    </row>
    <row r="12" spans="1:16" ht="13.5" thickBot="1">
      <c r="A12" s="32"/>
      <c r="B12" s="42"/>
      <c r="C12" s="42"/>
      <c r="D12" s="18"/>
      <c r="E12" s="42"/>
      <c r="F12" s="18"/>
      <c r="G12" s="26"/>
      <c r="H12" s="20"/>
      <c r="I12" s="26"/>
      <c r="J12" s="25"/>
      <c r="K12" s="62"/>
      <c r="N12" s="9"/>
      <c r="O12" s="9"/>
      <c r="P12" s="9"/>
    </row>
    <row r="13" spans="1:17" ht="15" thickBot="1">
      <c r="A13" s="803" t="s">
        <v>153</v>
      </c>
      <c r="B13" s="804"/>
      <c r="C13" s="804"/>
      <c r="D13" s="805"/>
      <c r="E13" s="6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9" ht="15">
      <c r="A14" s="806"/>
      <c r="B14" s="807"/>
      <c r="C14" s="807"/>
      <c r="D14" s="808"/>
      <c r="E14" s="860" t="s">
        <v>30</v>
      </c>
      <c r="F14" s="855"/>
      <c r="G14" s="855" t="s">
        <v>41</v>
      </c>
      <c r="H14" s="855"/>
      <c r="I14" s="855" t="s">
        <v>5</v>
      </c>
      <c r="J14" s="855"/>
      <c r="K14" s="855" t="s">
        <v>50</v>
      </c>
      <c r="L14" s="855"/>
      <c r="M14" s="855" t="s">
        <v>48</v>
      </c>
      <c r="N14" s="855"/>
      <c r="O14" s="855" t="s">
        <v>15</v>
      </c>
      <c r="P14" s="856"/>
      <c r="Q14" s="22"/>
      <c r="R14" s="22"/>
      <c r="S14" s="22"/>
    </row>
    <row r="15" spans="1:19" ht="43.5" thickBot="1">
      <c r="A15" s="806"/>
      <c r="B15" s="807"/>
      <c r="C15" s="807"/>
      <c r="D15" s="808"/>
      <c r="E15" s="499" t="s">
        <v>209</v>
      </c>
      <c r="F15" s="500">
        <f>'3rd IA Load Pricing Results'!D16</f>
        <v>-0.6194749615266238</v>
      </c>
      <c r="G15" s="501" t="s">
        <v>209</v>
      </c>
      <c r="H15" s="500">
        <f>'3rd IA Load Pricing Results'!D17-'3rd IA Load Pricing Results'!D16</f>
        <v>0</v>
      </c>
      <c r="I15" s="501" t="s">
        <v>209</v>
      </c>
      <c r="J15" s="502">
        <f>'3rd IA Load Pricing Results'!D18-'3rd IA Load Pricing Results'!D16</f>
        <v>0</v>
      </c>
      <c r="K15" s="501" t="s">
        <v>209</v>
      </c>
      <c r="L15" s="500">
        <f>'3rd IA Load Pricing Results'!D27</f>
        <v>51.32348446404612</v>
      </c>
      <c r="M15" s="501" t="s">
        <v>209</v>
      </c>
      <c r="N15" s="503">
        <f>'3rd IA Load Pricing Results'!D30</f>
        <v>0</v>
      </c>
      <c r="O15" s="501" t="s">
        <v>209</v>
      </c>
      <c r="P15" s="504">
        <f>'3rd IA Load Pricing Results'!D19-'3rd IA Load Pricing Results'!D18</f>
        <v>0</v>
      </c>
      <c r="Q15" s="22"/>
      <c r="R15" s="22"/>
      <c r="S15" s="22"/>
    </row>
    <row r="16" spans="1:20" ht="65.25">
      <c r="A16" s="505" t="s">
        <v>7</v>
      </c>
      <c r="B16" s="102" t="s">
        <v>28</v>
      </c>
      <c r="C16" s="102" t="s">
        <v>27</v>
      </c>
      <c r="D16" s="102" t="s">
        <v>36</v>
      </c>
      <c r="E16" s="102" t="s">
        <v>130</v>
      </c>
      <c r="F16" s="102" t="s">
        <v>154</v>
      </c>
      <c r="G16" s="102" t="s">
        <v>131</v>
      </c>
      <c r="H16" s="102" t="s">
        <v>154</v>
      </c>
      <c r="I16" s="102" t="s">
        <v>130</v>
      </c>
      <c r="J16" s="102" t="s">
        <v>154</v>
      </c>
      <c r="K16" s="102" t="s">
        <v>132</v>
      </c>
      <c r="L16" s="102" t="s">
        <v>154</v>
      </c>
      <c r="M16" s="102" t="s">
        <v>133</v>
      </c>
      <c r="N16" s="102" t="s">
        <v>154</v>
      </c>
      <c r="O16" s="102" t="s">
        <v>133</v>
      </c>
      <c r="P16" s="102" t="s">
        <v>154</v>
      </c>
      <c r="Q16" s="102" t="s">
        <v>330</v>
      </c>
      <c r="R16" s="506" t="s">
        <v>329</v>
      </c>
      <c r="S16" s="102" t="s">
        <v>320</v>
      </c>
      <c r="T16" s="507" t="s">
        <v>321</v>
      </c>
    </row>
    <row r="17" spans="1:20" ht="12.75">
      <c r="A17" s="169" t="s">
        <v>16</v>
      </c>
      <c r="B17" s="98" t="s">
        <v>30</v>
      </c>
      <c r="C17" s="98" t="s">
        <v>41</v>
      </c>
      <c r="D17" s="98"/>
      <c r="E17" s="65">
        <f>IF(B17="MAAC",$J$5*'3rd IA Load Pricing Results'!K35/'3rd IA Load Pricing Results'!$B$16,0)</f>
        <v>52.465862562161604</v>
      </c>
      <c r="F17" s="66">
        <f>E17*$F$15</f>
        <v>-32.501288192156196</v>
      </c>
      <c r="G17" s="65">
        <f>IF(C17="EMAAC",$J$6*'3rd IA Load Pricing Results'!K35/'3rd IA Load Pricing Results'!$B$17,0)</f>
        <v>364.1954184000363</v>
      </c>
      <c r="H17" s="66">
        <f>G17*$H$15</f>
        <v>0</v>
      </c>
      <c r="I17" s="65">
        <f>IF(C17="SWMAAC",$J$7*'3rd IA Load Pricing Results'!K35/'3rd IA Load Pricing Results'!$B$18,0)</f>
        <v>0</v>
      </c>
      <c r="J17" s="66">
        <f>I17*$J$15</f>
        <v>0</v>
      </c>
      <c r="K17" s="65">
        <f>IF(D17="PS",$J$8*'3rd IA Load Pricing Results'!K35/'3rd IA Load Pricing Results'!$K$52,0)</f>
        <v>0</v>
      </c>
      <c r="L17" s="66">
        <f>K17*$L$15</f>
        <v>0</v>
      </c>
      <c r="M17" s="65">
        <f>IF(D17="DPL",$J$9*'3rd IA Load Pricing Results'!K35/'3rd IA Load Pricing Results'!$K$45,0)</f>
        <v>0</v>
      </c>
      <c r="N17" s="66">
        <f>M17*$N$15</f>
        <v>0</v>
      </c>
      <c r="O17" s="65">
        <f>IF(D17="PEPCO",$J$10*'3rd IA Load Pricing Results'!K35/'3rd IA Load Pricing Results'!$K$50,0)</f>
        <v>0</v>
      </c>
      <c r="P17" s="66">
        <f aca="true" t="shared" si="1" ref="P17:P25">O17*$P$15</f>
        <v>0</v>
      </c>
      <c r="Q17" s="63">
        <f>MAX(E17,G17,I17,K17,M17,O17)</f>
        <v>364.1954184000363</v>
      </c>
      <c r="R17" s="67">
        <f>F17+H17+J17+L17+N17+P17</f>
        <v>-32.501288192156196</v>
      </c>
      <c r="S17" s="67">
        <f>R17/'3rd IA Load Pricing Results'!K35</f>
        <v>-0.010859797994722063</v>
      </c>
      <c r="T17" s="56">
        <f>IF(Q17=0,0,R17/Q17)</f>
        <v>-0.08924134283440222</v>
      </c>
    </row>
    <row r="18" spans="1:20" ht="12.75">
      <c r="A18" s="169" t="s">
        <v>32</v>
      </c>
      <c r="B18" s="98"/>
      <c r="C18" s="98"/>
      <c r="D18" s="98"/>
      <c r="E18" s="65">
        <f>IF(B18="MAAC",$J$5*'3rd IA Load Pricing Results'!K36/'3rd IA Load Pricing Results'!$B$16,0)</f>
        <v>0</v>
      </c>
      <c r="F18" s="66">
        <f aca="true" t="shared" si="2" ref="F18:F35">E18*$F$15</f>
        <v>0</v>
      </c>
      <c r="G18" s="65">
        <f>IF(C18="EMAAC",$J$6*'3rd IA Load Pricing Results'!K36/'3rd IA Load Pricing Results'!$B$17,0)</f>
        <v>0</v>
      </c>
      <c r="H18" s="66">
        <f>G18*$H$15</f>
        <v>0</v>
      </c>
      <c r="I18" s="65">
        <f>IF(C18="SWMAAC",$J$7*'3rd IA Load Pricing Results'!K36/'3rd IA Load Pricing Results'!$B$18,0)</f>
        <v>0</v>
      </c>
      <c r="J18" s="66">
        <f>I18*$J$15</f>
        <v>0</v>
      </c>
      <c r="K18" s="65">
        <f>IF(D18="PS",$J$8*'3rd IA Load Pricing Results'!K36/'3rd IA Load Pricing Results'!$K$52,0)</f>
        <v>0</v>
      </c>
      <c r="L18" s="66">
        <f aca="true" t="shared" si="3" ref="L18:L33">K18*$L$15</f>
        <v>0</v>
      </c>
      <c r="M18" s="65">
        <f>IF(D18="DPL",$J$9*'3rd IA Load Pricing Results'!K36/'3rd IA Load Pricing Results'!$K$45,0)</f>
        <v>0</v>
      </c>
      <c r="N18" s="66">
        <f>M18*$N$15</f>
        <v>0</v>
      </c>
      <c r="O18" s="65">
        <f>IF(D18="PEPCO",$J$10*'3rd IA Load Pricing Results'!K36/'3rd IA Load Pricing Results'!$K$50,0)</f>
        <v>0</v>
      </c>
      <c r="P18" s="66">
        <f t="shared" si="1"/>
        <v>0</v>
      </c>
      <c r="Q18" s="63">
        <f aca="true" t="shared" si="4" ref="Q18:Q35">MAX(E18,G18,I18,K18,M18,O18)</f>
        <v>0</v>
      </c>
      <c r="R18" s="67">
        <f aca="true" t="shared" si="5" ref="R18:R34">F18+H18+J18+L18+N18+P18</f>
        <v>0</v>
      </c>
      <c r="S18" s="67">
        <f>R18/'3rd IA Load Pricing Results'!K36</f>
        <v>0</v>
      </c>
      <c r="T18" s="56">
        <f aca="true" t="shared" si="6" ref="T18:T35">IF(Q18=0,0,R18/Q18)</f>
        <v>0</v>
      </c>
    </row>
    <row r="19" spans="1:20" ht="12.75">
      <c r="A19" s="169" t="s">
        <v>19</v>
      </c>
      <c r="B19" s="98" t="s">
        <v>24</v>
      </c>
      <c r="C19" s="98"/>
      <c r="D19" s="98"/>
      <c r="E19" s="65">
        <f>IF(B19="MAAC",$J$5*'3rd IA Load Pricing Results'!K37/'3rd IA Load Pricing Results'!$B$16,0)</f>
        <v>0</v>
      </c>
      <c r="F19" s="66">
        <f t="shared" si="2"/>
        <v>0</v>
      </c>
      <c r="G19" s="65">
        <f>IF(C19="EMAAC",$J$6*'3rd IA Load Pricing Results'!K37/'3rd IA Load Pricing Results'!$B$17,0)</f>
        <v>0</v>
      </c>
      <c r="H19" s="66">
        <f aca="true" t="shared" si="7" ref="H19:H33">G19*$H$15</f>
        <v>0</v>
      </c>
      <c r="I19" s="65">
        <f>IF(C19="SWMAAC",$J$7*'3rd IA Load Pricing Results'!K37/'3rd IA Load Pricing Results'!$B$18,0)</f>
        <v>0</v>
      </c>
      <c r="J19" s="66">
        <f>I19*$J$15</f>
        <v>0</v>
      </c>
      <c r="K19" s="65">
        <f>IF(D19="PS",$J$8*'3rd IA Load Pricing Results'!K37/'3rd IA Load Pricing Results'!$K$52,0)</f>
        <v>0</v>
      </c>
      <c r="L19" s="66">
        <f t="shared" si="3"/>
        <v>0</v>
      </c>
      <c r="M19" s="65">
        <f>IF(D19="DPL",$J$9*'3rd IA Load Pricing Results'!K37/'3rd IA Load Pricing Results'!$K$45,0)</f>
        <v>0</v>
      </c>
      <c r="N19" s="66">
        <f aca="true" t="shared" si="8" ref="N19:N31">M19*$N$15</f>
        <v>0</v>
      </c>
      <c r="O19" s="65">
        <f>IF(D19="PEPCO",$J$10*'3rd IA Load Pricing Results'!K37/'3rd IA Load Pricing Results'!$K$50,0)</f>
        <v>0</v>
      </c>
      <c r="P19" s="66">
        <f t="shared" si="1"/>
        <v>0</v>
      </c>
      <c r="Q19" s="63">
        <f t="shared" si="4"/>
        <v>0</v>
      </c>
      <c r="R19" s="67">
        <f t="shared" si="5"/>
        <v>0</v>
      </c>
      <c r="S19" s="67">
        <f>R19/'3rd IA Load Pricing Results'!K37</f>
        <v>0</v>
      </c>
      <c r="T19" s="56">
        <f t="shared" si="6"/>
        <v>0</v>
      </c>
    </row>
    <row r="20" spans="1:20" ht="12.75">
      <c r="A20" s="169" t="s">
        <v>53</v>
      </c>
      <c r="B20" s="98"/>
      <c r="C20" s="98"/>
      <c r="D20" s="98"/>
      <c r="E20" s="65">
        <f>IF(B20="MAAC",$J$5*'3rd IA Load Pricing Results'!K38/'3rd IA Load Pricing Results'!$B$16,0)</f>
        <v>0</v>
      </c>
      <c r="F20" s="66">
        <f>E20*$F$15</f>
        <v>0</v>
      </c>
      <c r="G20" s="65">
        <f>IF(C20="EMAAC",$J$6*'3rd IA Load Pricing Results'!K38/'3rd IA Load Pricing Results'!$B$17,0)</f>
        <v>0</v>
      </c>
      <c r="H20" s="66">
        <f>G20*$H$15</f>
        <v>0</v>
      </c>
      <c r="I20" s="65">
        <f>IF(C20="SWMAAC",$J$7*'3rd IA Load Pricing Results'!K38/'3rd IA Load Pricing Results'!$B$18,0)</f>
        <v>0</v>
      </c>
      <c r="J20" s="66">
        <f>I20*$J$15</f>
        <v>0</v>
      </c>
      <c r="K20" s="65">
        <f>IF(D20="PS",$J$8*'3rd IA Load Pricing Results'!K38/'3rd IA Load Pricing Results'!$K$52,0)</f>
        <v>0</v>
      </c>
      <c r="L20" s="66">
        <f t="shared" si="3"/>
        <v>0</v>
      </c>
      <c r="M20" s="65">
        <f>IF(D20="DPL",$J$9*'3rd IA Load Pricing Results'!K38/'3rd IA Load Pricing Results'!$K$45,0)</f>
        <v>0</v>
      </c>
      <c r="N20" s="66">
        <f>M20*$N$15</f>
        <v>0</v>
      </c>
      <c r="O20" s="65">
        <f>IF(D20="PEPCO",$J$10*'3rd IA Load Pricing Results'!K38/'3rd IA Load Pricing Results'!$K$50,0)</f>
        <v>0</v>
      </c>
      <c r="P20" s="66">
        <f t="shared" si="1"/>
        <v>0</v>
      </c>
      <c r="Q20" s="63">
        <f t="shared" si="4"/>
        <v>0</v>
      </c>
      <c r="R20" s="67">
        <f t="shared" si="5"/>
        <v>0</v>
      </c>
      <c r="S20" s="67">
        <f>R20/'3rd IA Load Pricing Results'!K38</f>
        <v>0</v>
      </c>
      <c r="T20" s="56">
        <f>IF(Q20=0,0,R20/Q20)</f>
        <v>0</v>
      </c>
    </row>
    <row r="21" spans="1:20" ht="12.75">
      <c r="A21" s="169" t="s">
        <v>11</v>
      </c>
      <c r="B21" s="98" t="s">
        <v>30</v>
      </c>
      <c r="C21" s="98" t="s">
        <v>5</v>
      </c>
      <c r="D21" s="98"/>
      <c r="E21" s="65">
        <f>IF(B21="MAAC",$J$5*'3rd IA Load Pricing Results'!K39/'3rd IA Load Pricing Results'!$B$16,0)</f>
        <v>138.68529252910267</v>
      </c>
      <c r="F21" s="66">
        <f t="shared" si="2"/>
        <v>-85.91206625377446</v>
      </c>
      <c r="G21" s="65">
        <f>IF(C21="EMAAC",$J$6*'3rd IA Load Pricing Results'!K39/'3rd IA Load Pricing Results'!$B$17,0)</f>
        <v>0</v>
      </c>
      <c r="H21" s="66">
        <f t="shared" si="7"/>
        <v>0</v>
      </c>
      <c r="I21" s="65">
        <f>IF(C21="SWMAAC",$J$7*'3rd IA Load Pricing Results'!K39/'3rd IA Load Pricing Results'!$B$18,0)</f>
        <v>2088.7719669403914</v>
      </c>
      <c r="J21" s="66">
        <f>I21*$J$15</f>
        <v>0</v>
      </c>
      <c r="K21" s="65">
        <f>IF(D21="PS",$J$8*'3rd IA Load Pricing Results'!K39/'3rd IA Load Pricing Results'!$K$52,0)</f>
        <v>0</v>
      </c>
      <c r="L21" s="66">
        <f t="shared" si="3"/>
        <v>0</v>
      </c>
      <c r="M21" s="65">
        <f>IF(D21="DPL",$J$9*'3rd IA Load Pricing Results'!K39/'3rd IA Load Pricing Results'!$K$45,0)</f>
        <v>0</v>
      </c>
      <c r="N21" s="66">
        <f t="shared" si="8"/>
        <v>0</v>
      </c>
      <c r="O21" s="65">
        <f>IF(D21="PEPCO",$J$10*'3rd IA Load Pricing Results'!K39/'3rd IA Load Pricing Results'!$K$50,0)</f>
        <v>0</v>
      </c>
      <c r="P21" s="66">
        <f t="shared" si="1"/>
        <v>0</v>
      </c>
      <c r="Q21" s="63">
        <f t="shared" si="4"/>
        <v>2088.7719669403914</v>
      </c>
      <c r="R21" s="67">
        <f t="shared" si="5"/>
        <v>-85.91206625377446</v>
      </c>
      <c r="S21" s="67">
        <f>R21/'3rd IA Load Pricing Results'!K39</f>
        <v>-0.010859797994722063</v>
      </c>
      <c r="T21" s="508">
        <f t="shared" si="6"/>
        <v>-0.041130419027797196</v>
      </c>
    </row>
    <row r="22" spans="1:20" ht="12.75">
      <c r="A22" s="169" t="s">
        <v>20</v>
      </c>
      <c r="B22" s="98"/>
      <c r="C22" s="98"/>
      <c r="D22" s="98"/>
      <c r="E22" s="65">
        <f>IF(B22="MAAC",$J$5*'3rd IA Load Pricing Results'!K40/'3rd IA Load Pricing Results'!$B$16,0)</f>
        <v>0</v>
      </c>
      <c r="F22" s="66">
        <f t="shared" si="2"/>
        <v>0</v>
      </c>
      <c r="G22" s="65">
        <f>IF(C22="EMAAC",$J$6*'3rd IA Load Pricing Results'!K40/'3rd IA Load Pricing Results'!$B$17,0)</f>
        <v>0</v>
      </c>
      <c r="H22" s="66">
        <f t="shared" si="7"/>
        <v>0</v>
      </c>
      <c r="I22" s="65">
        <f>IF(C22="SWMAAC",$J$7*'3rd IA Load Pricing Results'!K40/'3rd IA Load Pricing Results'!$B$18,0)</f>
        <v>0</v>
      </c>
      <c r="J22" s="66">
        <f aca="true" t="shared" si="9" ref="J22:J35">I22*$J$15</f>
        <v>0</v>
      </c>
      <c r="K22" s="65">
        <f>IF(D22="PS",$J$8*'3rd IA Load Pricing Results'!K40/'3rd IA Load Pricing Results'!$K$52,0)</f>
        <v>0</v>
      </c>
      <c r="L22" s="66">
        <f t="shared" si="3"/>
        <v>0</v>
      </c>
      <c r="M22" s="65">
        <f>IF(D22="DPL",$J$9*'3rd IA Load Pricing Results'!K40/'3rd IA Load Pricing Results'!$K$45,0)</f>
        <v>0</v>
      </c>
      <c r="N22" s="66">
        <f t="shared" si="8"/>
        <v>0</v>
      </c>
      <c r="O22" s="65">
        <f>IF(D22="PEPCO",$J$10*'3rd IA Load Pricing Results'!K40/'3rd IA Load Pricing Results'!$K$50,0)</f>
        <v>0</v>
      </c>
      <c r="P22" s="66">
        <f t="shared" si="1"/>
        <v>0</v>
      </c>
      <c r="Q22" s="63">
        <f t="shared" si="4"/>
        <v>0</v>
      </c>
      <c r="R22" s="67">
        <f t="shared" si="5"/>
        <v>0</v>
      </c>
      <c r="S22" s="67">
        <f>R22/'3rd IA Load Pricing Results'!K40</f>
        <v>0</v>
      </c>
      <c r="T22" s="56">
        <f t="shared" si="6"/>
        <v>0</v>
      </c>
    </row>
    <row r="23" spans="1:20" ht="12.75">
      <c r="A23" s="169" t="s">
        <v>21</v>
      </c>
      <c r="B23" s="98"/>
      <c r="C23" s="98"/>
      <c r="D23" s="98"/>
      <c r="E23" s="65">
        <f>IF(B23="MAAC",$J$5*'3rd IA Load Pricing Results'!K41/'3rd IA Load Pricing Results'!$B$16,0)</f>
        <v>0</v>
      </c>
      <c r="F23" s="66">
        <f t="shared" si="2"/>
        <v>0</v>
      </c>
      <c r="G23" s="65">
        <f>IF(C23="EMAAC",$J$6*'3rd IA Load Pricing Results'!K41/'3rd IA Load Pricing Results'!$B$17,0)</f>
        <v>0</v>
      </c>
      <c r="H23" s="66">
        <f>G23*$H$15</f>
        <v>0</v>
      </c>
      <c r="I23" s="65">
        <f>IF(C23="SWMAAC",$J$7*'3rd IA Load Pricing Results'!K41/'3rd IA Load Pricing Results'!$B$18,0)</f>
        <v>0</v>
      </c>
      <c r="J23" s="66">
        <f>I23*$J$15</f>
        <v>0</v>
      </c>
      <c r="K23" s="65">
        <f>IF(D23="PS",$J$8*'3rd IA Load Pricing Results'!K41/'3rd IA Load Pricing Results'!$K$52,0)</f>
        <v>0</v>
      </c>
      <c r="L23" s="66">
        <f t="shared" si="3"/>
        <v>0</v>
      </c>
      <c r="M23" s="65">
        <f>IF(D23="DPL",$J$9*'3rd IA Load Pricing Results'!K41/'3rd IA Load Pricing Results'!$K$45,0)</f>
        <v>0</v>
      </c>
      <c r="N23" s="66">
        <f t="shared" si="8"/>
        <v>0</v>
      </c>
      <c r="O23" s="65">
        <f>IF(D23="PEPCO",$J$10*'3rd IA Load Pricing Results'!K41/'3rd IA Load Pricing Results'!$K$50,0)</f>
        <v>0</v>
      </c>
      <c r="P23" s="66">
        <f t="shared" si="1"/>
        <v>0</v>
      </c>
      <c r="Q23" s="63">
        <f t="shared" si="4"/>
        <v>0</v>
      </c>
      <c r="R23" s="67">
        <f t="shared" si="5"/>
        <v>0</v>
      </c>
      <c r="S23" s="67">
        <f>R23/'3rd IA Load Pricing Results'!K41</f>
        <v>0</v>
      </c>
      <c r="T23" s="56">
        <f t="shared" si="6"/>
        <v>0</v>
      </c>
    </row>
    <row r="24" spans="1:20" ht="12.75">
      <c r="A24" s="169" t="s">
        <v>71</v>
      </c>
      <c r="B24" s="98"/>
      <c r="C24" s="98"/>
      <c r="D24" s="98"/>
      <c r="E24" s="65">
        <f>IF(B24="MAAC",$J$5*'3rd IA Load Pricing Results'!K42/'3rd IA Load Pricing Results'!$B$16,0)</f>
        <v>0</v>
      </c>
      <c r="F24" s="66">
        <f>E24*$F$15</f>
        <v>0</v>
      </c>
      <c r="G24" s="65">
        <f>IF(C24="EMAAC",$J$6*'3rd IA Load Pricing Results'!K42/'3rd IA Load Pricing Results'!$B$17,0)</f>
        <v>0</v>
      </c>
      <c r="H24" s="66">
        <f>G24*$H$15</f>
        <v>0</v>
      </c>
      <c r="I24" s="65">
        <f>IF(C24="SWMAAC",$J$7*'3rd IA Load Pricing Results'!K42/'3rd IA Load Pricing Results'!$B$18,0)</f>
        <v>0</v>
      </c>
      <c r="J24" s="66">
        <f>I24*$J$15</f>
        <v>0</v>
      </c>
      <c r="K24" s="65">
        <f>IF(D24="PS",$J$8*'3rd IA Load Pricing Results'!K42/'3rd IA Load Pricing Results'!$K$52,0)</f>
        <v>0</v>
      </c>
      <c r="L24" s="66">
        <f t="shared" si="3"/>
        <v>0</v>
      </c>
      <c r="M24" s="65">
        <f>IF(D24="DPL",$J$9*'3rd IA Load Pricing Results'!K42/'3rd IA Load Pricing Results'!$K$45,0)</f>
        <v>0</v>
      </c>
      <c r="N24" s="66">
        <f>M24*$N$15</f>
        <v>0</v>
      </c>
      <c r="O24" s="65">
        <f>IF(D24="PEPCO",$J$10*'3rd IA Load Pricing Results'!K42/'3rd IA Load Pricing Results'!$K$50,0)</f>
        <v>0</v>
      </c>
      <c r="P24" s="66">
        <f t="shared" si="1"/>
        <v>0</v>
      </c>
      <c r="Q24" s="63">
        <f>MAX(E24,G24,I24,K24,M24,O24)</f>
        <v>0</v>
      </c>
      <c r="R24" s="67">
        <f>F24+H24+J24+L24+N24+P24</f>
        <v>0</v>
      </c>
      <c r="S24" s="67">
        <f>R24/'3rd IA Load Pricing Results'!K42</f>
        <v>0</v>
      </c>
      <c r="T24" s="56">
        <f>IF(Q24=0,0,R24/Q24)</f>
        <v>0</v>
      </c>
    </row>
    <row r="25" spans="1:20" ht="12.75">
      <c r="A25" s="169" t="s">
        <v>52</v>
      </c>
      <c r="B25" s="98"/>
      <c r="C25" s="98"/>
      <c r="D25" s="98"/>
      <c r="E25" s="65">
        <f>IF(B25="MAAC",$J$5*'3rd IA Load Pricing Results'!K43/'3rd IA Load Pricing Results'!$B$16,0)</f>
        <v>0</v>
      </c>
      <c r="F25" s="66">
        <f t="shared" si="2"/>
        <v>0</v>
      </c>
      <c r="G25" s="65">
        <f>IF(C25="EMAAC",$J$6*'3rd IA Load Pricing Results'!K43/'3rd IA Load Pricing Results'!$B$17,0)</f>
        <v>0</v>
      </c>
      <c r="H25" s="66">
        <f>G25*$H$15</f>
        <v>0</v>
      </c>
      <c r="I25" s="65">
        <f>IF(C25="SWMAAC",$J$7*'3rd IA Load Pricing Results'!K43/'3rd IA Load Pricing Results'!$B$18,0)</f>
        <v>0</v>
      </c>
      <c r="J25" s="66">
        <f>I25*$J$15</f>
        <v>0</v>
      </c>
      <c r="K25" s="65">
        <f>IF(D25="PS",$J$8*'3rd IA Load Pricing Results'!K43/'3rd IA Load Pricing Results'!$K$52,0)</f>
        <v>0</v>
      </c>
      <c r="L25" s="66">
        <f t="shared" si="3"/>
        <v>0</v>
      </c>
      <c r="M25" s="65">
        <f>IF(D25="DPL",$J$9*'3rd IA Load Pricing Results'!K43/'3rd IA Load Pricing Results'!$K$45,0)</f>
        <v>0</v>
      </c>
      <c r="N25" s="66">
        <f>M25*$N$15</f>
        <v>0</v>
      </c>
      <c r="O25" s="65">
        <f>IF(D25="PEPCO",$J$10*'3rd IA Load Pricing Results'!K43/'3rd IA Load Pricing Results'!$K$50,0)</f>
        <v>0</v>
      </c>
      <c r="P25" s="66">
        <f t="shared" si="1"/>
        <v>0</v>
      </c>
      <c r="Q25" s="63">
        <f t="shared" si="4"/>
        <v>0</v>
      </c>
      <c r="R25" s="67">
        <f t="shared" si="5"/>
        <v>0</v>
      </c>
      <c r="S25" s="67">
        <f>R25/'3rd IA Load Pricing Results'!K43</f>
        <v>0</v>
      </c>
      <c r="T25" s="56">
        <f t="shared" si="6"/>
        <v>0</v>
      </c>
    </row>
    <row r="26" spans="1:20" ht="12.75">
      <c r="A26" s="169" t="s">
        <v>33</v>
      </c>
      <c r="B26" s="98"/>
      <c r="C26" s="98"/>
      <c r="D26" s="98"/>
      <c r="E26" s="65">
        <f>IF(B26="MAAC",$J$5*'3rd IA Load Pricing Results'!K44/'3rd IA Load Pricing Results'!$B$16,0)</f>
        <v>0</v>
      </c>
      <c r="F26" s="66">
        <f t="shared" si="2"/>
        <v>0</v>
      </c>
      <c r="G26" s="65">
        <f>IF(C26="EMAAC",$J$6*'3rd IA Load Pricing Results'!K44/'3rd IA Load Pricing Results'!$B$17,0)</f>
        <v>0</v>
      </c>
      <c r="H26" s="66">
        <f t="shared" si="7"/>
        <v>0</v>
      </c>
      <c r="I26" s="65">
        <f>IF(C26="SWMAAC",$J$7*'3rd IA Load Pricing Results'!K44/'3rd IA Load Pricing Results'!$B$18,0)</f>
        <v>0</v>
      </c>
      <c r="J26" s="66">
        <f t="shared" si="9"/>
        <v>0</v>
      </c>
      <c r="K26" s="65">
        <f>IF(D26="PS",$J$8*'3rd IA Load Pricing Results'!K44/'3rd IA Load Pricing Results'!$K$52,0)</f>
        <v>0</v>
      </c>
      <c r="L26" s="66">
        <f t="shared" si="3"/>
        <v>0</v>
      </c>
      <c r="M26" s="65">
        <f>IF(D26="DPL",$J$9*'3rd IA Load Pricing Results'!K44/'3rd IA Load Pricing Results'!$K$45,0)</f>
        <v>0</v>
      </c>
      <c r="N26" s="66">
        <f t="shared" si="8"/>
        <v>0</v>
      </c>
      <c r="O26" s="65">
        <f>IF(D26="PEPCO",$J$10*'3rd IA Load Pricing Results'!K44/'3rd IA Load Pricing Results'!$K$50,0)</f>
        <v>0</v>
      </c>
      <c r="P26" s="66">
        <f aca="true" t="shared" si="10" ref="P26:P31">O26*$P$15</f>
        <v>0</v>
      </c>
      <c r="Q26" s="63">
        <f t="shared" si="4"/>
        <v>0</v>
      </c>
      <c r="R26" s="67">
        <f t="shared" si="5"/>
        <v>0</v>
      </c>
      <c r="S26" s="67">
        <f>R26/'3rd IA Load Pricing Results'!K44</f>
        <v>0</v>
      </c>
      <c r="T26" s="56">
        <f t="shared" si="6"/>
        <v>0</v>
      </c>
    </row>
    <row r="27" spans="1:20" ht="12.75">
      <c r="A27" s="169" t="s">
        <v>17</v>
      </c>
      <c r="B27" s="98" t="s">
        <v>30</v>
      </c>
      <c r="C27" s="98" t="s">
        <v>41</v>
      </c>
      <c r="D27" s="98" t="s">
        <v>17</v>
      </c>
      <c r="E27" s="65">
        <f>IF(B27="MAAC",$J$5*'3rd IA Load Pricing Results'!K45/'3rd IA Load Pricing Results'!$B$16,0)</f>
        <v>79.79017903269734</v>
      </c>
      <c r="F27" s="66">
        <f t="shared" si="2"/>
        <v>-49.42801808648261</v>
      </c>
      <c r="G27" s="65">
        <f>IF(C27="EMAAC",$J$6*'3rd IA Load Pricing Results'!K45/'3rd IA Load Pricing Results'!$B$17,0)</f>
        <v>553.8690534744878</v>
      </c>
      <c r="H27" s="66">
        <f>G27*$H$15</f>
        <v>0</v>
      </c>
      <c r="I27" s="65">
        <f>IF(C27="SWMAAC",$J$7*'3rd IA Load Pricing Results'!K45/'3rd IA Load Pricing Results'!$B$18,0)</f>
        <v>0</v>
      </c>
      <c r="J27" s="66">
        <f t="shared" si="9"/>
        <v>0</v>
      </c>
      <c r="K27" s="65">
        <f>IF(D27="PS",$J$8*'3rd IA Load Pricing Results'!K45/'3rd IA Load Pricing Results'!$K$52,0)</f>
        <v>0</v>
      </c>
      <c r="L27" s="66">
        <f t="shared" si="3"/>
        <v>0</v>
      </c>
      <c r="M27" s="65">
        <f>IF(D27="DPL",$J$9*'3rd IA Load Pricing Results'!K45/'3rd IA Load Pricing Results'!$K$45,0)</f>
        <v>355.66754207628674</v>
      </c>
      <c r="N27" s="66">
        <f t="shared" si="8"/>
        <v>0</v>
      </c>
      <c r="O27" s="65">
        <f>IF(D27="PEPCO",$J$10*'3rd IA Load Pricing Results'!K45/'3rd IA Load Pricing Results'!$K$50,0)</f>
        <v>0</v>
      </c>
      <c r="P27" s="66">
        <f t="shared" si="10"/>
        <v>0</v>
      </c>
      <c r="Q27" s="63">
        <f t="shared" si="4"/>
        <v>553.8690534744878</v>
      </c>
      <c r="R27" s="67">
        <f t="shared" si="5"/>
        <v>-49.42801808648261</v>
      </c>
      <c r="S27" s="67">
        <f>R27/'3rd IA Load Pricing Results'!K45</f>
        <v>-0.01085979799472206</v>
      </c>
      <c r="T27" s="56">
        <f t="shared" si="6"/>
        <v>-0.08924134283440219</v>
      </c>
    </row>
    <row r="28" spans="1:20" ht="12.75">
      <c r="A28" s="169" t="s">
        <v>12</v>
      </c>
      <c r="B28" s="98" t="s">
        <v>30</v>
      </c>
      <c r="C28" s="98" t="s">
        <v>41</v>
      </c>
      <c r="D28" s="98"/>
      <c r="E28" s="65">
        <f>IF(B28="MAAC",$J$5*'3rd IA Load Pricing Results'!K46/'3rd IA Load Pricing Results'!$B$16,0)</f>
        <v>121.26281623198547</v>
      </c>
      <c r="F28" s="66">
        <f t="shared" si="2"/>
        <v>-75.11927841991925</v>
      </c>
      <c r="G28" s="65">
        <f>IF(C28="EMAAC",$J$6*'3rd IA Load Pricing Results'!K46/'3rd IA Load Pricing Results'!$B$17,0)</f>
        <v>841.7542367029585</v>
      </c>
      <c r="H28" s="66">
        <f>G28*$H$15</f>
        <v>0</v>
      </c>
      <c r="I28" s="65">
        <f>IF(C28="SWMAAC",$J$7*'3rd IA Load Pricing Results'!K46/'3rd IA Load Pricing Results'!$B$18,0)</f>
        <v>0</v>
      </c>
      <c r="J28" s="66">
        <f t="shared" si="9"/>
        <v>0</v>
      </c>
      <c r="K28" s="65">
        <f>IF(D28="PS",$J$8*'3rd IA Load Pricing Results'!K46/'3rd IA Load Pricing Results'!$K$52,0)</f>
        <v>0</v>
      </c>
      <c r="L28" s="66">
        <f t="shared" si="3"/>
        <v>0</v>
      </c>
      <c r="M28" s="65">
        <f>IF(D28="DPL",$J$9*'3rd IA Load Pricing Results'!K46/'3rd IA Load Pricing Results'!$K$45,0)</f>
        <v>0</v>
      </c>
      <c r="N28" s="66">
        <f t="shared" si="8"/>
        <v>0</v>
      </c>
      <c r="O28" s="65">
        <f>IF(D28="PEPCO",$J$10*'3rd IA Load Pricing Results'!K46/'3rd IA Load Pricing Results'!$K$50,0)</f>
        <v>0</v>
      </c>
      <c r="P28" s="66">
        <f t="shared" si="10"/>
        <v>0</v>
      </c>
      <c r="Q28" s="63">
        <f t="shared" si="4"/>
        <v>841.7542367029585</v>
      </c>
      <c r="R28" s="67">
        <f t="shared" si="5"/>
        <v>-75.11927841991925</v>
      </c>
      <c r="S28" s="67">
        <f>R28/'3rd IA Load Pricing Results'!K46</f>
        <v>-0.010859797994722063</v>
      </c>
      <c r="T28" s="56">
        <f t="shared" si="6"/>
        <v>-0.0892413428344022</v>
      </c>
    </row>
    <row r="29" spans="1:20" ht="12.75">
      <c r="A29" s="169" t="s">
        <v>13</v>
      </c>
      <c r="B29" s="98" t="s">
        <v>30</v>
      </c>
      <c r="C29" s="98"/>
      <c r="D29" s="98"/>
      <c r="E29" s="65">
        <f>IF(B29="MAAC",$J$5*'3rd IA Load Pricing Results'!K47/'3rd IA Load Pricing Results'!$B$16,0)</f>
        <v>57.44654769949237</v>
      </c>
      <c r="F29" s="66">
        <f t="shared" si="2"/>
        <v>-35.586697925980395</v>
      </c>
      <c r="G29" s="65">
        <f>IF(C29="EMAAC",$J$6*'3rd IA Load Pricing Results'!K47/'3rd IA Load Pricing Results'!$B$17,0)</f>
        <v>0</v>
      </c>
      <c r="H29" s="66">
        <f t="shared" si="7"/>
        <v>0</v>
      </c>
      <c r="I29" s="65">
        <f>IF(C29="SWMAAC",$J$7*'3rd IA Load Pricing Results'!K47/'3rd IA Load Pricing Results'!$B$18,0)</f>
        <v>0</v>
      </c>
      <c r="J29" s="66">
        <f t="shared" si="9"/>
        <v>0</v>
      </c>
      <c r="K29" s="65">
        <f>IF(D29="PS",$J$8*'3rd IA Load Pricing Results'!K47/'3rd IA Load Pricing Results'!$K$52,0)</f>
        <v>0</v>
      </c>
      <c r="L29" s="66">
        <f t="shared" si="3"/>
        <v>0</v>
      </c>
      <c r="M29" s="65">
        <f>IF(D29="DPL",$J$9*'3rd IA Load Pricing Results'!K47/'3rd IA Load Pricing Results'!$K$45,0)</f>
        <v>0</v>
      </c>
      <c r="N29" s="66">
        <f t="shared" si="8"/>
        <v>0</v>
      </c>
      <c r="O29" s="65">
        <f>IF(D29="PEPCO",$J$10*'3rd IA Load Pricing Results'!K47/'3rd IA Load Pricing Results'!$K$50,0)</f>
        <v>0</v>
      </c>
      <c r="P29" s="66">
        <f t="shared" si="10"/>
        <v>0</v>
      </c>
      <c r="Q29" s="63">
        <f t="shared" si="4"/>
        <v>57.44654769949237</v>
      </c>
      <c r="R29" s="67">
        <f t="shared" si="5"/>
        <v>-35.586697925980395</v>
      </c>
      <c r="S29" s="67">
        <f>R29/'3rd IA Load Pricing Results'!K47</f>
        <v>-0.010859797994722063</v>
      </c>
      <c r="T29" s="56">
        <f t="shared" si="6"/>
        <v>-0.6194749615266238</v>
      </c>
    </row>
    <row r="30" spans="1:20" ht="12.75">
      <c r="A30" s="169" t="s">
        <v>9</v>
      </c>
      <c r="B30" s="98" t="s">
        <v>30</v>
      </c>
      <c r="C30" s="98" t="s">
        <v>41</v>
      </c>
      <c r="D30" s="98"/>
      <c r="E30" s="65">
        <f>IF(B30="MAAC",$J$5*'3rd IA Load Pricing Results'!K48/'3rd IA Load Pricing Results'!$B$16,0)</f>
        <v>168.5297166189253</v>
      </c>
      <c r="F30" s="66">
        <f t="shared" si="2"/>
        <v>-104.39993971860157</v>
      </c>
      <c r="G30" s="65">
        <f>IF(C30="EMAAC",$J$6*'3rd IA Load Pricing Results'!K48/'3rd IA Load Pricing Results'!$B$17,0)</f>
        <v>1169.86069911933</v>
      </c>
      <c r="H30" s="66">
        <f>G30*$H$15</f>
        <v>0</v>
      </c>
      <c r="I30" s="65">
        <f>IF(C30="SWMAAC",$J$7*'3rd IA Load Pricing Results'!K48/'3rd IA Load Pricing Results'!$B$18,0)</f>
        <v>0</v>
      </c>
      <c r="J30" s="66">
        <f t="shared" si="9"/>
        <v>0</v>
      </c>
      <c r="K30" s="65">
        <f>IF(D30="PS",$J$8*'3rd IA Load Pricing Results'!K48/'3rd IA Load Pricing Results'!$K$52,0)</f>
        <v>0</v>
      </c>
      <c r="L30" s="66">
        <f t="shared" si="3"/>
        <v>0</v>
      </c>
      <c r="M30" s="65">
        <f>IF(D30="DPL",$J$9*'3rd IA Load Pricing Results'!K48/'3rd IA Load Pricing Results'!$K$45,0)</f>
        <v>0</v>
      </c>
      <c r="N30" s="66">
        <f t="shared" si="8"/>
        <v>0</v>
      </c>
      <c r="O30" s="65">
        <f>IF(D30="PEPCO",$J$10*'3rd IA Load Pricing Results'!K48/'3rd IA Load Pricing Results'!$K$50,0)</f>
        <v>0</v>
      </c>
      <c r="P30" s="66">
        <f t="shared" si="10"/>
        <v>0</v>
      </c>
      <c r="Q30" s="63">
        <f t="shared" si="4"/>
        <v>1169.86069911933</v>
      </c>
      <c r="R30" s="67">
        <f t="shared" si="5"/>
        <v>-104.39993971860157</v>
      </c>
      <c r="S30" s="67">
        <f>R30/'3rd IA Load Pricing Results'!K48</f>
        <v>-0.010859797994722063</v>
      </c>
      <c r="T30" s="56">
        <f t="shared" si="6"/>
        <v>-0.0892413428344022</v>
      </c>
    </row>
    <row r="31" spans="1:20" ht="12.75">
      <c r="A31" s="169" t="s">
        <v>14</v>
      </c>
      <c r="B31" s="98" t="s">
        <v>30</v>
      </c>
      <c r="C31" s="98"/>
      <c r="D31" s="98"/>
      <c r="E31" s="65">
        <f>IF(B31="MAAC",$J$5*'3rd IA Load Pricing Results'!K49/'3rd IA Load Pricing Results'!$B$16,0)</f>
        <v>56.15672883922744</v>
      </c>
      <c r="F31" s="66">
        <f t="shared" si="2"/>
        <v>-34.787687437141464</v>
      </c>
      <c r="G31" s="65">
        <f>IF(C31="EMAAC",$J$6*'3rd IA Load Pricing Results'!K49/'3rd IA Load Pricing Results'!$B$17,0)</f>
        <v>0</v>
      </c>
      <c r="H31" s="66">
        <f t="shared" si="7"/>
        <v>0</v>
      </c>
      <c r="I31" s="65">
        <f>IF(C31="SWMAAC",$J$7*'3rd IA Load Pricing Results'!K49/'3rd IA Load Pricing Results'!$B$18,0)</f>
        <v>0</v>
      </c>
      <c r="J31" s="66">
        <f t="shared" si="9"/>
        <v>0</v>
      </c>
      <c r="K31" s="65">
        <f>IF(D31="PS",$J$8*'3rd IA Load Pricing Results'!K49/'3rd IA Load Pricing Results'!$K$52,0)</f>
        <v>0</v>
      </c>
      <c r="L31" s="66">
        <f t="shared" si="3"/>
        <v>0</v>
      </c>
      <c r="M31" s="65">
        <f>IF(D31="DPL",$J$9*'3rd IA Load Pricing Results'!K49/'3rd IA Load Pricing Results'!$K$45,0)</f>
        <v>0</v>
      </c>
      <c r="N31" s="66">
        <f t="shared" si="8"/>
        <v>0</v>
      </c>
      <c r="O31" s="65">
        <f>IF(D31="PEPCO",$J$10*'3rd IA Load Pricing Results'!K49/'3rd IA Load Pricing Results'!$K$50,0)</f>
        <v>0</v>
      </c>
      <c r="P31" s="66">
        <f t="shared" si="10"/>
        <v>0</v>
      </c>
      <c r="Q31" s="63">
        <f t="shared" si="4"/>
        <v>56.15672883922744</v>
      </c>
      <c r="R31" s="67">
        <f t="shared" si="5"/>
        <v>-34.787687437141464</v>
      </c>
      <c r="S31" s="67">
        <f>R31/'3rd IA Load Pricing Results'!K49</f>
        <v>-0.01085979799472206</v>
      </c>
      <c r="T31" s="56">
        <f t="shared" si="6"/>
        <v>-0.6194749615266238</v>
      </c>
    </row>
    <row r="32" spans="1:20" ht="12.75">
      <c r="A32" s="169" t="s">
        <v>15</v>
      </c>
      <c r="B32" s="98" t="s">
        <v>30</v>
      </c>
      <c r="C32" s="98" t="s">
        <v>5</v>
      </c>
      <c r="D32" s="98" t="s">
        <v>15</v>
      </c>
      <c r="E32" s="65">
        <f>IF(B32="MAAC",$J$5*'3rd IA Load Pricing Results'!K50/'3rd IA Load Pricing Results'!$B$16,0)</f>
        <v>131.00590946875602</v>
      </c>
      <c r="F32" s="66">
        <f t="shared" si="2"/>
        <v>-81.154880727918</v>
      </c>
      <c r="G32" s="65">
        <f>IF(C32="EMAAC",$J$6*'3rd IA Load Pricing Results'!K50/'3rd IA Load Pricing Results'!$B$17,0)</f>
        <v>0</v>
      </c>
      <c r="H32" s="66">
        <f t="shared" si="7"/>
        <v>0</v>
      </c>
      <c r="I32" s="65">
        <f>IF(C32="SWMAAC",$J$7*'3rd IA Load Pricing Results'!K50/'3rd IA Load Pricing Results'!$B$18,0)</f>
        <v>1973.1109637631228</v>
      </c>
      <c r="J32" s="66">
        <f t="shared" si="9"/>
        <v>0</v>
      </c>
      <c r="K32" s="65">
        <f>IF(D32="PS",$J$8*'3rd IA Load Pricing Results'!K50/'3rd IA Load Pricing Results'!$K$52,0)</f>
        <v>0</v>
      </c>
      <c r="L32" s="66">
        <f t="shared" si="3"/>
        <v>0</v>
      </c>
      <c r="M32" s="65">
        <f>IF(D32="DPL",$J$9*'3rd IA Load Pricing Results'!K50/'3rd IA Load Pricing Results'!$K$45,0)</f>
        <v>0</v>
      </c>
      <c r="N32" s="66">
        <f>M32*$N$15</f>
        <v>0</v>
      </c>
      <c r="O32" s="65">
        <f>IF(D32="PEPCO",$J$10*'3rd IA Load Pricing Results'!K50/'3rd IA Load Pricing Results'!$K$50,0)</f>
        <v>2223.864116584843</v>
      </c>
      <c r="P32" s="66">
        <f>O32*$P$15</f>
        <v>0</v>
      </c>
      <c r="Q32" s="63">
        <f t="shared" si="4"/>
        <v>2223.864116584843</v>
      </c>
      <c r="R32" s="67">
        <f t="shared" si="5"/>
        <v>-81.154880727918</v>
      </c>
      <c r="S32" s="67">
        <f>R32/'3rd IA Load Pricing Results'!K50</f>
        <v>-0.01085979799472206</v>
      </c>
      <c r="T32" s="56">
        <f t="shared" si="6"/>
        <v>-0.03649273358146828</v>
      </c>
    </row>
    <row r="33" spans="1:20" ht="12.75">
      <c r="A33" s="169" t="s">
        <v>10</v>
      </c>
      <c r="B33" s="98" t="s">
        <v>30</v>
      </c>
      <c r="C33" s="98"/>
      <c r="D33" s="98"/>
      <c r="E33" s="65">
        <f>IF(B33="MAAC",$J$5*'3rd IA Load Pricing Results'!K51/'3rd IA Load Pricing Results'!$B$16,0)</f>
        <v>143.34848379313746</v>
      </c>
      <c r="F33" s="66">
        <f t="shared" si="2"/>
        <v>-88.8007964826537</v>
      </c>
      <c r="G33" s="65">
        <f>IF(C33="EMAAC",$J$6*'3rd IA Load Pricing Results'!K51/'3rd IA Load Pricing Results'!$B$17,0)</f>
        <v>0</v>
      </c>
      <c r="H33" s="66">
        <f t="shared" si="7"/>
        <v>0</v>
      </c>
      <c r="I33" s="65">
        <f>IF(C33="SWMAAC",$J$7*'3rd IA Load Pricing Results'!K51/'3rd IA Load Pricing Results'!$B$18,0)</f>
        <v>0</v>
      </c>
      <c r="J33" s="66">
        <f t="shared" si="9"/>
        <v>0</v>
      </c>
      <c r="K33" s="65">
        <f>IF(D33="PS",$J$8*'3rd IA Load Pricing Results'!K51/'3rd IA Load Pricing Results'!$K$52,0)</f>
        <v>0</v>
      </c>
      <c r="L33" s="66">
        <f t="shared" si="3"/>
        <v>0</v>
      </c>
      <c r="M33" s="65">
        <f>IF(D33="DPL",$J$9*'3rd IA Load Pricing Results'!K51/'3rd IA Load Pricing Results'!$K$45,0)</f>
        <v>0</v>
      </c>
      <c r="N33" s="66">
        <f>M33*$N$15</f>
        <v>0</v>
      </c>
      <c r="O33" s="65">
        <f>IF(D33="PEPCO",$J$10*'3rd IA Load Pricing Results'!K51/'3rd IA Load Pricing Results'!$K$50,0)</f>
        <v>0</v>
      </c>
      <c r="P33" s="66">
        <f>O33*$P$15</f>
        <v>0</v>
      </c>
      <c r="Q33" s="63">
        <f t="shared" si="4"/>
        <v>143.34848379313746</v>
      </c>
      <c r="R33" s="67">
        <f t="shared" si="5"/>
        <v>-88.8007964826537</v>
      </c>
      <c r="S33" s="67">
        <f>R33/'3rd IA Load Pricing Results'!K51</f>
        <v>-0.010859797994722063</v>
      </c>
      <c r="T33" s="56">
        <f t="shared" si="6"/>
        <v>-0.6194749615266238</v>
      </c>
    </row>
    <row r="34" spans="1:20" ht="12.75">
      <c r="A34" s="169" t="s">
        <v>8</v>
      </c>
      <c r="B34" s="98" t="s">
        <v>30</v>
      </c>
      <c r="C34" s="98" t="s">
        <v>41</v>
      </c>
      <c r="D34" s="98" t="s">
        <v>8</v>
      </c>
      <c r="E34" s="65">
        <f>IF(B34="MAAC",$J$5*'3rd IA Load Pricing Results'!K52/'3rd IA Load Pricing Results'!$B$16,0)</f>
        <v>202.71983809948668</v>
      </c>
      <c r="F34" s="66">
        <f>E34*$F$15</f>
        <v>-125.57986390736292</v>
      </c>
      <c r="G34" s="65">
        <f>IF(C34="EMAAC",$J$6*'3rd IA Load Pricing Results'!K52/'3rd IA Load Pricing Results'!$B$17,0)</f>
        <v>1407.193795149308</v>
      </c>
      <c r="H34" s="66">
        <f>G34*$H$15</f>
        <v>0</v>
      </c>
      <c r="I34" s="65">
        <f>IF(C34="SWMAAC",$J$7*'3rd IA Load Pricing Results'!K52/'3rd IA Load Pricing Results'!$B$18,0)</f>
        <v>0</v>
      </c>
      <c r="J34" s="66">
        <f t="shared" si="9"/>
        <v>0</v>
      </c>
      <c r="K34" s="65">
        <f>IF(D34="PS",$J$8*'3rd IA Load Pricing Results'!K52/'3rd IA Load Pricing Results'!$K$52,0)</f>
        <v>4034.302293974877</v>
      </c>
      <c r="L34" s="66">
        <f>K34*$L$15</f>
        <v>207054.45110808522</v>
      </c>
      <c r="M34" s="65">
        <f>IF(D34="DPL",$J$9*'3rd IA Load Pricing Results'!K52/'3rd IA Load Pricing Results'!$K$45,0)</f>
        <v>0</v>
      </c>
      <c r="N34" s="66">
        <f>M34*$N$15</f>
        <v>0</v>
      </c>
      <c r="O34" s="65">
        <f>IF(D34="PEPCO",$J$10*'3rd IA Load Pricing Results'!K52/'3rd IA Load Pricing Results'!$K$50,0)</f>
        <v>0</v>
      </c>
      <c r="P34" s="66">
        <f>O34*$P$15</f>
        <v>0</v>
      </c>
      <c r="Q34" s="63">
        <f t="shared" si="4"/>
        <v>4034.302293974877</v>
      </c>
      <c r="R34" s="67">
        <f t="shared" si="5"/>
        <v>206928.87124417786</v>
      </c>
      <c r="S34" s="67">
        <f>R34/'3rd IA Load Pricing Results'!K52</f>
        <v>17.894634307338706</v>
      </c>
      <c r="T34" s="56">
        <f t="shared" si="6"/>
        <v>51.292356438738025</v>
      </c>
    </row>
    <row r="35" spans="1:20" ht="13.5" thickBot="1">
      <c r="A35" s="509" t="s">
        <v>18</v>
      </c>
      <c r="B35" s="510" t="s">
        <v>30</v>
      </c>
      <c r="C35" s="510" t="s">
        <v>41</v>
      </c>
      <c r="D35" s="510"/>
      <c r="E35" s="511">
        <f>IF(B35="MAAC",$J$5*'3rd IA Load Pricing Results'!K53/'3rd IA Load Pricing Results'!$B$16,0)</f>
        <v>8.05640703488563</v>
      </c>
      <c r="F35" s="512">
        <f t="shared" si="2"/>
        <v>-4.990742437978597</v>
      </c>
      <c r="G35" s="511">
        <f>IF(C35="EMAAC",$J$6*'3rd IA Load Pricing Results'!K53/'3rd IA Load Pricing Results'!$B$17,0)</f>
        <v>55.924107363999525</v>
      </c>
      <c r="H35" s="512">
        <f>G35*$H$15</f>
        <v>0</v>
      </c>
      <c r="I35" s="511">
        <f>IF(C35="SWMAAC",$J$7*'3rd IA Load Pricing Results'!K53/'3rd IA Load Pricing Results'!$B$18,0)</f>
        <v>0</v>
      </c>
      <c r="J35" s="512">
        <f t="shared" si="9"/>
        <v>0</v>
      </c>
      <c r="K35" s="511">
        <f>IF(D35="PS",$J$8*'3rd IA Load Pricing Results'!K53/'3rd IA Load Pricing Results'!$K$52,0)</f>
        <v>0</v>
      </c>
      <c r="L35" s="512">
        <f>K35*$L$15</f>
        <v>0</v>
      </c>
      <c r="M35" s="511">
        <f>IF(D35="DPL",$J$9*'3rd IA Load Pricing Results'!K53/'3rd IA Load Pricing Results'!$K$45,0)</f>
        <v>0</v>
      </c>
      <c r="N35" s="512">
        <f>M35*$N$15</f>
        <v>0</v>
      </c>
      <c r="O35" s="511">
        <f>IF(D35="PEPCO",$J$10*'3rd IA Load Pricing Results'!K53/'3rd IA Load Pricing Results'!$K$50,0)</f>
        <v>0</v>
      </c>
      <c r="P35" s="512">
        <f>O35*$P$15</f>
        <v>0</v>
      </c>
      <c r="Q35" s="513">
        <f t="shared" si="4"/>
        <v>55.924107363999525</v>
      </c>
      <c r="R35" s="514">
        <f>F35+H35+J35+L35+N35+P35</f>
        <v>-4.990742437978597</v>
      </c>
      <c r="S35" s="514">
        <f>R35/'3rd IA Load Pricing Results'!K53</f>
        <v>-0.01085979799472206</v>
      </c>
      <c r="T35" s="515">
        <f t="shared" si="6"/>
        <v>-0.08924134283440219</v>
      </c>
    </row>
    <row r="36" spans="1:20" ht="13.5" thickBot="1">
      <c r="A36" s="857" t="s">
        <v>109</v>
      </c>
      <c r="B36" s="858"/>
      <c r="C36" s="858"/>
      <c r="D36" s="859"/>
      <c r="E36" s="516">
        <f aca="true" t="shared" si="11" ref="E36:O36">SUM(E17:E35)</f>
        <v>1159.4677819098579</v>
      </c>
      <c r="F36" s="517">
        <f t="shared" si="11"/>
        <v>-718.2612595899691</v>
      </c>
      <c r="G36" s="516">
        <f t="shared" si="11"/>
        <v>4392.7973102101205</v>
      </c>
      <c r="H36" s="517">
        <f t="shared" si="11"/>
        <v>0</v>
      </c>
      <c r="I36" s="516">
        <f t="shared" si="11"/>
        <v>4061.882930703514</v>
      </c>
      <c r="J36" s="517">
        <f>SUM(J17:J35)</f>
        <v>0</v>
      </c>
      <c r="K36" s="516">
        <f>SUM(K17:K35)</f>
        <v>4034.302293974877</v>
      </c>
      <c r="L36" s="517">
        <f>SUM(L17:L35)</f>
        <v>207054.45110808522</v>
      </c>
      <c r="M36" s="516">
        <f>SUM(M17:M35)</f>
        <v>355.66754207628674</v>
      </c>
      <c r="N36" s="517">
        <f>SUM(N17:N35)</f>
        <v>0</v>
      </c>
      <c r="O36" s="516">
        <f t="shared" si="11"/>
        <v>2223.864116584843</v>
      </c>
      <c r="P36" s="517">
        <f>SUM(P17:P35)</f>
        <v>0</v>
      </c>
      <c r="Q36" s="518"/>
      <c r="R36" s="517">
        <f>SUM(R17:R35)</f>
        <v>206336.18984849527</v>
      </c>
      <c r="S36" s="519"/>
      <c r="T36" s="520"/>
    </row>
    <row r="37" spans="1:18" ht="12.75">
      <c r="A37" s="12" t="s">
        <v>110</v>
      </c>
      <c r="F37" s="6" t="s">
        <v>24</v>
      </c>
      <c r="R37" s="155"/>
    </row>
    <row r="38" ht="12.75">
      <c r="A38" s="12" t="s">
        <v>249</v>
      </c>
    </row>
    <row r="39" ht="12.75">
      <c r="A39" s="12" t="s">
        <v>113</v>
      </c>
    </row>
    <row r="40" ht="12.75">
      <c r="A40" s="12" t="s">
        <v>312</v>
      </c>
    </row>
  </sheetData>
  <sheetProtection/>
  <mergeCells count="8">
    <mergeCell ref="O14:P14"/>
    <mergeCell ref="A36:D36"/>
    <mergeCell ref="A13:D15"/>
    <mergeCell ref="E14:F14"/>
    <mergeCell ref="G14:H14"/>
    <mergeCell ref="I14:J14"/>
    <mergeCell ref="K14:L14"/>
    <mergeCell ref="M14:N14"/>
  </mergeCells>
  <printOptions/>
  <pageMargins left="0.45" right="0.45" top="0.5" bottom="0.5" header="0.3" footer="0.3"/>
  <pageSetup fitToHeight="1" fitToWidth="1" horizontalDpi="600" verticalDpi="600" orientation="landscape" paperSize="5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9" width="16.7109375" style="0" customWidth="1"/>
  </cols>
  <sheetData>
    <row r="1" ht="18.75">
      <c r="A1" s="3" t="s">
        <v>313</v>
      </c>
    </row>
    <row r="2" ht="19.5" thickBot="1">
      <c r="A2" s="3"/>
    </row>
    <row r="3" spans="1:3" ht="13.5" thickBot="1">
      <c r="A3" s="816" t="s">
        <v>97</v>
      </c>
      <c r="C3" s="310"/>
    </row>
    <row r="4" spans="1:9" ht="15.75" thickBot="1">
      <c r="A4" s="870"/>
      <c r="B4" s="871" t="s">
        <v>30</v>
      </c>
      <c r="C4" s="872"/>
      <c r="D4" s="521" t="s">
        <v>5</v>
      </c>
      <c r="E4" s="140"/>
      <c r="F4" s="140"/>
      <c r="G4" s="140"/>
      <c r="H4" s="140"/>
      <c r="I4" s="140"/>
    </row>
    <row r="5" spans="1:9" ht="27" customHeight="1">
      <c r="A5" s="522" t="s">
        <v>174</v>
      </c>
      <c r="B5" s="110" t="s">
        <v>172</v>
      </c>
      <c r="C5" s="113" t="s">
        <v>323</v>
      </c>
      <c r="D5" s="486" t="s">
        <v>172</v>
      </c>
      <c r="E5" s="242"/>
      <c r="F5" s="140"/>
      <c r="G5" s="140"/>
      <c r="H5" s="140"/>
      <c r="I5" s="140"/>
    </row>
    <row r="6" spans="1:9" ht="27" customHeight="1">
      <c r="A6" s="523" t="s">
        <v>181</v>
      </c>
      <c r="B6" s="249"/>
      <c r="C6" s="250"/>
      <c r="D6" s="256"/>
      <c r="E6" s="140"/>
      <c r="F6" s="140"/>
      <c r="G6" s="140"/>
      <c r="H6" s="140"/>
      <c r="I6" s="140"/>
    </row>
    <row r="7" spans="1:9" ht="15" customHeight="1">
      <c r="A7" s="524" t="s">
        <v>74</v>
      </c>
      <c r="B7" s="251">
        <v>160</v>
      </c>
      <c r="C7" s="252">
        <v>0</v>
      </c>
      <c r="D7" s="257">
        <v>0</v>
      </c>
      <c r="E7" s="141"/>
      <c r="F7" s="141"/>
      <c r="G7" s="141"/>
      <c r="H7" s="42"/>
      <c r="I7" s="141"/>
    </row>
    <row r="8" spans="1:9" ht="15" customHeight="1">
      <c r="A8" s="524" t="s">
        <v>75</v>
      </c>
      <c r="B8" s="251">
        <v>106</v>
      </c>
      <c r="C8" s="252">
        <v>0</v>
      </c>
      <c r="D8" s="257">
        <v>0</v>
      </c>
      <c r="E8" s="141"/>
      <c r="F8" s="141"/>
      <c r="G8" s="141"/>
      <c r="H8" s="42"/>
      <c r="I8" s="141"/>
    </row>
    <row r="9" spans="1:9" ht="15" customHeight="1">
      <c r="A9" s="525" t="s">
        <v>147</v>
      </c>
      <c r="B9" s="262">
        <f>SUM(B7:B8)</f>
        <v>266</v>
      </c>
      <c r="C9" s="263">
        <f>SUM(C7:C8)</f>
        <v>0</v>
      </c>
      <c r="D9" s="264">
        <f>SUM(D7:D8)</f>
        <v>0</v>
      </c>
      <c r="E9" s="141"/>
      <c r="F9" s="141"/>
      <c r="G9" s="141"/>
      <c r="H9" s="42"/>
      <c r="I9" s="141"/>
    </row>
    <row r="10" spans="1:9" ht="15" customHeight="1">
      <c r="A10" s="523" t="s">
        <v>120</v>
      </c>
      <c r="B10" s="251" t="s">
        <v>24</v>
      </c>
      <c r="C10" s="252"/>
      <c r="D10" s="257"/>
      <c r="E10" s="142"/>
      <c r="F10" s="142"/>
      <c r="G10" s="143"/>
      <c r="H10" s="142"/>
      <c r="I10" s="142"/>
    </row>
    <row r="11" spans="1:9" ht="30" customHeight="1">
      <c r="A11" s="524" t="s">
        <v>73</v>
      </c>
      <c r="B11" s="251">
        <v>16</v>
      </c>
      <c r="C11" s="252">
        <v>0</v>
      </c>
      <c r="D11" s="257">
        <v>237</v>
      </c>
      <c r="E11" s="141"/>
      <c r="F11" s="142"/>
      <c r="G11" s="143"/>
      <c r="H11" s="42"/>
      <c r="I11" s="142"/>
    </row>
    <row r="12" spans="1:9" ht="15" customHeight="1">
      <c r="A12" s="525" t="s">
        <v>148</v>
      </c>
      <c r="B12" s="262">
        <f>SUM(B11)</f>
        <v>16</v>
      </c>
      <c r="C12" s="263">
        <f>SUM(C11)</f>
        <v>0</v>
      </c>
      <c r="D12" s="264">
        <f>SUM(D11)</f>
        <v>237</v>
      </c>
      <c r="E12" s="142"/>
      <c r="F12" s="142"/>
      <c r="G12" s="143"/>
      <c r="H12" s="42"/>
      <c r="I12" s="142"/>
    </row>
    <row r="13" spans="1:9" ht="15" customHeight="1">
      <c r="A13" s="526" t="s">
        <v>119</v>
      </c>
      <c r="B13" s="253"/>
      <c r="C13" s="252"/>
      <c r="D13" s="258"/>
      <c r="E13" s="142"/>
      <c r="F13" s="142"/>
      <c r="G13" s="143"/>
      <c r="H13" s="42"/>
      <c r="I13" s="142"/>
    </row>
    <row r="14" spans="1:9" ht="15" customHeight="1">
      <c r="A14" s="524" t="s">
        <v>96</v>
      </c>
      <c r="B14" s="251">
        <v>159</v>
      </c>
      <c r="C14" s="252">
        <v>0</v>
      </c>
      <c r="D14" s="257">
        <v>0</v>
      </c>
      <c r="E14" s="141"/>
      <c r="F14" s="142"/>
      <c r="G14" s="143"/>
      <c r="H14" s="42"/>
      <c r="I14" s="142"/>
    </row>
    <row r="15" spans="1:9" ht="15" customHeight="1">
      <c r="A15" s="525" t="s">
        <v>149</v>
      </c>
      <c r="B15" s="262">
        <f>SUM(B14)</f>
        <v>159</v>
      </c>
      <c r="C15" s="265">
        <f>SUM(C14)</f>
        <v>0</v>
      </c>
      <c r="D15" s="264">
        <f>SUM(D14)</f>
        <v>0</v>
      </c>
      <c r="E15" s="142"/>
      <c r="F15" s="142"/>
      <c r="G15" s="143"/>
      <c r="H15" s="42"/>
      <c r="I15" s="142"/>
    </row>
    <row r="16" spans="1:9" ht="15" customHeight="1">
      <c r="A16" s="527"/>
      <c r="B16" s="251"/>
      <c r="C16" s="252"/>
      <c r="D16" s="259"/>
      <c r="E16" s="142"/>
      <c r="F16" s="142"/>
      <c r="G16" s="143"/>
      <c r="H16" s="42"/>
      <c r="I16" s="142"/>
    </row>
    <row r="17" spans="1:9" ht="15" customHeight="1" thickBot="1">
      <c r="A17" s="528" t="s">
        <v>150</v>
      </c>
      <c r="B17" s="266">
        <f>B9+B12+B15</f>
        <v>441</v>
      </c>
      <c r="C17" s="267">
        <f>C9+C12+C15</f>
        <v>0</v>
      </c>
      <c r="D17" s="268">
        <f>D9+D12+D15</f>
        <v>237</v>
      </c>
      <c r="E17" s="243"/>
      <c r="F17" s="145"/>
      <c r="G17" s="141"/>
      <c r="H17" s="42"/>
      <c r="I17" s="145"/>
    </row>
    <row r="18" spans="1:9" ht="15" customHeight="1">
      <c r="A18" s="621" t="s">
        <v>322</v>
      </c>
      <c r="B18" s="620"/>
      <c r="C18" s="620"/>
      <c r="D18" s="620"/>
      <c r="E18" s="148"/>
      <c r="F18" s="148"/>
      <c r="G18" s="147"/>
      <c r="H18" s="148"/>
      <c r="I18" s="148"/>
    </row>
    <row r="19" spans="1:9" ht="15" customHeight="1">
      <c r="A19" s="12"/>
      <c r="B19" s="146"/>
      <c r="C19" s="146"/>
      <c r="D19" s="147"/>
      <c r="E19" s="148"/>
      <c r="F19" s="148"/>
      <c r="G19" s="147"/>
      <c r="H19" s="148"/>
      <c r="I19" s="148"/>
    </row>
    <row r="20" spans="1:9" ht="15" customHeight="1" thickBot="1">
      <c r="A20" s="144"/>
      <c r="B20" s="146"/>
      <c r="C20" s="146"/>
      <c r="D20" s="147"/>
      <c r="E20" s="148"/>
      <c r="F20" s="148"/>
      <c r="G20" s="147"/>
      <c r="H20" s="148"/>
      <c r="I20" s="148"/>
    </row>
    <row r="21" spans="1:9" ht="34.5" customHeight="1" thickBot="1">
      <c r="A21" s="287" t="s">
        <v>98</v>
      </c>
      <c r="B21" s="40"/>
      <c r="C21" s="40"/>
      <c r="D21" s="41"/>
      <c r="E21" s="148"/>
      <c r="F21" s="148"/>
      <c r="G21" s="147"/>
      <c r="H21" s="148"/>
      <c r="I21" s="148"/>
    </row>
    <row r="22" spans="1:9" ht="30" customHeight="1">
      <c r="A22" s="101" t="s">
        <v>90</v>
      </c>
      <c r="B22" s="162" t="s">
        <v>219</v>
      </c>
      <c r="C22" s="635" t="s">
        <v>91</v>
      </c>
      <c r="D22" s="150"/>
      <c r="E22" s="148" t="s">
        <v>24</v>
      </c>
      <c r="F22" s="148" t="s">
        <v>24</v>
      </c>
      <c r="G22" s="147" t="s">
        <v>24</v>
      </c>
      <c r="H22" s="148"/>
      <c r="I22" s="148"/>
    </row>
    <row r="23" spans="1:9" ht="14.25">
      <c r="A23" s="55" t="s">
        <v>16</v>
      </c>
      <c r="B23" s="550">
        <v>0.0174</v>
      </c>
      <c r="C23" s="119">
        <v>0.0896</v>
      </c>
      <c r="D23" s="151" t="s">
        <v>24</v>
      </c>
      <c r="E23" s="549" t="s">
        <v>24</v>
      </c>
      <c r="F23" s="549" t="s">
        <v>24</v>
      </c>
      <c r="G23" s="42"/>
      <c r="H23" s="148"/>
      <c r="I23" s="148"/>
    </row>
    <row r="24" spans="1:9" ht="14.25">
      <c r="A24" s="55" t="s">
        <v>32</v>
      </c>
      <c r="B24" s="550">
        <v>0.1442</v>
      </c>
      <c r="C24" s="119">
        <v>0</v>
      </c>
      <c r="D24" s="151" t="s">
        <v>24</v>
      </c>
      <c r="E24" s="549" t="s">
        <v>24</v>
      </c>
      <c r="F24" s="549" t="s">
        <v>24</v>
      </c>
      <c r="G24" s="42"/>
      <c r="H24" s="148"/>
      <c r="I24" s="148"/>
    </row>
    <row r="25" spans="1:9" ht="14.25">
      <c r="A25" s="55" t="s">
        <v>19</v>
      </c>
      <c r="B25" s="550">
        <v>0.0527</v>
      </c>
      <c r="C25" s="119">
        <v>0</v>
      </c>
      <c r="D25" s="151" t="s">
        <v>24</v>
      </c>
      <c r="E25" s="549" t="s">
        <v>24</v>
      </c>
      <c r="F25" s="549" t="s">
        <v>24</v>
      </c>
      <c r="G25" s="42"/>
      <c r="H25" s="148"/>
      <c r="I25" s="148"/>
    </row>
    <row r="26" spans="1:9" ht="12.75">
      <c r="A26" s="55" t="s">
        <v>53</v>
      </c>
      <c r="B26" s="550">
        <v>0.0836</v>
      </c>
      <c r="C26" s="636">
        <v>0</v>
      </c>
      <c r="D26" s="151" t="s">
        <v>24</v>
      </c>
      <c r="E26" s="549" t="s">
        <v>24</v>
      </c>
      <c r="F26" s="549" t="s">
        <v>24</v>
      </c>
      <c r="G26" s="42"/>
      <c r="H26" s="42"/>
      <c r="I26" s="42"/>
    </row>
    <row r="27" spans="1:9" ht="12.75">
      <c r="A27" s="55" t="s">
        <v>11</v>
      </c>
      <c r="B27" s="550">
        <v>0.0433</v>
      </c>
      <c r="C27" s="636">
        <v>0</v>
      </c>
      <c r="D27" s="151" t="s">
        <v>24</v>
      </c>
      <c r="E27" s="549" t="s">
        <v>24</v>
      </c>
      <c r="F27" s="549" t="s">
        <v>24</v>
      </c>
      <c r="G27" s="42"/>
      <c r="H27" s="42"/>
      <c r="I27" s="42"/>
    </row>
    <row r="28" spans="1:9" ht="12.75">
      <c r="A28" s="55" t="s">
        <v>20</v>
      </c>
      <c r="B28" s="550">
        <v>0.1459</v>
      </c>
      <c r="C28" s="636">
        <v>0</v>
      </c>
      <c r="D28" s="151" t="s">
        <v>24</v>
      </c>
      <c r="E28" s="549" t="s">
        <v>24</v>
      </c>
      <c r="F28" s="549" t="s">
        <v>24</v>
      </c>
      <c r="G28" s="42"/>
      <c r="H28" s="42"/>
      <c r="I28" s="42"/>
    </row>
    <row r="29" spans="1:9" ht="12.75">
      <c r="A29" s="55" t="s">
        <v>21</v>
      </c>
      <c r="B29" s="550">
        <v>0.0216</v>
      </c>
      <c r="C29" s="636">
        <v>0</v>
      </c>
      <c r="D29" s="151" t="s">
        <v>24</v>
      </c>
      <c r="E29" s="549" t="s">
        <v>24</v>
      </c>
      <c r="F29" s="549" t="s">
        <v>24</v>
      </c>
      <c r="G29" s="42"/>
      <c r="H29" s="42"/>
      <c r="I29" s="42"/>
    </row>
    <row r="30" spans="1:9" ht="12.75">
      <c r="A30" s="55" t="s">
        <v>71</v>
      </c>
      <c r="B30" s="550">
        <v>0.0337</v>
      </c>
      <c r="C30" s="636">
        <v>0</v>
      </c>
      <c r="D30" s="151" t="s">
        <v>24</v>
      </c>
      <c r="E30" s="549" t="s">
        <v>24</v>
      </c>
      <c r="F30" s="549" t="s">
        <v>24</v>
      </c>
      <c r="G30" s="42"/>
      <c r="H30" s="42"/>
      <c r="I30" s="42"/>
    </row>
    <row r="31" spans="1:9" ht="12.75">
      <c r="A31" s="55" t="s">
        <v>52</v>
      </c>
      <c r="B31" s="550">
        <v>0.0189</v>
      </c>
      <c r="C31" s="636">
        <v>0</v>
      </c>
      <c r="D31" s="151" t="s">
        <v>24</v>
      </c>
      <c r="E31" s="549" t="s">
        <v>24</v>
      </c>
      <c r="F31" s="549" t="s">
        <v>24</v>
      </c>
      <c r="G31" s="42"/>
      <c r="H31" s="42"/>
      <c r="I31" s="42"/>
    </row>
    <row r="32" spans="1:9" ht="12.75">
      <c r="A32" s="55" t="s">
        <v>33</v>
      </c>
      <c r="B32" s="550">
        <v>0.119</v>
      </c>
      <c r="C32" s="636">
        <v>0</v>
      </c>
      <c r="D32" s="151" t="s">
        <v>24</v>
      </c>
      <c r="E32" s="549" t="s">
        <v>24</v>
      </c>
      <c r="F32" s="549" t="s">
        <v>24</v>
      </c>
      <c r="G32" s="42"/>
      <c r="H32" s="42"/>
      <c r="I32" s="42"/>
    </row>
    <row r="33" spans="1:9" ht="12.75">
      <c r="A33" s="55" t="s">
        <v>17</v>
      </c>
      <c r="B33" s="550">
        <v>0.0254</v>
      </c>
      <c r="C33" s="636">
        <v>0.1677</v>
      </c>
      <c r="D33" s="151" t="s">
        <v>24</v>
      </c>
      <c r="E33" s="549" t="s">
        <v>24</v>
      </c>
      <c r="F33" s="549" t="s">
        <v>24</v>
      </c>
      <c r="G33" s="42"/>
      <c r="H33" s="42"/>
      <c r="I33" s="42"/>
    </row>
    <row r="34" spans="1:9" ht="12.75">
      <c r="A34" s="55" t="s">
        <v>12</v>
      </c>
      <c r="B34" s="550">
        <v>0.0385</v>
      </c>
      <c r="C34" s="636">
        <v>0.0959</v>
      </c>
      <c r="D34" s="151" t="s">
        <v>24</v>
      </c>
      <c r="E34" s="549" t="s">
        <v>24</v>
      </c>
      <c r="F34" s="549" t="s">
        <v>24</v>
      </c>
      <c r="G34" s="42"/>
      <c r="H34" s="42"/>
      <c r="I34" s="42"/>
    </row>
    <row r="35" spans="1:9" ht="12.75">
      <c r="A35" s="55" t="s">
        <v>13</v>
      </c>
      <c r="B35" s="550">
        <v>0.0188</v>
      </c>
      <c r="C35" s="636">
        <v>0.0147</v>
      </c>
      <c r="D35" s="151" t="s">
        <v>24</v>
      </c>
      <c r="E35" s="549" t="s">
        <v>24</v>
      </c>
      <c r="F35" s="549" t="s">
        <v>24</v>
      </c>
      <c r="G35" s="42"/>
      <c r="H35" s="42"/>
      <c r="I35" s="42"/>
    </row>
    <row r="36" spans="1:9" ht="12.75">
      <c r="A36" s="55" t="s">
        <v>9</v>
      </c>
      <c r="B36" s="550">
        <v>0.0529</v>
      </c>
      <c r="C36" s="636">
        <v>0.3064</v>
      </c>
      <c r="D36" s="151" t="s">
        <v>24</v>
      </c>
      <c r="E36" s="549" t="s">
        <v>24</v>
      </c>
      <c r="F36" s="549" t="s">
        <v>24</v>
      </c>
      <c r="G36" s="42"/>
      <c r="H36" s="42"/>
      <c r="I36" s="42"/>
    </row>
    <row r="37" spans="1:9" ht="12.75">
      <c r="A37" s="55" t="s">
        <v>14</v>
      </c>
      <c r="B37" s="550">
        <v>0.018</v>
      </c>
      <c r="C37" s="636">
        <v>0</v>
      </c>
      <c r="D37" s="151" t="s">
        <v>24</v>
      </c>
      <c r="E37" s="549" t="s">
        <v>24</v>
      </c>
      <c r="F37" s="549" t="s">
        <v>24</v>
      </c>
      <c r="G37" s="42"/>
      <c r="H37" s="42"/>
      <c r="I37" s="42"/>
    </row>
    <row r="38" spans="1:9" ht="12.75">
      <c r="A38" s="55" t="s">
        <v>15</v>
      </c>
      <c r="B38" s="550">
        <v>0.0416</v>
      </c>
      <c r="C38" s="636">
        <v>0</v>
      </c>
      <c r="D38" s="151" t="s">
        <v>24</v>
      </c>
      <c r="E38" s="549" t="s">
        <v>24</v>
      </c>
      <c r="F38" s="549" t="s">
        <v>24</v>
      </c>
      <c r="G38" s="42"/>
      <c r="H38" s="42"/>
      <c r="I38" s="42"/>
    </row>
    <row r="39" spans="1:9" ht="12.75">
      <c r="A39" s="55" t="s">
        <v>10</v>
      </c>
      <c r="B39" s="550">
        <v>0.0456</v>
      </c>
      <c r="C39" s="636">
        <v>0.1633</v>
      </c>
      <c r="D39" s="151" t="s">
        <v>24</v>
      </c>
      <c r="E39" s="549" t="s">
        <v>24</v>
      </c>
      <c r="F39" s="549" t="s">
        <v>24</v>
      </c>
      <c r="G39" s="42"/>
      <c r="H39" s="42"/>
      <c r="I39" s="42"/>
    </row>
    <row r="40" spans="1:9" ht="12.75">
      <c r="A40" s="55" t="s">
        <v>8</v>
      </c>
      <c r="B40" s="550">
        <v>0.0647</v>
      </c>
      <c r="C40" s="636">
        <v>0.14</v>
      </c>
      <c r="D40" s="151" t="s">
        <v>24</v>
      </c>
      <c r="E40" s="549" t="s">
        <v>24</v>
      </c>
      <c r="F40" s="549" t="s">
        <v>24</v>
      </c>
      <c r="G40" s="42"/>
      <c r="H40" s="42"/>
      <c r="I40" s="42"/>
    </row>
    <row r="41" spans="1:9" ht="12.75">
      <c r="A41" s="55" t="s">
        <v>18</v>
      </c>
      <c r="B41" s="550">
        <v>0.0026</v>
      </c>
      <c r="C41" s="636">
        <v>0.0052</v>
      </c>
      <c r="D41" s="151" t="s">
        <v>24</v>
      </c>
      <c r="E41" s="549" t="s">
        <v>24</v>
      </c>
      <c r="F41" s="549" t="s">
        <v>24</v>
      </c>
      <c r="G41" s="42"/>
      <c r="H41" s="42"/>
      <c r="I41" s="42"/>
    </row>
    <row r="42" spans="1:9" ht="12.75">
      <c r="A42" s="55" t="s">
        <v>217</v>
      </c>
      <c r="B42" s="550">
        <v>0.0056</v>
      </c>
      <c r="C42" s="636">
        <v>0.0049</v>
      </c>
      <c r="D42" s="151" t="s">
        <v>24</v>
      </c>
      <c r="E42" s="549" t="s">
        <v>24</v>
      </c>
      <c r="F42" s="549" t="s">
        <v>24</v>
      </c>
      <c r="G42" s="42"/>
      <c r="H42" s="42"/>
      <c r="I42" s="42"/>
    </row>
    <row r="43" spans="1:7" ht="12.75">
      <c r="A43" s="55" t="s">
        <v>47</v>
      </c>
      <c r="B43" s="550">
        <v>0.0041</v>
      </c>
      <c r="C43" s="636">
        <v>0.0094</v>
      </c>
      <c r="D43" s="151" t="s">
        <v>24</v>
      </c>
      <c r="E43" s="549" t="s">
        <v>24</v>
      </c>
      <c r="F43" s="549" t="s">
        <v>24</v>
      </c>
      <c r="G43" s="42"/>
    </row>
    <row r="44" spans="1:7" ht="13.5" thickBot="1">
      <c r="A44" s="529" t="s">
        <v>58</v>
      </c>
      <c r="B44" s="549">
        <v>0.0019</v>
      </c>
      <c r="C44" s="637">
        <v>0.0029</v>
      </c>
      <c r="D44" s="151" t="s">
        <v>24</v>
      </c>
      <c r="E44" s="549" t="s">
        <v>24</v>
      </c>
      <c r="F44" s="549" t="s">
        <v>24</v>
      </c>
      <c r="G44" s="42"/>
    </row>
    <row r="45" spans="1:7" ht="13.5" thickBot="1">
      <c r="A45" s="532" t="s">
        <v>59</v>
      </c>
      <c r="B45" s="533">
        <f>SUM(B23:B44)</f>
        <v>0.9999999999999999</v>
      </c>
      <c r="C45" s="534">
        <f>SUM(C23:C44)</f>
        <v>0.9999999999999999</v>
      </c>
      <c r="D45" s="152" t="s">
        <v>24</v>
      </c>
      <c r="E45" s="549" t="s">
        <v>24</v>
      </c>
      <c r="F45" s="549" t="s">
        <v>24</v>
      </c>
      <c r="G45" s="42"/>
    </row>
    <row r="46" spans="1:7" ht="30" customHeight="1">
      <c r="A46" s="873" t="s">
        <v>314</v>
      </c>
      <c r="B46" s="873"/>
      <c r="C46" s="873"/>
      <c r="D46" s="152" t="s">
        <v>24</v>
      </c>
      <c r="E46" s="42" t="s">
        <v>24</v>
      </c>
      <c r="F46" s="42" t="s">
        <v>24</v>
      </c>
      <c r="G46" s="42"/>
    </row>
    <row r="47" spans="1:4" ht="12.75">
      <c r="A47" s="12"/>
      <c r="B47" s="152"/>
      <c r="C47" s="152"/>
      <c r="D47" s="152"/>
    </row>
    <row r="48" spans="1:4" ht="13.5" thickBot="1">
      <c r="A48" s="12"/>
      <c r="B48" s="152"/>
      <c r="C48" s="152"/>
      <c r="D48" s="152"/>
    </row>
    <row r="49" spans="1:4" ht="15.75" thickBot="1">
      <c r="A49" s="826" t="s">
        <v>95</v>
      </c>
      <c r="B49" s="464"/>
      <c r="C49" s="467"/>
      <c r="D49" s="147"/>
    </row>
    <row r="50" spans="1:9" ht="15.75" thickBot="1">
      <c r="A50" s="827"/>
      <c r="B50" s="861" t="s">
        <v>30</v>
      </c>
      <c r="C50" s="861"/>
      <c r="D50" s="861"/>
      <c r="E50" s="862"/>
      <c r="F50" s="863" t="s">
        <v>5</v>
      </c>
      <c r="G50" s="861"/>
      <c r="H50" s="861"/>
      <c r="I50" s="862"/>
    </row>
    <row r="51" spans="1:9" ht="30" customHeight="1" thickBot="1">
      <c r="A51" s="828"/>
      <c r="B51" s="867" t="s">
        <v>275</v>
      </c>
      <c r="C51" s="868"/>
      <c r="D51" s="869"/>
      <c r="E51" s="465">
        <f>'3rd IA CTRs'!F15</f>
        <v>-0.6194749615266238</v>
      </c>
      <c r="F51" s="867" t="s">
        <v>275</v>
      </c>
      <c r="G51" s="868"/>
      <c r="H51" s="869"/>
      <c r="I51" s="465">
        <f>'3rd IA CTRs'!J15</f>
        <v>0</v>
      </c>
    </row>
    <row r="52" spans="1:9" ht="54.75" customHeight="1">
      <c r="A52" s="101" t="s">
        <v>90</v>
      </c>
      <c r="B52" s="161" t="s">
        <v>151</v>
      </c>
      <c r="C52" s="161" t="s">
        <v>152</v>
      </c>
      <c r="D52" s="161" t="s">
        <v>92</v>
      </c>
      <c r="E52" s="111" t="s">
        <v>116</v>
      </c>
      <c r="F52" s="161" t="s">
        <v>151</v>
      </c>
      <c r="G52" s="161" t="s">
        <v>152</v>
      </c>
      <c r="H52" s="161" t="s">
        <v>92</v>
      </c>
      <c r="I52" s="128" t="s">
        <v>116</v>
      </c>
    </row>
    <row r="53" spans="1:9" ht="12.75">
      <c r="A53" s="55" t="s">
        <v>16</v>
      </c>
      <c r="B53" s="466">
        <f>B23*$C$9</f>
        <v>0</v>
      </c>
      <c r="C53" s="65">
        <f>C23*$C$11</f>
        <v>0</v>
      </c>
      <c r="D53" s="466">
        <f>B53+C53</f>
        <v>0</v>
      </c>
      <c r="E53" s="157">
        <f>D53*$E$51</f>
        <v>0</v>
      </c>
      <c r="F53" s="65">
        <f>B23*$D$9</f>
        <v>0</v>
      </c>
      <c r="G53" s="65">
        <f>C23*$D$11</f>
        <v>21.2352</v>
      </c>
      <c r="H53" s="65">
        <f>F53+G53</f>
        <v>21.2352</v>
      </c>
      <c r="I53" s="136">
        <f>H53*$I$51</f>
        <v>0</v>
      </c>
    </row>
    <row r="54" spans="1:9" ht="12.75">
      <c r="A54" s="55" t="s">
        <v>32</v>
      </c>
      <c r="B54" s="466">
        <f aca="true" t="shared" si="0" ref="B54:B73">B24*$C$9</f>
        <v>0</v>
      </c>
      <c r="C54" s="65">
        <f aca="true" t="shared" si="1" ref="C54:C73">C24*$C$11</f>
        <v>0</v>
      </c>
      <c r="D54" s="466">
        <f>B54+C54</f>
        <v>0</v>
      </c>
      <c r="E54" s="157">
        <f aca="true" t="shared" si="2" ref="E54:E74">D54*$E$51</f>
        <v>0</v>
      </c>
      <c r="F54" s="65">
        <f aca="true" t="shared" si="3" ref="F54:F74">B24*$D$9</f>
        <v>0</v>
      </c>
      <c r="G54" s="65">
        <f aca="true" t="shared" si="4" ref="G54:G73">C24*$D$11</f>
        <v>0</v>
      </c>
      <c r="H54" s="65">
        <f aca="true" t="shared" si="5" ref="H54:H74">F54+G54</f>
        <v>0</v>
      </c>
      <c r="I54" s="136">
        <f>H54*$I$51</f>
        <v>0</v>
      </c>
    </row>
    <row r="55" spans="1:9" ht="12.75">
      <c r="A55" s="55" t="s">
        <v>19</v>
      </c>
      <c r="B55" s="466">
        <f t="shared" si="0"/>
        <v>0</v>
      </c>
      <c r="C55" s="65">
        <f t="shared" si="1"/>
        <v>0</v>
      </c>
      <c r="D55" s="466">
        <f>B55+C55</f>
        <v>0</v>
      </c>
      <c r="E55" s="157">
        <f t="shared" si="2"/>
        <v>0</v>
      </c>
      <c r="F55" s="65">
        <f t="shared" si="3"/>
        <v>0</v>
      </c>
      <c r="G55" s="65">
        <f t="shared" si="4"/>
        <v>0</v>
      </c>
      <c r="H55" s="65">
        <f t="shared" si="5"/>
        <v>0</v>
      </c>
      <c r="I55" s="136">
        <f>H55*$I$51</f>
        <v>0</v>
      </c>
    </row>
    <row r="56" spans="1:9" ht="12.75">
      <c r="A56" s="55" t="s">
        <v>53</v>
      </c>
      <c r="B56" s="466">
        <f t="shared" si="0"/>
        <v>0</v>
      </c>
      <c r="C56" s="65">
        <f t="shared" si="1"/>
        <v>0</v>
      </c>
      <c r="D56" s="466">
        <f aca="true" t="shared" si="6" ref="D56:D74">B56+C56</f>
        <v>0</v>
      </c>
      <c r="E56" s="157">
        <f t="shared" si="2"/>
        <v>0</v>
      </c>
      <c r="F56" s="65">
        <f t="shared" si="3"/>
        <v>0</v>
      </c>
      <c r="G56" s="65">
        <f t="shared" si="4"/>
        <v>0</v>
      </c>
      <c r="H56" s="65">
        <f t="shared" si="5"/>
        <v>0</v>
      </c>
      <c r="I56" s="136">
        <f aca="true" t="shared" si="7" ref="I56:I74">H56*$I$51</f>
        <v>0</v>
      </c>
    </row>
    <row r="57" spans="1:9" ht="12.75">
      <c r="A57" s="55" t="s">
        <v>11</v>
      </c>
      <c r="B57" s="466">
        <f t="shared" si="0"/>
        <v>0</v>
      </c>
      <c r="C57" s="65">
        <f t="shared" si="1"/>
        <v>0</v>
      </c>
      <c r="D57" s="466">
        <f t="shared" si="6"/>
        <v>0</v>
      </c>
      <c r="E57" s="157">
        <f t="shared" si="2"/>
        <v>0</v>
      </c>
      <c r="F57" s="65">
        <f t="shared" si="3"/>
        <v>0</v>
      </c>
      <c r="G57" s="65">
        <f t="shared" si="4"/>
        <v>0</v>
      </c>
      <c r="H57" s="65">
        <f t="shared" si="5"/>
        <v>0</v>
      </c>
      <c r="I57" s="136">
        <f t="shared" si="7"/>
        <v>0</v>
      </c>
    </row>
    <row r="58" spans="1:9" ht="12.75">
      <c r="A58" s="55" t="s">
        <v>20</v>
      </c>
      <c r="B58" s="466">
        <f t="shared" si="0"/>
        <v>0</v>
      </c>
      <c r="C58" s="65">
        <f t="shared" si="1"/>
        <v>0</v>
      </c>
      <c r="D58" s="466">
        <f t="shared" si="6"/>
        <v>0</v>
      </c>
      <c r="E58" s="157">
        <f t="shared" si="2"/>
        <v>0</v>
      </c>
      <c r="F58" s="65">
        <f t="shared" si="3"/>
        <v>0</v>
      </c>
      <c r="G58" s="65">
        <f t="shared" si="4"/>
        <v>0</v>
      </c>
      <c r="H58" s="65">
        <f t="shared" si="5"/>
        <v>0</v>
      </c>
      <c r="I58" s="136">
        <f t="shared" si="7"/>
        <v>0</v>
      </c>
    </row>
    <row r="59" spans="1:9" ht="12.75">
      <c r="A59" s="55" t="s">
        <v>21</v>
      </c>
      <c r="B59" s="466">
        <f t="shared" si="0"/>
        <v>0</v>
      </c>
      <c r="C59" s="65">
        <f t="shared" si="1"/>
        <v>0</v>
      </c>
      <c r="D59" s="466">
        <f t="shared" si="6"/>
        <v>0</v>
      </c>
      <c r="E59" s="157">
        <f>D59*$E$51</f>
        <v>0</v>
      </c>
      <c r="F59" s="65">
        <f t="shared" si="3"/>
        <v>0</v>
      </c>
      <c r="G59" s="65">
        <f t="shared" si="4"/>
        <v>0</v>
      </c>
      <c r="H59" s="65">
        <f t="shared" si="5"/>
        <v>0</v>
      </c>
      <c r="I59" s="136">
        <f t="shared" si="7"/>
        <v>0</v>
      </c>
    </row>
    <row r="60" spans="1:9" ht="12.75">
      <c r="A60" s="55" t="s">
        <v>71</v>
      </c>
      <c r="B60" s="466">
        <f t="shared" si="0"/>
        <v>0</v>
      </c>
      <c r="C60" s="65">
        <f t="shared" si="1"/>
        <v>0</v>
      </c>
      <c r="D60" s="466">
        <f t="shared" si="6"/>
        <v>0</v>
      </c>
      <c r="E60" s="157">
        <f>D60*$E$51</f>
        <v>0</v>
      </c>
      <c r="F60" s="65">
        <f t="shared" si="3"/>
        <v>0</v>
      </c>
      <c r="G60" s="65">
        <f t="shared" si="4"/>
        <v>0</v>
      </c>
      <c r="H60" s="65">
        <f t="shared" si="5"/>
        <v>0</v>
      </c>
      <c r="I60" s="136">
        <f t="shared" si="7"/>
        <v>0</v>
      </c>
    </row>
    <row r="61" spans="1:9" ht="12.75">
      <c r="A61" s="55" t="s">
        <v>52</v>
      </c>
      <c r="B61" s="466">
        <f t="shared" si="0"/>
        <v>0</v>
      </c>
      <c r="C61" s="65">
        <f t="shared" si="1"/>
        <v>0</v>
      </c>
      <c r="D61" s="466">
        <f t="shared" si="6"/>
        <v>0</v>
      </c>
      <c r="E61" s="157">
        <f>D61*$E$51</f>
        <v>0</v>
      </c>
      <c r="F61" s="65">
        <f t="shared" si="3"/>
        <v>0</v>
      </c>
      <c r="G61" s="65">
        <f t="shared" si="4"/>
        <v>0</v>
      </c>
      <c r="H61" s="65">
        <f t="shared" si="5"/>
        <v>0</v>
      </c>
      <c r="I61" s="136">
        <f t="shared" si="7"/>
        <v>0</v>
      </c>
    </row>
    <row r="62" spans="1:9" ht="12.75">
      <c r="A62" s="55" t="s">
        <v>33</v>
      </c>
      <c r="B62" s="466">
        <f t="shared" si="0"/>
        <v>0</v>
      </c>
      <c r="C62" s="65">
        <f t="shared" si="1"/>
        <v>0</v>
      </c>
      <c r="D62" s="466">
        <f t="shared" si="6"/>
        <v>0</v>
      </c>
      <c r="E62" s="157">
        <f>D62*$E$51</f>
        <v>0</v>
      </c>
      <c r="F62" s="65">
        <f t="shared" si="3"/>
        <v>0</v>
      </c>
      <c r="G62" s="65">
        <f t="shared" si="4"/>
        <v>0</v>
      </c>
      <c r="H62" s="65">
        <f t="shared" si="5"/>
        <v>0</v>
      </c>
      <c r="I62" s="136">
        <f t="shared" si="7"/>
        <v>0</v>
      </c>
    </row>
    <row r="63" spans="1:9" ht="12.75">
      <c r="A63" s="55" t="s">
        <v>17</v>
      </c>
      <c r="B63" s="466">
        <f t="shared" si="0"/>
        <v>0</v>
      </c>
      <c r="C63" s="65">
        <f t="shared" si="1"/>
        <v>0</v>
      </c>
      <c r="D63" s="466">
        <f t="shared" si="6"/>
        <v>0</v>
      </c>
      <c r="E63" s="157">
        <f>D63*$E$51</f>
        <v>0</v>
      </c>
      <c r="F63" s="65">
        <f t="shared" si="3"/>
        <v>0</v>
      </c>
      <c r="G63" s="65">
        <f t="shared" si="4"/>
        <v>39.744899999999994</v>
      </c>
      <c r="H63" s="65">
        <f t="shared" si="5"/>
        <v>39.744899999999994</v>
      </c>
      <c r="I63" s="136">
        <f t="shared" si="7"/>
        <v>0</v>
      </c>
    </row>
    <row r="64" spans="1:9" ht="12.75">
      <c r="A64" s="55" t="s">
        <v>12</v>
      </c>
      <c r="B64" s="466">
        <f t="shared" si="0"/>
        <v>0</v>
      </c>
      <c r="C64" s="65">
        <f t="shared" si="1"/>
        <v>0</v>
      </c>
      <c r="D64" s="466">
        <f t="shared" si="6"/>
        <v>0</v>
      </c>
      <c r="E64" s="157">
        <f t="shared" si="2"/>
        <v>0</v>
      </c>
      <c r="F64" s="65">
        <f t="shared" si="3"/>
        <v>0</v>
      </c>
      <c r="G64" s="65">
        <f t="shared" si="4"/>
        <v>22.7283</v>
      </c>
      <c r="H64" s="65">
        <f t="shared" si="5"/>
        <v>22.7283</v>
      </c>
      <c r="I64" s="136">
        <f t="shared" si="7"/>
        <v>0</v>
      </c>
    </row>
    <row r="65" spans="1:9" ht="12.75">
      <c r="A65" s="55" t="s">
        <v>13</v>
      </c>
      <c r="B65" s="466">
        <f t="shared" si="0"/>
        <v>0</v>
      </c>
      <c r="C65" s="65">
        <f t="shared" si="1"/>
        <v>0</v>
      </c>
      <c r="D65" s="466">
        <f t="shared" si="6"/>
        <v>0</v>
      </c>
      <c r="E65" s="157">
        <f t="shared" si="2"/>
        <v>0</v>
      </c>
      <c r="F65" s="65">
        <f t="shared" si="3"/>
        <v>0</v>
      </c>
      <c r="G65" s="65">
        <f t="shared" si="4"/>
        <v>3.4838999999999998</v>
      </c>
      <c r="H65" s="65">
        <f t="shared" si="5"/>
        <v>3.4838999999999998</v>
      </c>
      <c r="I65" s="136">
        <f t="shared" si="7"/>
        <v>0</v>
      </c>
    </row>
    <row r="66" spans="1:9" ht="12.75">
      <c r="A66" s="55" t="s">
        <v>9</v>
      </c>
      <c r="B66" s="466">
        <f t="shared" si="0"/>
        <v>0</v>
      </c>
      <c r="C66" s="65">
        <f t="shared" si="1"/>
        <v>0</v>
      </c>
      <c r="D66" s="466">
        <f t="shared" si="6"/>
        <v>0</v>
      </c>
      <c r="E66" s="157">
        <f t="shared" si="2"/>
        <v>0</v>
      </c>
      <c r="F66" s="65">
        <f t="shared" si="3"/>
        <v>0</v>
      </c>
      <c r="G66" s="65">
        <f t="shared" si="4"/>
        <v>72.6168</v>
      </c>
      <c r="H66" s="65">
        <f t="shared" si="5"/>
        <v>72.6168</v>
      </c>
      <c r="I66" s="136">
        <f t="shared" si="7"/>
        <v>0</v>
      </c>
    </row>
    <row r="67" spans="1:9" ht="12.75">
      <c r="A67" s="55" t="s">
        <v>14</v>
      </c>
      <c r="B67" s="466">
        <f t="shared" si="0"/>
        <v>0</v>
      </c>
      <c r="C67" s="65">
        <f t="shared" si="1"/>
        <v>0</v>
      </c>
      <c r="D67" s="466">
        <f t="shared" si="6"/>
        <v>0</v>
      </c>
      <c r="E67" s="157">
        <f t="shared" si="2"/>
        <v>0</v>
      </c>
      <c r="F67" s="65">
        <f t="shared" si="3"/>
        <v>0</v>
      </c>
      <c r="G67" s="65">
        <f t="shared" si="4"/>
        <v>0</v>
      </c>
      <c r="H67" s="65">
        <f t="shared" si="5"/>
        <v>0</v>
      </c>
      <c r="I67" s="136">
        <f t="shared" si="7"/>
        <v>0</v>
      </c>
    </row>
    <row r="68" spans="1:9" ht="12.75">
      <c r="A68" s="55" t="s">
        <v>15</v>
      </c>
      <c r="B68" s="466">
        <f t="shared" si="0"/>
        <v>0</v>
      </c>
      <c r="C68" s="65">
        <f t="shared" si="1"/>
        <v>0</v>
      </c>
      <c r="D68" s="466">
        <f t="shared" si="6"/>
        <v>0</v>
      </c>
      <c r="E68" s="157">
        <f t="shared" si="2"/>
        <v>0</v>
      </c>
      <c r="F68" s="65">
        <f t="shared" si="3"/>
        <v>0</v>
      </c>
      <c r="G68" s="65">
        <f t="shared" si="4"/>
        <v>0</v>
      </c>
      <c r="H68" s="65">
        <f t="shared" si="5"/>
        <v>0</v>
      </c>
      <c r="I68" s="136">
        <f t="shared" si="7"/>
        <v>0</v>
      </c>
    </row>
    <row r="69" spans="1:9" ht="12.75">
      <c r="A69" s="55" t="s">
        <v>10</v>
      </c>
      <c r="B69" s="466">
        <f t="shared" si="0"/>
        <v>0</v>
      </c>
      <c r="C69" s="65">
        <f t="shared" si="1"/>
        <v>0</v>
      </c>
      <c r="D69" s="466">
        <f t="shared" si="6"/>
        <v>0</v>
      </c>
      <c r="E69" s="157">
        <f t="shared" si="2"/>
        <v>0</v>
      </c>
      <c r="F69" s="65">
        <f t="shared" si="3"/>
        <v>0</v>
      </c>
      <c r="G69" s="65">
        <f t="shared" si="4"/>
        <v>38.7021</v>
      </c>
      <c r="H69" s="65">
        <f t="shared" si="5"/>
        <v>38.7021</v>
      </c>
      <c r="I69" s="136">
        <f t="shared" si="7"/>
        <v>0</v>
      </c>
    </row>
    <row r="70" spans="1:9" ht="12.75">
      <c r="A70" s="55" t="s">
        <v>8</v>
      </c>
      <c r="B70" s="466">
        <f t="shared" si="0"/>
        <v>0</v>
      </c>
      <c r="C70" s="65">
        <f t="shared" si="1"/>
        <v>0</v>
      </c>
      <c r="D70" s="466">
        <f t="shared" si="6"/>
        <v>0</v>
      </c>
      <c r="E70" s="157">
        <f t="shared" si="2"/>
        <v>0</v>
      </c>
      <c r="F70" s="65">
        <f t="shared" si="3"/>
        <v>0</v>
      </c>
      <c r="G70" s="65">
        <f t="shared" si="4"/>
        <v>33.18</v>
      </c>
      <c r="H70" s="65">
        <f t="shared" si="5"/>
        <v>33.18</v>
      </c>
      <c r="I70" s="136">
        <f t="shared" si="7"/>
        <v>0</v>
      </c>
    </row>
    <row r="71" spans="1:9" ht="12.75">
      <c r="A71" s="55" t="s">
        <v>18</v>
      </c>
      <c r="B71" s="466">
        <f t="shared" si="0"/>
        <v>0</v>
      </c>
      <c r="C71" s="65">
        <f t="shared" si="1"/>
        <v>0</v>
      </c>
      <c r="D71" s="466">
        <f t="shared" si="6"/>
        <v>0</v>
      </c>
      <c r="E71" s="157">
        <f t="shared" si="2"/>
        <v>0</v>
      </c>
      <c r="F71" s="65">
        <f t="shared" si="3"/>
        <v>0</v>
      </c>
      <c r="G71" s="65">
        <f t="shared" si="4"/>
        <v>1.2324</v>
      </c>
      <c r="H71" s="65">
        <f t="shared" si="5"/>
        <v>1.2324</v>
      </c>
      <c r="I71" s="136">
        <f t="shared" si="7"/>
        <v>0</v>
      </c>
    </row>
    <row r="72" spans="1:9" ht="12.75">
      <c r="A72" s="55" t="s">
        <v>217</v>
      </c>
      <c r="B72" s="466">
        <f t="shared" si="0"/>
        <v>0</v>
      </c>
      <c r="C72" s="65">
        <f t="shared" si="1"/>
        <v>0</v>
      </c>
      <c r="D72" s="466">
        <f>B72+C72</f>
        <v>0</v>
      </c>
      <c r="E72" s="157">
        <f>D72*$E$51</f>
        <v>0</v>
      </c>
      <c r="F72" s="65">
        <f t="shared" si="3"/>
        <v>0</v>
      </c>
      <c r="G72" s="65">
        <f t="shared" si="4"/>
        <v>1.1613</v>
      </c>
      <c r="H72" s="65">
        <f>F72+G72</f>
        <v>1.1613</v>
      </c>
      <c r="I72" s="136">
        <f>H72*$I$51</f>
        <v>0</v>
      </c>
    </row>
    <row r="73" spans="1:9" ht="12.75">
      <c r="A73" s="55" t="s">
        <v>47</v>
      </c>
      <c r="B73" s="466">
        <f t="shared" si="0"/>
        <v>0</v>
      </c>
      <c r="C73" s="65">
        <f t="shared" si="1"/>
        <v>0</v>
      </c>
      <c r="D73" s="466">
        <f t="shared" si="6"/>
        <v>0</v>
      </c>
      <c r="E73" s="157">
        <f t="shared" si="2"/>
        <v>0</v>
      </c>
      <c r="F73" s="65">
        <f t="shared" si="3"/>
        <v>0</v>
      </c>
      <c r="G73" s="65">
        <f t="shared" si="4"/>
        <v>2.2278000000000002</v>
      </c>
      <c r="H73" s="65">
        <f t="shared" si="5"/>
        <v>2.2278000000000002</v>
      </c>
      <c r="I73" s="136">
        <f t="shared" si="7"/>
        <v>0</v>
      </c>
    </row>
    <row r="74" spans="1:9" ht="13.5" thickBot="1">
      <c r="A74" s="529" t="s">
        <v>58</v>
      </c>
      <c r="B74" s="535">
        <f>B44*$C$9</f>
        <v>0</v>
      </c>
      <c r="C74" s="511">
        <f>C44*$C$11</f>
        <v>0</v>
      </c>
      <c r="D74" s="535">
        <f t="shared" si="6"/>
        <v>0</v>
      </c>
      <c r="E74" s="536">
        <f t="shared" si="2"/>
        <v>0</v>
      </c>
      <c r="F74" s="511">
        <f t="shared" si="3"/>
        <v>0</v>
      </c>
      <c r="G74" s="511">
        <f>C44*$D$11</f>
        <v>0.6872999999999999</v>
      </c>
      <c r="H74" s="511">
        <f t="shared" si="5"/>
        <v>0.6872999999999999</v>
      </c>
      <c r="I74" s="537">
        <f t="shared" si="7"/>
        <v>0</v>
      </c>
    </row>
    <row r="75" spans="1:9" ht="13.5" thickBot="1">
      <c r="A75" s="538" t="s">
        <v>59</v>
      </c>
      <c r="B75" s="539">
        <f aca="true" t="shared" si="8" ref="B75:I75">SUM(B53:B74)</f>
        <v>0</v>
      </c>
      <c r="C75" s="516">
        <f t="shared" si="8"/>
        <v>0</v>
      </c>
      <c r="D75" s="539">
        <f t="shared" si="8"/>
        <v>0</v>
      </c>
      <c r="E75" s="540">
        <f t="shared" si="8"/>
        <v>0</v>
      </c>
      <c r="F75" s="516">
        <f t="shared" si="8"/>
        <v>0</v>
      </c>
      <c r="G75" s="516">
        <f t="shared" si="8"/>
        <v>237.00000000000003</v>
      </c>
      <c r="H75" s="516">
        <f t="shared" si="8"/>
        <v>237.00000000000003</v>
      </c>
      <c r="I75" s="541">
        <f t="shared" si="8"/>
        <v>0</v>
      </c>
    </row>
    <row r="76" spans="1:9" ht="12.75">
      <c r="A76" s="190" t="s">
        <v>110</v>
      </c>
      <c r="B76" s="25"/>
      <c r="C76" s="25"/>
      <c r="D76" s="25"/>
      <c r="E76" s="9"/>
      <c r="F76" s="25"/>
      <c r="G76" s="25"/>
      <c r="H76" s="25"/>
      <c r="I76" s="9"/>
    </row>
    <row r="77" spans="1:4" ht="15">
      <c r="A77" s="61" t="s">
        <v>276</v>
      </c>
      <c r="B77" s="146"/>
      <c r="C77" s="146"/>
      <c r="D77" s="147"/>
    </row>
    <row r="78" spans="1:4" ht="15">
      <c r="A78" s="61" t="s">
        <v>24</v>
      </c>
      <c r="B78" s="146"/>
      <c r="C78" s="146"/>
      <c r="D78" s="147"/>
    </row>
    <row r="79" ht="13.5" thickBot="1"/>
    <row r="80" spans="1:2" ht="13.5" thickBot="1">
      <c r="A80" s="164" t="s">
        <v>99</v>
      </c>
      <c r="B80" s="6"/>
    </row>
    <row r="81" spans="1:4" ht="49.5" customHeight="1">
      <c r="A81" s="165" t="s">
        <v>3</v>
      </c>
      <c r="B81" s="159" t="s">
        <v>122</v>
      </c>
      <c r="C81" s="160" t="s">
        <v>134</v>
      </c>
      <c r="D81" s="80"/>
    </row>
    <row r="82" spans="1:3" ht="12.75">
      <c r="A82" s="55" t="s">
        <v>30</v>
      </c>
      <c r="B82" s="156">
        <f>C15*E51</f>
        <v>0</v>
      </c>
      <c r="C82" s="166">
        <f>(C9+C12)*E51</f>
        <v>0</v>
      </c>
    </row>
    <row r="83" spans="1:3" ht="12.75">
      <c r="A83" s="55" t="s">
        <v>5</v>
      </c>
      <c r="B83" s="156">
        <f>D15*I51</f>
        <v>0</v>
      </c>
      <c r="C83" s="166">
        <f>(D9+D12)*I51</f>
        <v>0</v>
      </c>
    </row>
    <row r="84" spans="1:4" ht="13.5" thickBot="1">
      <c r="A84" s="129" t="s">
        <v>59</v>
      </c>
      <c r="B84" s="293">
        <f>SUM(B82:B83)</f>
        <v>0</v>
      </c>
      <c r="C84" s="294">
        <f>SUM(C82:C83)</f>
        <v>0</v>
      </c>
      <c r="D84" s="155" t="s">
        <v>24</v>
      </c>
    </row>
  </sheetData>
  <sheetProtection/>
  <mergeCells count="8">
    <mergeCell ref="A3:A4"/>
    <mergeCell ref="B4:C4"/>
    <mergeCell ref="A46:C46"/>
    <mergeCell ref="A49:A51"/>
    <mergeCell ref="B50:E50"/>
    <mergeCell ref="F50:I50"/>
    <mergeCell ref="B51:D51"/>
    <mergeCell ref="F51:H51"/>
  </mergeCells>
  <printOptions/>
  <pageMargins left="0.45" right="0.45" top="0.5" bottom="0.5" header="0.3" footer="0.3"/>
  <pageSetup fitToHeight="1" fitToWidth="1" horizontalDpi="600" verticalDpi="600" orientation="portrait" paperSize="5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13" width="15.7109375" style="0" customWidth="1"/>
    <col min="14" max="14" width="17.7109375" style="0" customWidth="1"/>
    <col min="15" max="18" width="15.7109375" style="0" customWidth="1"/>
  </cols>
  <sheetData>
    <row r="1" spans="1:2" ht="18">
      <c r="A1" s="298" t="s">
        <v>233</v>
      </c>
      <c r="B1" s="4"/>
    </row>
    <row r="2" spans="1:2" ht="12.75">
      <c r="A2" s="4" t="s">
        <v>24</v>
      </c>
      <c r="B2" s="4"/>
    </row>
    <row r="3" spans="1:16" s="314" customFormat="1" ht="15.75" customHeight="1" thickBot="1">
      <c r="A3" s="302" t="s">
        <v>79</v>
      </c>
      <c r="B3" s="312"/>
      <c r="C3" s="312"/>
      <c r="D3" s="312"/>
      <c r="E3" s="312"/>
      <c r="F3" s="313"/>
      <c r="G3" s="313"/>
      <c r="H3" s="313"/>
      <c r="I3" s="312"/>
      <c r="J3" s="312"/>
      <c r="K3" s="312"/>
      <c r="L3" s="312"/>
      <c r="M3" s="313"/>
      <c r="N3" s="313"/>
      <c r="O3" s="313"/>
      <c r="P3" s="313"/>
    </row>
    <row r="4" spans="1:16" s="314" customFormat="1" ht="15.75" customHeight="1" thickBot="1">
      <c r="A4" s="302"/>
      <c r="B4" s="739" t="s">
        <v>222</v>
      </c>
      <c r="C4" s="740"/>
      <c r="D4" s="741"/>
      <c r="E4" s="745" t="s">
        <v>223</v>
      </c>
      <c r="F4" s="746"/>
      <c r="G4" s="747"/>
      <c r="H4" s="736" t="s">
        <v>288</v>
      </c>
      <c r="I4" s="737"/>
      <c r="J4" s="738"/>
      <c r="K4" s="748" t="s">
        <v>316</v>
      </c>
      <c r="L4" s="749"/>
      <c r="M4" s="750"/>
      <c r="N4" s="313"/>
      <c r="O4" s="313"/>
      <c r="P4" s="313"/>
    </row>
    <row r="5" spans="1:16" s="314" customFormat="1" ht="15.75" customHeight="1" thickBot="1">
      <c r="A5" s="302"/>
      <c r="B5" s="751" t="s">
        <v>262</v>
      </c>
      <c r="C5" s="752"/>
      <c r="D5" s="753"/>
      <c r="E5" s="754" t="s">
        <v>262</v>
      </c>
      <c r="F5" s="755"/>
      <c r="G5" s="756"/>
      <c r="H5" s="757" t="s">
        <v>262</v>
      </c>
      <c r="I5" s="758"/>
      <c r="J5" s="759"/>
      <c r="K5" s="768" t="s">
        <v>262</v>
      </c>
      <c r="L5" s="769"/>
      <c r="M5" s="770"/>
      <c r="N5" s="313"/>
      <c r="O5" s="313"/>
      <c r="P5" s="313"/>
    </row>
    <row r="6" spans="1:16" s="314" customFormat="1" ht="39" thickBot="1">
      <c r="A6" s="343" t="s">
        <v>3</v>
      </c>
      <c r="B6" s="567" t="s">
        <v>259</v>
      </c>
      <c r="C6" s="568" t="s">
        <v>260</v>
      </c>
      <c r="D6" s="569" t="s">
        <v>261</v>
      </c>
      <c r="E6" s="320" t="s">
        <v>259</v>
      </c>
      <c r="F6" s="321" t="s">
        <v>260</v>
      </c>
      <c r="G6" s="322" t="s">
        <v>261</v>
      </c>
      <c r="H6" s="577" t="s">
        <v>259</v>
      </c>
      <c r="I6" s="578" t="s">
        <v>260</v>
      </c>
      <c r="J6" s="579" t="s">
        <v>261</v>
      </c>
      <c r="K6" s="652" t="s">
        <v>259</v>
      </c>
      <c r="L6" s="653" t="s">
        <v>260</v>
      </c>
      <c r="M6" s="654" t="s">
        <v>261</v>
      </c>
      <c r="N6" s="344" t="s">
        <v>3</v>
      </c>
      <c r="O6" s="313"/>
      <c r="P6" s="313"/>
    </row>
    <row r="7" spans="1:16" s="314" customFormat="1" ht="15.75" customHeight="1">
      <c r="A7" s="317" t="s">
        <v>6</v>
      </c>
      <c r="B7" s="561">
        <f>'BRA Resource Clearing Results'!D5</f>
        <v>125.47</v>
      </c>
      <c r="C7" s="562">
        <f>'BRA Resource Clearing Results'!F5</f>
        <v>125.99</v>
      </c>
      <c r="D7" s="563">
        <f>'BRA Resource Clearing Results'!H5</f>
        <v>125.99</v>
      </c>
      <c r="E7" s="564">
        <f>'1stIA Resource Clearing Results'!D5</f>
        <v>0.03</v>
      </c>
      <c r="F7" s="565">
        <f>'1stIA Resource Clearing Results'!F5</f>
        <v>5.54</v>
      </c>
      <c r="G7" s="566">
        <f>'1stIA Resource Clearing Results'!H5</f>
        <v>5.54</v>
      </c>
      <c r="H7" s="580">
        <f>'2ndIA Resource Clearing Results'!D5</f>
        <v>25</v>
      </c>
      <c r="I7" s="581">
        <f>'2ndIA Resource Clearing Results'!F5</f>
        <v>25</v>
      </c>
      <c r="J7" s="582">
        <f>'2ndIA Resource Clearing Results'!H5</f>
        <v>25</v>
      </c>
      <c r="K7" s="655">
        <f>'3rdIA Resource Clearing Results'!D5</f>
        <v>25.51</v>
      </c>
      <c r="L7" s="656">
        <f>'3rdIA Resource Clearing Results'!F5</f>
        <v>25.51</v>
      </c>
      <c r="M7" s="657">
        <f>'3rdIA Resource Clearing Results'!H5</f>
        <v>25.51</v>
      </c>
      <c r="N7" s="319" t="s">
        <v>6</v>
      </c>
      <c r="O7" s="313"/>
      <c r="P7" s="313"/>
    </row>
    <row r="8" spans="1:16" s="314" customFormat="1" ht="15.75" customHeight="1">
      <c r="A8" s="317" t="s">
        <v>30</v>
      </c>
      <c r="B8" s="323">
        <f>'BRA Resource Clearing Results'!D6</f>
        <v>125.47</v>
      </c>
      <c r="C8" s="324">
        <f>'BRA Resource Clearing Results'!F6</f>
        <v>136.5</v>
      </c>
      <c r="D8" s="325">
        <f>'BRA Resource Clearing Results'!H6</f>
        <v>136.5</v>
      </c>
      <c r="E8" s="330">
        <f>'1stIA Resource Clearing Results'!D6</f>
        <v>5.23</v>
      </c>
      <c r="F8" s="329">
        <f>'1stIA Resource Clearing Results'!F6</f>
        <v>16.560000000000002</v>
      </c>
      <c r="G8" s="331">
        <f>'1stIA Resource Clearing Results'!H6</f>
        <v>16.560000000000002</v>
      </c>
      <c r="H8" s="583">
        <f>'2ndIA Resource Clearing Results'!D6</f>
        <v>56.94</v>
      </c>
      <c r="I8" s="584">
        <f>'2ndIA Resource Clearing Results'!F6</f>
        <v>56.94</v>
      </c>
      <c r="J8" s="585">
        <f>'2ndIA Resource Clearing Results'!H6</f>
        <v>56.94</v>
      </c>
      <c r="K8" s="658">
        <f>'3rdIA Resource Clearing Results'!D6</f>
        <v>132.2</v>
      </c>
      <c r="L8" s="659">
        <f>'3rdIA Resource Clearing Results'!F6</f>
        <v>132.2</v>
      </c>
      <c r="M8" s="660">
        <f>'3rdIA Resource Clearing Results'!H6</f>
        <v>132.2</v>
      </c>
      <c r="N8" s="317" t="s">
        <v>30</v>
      </c>
      <c r="O8" s="313"/>
      <c r="P8" s="313"/>
    </row>
    <row r="9" spans="1:16" s="314" customFormat="1" ht="15.75" customHeight="1">
      <c r="A9" s="317" t="s">
        <v>41</v>
      </c>
      <c r="B9" s="323">
        <f>'BRA Resource Clearing Results'!D7</f>
        <v>125.47</v>
      </c>
      <c r="C9" s="324">
        <f>'BRA Resource Clearing Results'!F7</f>
        <v>136.5</v>
      </c>
      <c r="D9" s="325">
        <f>'BRA Resource Clearing Results'!H7</f>
        <v>136.5</v>
      </c>
      <c r="E9" s="330">
        <f>'1stIA Resource Clearing Results'!D7</f>
        <v>5.23</v>
      </c>
      <c r="F9" s="329">
        <f>'1stIA Resource Clearing Results'!F7</f>
        <v>16.560000000000002</v>
      </c>
      <c r="G9" s="331">
        <f>'1stIA Resource Clearing Results'!H7</f>
        <v>16.560000000000002</v>
      </c>
      <c r="H9" s="583">
        <f>'2ndIA Resource Clearing Results'!D7</f>
        <v>56.94</v>
      </c>
      <c r="I9" s="584">
        <f>'2ndIA Resource Clearing Results'!F7</f>
        <v>56.94</v>
      </c>
      <c r="J9" s="585">
        <f>'2ndIA Resource Clearing Results'!H7</f>
        <v>56.94</v>
      </c>
      <c r="K9" s="658">
        <f>'3rdIA Resource Clearing Results'!D7</f>
        <v>132.2</v>
      </c>
      <c r="L9" s="659">
        <f>'3rdIA Resource Clearing Results'!F7</f>
        <v>132.2</v>
      </c>
      <c r="M9" s="660">
        <f>'3rdIA Resource Clearing Results'!H7</f>
        <v>132.2</v>
      </c>
      <c r="N9" s="317" t="s">
        <v>41</v>
      </c>
      <c r="O9" s="313"/>
      <c r="P9" s="313"/>
    </row>
    <row r="10" spans="1:16" s="314" customFormat="1" ht="15.75" customHeight="1">
      <c r="A10" s="317" t="s">
        <v>5</v>
      </c>
      <c r="B10" s="323">
        <f>'BRA Resource Clearing Results'!D8</f>
        <v>125.47</v>
      </c>
      <c r="C10" s="324">
        <f>'BRA Resource Clearing Results'!F8</f>
        <v>136.5</v>
      </c>
      <c r="D10" s="325">
        <f>'BRA Resource Clearing Results'!H8</f>
        <v>136.5</v>
      </c>
      <c r="E10" s="330">
        <f>'1stIA Resource Clearing Results'!D8</f>
        <v>5.23</v>
      </c>
      <c r="F10" s="329">
        <f>'1stIA Resource Clearing Results'!F8</f>
        <v>16.560000000000002</v>
      </c>
      <c r="G10" s="331">
        <f>'1stIA Resource Clearing Results'!H8</f>
        <v>16.560000000000002</v>
      </c>
      <c r="H10" s="583">
        <f>'2ndIA Resource Clearing Results'!D8</f>
        <v>56.94</v>
      </c>
      <c r="I10" s="584">
        <f>'2ndIA Resource Clearing Results'!F8</f>
        <v>56.94</v>
      </c>
      <c r="J10" s="585">
        <f>'2ndIA Resource Clearing Results'!H8</f>
        <v>56.94</v>
      </c>
      <c r="K10" s="658">
        <f>'3rdIA Resource Clearing Results'!D8</f>
        <v>132.2</v>
      </c>
      <c r="L10" s="659">
        <f>'3rdIA Resource Clearing Results'!F8</f>
        <v>132.2</v>
      </c>
      <c r="M10" s="660">
        <f>'3rdIA Resource Clearing Results'!H8</f>
        <v>132.2</v>
      </c>
      <c r="N10" s="317" t="s">
        <v>5</v>
      </c>
      <c r="O10" s="313"/>
      <c r="P10" s="313"/>
    </row>
    <row r="11" spans="1:16" s="314" customFormat="1" ht="15.75" customHeight="1">
      <c r="A11" s="317" t="s">
        <v>8</v>
      </c>
      <c r="B11" s="323">
        <f>'BRA Resource Clearing Results'!D9</f>
        <v>125.47</v>
      </c>
      <c r="C11" s="324">
        <f>'BRA Resource Clearing Results'!F9</f>
        <v>136.5</v>
      </c>
      <c r="D11" s="325">
        <f>'BRA Resource Clearing Results'!H9</f>
        <v>136.5</v>
      </c>
      <c r="E11" s="330">
        <f>'1stIA Resource Clearing Results'!D9</f>
        <v>5.23</v>
      </c>
      <c r="F11" s="329">
        <f>'1stIA Resource Clearing Results'!F9</f>
        <v>16.560000000000002</v>
      </c>
      <c r="G11" s="331">
        <f>'1stIA Resource Clearing Results'!H9</f>
        <v>16.560000000000002</v>
      </c>
      <c r="H11" s="583">
        <f>'2ndIA Resource Clearing Results'!D9</f>
        <v>56.94</v>
      </c>
      <c r="I11" s="584">
        <f>'2ndIA Resource Clearing Results'!F9</f>
        <v>56.94</v>
      </c>
      <c r="J11" s="585">
        <f>'2ndIA Resource Clearing Results'!H9</f>
        <v>56.94</v>
      </c>
      <c r="K11" s="658">
        <f>'3rdIA Resource Clearing Results'!D9</f>
        <v>132.2</v>
      </c>
      <c r="L11" s="659">
        <f>'3rdIA Resource Clearing Results'!F9</f>
        <v>132.2</v>
      </c>
      <c r="M11" s="660">
        <f>'3rdIA Resource Clearing Results'!H9</f>
        <v>132.2</v>
      </c>
      <c r="N11" s="317" t="s">
        <v>8</v>
      </c>
      <c r="O11" s="313"/>
      <c r="P11" s="313"/>
    </row>
    <row r="12" spans="1:16" s="314" customFormat="1" ht="15.75" customHeight="1">
      <c r="A12" s="317" t="s">
        <v>42</v>
      </c>
      <c r="B12" s="323">
        <f>'BRA Resource Clearing Results'!D10</f>
        <v>213.97</v>
      </c>
      <c r="C12" s="324">
        <f>'BRA Resource Clearing Results'!F10</f>
        <v>225</v>
      </c>
      <c r="D12" s="325">
        <f>'BRA Resource Clearing Results'!H10</f>
        <v>225</v>
      </c>
      <c r="E12" s="330">
        <f>'1stIA Resource Clearing Results'!D10</f>
        <v>399.62</v>
      </c>
      <c r="F12" s="329">
        <f>'1stIA Resource Clearing Results'!F10</f>
        <v>410.95</v>
      </c>
      <c r="G12" s="331">
        <f>'1stIA Resource Clearing Results'!H10</f>
        <v>410.95</v>
      </c>
      <c r="H12" s="583">
        <f>'2ndIA Resource Clearing Results'!D10</f>
        <v>310</v>
      </c>
      <c r="I12" s="584">
        <f>'2ndIA Resource Clearing Results'!F10</f>
        <v>310</v>
      </c>
      <c r="J12" s="585">
        <f>'2ndIA Resource Clearing Results'!H10</f>
        <v>310</v>
      </c>
      <c r="K12" s="658">
        <f>'3rdIA Resource Clearing Results'!D10</f>
        <v>256.76</v>
      </c>
      <c r="L12" s="659">
        <f>'3rdIA Resource Clearing Results'!F10</f>
        <v>256.76</v>
      </c>
      <c r="M12" s="660">
        <f>'3rdIA Resource Clearing Results'!H10</f>
        <v>256.76</v>
      </c>
      <c r="N12" s="317" t="s">
        <v>42</v>
      </c>
      <c r="O12" s="313"/>
      <c r="P12" s="313"/>
    </row>
    <row r="13" spans="1:16" s="314" customFormat="1" ht="15.75" customHeight="1">
      <c r="A13" s="317" t="s">
        <v>43</v>
      </c>
      <c r="B13" s="323">
        <f>'BRA Resource Clearing Results'!D11</f>
        <v>125.47</v>
      </c>
      <c r="C13" s="324">
        <f>'BRA Resource Clearing Results'!F11</f>
        <v>136.5</v>
      </c>
      <c r="D13" s="325">
        <f>'BRA Resource Clearing Results'!H11</f>
        <v>136.5</v>
      </c>
      <c r="E13" s="330">
        <f>'1stIA Resource Clearing Results'!D11</f>
        <v>5.23</v>
      </c>
      <c r="F13" s="329">
        <f>'1stIA Resource Clearing Results'!F11</f>
        <v>16.560000000000002</v>
      </c>
      <c r="G13" s="331">
        <f>'1stIA Resource Clearing Results'!H11</f>
        <v>16.560000000000002</v>
      </c>
      <c r="H13" s="583">
        <f>'2ndIA Resource Clearing Results'!D11</f>
        <v>56.94</v>
      </c>
      <c r="I13" s="584">
        <f>'2ndIA Resource Clearing Results'!F11</f>
        <v>56.94</v>
      </c>
      <c r="J13" s="585">
        <f>'2ndIA Resource Clearing Results'!H11</f>
        <v>56.94</v>
      </c>
      <c r="K13" s="658">
        <f>'3rdIA Resource Clearing Results'!D11</f>
        <v>132.2</v>
      </c>
      <c r="L13" s="659">
        <f>'3rdIA Resource Clearing Results'!F11</f>
        <v>132.2</v>
      </c>
      <c r="M13" s="660">
        <f>'3rdIA Resource Clearing Results'!H11</f>
        <v>132.2</v>
      </c>
      <c r="N13" s="317" t="s">
        <v>43</v>
      </c>
      <c r="O13" s="313"/>
      <c r="P13" s="313"/>
    </row>
    <row r="14" spans="1:16" s="314" customFormat="1" ht="15.75" customHeight="1" thickBot="1">
      <c r="A14" s="318" t="s">
        <v>15</v>
      </c>
      <c r="B14" s="326">
        <f>'BRA Resource Clearing Results'!D12</f>
        <v>125.47</v>
      </c>
      <c r="C14" s="327">
        <f>'BRA Resource Clearing Results'!F12</f>
        <v>136.5</v>
      </c>
      <c r="D14" s="328">
        <f>'BRA Resource Clearing Results'!H12</f>
        <v>136.5</v>
      </c>
      <c r="E14" s="332">
        <f>'1stIA Resource Clearing Results'!D12</f>
        <v>5.23</v>
      </c>
      <c r="F14" s="333">
        <f>'1stIA Resource Clearing Results'!F12</f>
        <v>16.560000000000002</v>
      </c>
      <c r="G14" s="334">
        <f>'1stIA Resource Clearing Results'!H12</f>
        <v>16.560000000000002</v>
      </c>
      <c r="H14" s="586">
        <f>'2ndIA Resource Clearing Results'!D12</f>
        <v>56.94</v>
      </c>
      <c r="I14" s="587">
        <f>'2ndIA Resource Clearing Results'!F12</f>
        <v>56.94</v>
      </c>
      <c r="J14" s="588">
        <f>'2ndIA Resource Clearing Results'!H12</f>
        <v>56.94</v>
      </c>
      <c r="K14" s="661">
        <f>'3rdIA Resource Clearing Results'!D12</f>
        <v>132.2</v>
      </c>
      <c r="L14" s="662">
        <f>'3rdIA Resource Clearing Results'!F12</f>
        <v>132.2</v>
      </c>
      <c r="M14" s="663">
        <f>'3rdIA Resource Clearing Results'!H12</f>
        <v>132.2</v>
      </c>
      <c r="N14" s="318" t="s">
        <v>15</v>
      </c>
      <c r="O14" s="313"/>
      <c r="P14" s="313"/>
    </row>
    <row r="16" spans="1:5" ht="19.5" customHeight="1" thickBot="1">
      <c r="A16" s="302" t="s">
        <v>252</v>
      </c>
      <c r="B16" s="299"/>
      <c r="C16" s="299"/>
      <c r="D16" s="299"/>
      <c r="E16" s="299"/>
    </row>
    <row r="17" spans="1:17" ht="17.25" customHeight="1" thickBot="1">
      <c r="A17" s="300"/>
      <c r="B17" s="763" t="s">
        <v>222</v>
      </c>
      <c r="C17" s="764"/>
      <c r="D17" s="764"/>
      <c r="E17" s="765"/>
      <c r="F17" s="742" t="s">
        <v>223</v>
      </c>
      <c r="G17" s="743"/>
      <c r="H17" s="743"/>
      <c r="I17" s="744"/>
      <c r="J17" s="734" t="s">
        <v>288</v>
      </c>
      <c r="K17" s="735"/>
      <c r="L17" s="735"/>
      <c r="M17" s="735"/>
      <c r="N17" s="787" t="s">
        <v>316</v>
      </c>
      <c r="O17" s="788"/>
      <c r="P17" s="788"/>
      <c r="Q17" s="789"/>
    </row>
    <row r="18" spans="1:17" ht="18" customHeight="1" thickBot="1">
      <c r="A18" s="300"/>
      <c r="B18" s="763" t="s">
        <v>187</v>
      </c>
      <c r="C18" s="764"/>
      <c r="D18" s="764"/>
      <c r="E18" s="765"/>
      <c r="F18" s="742" t="s">
        <v>257</v>
      </c>
      <c r="G18" s="743"/>
      <c r="H18" s="743"/>
      <c r="I18" s="744"/>
      <c r="J18" s="734" t="s">
        <v>257</v>
      </c>
      <c r="K18" s="735"/>
      <c r="L18" s="735"/>
      <c r="M18" s="735"/>
      <c r="N18" s="730" t="s">
        <v>257</v>
      </c>
      <c r="O18" s="731"/>
      <c r="P18" s="731"/>
      <c r="Q18" s="732"/>
    </row>
    <row r="19" spans="1:22" ht="39" thickBot="1">
      <c r="A19" s="344" t="s">
        <v>3</v>
      </c>
      <c r="B19" s="558" t="s">
        <v>190</v>
      </c>
      <c r="C19" s="559" t="s">
        <v>191</v>
      </c>
      <c r="D19" s="559" t="s">
        <v>192</v>
      </c>
      <c r="E19" s="560" t="s">
        <v>258</v>
      </c>
      <c r="F19" s="320" t="s">
        <v>190</v>
      </c>
      <c r="G19" s="321" t="s">
        <v>191</v>
      </c>
      <c r="H19" s="321" t="s">
        <v>192</v>
      </c>
      <c r="I19" s="322" t="s">
        <v>258</v>
      </c>
      <c r="J19" s="577" t="s">
        <v>190</v>
      </c>
      <c r="K19" s="578" t="s">
        <v>191</v>
      </c>
      <c r="L19" s="578" t="s">
        <v>192</v>
      </c>
      <c r="M19" s="642" t="s">
        <v>258</v>
      </c>
      <c r="N19" s="652" t="s">
        <v>190</v>
      </c>
      <c r="O19" s="653" t="s">
        <v>191</v>
      </c>
      <c r="P19" s="653" t="s">
        <v>192</v>
      </c>
      <c r="Q19" s="654" t="s">
        <v>258</v>
      </c>
      <c r="R19" s="348" t="s">
        <v>3</v>
      </c>
      <c r="T19" t="s">
        <v>24</v>
      </c>
      <c r="U19" t="s">
        <v>24</v>
      </c>
      <c r="V19" t="s">
        <v>24</v>
      </c>
    </row>
    <row r="20" spans="1:22" ht="12.75">
      <c r="A20" s="319" t="s">
        <v>6</v>
      </c>
      <c r="B20" s="555">
        <f>'BRA Resource Clearing Results'!B17</f>
        <v>12165.9</v>
      </c>
      <c r="C20" s="556">
        <f>'BRA Resource Clearing Results'!C17</f>
        <v>1441</v>
      </c>
      <c r="D20" s="556">
        <f>'BRA Resource Clearing Results'!D17</f>
        <v>136367.8</v>
      </c>
      <c r="E20" s="557">
        <f>'BRA Resource Clearing Results'!E17</f>
        <v>149974.69999999998</v>
      </c>
      <c r="F20" s="352">
        <f>'1stIA Resource Clearing Results'!J19</f>
        <v>2702.4</v>
      </c>
      <c r="G20" s="353">
        <f>'1stIA Resource Clearing Results'!K19</f>
        <v>87.6</v>
      </c>
      <c r="H20" s="353">
        <f>'1stIA Resource Clearing Results'!L19</f>
        <v>-179.99999999999955</v>
      </c>
      <c r="I20" s="354">
        <f>'1stIA Resource Clearing Results'!M19</f>
        <v>2610.0000000000005</v>
      </c>
      <c r="J20" s="589">
        <f>'2ndIA Resource Clearing Results'!J19</f>
        <v>1305.7</v>
      </c>
      <c r="K20" s="590">
        <f>'2ndIA Resource Clearing Results'!K19</f>
        <v>90.5</v>
      </c>
      <c r="L20" s="590">
        <f>'2ndIA Resource Clearing Results'!L19</f>
        <v>170.70000000000027</v>
      </c>
      <c r="M20" s="643">
        <f>'2ndIA Resource Clearing Results'!M19</f>
        <v>1566.9000000000003</v>
      </c>
      <c r="N20" s="664">
        <f>'3rdIA Resource Clearing Results'!J19</f>
        <v>493.40000000000003</v>
      </c>
      <c r="O20" s="665">
        <f>'3rdIA Resource Clearing Results'!K19</f>
        <v>12.099999999999994</v>
      </c>
      <c r="P20" s="665">
        <f>'3rdIA Resource Clearing Results'!L19</f>
        <v>-1801</v>
      </c>
      <c r="Q20" s="666">
        <f>'3rdIA Resource Clearing Results'!M19</f>
        <v>-1295.5</v>
      </c>
      <c r="R20" s="349" t="s">
        <v>6</v>
      </c>
      <c r="T20" t="s">
        <v>24</v>
      </c>
      <c r="U20" t="s">
        <v>24</v>
      </c>
      <c r="V20" t="s">
        <v>24</v>
      </c>
    </row>
    <row r="21" spans="1:22" ht="12.75">
      <c r="A21" s="317" t="s">
        <v>30</v>
      </c>
      <c r="B21" s="443">
        <f>'BRA Resource Clearing Results'!B18</f>
        <v>5920.7</v>
      </c>
      <c r="C21" s="444">
        <f>'BRA Resource Clearing Results'!C18</f>
        <v>1076.8</v>
      </c>
      <c r="D21" s="444">
        <f>'BRA Resource Clearing Results'!D18</f>
        <v>60178.5</v>
      </c>
      <c r="E21" s="445">
        <f>'BRA Resource Clearing Results'!E18</f>
        <v>67176</v>
      </c>
      <c r="F21" s="355">
        <f>'1stIA Resource Clearing Results'!J20</f>
        <v>1246.7</v>
      </c>
      <c r="G21" s="356">
        <f>'1stIA Resource Clearing Results'!K20</f>
        <v>74.3</v>
      </c>
      <c r="H21" s="356">
        <f>'1stIA Resource Clearing Results'!L20</f>
        <v>-166.70000000000005</v>
      </c>
      <c r="I21" s="357">
        <f>'1stIA Resource Clearing Results'!M20</f>
        <v>1154.3</v>
      </c>
      <c r="J21" s="591">
        <f>'2ndIA Resource Clearing Results'!J20</f>
        <v>1055.2</v>
      </c>
      <c r="K21" s="592">
        <f>'2ndIA Resource Clearing Results'!K20</f>
        <v>90.5</v>
      </c>
      <c r="L21" s="592">
        <f>'2ndIA Resource Clearing Results'!L20</f>
        <v>-117.10000000000002</v>
      </c>
      <c r="M21" s="644">
        <f>'2ndIA Resource Clearing Results'!M20</f>
        <v>1028.6</v>
      </c>
      <c r="N21" s="667">
        <f>'3rdIA Resource Clearing Results'!J20</f>
        <v>270.3</v>
      </c>
      <c r="O21" s="668">
        <f>'3rdIA Resource Clearing Results'!K20</f>
        <v>209.2</v>
      </c>
      <c r="P21" s="668">
        <f>'3rdIA Resource Clearing Results'!L20</f>
        <v>-466.39999999999986</v>
      </c>
      <c r="Q21" s="669">
        <f>'3rdIA Resource Clearing Results'!M20</f>
        <v>13.100000000000136</v>
      </c>
      <c r="R21" s="350" t="s">
        <v>30</v>
      </c>
      <c r="T21" t="s">
        <v>24</v>
      </c>
      <c r="U21" t="s">
        <v>24</v>
      </c>
      <c r="V21" t="s">
        <v>24</v>
      </c>
    </row>
    <row r="22" spans="1:22" ht="12.75">
      <c r="A22" s="317" t="s">
        <v>41</v>
      </c>
      <c r="B22" s="443">
        <f>'BRA Resource Clearing Results'!B19</f>
        <v>2322.2</v>
      </c>
      <c r="C22" s="444">
        <f>'BRA Resource Clearing Results'!C19</f>
        <v>442.8</v>
      </c>
      <c r="D22" s="444">
        <f>'BRA Resource Clearing Results'!D19</f>
        <v>29789</v>
      </c>
      <c r="E22" s="445">
        <f>'BRA Resource Clearing Results'!E19</f>
        <v>32554</v>
      </c>
      <c r="F22" s="355">
        <f>'1stIA Resource Clearing Results'!J21</f>
        <v>541.5</v>
      </c>
      <c r="G22" s="356">
        <f>'1stIA Resource Clearing Results'!K21</f>
        <v>28.199999999999996</v>
      </c>
      <c r="H22" s="356">
        <f>'1stIA Resource Clearing Results'!L21</f>
        <v>238.2</v>
      </c>
      <c r="I22" s="357">
        <f>'1stIA Resource Clearing Results'!M21</f>
        <v>807.9000000000001</v>
      </c>
      <c r="J22" s="591">
        <f>'2ndIA Resource Clearing Results'!J21</f>
        <v>528.6</v>
      </c>
      <c r="K22" s="592">
        <f>'2ndIA Resource Clearing Results'!K21</f>
        <v>27.5</v>
      </c>
      <c r="L22" s="592">
        <f>'2ndIA Resource Clearing Results'!L21</f>
        <v>98.80000000000001</v>
      </c>
      <c r="M22" s="644">
        <f>'2ndIA Resource Clearing Results'!M21</f>
        <v>654.9000000000001</v>
      </c>
      <c r="N22" s="667">
        <f>'3rdIA Resource Clearing Results'!J21</f>
        <v>90.2</v>
      </c>
      <c r="O22" s="668">
        <f>'3rdIA Resource Clearing Results'!K21</f>
        <v>90.5</v>
      </c>
      <c r="P22" s="668">
        <f>'3rdIA Resource Clearing Results'!L21</f>
        <v>-794.9000000000001</v>
      </c>
      <c r="Q22" s="669">
        <f>'3rdIA Resource Clearing Results'!M21</f>
        <v>-614.2</v>
      </c>
      <c r="R22" s="350" t="s">
        <v>41</v>
      </c>
      <c r="T22" t="s">
        <v>24</v>
      </c>
      <c r="U22" t="s">
        <v>24</v>
      </c>
      <c r="V22" t="s">
        <v>24</v>
      </c>
    </row>
    <row r="23" spans="1:22" ht="12.75">
      <c r="A23" s="317" t="s">
        <v>5</v>
      </c>
      <c r="B23" s="443">
        <f>'BRA Resource Clearing Results'!B20</f>
        <v>1852.2</v>
      </c>
      <c r="C23" s="444">
        <f>'BRA Resource Clearing Results'!C20</f>
        <v>375.9</v>
      </c>
      <c r="D23" s="444">
        <f>'BRA Resource Clearing Results'!D20</f>
        <v>8896</v>
      </c>
      <c r="E23" s="445">
        <f>'BRA Resource Clearing Results'!E20</f>
        <v>11124.1</v>
      </c>
      <c r="F23" s="355">
        <f>'1stIA Resource Clearing Results'!J22</f>
        <v>364.9</v>
      </c>
      <c r="G23" s="356">
        <f>'1stIA Resource Clearing Results'!K22</f>
        <v>-6.800000000000001</v>
      </c>
      <c r="H23" s="356">
        <f>'1stIA Resource Clearing Results'!L22</f>
        <v>-716.8000000000001</v>
      </c>
      <c r="I23" s="357">
        <f>'1stIA Resource Clearing Results'!M22</f>
        <v>-358.7000000000001</v>
      </c>
      <c r="J23" s="591">
        <f>'2ndIA Resource Clearing Results'!J22</f>
        <v>380</v>
      </c>
      <c r="K23" s="592">
        <f>'2ndIA Resource Clearing Results'!K22</f>
        <v>62.99999999999999</v>
      </c>
      <c r="L23" s="592">
        <f>'2ndIA Resource Clearing Results'!L22</f>
        <v>-48</v>
      </c>
      <c r="M23" s="644">
        <f>'2ndIA Resource Clearing Results'!M22</f>
        <v>395</v>
      </c>
      <c r="N23" s="667">
        <f>'3rdIA Resource Clearing Results'!J22</f>
        <v>-11.4</v>
      </c>
      <c r="O23" s="668">
        <f>'3rdIA Resource Clearing Results'!K22</f>
        <v>113.1</v>
      </c>
      <c r="P23" s="668">
        <f>'3rdIA Resource Clearing Results'!L22</f>
        <v>-99</v>
      </c>
      <c r="Q23" s="669">
        <f>'3rdIA Resource Clearing Results'!M22</f>
        <v>2.6999999999999886</v>
      </c>
      <c r="R23" s="350" t="s">
        <v>5</v>
      </c>
      <c r="T23" t="s">
        <v>24</v>
      </c>
      <c r="U23" t="s">
        <v>24</v>
      </c>
      <c r="V23" t="s">
        <v>24</v>
      </c>
    </row>
    <row r="24" spans="1:22" ht="12.75">
      <c r="A24" s="317" t="s">
        <v>8</v>
      </c>
      <c r="B24" s="443">
        <f>'BRA Resource Clearing Results'!B21</f>
        <v>775.7</v>
      </c>
      <c r="C24" s="444">
        <f>'BRA Resource Clearing Results'!C21</f>
        <v>142.6</v>
      </c>
      <c r="D24" s="444">
        <f>'BRA Resource Clearing Results'!D21</f>
        <v>6664.7</v>
      </c>
      <c r="E24" s="445">
        <f>'BRA Resource Clearing Results'!E21</f>
        <v>7583</v>
      </c>
      <c r="F24" s="355">
        <f>'1stIA Resource Clearing Results'!J23</f>
        <v>176.5</v>
      </c>
      <c r="G24" s="356">
        <f>'1stIA Resource Clearing Results'!K23</f>
        <v>-0.3999999999999999</v>
      </c>
      <c r="H24" s="356">
        <f>'1stIA Resource Clearing Results'!L23</f>
        <v>-108.30000000000001</v>
      </c>
      <c r="I24" s="357">
        <f>'1stIA Resource Clearing Results'!M23</f>
        <v>67.79999999999998</v>
      </c>
      <c r="J24" s="591">
        <f>'2ndIA Resource Clearing Results'!J23</f>
        <v>97.6</v>
      </c>
      <c r="K24" s="592">
        <f>'2ndIA Resource Clearing Results'!K23</f>
        <v>0.4</v>
      </c>
      <c r="L24" s="592">
        <f>'2ndIA Resource Clearing Results'!L23</f>
        <v>34.5</v>
      </c>
      <c r="M24" s="644">
        <f>'2ndIA Resource Clearing Results'!M23</f>
        <v>132.5</v>
      </c>
      <c r="N24" s="667">
        <f>'3rdIA Resource Clearing Results'!J23</f>
        <v>102.39999999999999</v>
      </c>
      <c r="O24" s="668">
        <f>'3rdIA Resource Clearing Results'!K23</f>
        <v>86.4</v>
      </c>
      <c r="P24" s="668">
        <f>'3rdIA Resource Clearing Results'!L23</f>
        <v>-333.8</v>
      </c>
      <c r="Q24" s="669">
        <f>'3rdIA Resource Clearing Results'!M23</f>
        <v>-145</v>
      </c>
      <c r="R24" s="350" t="s">
        <v>8</v>
      </c>
      <c r="T24" t="s">
        <v>24</v>
      </c>
      <c r="U24" t="s">
        <v>24</v>
      </c>
      <c r="V24" t="s">
        <v>24</v>
      </c>
    </row>
    <row r="25" spans="1:22" ht="12.75">
      <c r="A25" s="317" t="s">
        <v>42</v>
      </c>
      <c r="B25" s="443">
        <f>'BRA Resource Clearing Results'!B22</f>
        <v>340.7</v>
      </c>
      <c r="C25" s="444">
        <f>'BRA Resource Clearing Results'!C22</f>
        <v>97.1</v>
      </c>
      <c r="D25" s="444">
        <f>'BRA Resource Clearing Results'!D22</f>
        <v>3379.7</v>
      </c>
      <c r="E25" s="445">
        <f>'BRA Resource Clearing Results'!E22</f>
        <v>3817.5</v>
      </c>
      <c r="F25" s="355">
        <f>'1stIA Resource Clearing Results'!J24</f>
        <v>29.299999999999997</v>
      </c>
      <c r="G25" s="356">
        <f>'1stIA Resource Clearing Results'!K24</f>
        <v>-3.1</v>
      </c>
      <c r="H25" s="356">
        <f>'1stIA Resource Clearing Results'!L24</f>
        <v>-118.6</v>
      </c>
      <c r="I25" s="357">
        <f>'1stIA Resource Clearing Results'!M24</f>
        <v>-92.4</v>
      </c>
      <c r="J25" s="591">
        <f>'2ndIA Resource Clearing Results'!J24</f>
        <v>0.3</v>
      </c>
      <c r="K25" s="592">
        <f>'2ndIA Resource Clearing Results'!K24</f>
        <v>0.4</v>
      </c>
      <c r="L25" s="592">
        <f>'2ndIA Resource Clearing Results'!L24</f>
        <v>-0.7</v>
      </c>
      <c r="M25" s="644">
        <f>'2ndIA Resource Clearing Results'!M24</f>
        <v>0</v>
      </c>
      <c r="N25" s="667">
        <f>'3rdIA Resource Clearing Results'!J24</f>
        <v>92</v>
      </c>
      <c r="O25" s="668">
        <f>'3rdIA Resource Clearing Results'!K24</f>
        <v>83.1</v>
      </c>
      <c r="P25" s="668">
        <f>'3rdIA Resource Clearing Results'!L24</f>
        <v>-271.90000000000003</v>
      </c>
      <c r="Q25" s="669">
        <f>'3rdIA Resource Clearing Results'!M24</f>
        <v>-96.80000000000004</v>
      </c>
      <c r="R25" s="350" t="s">
        <v>42</v>
      </c>
      <c r="T25" t="s">
        <v>24</v>
      </c>
      <c r="U25" t="s">
        <v>24</v>
      </c>
      <c r="V25" t="s">
        <v>24</v>
      </c>
    </row>
    <row r="26" spans="1:22" ht="12.75">
      <c r="A26" s="317" t="s">
        <v>43</v>
      </c>
      <c r="B26" s="443">
        <f>'BRA Resource Clearing Results'!B23</f>
        <v>140.7</v>
      </c>
      <c r="C26" s="444">
        <f>'BRA Resource Clearing Results'!C23</f>
        <v>78.9</v>
      </c>
      <c r="D26" s="444">
        <f>'BRA Resource Clearing Results'!D23</f>
        <v>1219.6</v>
      </c>
      <c r="E26" s="445">
        <f>'BRA Resource Clearing Results'!E23</f>
        <v>1439.1999999999998</v>
      </c>
      <c r="F26" s="355">
        <f>'1stIA Resource Clearing Results'!J25</f>
        <v>48.4</v>
      </c>
      <c r="G26" s="356">
        <f>'1stIA Resource Clearing Results'!K25</f>
        <v>29.9</v>
      </c>
      <c r="H26" s="356">
        <f>'1stIA Resource Clearing Results'!L25</f>
        <v>-9</v>
      </c>
      <c r="I26" s="357">
        <f>'1stIA Resource Clearing Results'!M25</f>
        <v>69.3</v>
      </c>
      <c r="J26" s="591">
        <f>'2ndIA Resource Clearing Results'!J25</f>
        <v>18</v>
      </c>
      <c r="K26" s="592">
        <f>'2ndIA Resource Clearing Results'!K25</f>
        <v>24.3</v>
      </c>
      <c r="L26" s="592">
        <f>'2ndIA Resource Clearing Results'!L25</f>
        <v>46.3</v>
      </c>
      <c r="M26" s="644">
        <f>'2ndIA Resource Clearing Results'!M25</f>
        <v>88.6</v>
      </c>
      <c r="N26" s="667">
        <f>'3rdIA Resource Clearing Results'!J25</f>
        <v>1</v>
      </c>
      <c r="O26" s="668">
        <f>'3rdIA Resource Clearing Results'!K25</f>
        <v>0</v>
      </c>
      <c r="P26" s="668">
        <f>'3rdIA Resource Clearing Results'!L25</f>
        <v>-57</v>
      </c>
      <c r="Q26" s="669">
        <f>'3rdIA Resource Clearing Results'!M25</f>
        <v>-56</v>
      </c>
      <c r="R26" s="350" t="s">
        <v>43</v>
      </c>
      <c r="T26" t="s">
        <v>24</v>
      </c>
      <c r="U26" t="s">
        <v>24</v>
      </c>
      <c r="V26" t="s">
        <v>24</v>
      </c>
    </row>
    <row r="27" spans="1:22" ht="13.5" thickBot="1">
      <c r="A27" s="318" t="s">
        <v>15</v>
      </c>
      <c r="B27" s="446">
        <f>'BRA Resource Clearing Results'!B24</f>
        <v>708.8</v>
      </c>
      <c r="C27" s="447">
        <f>'BRA Resource Clearing Results'!C24</f>
        <v>182.3</v>
      </c>
      <c r="D27" s="447">
        <f>'BRA Resource Clearing Results'!D24</f>
        <v>4723.5</v>
      </c>
      <c r="E27" s="448">
        <f>'BRA Resource Clearing Results'!E24</f>
        <v>5614.6</v>
      </c>
      <c r="F27" s="355">
        <f>'1stIA Resource Clearing Results'!J26</f>
        <v>151.8</v>
      </c>
      <c r="G27" s="358">
        <f>'1stIA Resource Clearing Results'!K26</f>
        <v>-9.3</v>
      </c>
      <c r="H27" s="358">
        <f>'1stIA Resource Clearing Results'!L26</f>
        <v>-7.1</v>
      </c>
      <c r="I27" s="359">
        <f>'1stIA Resource Clearing Results'!M26</f>
        <v>135.4</v>
      </c>
      <c r="J27" s="593">
        <f>'2ndIA Resource Clearing Results'!J26</f>
        <v>172</v>
      </c>
      <c r="K27" s="594">
        <f>'2ndIA Resource Clearing Results'!K26</f>
        <v>17.4</v>
      </c>
      <c r="L27" s="594">
        <f>'2ndIA Resource Clearing Results'!L26</f>
        <v>6.099999999999994</v>
      </c>
      <c r="M27" s="645">
        <f>'2ndIA Resource Clearing Results'!M26</f>
        <v>195.5</v>
      </c>
      <c r="N27" s="670">
        <f>'3rdIA Resource Clearing Results'!J26</f>
        <v>-7.9</v>
      </c>
      <c r="O27" s="671">
        <f>'3rdIA Resource Clearing Results'!K26</f>
        <v>36.6</v>
      </c>
      <c r="P27" s="671">
        <f>'3rdIA Resource Clearing Results'!L26</f>
        <v>5.9</v>
      </c>
      <c r="Q27" s="672">
        <f>'3rdIA Resource Clearing Results'!M26</f>
        <v>34.6</v>
      </c>
      <c r="R27" s="351" t="s">
        <v>15</v>
      </c>
      <c r="T27" t="s">
        <v>24</v>
      </c>
      <c r="U27" t="s">
        <v>24</v>
      </c>
      <c r="V27" t="s">
        <v>24</v>
      </c>
    </row>
    <row r="28" spans="1:22" s="314" customFormat="1" ht="15.75" customHeight="1">
      <c r="A28" s="487" t="s">
        <v>254</v>
      </c>
      <c r="B28" s="312"/>
      <c r="C28" s="312"/>
      <c r="D28" s="312"/>
      <c r="E28" s="312"/>
      <c r="F28" s="313"/>
      <c r="G28" s="313"/>
      <c r="H28" s="313"/>
      <c r="I28" s="312"/>
      <c r="J28" s="312"/>
      <c r="K28" s="312"/>
      <c r="L28" s="312"/>
      <c r="M28" s="313"/>
      <c r="N28" s="313"/>
      <c r="O28" s="313"/>
      <c r="P28" s="313"/>
      <c r="V28" s="314" t="s">
        <v>24</v>
      </c>
    </row>
    <row r="29" spans="1:16" s="314" customFormat="1" ht="15.75" customHeight="1">
      <c r="A29" s="12"/>
      <c r="B29" s="312"/>
      <c r="C29" s="312"/>
      <c r="D29" s="312"/>
      <c r="E29" s="312"/>
      <c r="F29" s="313"/>
      <c r="G29" s="313"/>
      <c r="H29" s="313"/>
      <c r="I29" s="312"/>
      <c r="J29" s="312"/>
      <c r="K29" s="312"/>
      <c r="L29" s="312"/>
      <c r="M29" s="313"/>
      <c r="N29" s="313"/>
      <c r="O29" s="313"/>
      <c r="P29" s="313"/>
    </row>
    <row r="30" spans="1:16" s="314" customFormat="1" ht="15.75" customHeight="1" thickBot="1">
      <c r="A30" s="302" t="s">
        <v>253</v>
      </c>
      <c r="B30" s="312"/>
      <c r="C30" s="312"/>
      <c r="D30" s="312"/>
      <c r="E30" s="312"/>
      <c r="F30" s="313"/>
      <c r="G30" s="313"/>
      <c r="H30" s="313"/>
      <c r="I30" s="312"/>
      <c r="J30" s="312"/>
      <c r="K30" s="312"/>
      <c r="L30" s="312"/>
      <c r="M30" s="313"/>
      <c r="N30" s="313"/>
      <c r="O30" s="313"/>
      <c r="P30" s="313"/>
    </row>
    <row r="31" spans="1:17" s="314" customFormat="1" ht="15.75" customHeight="1" thickBot="1">
      <c r="A31" s="302"/>
      <c r="B31" s="771" t="s">
        <v>222</v>
      </c>
      <c r="C31" s="772"/>
      <c r="D31" s="772"/>
      <c r="E31" s="773"/>
      <c r="F31" s="760" t="s">
        <v>223</v>
      </c>
      <c r="G31" s="761"/>
      <c r="H31" s="761"/>
      <c r="I31" s="762"/>
      <c r="J31" s="781" t="s">
        <v>288</v>
      </c>
      <c r="K31" s="782"/>
      <c r="L31" s="782"/>
      <c r="M31" s="783"/>
      <c r="N31" s="790" t="s">
        <v>316</v>
      </c>
      <c r="O31" s="791"/>
      <c r="P31" s="791"/>
      <c r="Q31" s="792"/>
    </row>
    <row r="32" spans="1:17" s="314" customFormat="1" ht="15.75" customHeight="1" thickBot="1">
      <c r="A32" s="302"/>
      <c r="B32" s="774" t="s">
        <v>270</v>
      </c>
      <c r="C32" s="775"/>
      <c r="D32" s="775"/>
      <c r="E32" s="776"/>
      <c r="F32" s="794" t="s">
        <v>255</v>
      </c>
      <c r="G32" s="795"/>
      <c r="H32" s="795"/>
      <c r="I32" s="796"/>
      <c r="J32" s="766" t="s">
        <v>255</v>
      </c>
      <c r="K32" s="767"/>
      <c r="L32" s="767"/>
      <c r="M32" s="767"/>
      <c r="N32" s="790" t="s">
        <v>255</v>
      </c>
      <c r="O32" s="791"/>
      <c r="P32" s="791"/>
      <c r="Q32" s="792"/>
    </row>
    <row r="33" spans="1:18" s="314" customFormat="1" ht="65.25" customHeight="1" thickBot="1">
      <c r="A33" s="344" t="s">
        <v>3</v>
      </c>
      <c r="B33" s="777"/>
      <c r="C33" s="778"/>
      <c r="D33" s="778"/>
      <c r="E33" s="778"/>
      <c r="F33" s="320" t="s">
        <v>175</v>
      </c>
      <c r="G33" s="321" t="s">
        <v>67</v>
      </c>
      <c r="H33" s="321" t="s">
        <v>65</v>
      </c>
      <c r="I33" s="322" t="s">
        <v>68</v>
      </c>
      <c r="J33" s="595" t="s">
        <v>175</v>
      </c>
      <c r="K33" s="596" t="s">
        <v>67</v>
      </c>
      <c r="L33" s="596" t="s">
        <v>65</v>
      </c>
      <c r="M33" s="646" t="s">
        <v>68</v>
      </c>
      <c r="N33" s="652" t="s">
        <v>175</v>
      </c>
      <c r="O33" s="653" t="s">
        <v>67</v>
      </c>
      <c r="P33" s="653" t="s">
        <v>65</v>
      </c>
      <c r="Q33" s="654" t="s">
        <v>68</v>
      </c>
      <c r="R33" s="348" t="s">
        <v>3</v>
      </c>
    </row>
    <row r="34" spans="1:18" s="314" customFormat="1" ht="15.75" customHeight="1">
      <c r="A34" s="319" t="s">
        <v>6</v>
      </c>
      <c r="B34" s="777"/>
      <c r="C34" s="778"/>
      <c r="D34" s="778"/>
      <c r="E34" s="778"/>
      <c r="F34" s="352">
        <f>'1stIA Resource Clearing Results'!J32</f>
        <v>-2702.4</v>
      </c>
      <c r="G34" s="353">
        <f>'1stIA Resource Clearing Results'!K32</f>
        <v>92.4</v>
      </c>
      <c r="H34" s="353">
        <f>'1stIA Resource Clearing Results'!L32</f>
        <v>0</v>
      </c>
      <c r="I34" s="354">
        <f>'1stIA Resource Clearing Results'!M32</f>
        <v>-2610</v>
      </c>
      <c r="J34" s="589">
        <f>'2ndIA Resource Clearing Results'!J32</f>
        <v>68.4</v>
      </c>
      <c r="K34" s="590">
        <f>'2ndIA Resource Clearing Results'!K32</f>
        <v>0</v>
      </c>
      <c r="L34" s="590">
        <f>'2ndIA Resource Clearing Results'!L32</f>
        <v>-1635.3</v>
      </c>
      <c r="M34" s="643">
        <f>'2ndIA Resource Clearing Results'!M32</f>
        <v>-1566.8999999999999</v>
      </c>
      <c r="N34" s="664">
        <f>'3rdIA Resource Clearing Results'!J32</f>
        <v>1499.2</v>
      </c>
      <c r="O34" s="665">
        <f>'3rdIA Resource Clearing Results'!K32</f>
        <v>0</v>
      </c>
      <c r="P34" s="665">
        <f>'3rdIA Resource Clearing Results'!L32</f>
        <v>-203.7</v>
      </c>
      <c r="Q34" s="666">
        <f>'3rdIA Resource Clearing Results'!M32</f>
        <v>1295.5</v>
      </c>
      <c r="R34" s="349" t="s">
        <v>6</v>
      </c>
    </row>
    <row r="35" spans="1:18" s="314" customFormat="1" ht="15.75" customHeight="1">
      <c r="A35" s="317" t="s">
        <v>30</v>
      </c>
      <c r="B35" s="777"/>
      <c r="C35" s="778"/>
      <c r="D35" s="778"/>
      <c r="E35" s="778"/>
      <c r="F35" s="355">
        <f>'1stIA Resource Clearing Results'!J33</f>
        <v>-1246.7</v>
      </c>
      <c r="G35" s="356">
        <f>'1stIA Resource Clearing Results'!K33</f>
        <v>92.4</v>
      </c>
      <c r="H35" s="356">
        <f>'1stIA Resource Clearing Results'!L33</f>
        <v>0</v>
      </c>
      <c r="I35" s="357">
        <f>'1stIA Resource Clearing Results'!M33</f>
        <v>-1154.3</v>
      </c>
      <c r="J35" s="598">
        <f>'2ndIA Resource Clearing Results'!J33</f>
        <v>68.4</v>
      </c>
      <c r="K35" s="599">
        <f>'2ndIA Resource Clearing Results'!K33</f>
        <v>0</v>
      </c>
      <c r="L35" s="599">
        <f>'2ndIA Resource Clearing Results'!L33</f>
        <v>-1097</v>
      </c>
      <c r="M35" s="647">
        <f>'2ndIA Resource Clearing Results'!M33</f>
        <v>-1028.6</v>
      </c>
      <c r="N35" s="667">
        <f>'3rdIA Resource Clearing Results'!J33</f>
        <v>181.4</v>
      </c>
      <c r="O35" s="668">
        <f>'3rdIA Resource Clearing Results'!K33</f>
        <v>0</v>
      </c>
      <c r="P35" s="668">
        <f>'3rdIA Resource Clearing Results'!L33</f>
        <v>-203.7</v>
      </c>
      <c r="Q35" s="669">
        <f>'3rdIA Resource Clearing Results'!M33</f>
        <v>-22.299999999999983</v>
      </c>
      <c r="R35" s="350" t="s">
        <v>30</v>
      </c>
    </row>
    <row r="36" spans="1:18" s="314" customFormat="1" ht="15.75" customHeight="1">
      <c r="A36" s="317" t="s">
        <v>41</v>
      </c>
      <c r="B36" s="777"/>
      <c r="C36" s="778"/>
      <c r="D36" s="778"/>
      <c r="E36" s="778"/>
      <c r="F36" s="355">
        <f>'1stIA Resource Clearing Results'!J34</f>
        <v>-1027.9</v>
      </c>
      <c r="G36" s="356">
        <f>'1stIA Resource Clearing Results'!K34</f>
        <v>92.4</v>
      </c>
      <c r="H36" s="356">
        <f>'1stIA Resource Clearing Results'!L34</f>
        <v>0</v>
      </c>
      <c r="I36" s="357">
        <f>'1stIA Resource Clearing Results'!M34</f>
        <v>-935.5000000000001</v>
      </c>
      <c r="J36" s="598">
        <f>'2ndIA Resource Clearing Results'!J34</f>
        <v>68.4</v>
      </c>
      <c r="K36" s="599">
        <f>'2ndIA Resource Clearing Results'!K34</f>
        <v>0</v>
      </c>
      <c r="L36" s="599">
        <f>'2ndIA Resource Clearing Results'!L34</f>
        <v>-571</v>
      </c>
      <c r="M36" s="647">
        <f>'2ndIA Resource Clearing Results'!M34</f>
        <v>-502.6</v>
      </c>
      <c r="N36" s="667">
        <f>'3rdIA Resource Clearing Results'!J34</f>
        <v>163.6</v>
      </c>
      <c r="O36" s="668">
        <f>'3rdIA Resource Clearing Results'!K34</f>
        <v>0</v>
      </c>
      <c r="P36" s="668">
        <f>'3rdIA Resource Clearing Results'!L34</f>
        <v>0</v>
      </c>
      <c r="Q36" s="669">
        <f>'3rdIA Resource Clearing Results'!M34</f>
        <v>163.6</v>
      </c>
      <c r="R36" s="350" t="s">
        <v>41</v>
      </c>
    </row>
    <row r="37" spans="1:18" s="314" customFormat="1" ht="15.75" customHeight="1">
      <c r="A37" s="317" t="s">
        <v>5</v>
      </c>
      <c r="B37" s="777"/>
      <c r="C37" s="778"/>
      <c r="D37" s="778"/>
      <c r="E37" s="778"/>
      <c r="F37" s="355">
        <f>'1stIA Resource Clearing Results'!J35</f>
        <v>-159.5</v>
      </c>
      <c r="G37" s="356">
        <f>'1stIA Resource Clearing Results'!K35</f>
        <v>0</v>
      </c>
      <c r="H37" s="356">
        <f>'1stIA Resource Clearing Results'!L35</f>
        <v>0</v>
      </c>
      <c r="I37" s="357">
        <f>'1stIA Resource Clearing Results'!M35</f>
        <v>-159.5</v>
      </c>
      <c r="J37" s="598">
        <f>'2ndIA Resource Clearing Results'!J35</f>
        <v>0</v>
      </c>
      <c r="K37" s="599">
        <f>'2ndIA Resource Clearing Results'!K35</f>
        <v>0</v>
      </c>
      <c r="L37" s="599">
        <f>'2ndIA Resource Clearing Results'!L35</f>
        <v>-212.7</v>
      </c>
      <c r="M37" s="647">
        <f>'2ndIA Resource Clearing Results'!M35</f>
        <v>-212.7</v>
      </c>
      <c r="N37" s="667">
        <f>'3rdIA Resource Clearing Results'!J35</f>
        <v>0</v>
      </c>
      <c r="O37" s="668">
        <f>'3rdIA Resource Clearing Results'!K35</f>
        <v>0</v>
      </c>
      <c r="P37" s="668">
        <f>'3rdIA Resource Clearing Results'!L35</f>
        <v>-203.7</v>
      </c>
      <c r="Q37" s="669">
        <f>'3rdIA Resource Clearing Results'!M35</f>
        <v>-203.7</v>
      </c>
      <c r="R37" s="350" t="s">
        <v>5</v>
      </c>
    </row>
    <row r="38" spans="1:18" s="314" customFormat="1" ht="15.75" customHeight="1">
      <c r="A38" s="317" t="s">
        <v>8</v>
      </c>
      <c r="B38" s="777"/>
      <c r="C38" s="778"/>
      <c r="D38" s="778"/>
      <c r="E38" s="778"/>
      <c r="F38" s="355">
        <f>'1stIA Resource Clearing Results'!J36</f>
        <v>-268.6</v>
      </c>
      <c r="G38" s="356">
        <f>'1stIA Resource Clearing Results'!K36</f>
        <v>92.4</v>
      </c>
      <c r="H38" s="356">
        <f>'1stIA Resource Clearing Results'!L36</f>
        <v>0</v>
      </c>
      <c r="I38" s="357">
        <f>'1stIA Resource Clearing Results'!M36</f>
        <v>-176.20000000000002</v>
      </c>
      <c r="J38" s="598">
        <f>'2ndIA Resource Clearing Results'!J36</f>
        <v>0</v>
      </c>
      <c r="K38" s="599">
        <f>'2ndIA Resource Clearing Results'!K36</f>
        <v>0</v>
      </c>
      <c r="L38" s="599">
        <f>'2ndIA Resource Clearing Results'!L36</f>
        <v>-257.4</v>
      </c>
      <c r="M38" s="647">
        <f>'2ndIA Resource Clearing Results'!M36</f>
        <v>-257.4</v>
      </c>
      <c r="N38" s="667">
        <f>'3rdIA Resource Clearing Results'!J36</f>
        <v>96.8</v>
      </c>
      <c r="O38" s="668">
        <f>'3rdIA Resource Clearing Results'!K36</f>
        <v>0</v>
      </c>
      <c r="P38" s="668">
        <f>'3rdIA Resource Clearing Results'!L36</f>
        <v>0</v>
      </c>
      <c r="Q38" s="669">
        <f>'3rdIA Resource Clearing Results'!M36</f>
        <v>96.8</v>
      </c>
      <c r="R38" s="350" t="s">
        <v>8</v>
      </c>
    </row>
    <row r="39" spans="1:18" s="314" customFormat="1" ht="15.75" customHeight="1">
      <c r="A39" s="317" t="s">
        <v>42</v>
      </c>
      <c r="B39" s="777"/>
      <c r="C39" s="778"/>
      <c r="D39" s="778"/>
      <c r="E39" s="778"/>
      <c r="F39" s="355">
        <f>'1stIA Resource Clearing Results'!J37</f>
        <v>0</v>
      </c>
      <c r="G39" s="356">
        <f>'1stIA Resource Clearing Results'!K37</f>
        <v>92.4</v>
      </c>
      <c r="H39" s="356">
        <f>'1stIA Resource Clearing Results'!L37</f>
        <v>0</v>
      </c>
      <c r="I39" s="357">
        <f>'1stIA Resource Clearing Results'!M37</f>
        <v>92.4</v>
      </c>
      <c r="J39" s="598">
        <f>'2ndIA Resource Clearing Results'!J37</f>
        <v>0</v>
      </c>
      <c r="K39" s="599">
        <f>'2ndIA Resource Clearing Results'!K37</f>
        <v>0</v>
      </c>
      <c r="L39" s="599">
        <f>'2ndIA Resource Clearing Results'!L37</f>
        <v>0</v>
      </c>
      <c r="M39" s="647">
        <f>'2ndIA Resource Clearing Results'!M37</f>
        <v>0</v>
      </c>
      <c r="N39" s="667">
        <f>'3rdIA Resource Clearing Results'!J37</f>
        <v>96.8</v>
      </c>
      <c r="O39" s="668">
        <f>'3rdIA Resource Clearing Results'!K37</f>
        <v>0</v>
      </c>
      <c r="P39" s="668">
        <f>'3rdIA Resource Clearing Results'!L37</f>
        <v>0</v>
      </c>
      <c r="Q39" s="669">
        <f>'3rdIA Resource Clearing Results'!M37</f>
        <v>96.8</v>
      </c>
      <c r="R39" s="350" t="s">
        <v>42</v>
      </c>
    </row>
    <row r="40" spans="1:18" s="314" customFormat="1" ht="15.75" customHeight="1">
      <c r="A40" s="317" t="s">
        <v>43</v>
      </c>
      <c r="B40" s="777"/>
      <c r="C40" s="778"/>
      <c r="D40" s="778"/>
      <c r="E40" s="778"/>
      <c r="F40" s="355">
        <f>'1stIA Resource Clearing Results'!J38</f>
        <v>0</v>
      </c>
      <c r="G40" s="356">
        <f>'1stIA Resource Clearing Results'!K38</f>
        <v>0</v>
      </c>
      <c r="H40" s="356">
        <f>'1stIA Resource Clearing Results'!L38</f>
        <v>0</v>
      </c>
      <c r="I40" s="357">
        <f>'1stIA Resource Clearing Results'!M38</f>
        <v>0</v>
      </c>
      <c r="J40" s="598">
        <f>'2ndIA Resource Clearing Results'!J38</f>
        <v>68.4</v>
      </c>
      <c r="K40" s="599">
        <f>'2ndIA Resource Clearing Results'!K38</f>
        <v>0</v>
      </c>
      <c r="L40" s="599">
        <f>'2ndIA Resource Clearing Results'!L38</f>
        <v>0</v>
      </c>
      <c r="M40" s="647">
        <f>'2ndIA Resource Clearing Results'!M38</f>
        <v>68.4</v>
      </c>
      <c r="N40" s="667">
        <f>'3rdIA Resource Clearing Results'!J38</f>
        <v>49.5</v>
      </c>
      <c r="O40" s="668">
        <f>'3rdIA Resource Clearing Results'!K38</f>
        <v>0</v>
      </c>
      <c r="P40" s="668">
        <f>'3rdIA Resource Clearing Results'!L38</f>
        <v>0</v>
      </c>
      <c r="Q40" s="669">
        <f>'3rdIA Resource Clearing Results'!M38</f>
        <v>49.5</v>
      </c>
      <c r="R40" s="350" t="s">
        <v>43</v>
      </c>
    </row>
    <row r="41" spans="1:18" s="314" customFormat="1" ht="15.75" customHeight="1" thickBot="1">
      <c r="A41" s="318" t="s">
        <v>15</v>
      </c>
      <c r="B41" s="779"/>
      <c r="C41" s="780"/>
      <c r="D41" s="780"/>
      <c r="E41" s="780"/>
      <c r="F41" s="360">
        <f>'1stIA Resource Clearing Results'!J39</f>
        <v>0</v>
      </c>
      <c r="G41" s="358">
        <f>'1stIA Resource Clearing Results'!K39</f>
        <v>0</v>
      </c>
      <c r="H41" s="358">
        <f>'1stIA Resource Clearing Results'!L39</f>
        <v>0</v>
      </c>
      <c r="I41" s="359">
        <f>'1stIA Resource Clearing Results'!M39</f>
        <v>0</v>
      </c>
      <c r="J41" s="600">
        <f>'2ndIA Resource Clearing Results'!J39</f>
        <v>0</v>
      </c>
      <c r="K41" s="601">
        <f>'2ndIA Resource Clearing Results'!K39</f>
        <v>0</v>
      </c>
      <c r="L41" s="601">
        <f>'2ndIA Resource Clearing Results'!L39</f>
        <v>0</v>
      </c>
      <c r="M41" s="648">
        <f>'2ndIA Resource Clearing Results'!M39</f>
        <v>0</v>
      </c>
      <c r="N41" s="670">
        <f>'3rdIA Resource Clearing Results'!J39</f>
        <v>0</v>
      </c>
      <c r="O41" s="671">
        <f>'3rdIA Resource Clearing Results'!K39</f>
        <v>0</v>
      </c>
      <c r="P41" s="671">
        <f>'3rdIA Resource Clearing Results'!L39</f>
        <v>-171.3</v>
      </c>
      <c r="Q41" s="672">
        <f>'3rdIA Resource Clearing Results'!M39</f>
        <v>-171.3</v>
      </c>
      <c r="R41" s="351" t="s">
        <v>15</v>
      </c>
    </row>
    <row r="42" spans="1:16" s="314" customFormat="1" ht="15.75" customHeight="1">
      <c r="A42" s="487" t="s">
        <v>278</v>
      </c>
      <c r="B42" s="312"/>
      <c r="C42" s="312"/>
      <c r="D42" s="312"/>
      <c r="E42" s="312"/>
      <c r="F42" s="313"/>
      <c r="G42" s="313"/>
      <c r="H42" s="313"/>
      <c r="I42" s="312"/>
      <c r="J42" s="312"/>
      <c r="K42" s="312"/>
      <c r="L42" s="312"/>
      <c r="M42" s="313"/>
      <c r="N42" s="313"/>
      <c r="O42" s="313"/>
      <c r="P42" s="313"/>
    </row>
    <row r="43" spans="1:16" s="314" customFormat="1" ht="15.75" customHeight="1">
      <c r="A43" s="12"/>
      <c r="B43" s="312"/>
      <c r="C43" s="312"/>
      <c r="D43" s="312"/>
      <c r="E43" s="312"/>
      <c r="F43" s="313"/>
      <c r="G43" s="313"/>
      <c r="H43" s="313"/>
      <c r="I43" s="312"/>
      <c r="J43" s="312"/>
      <c r="K43" s="312"/>
      <c r="L43" s="312"/>
      <c r="M43" s="313"/>
      <c r="N43" s="313"/>
      <c r="O43" s="313"/>
      <c r="P43" s="313"/>
    </row>
    <row r="44" spans="1:6" ht="19.5" customHeight="1" thickBot="1">
      <c r="A44" s="302" t="s">
        <v>224</v>
      </c>
      <c r="B44" s="301"/>
      <c r="C44" s="301"/>
      <c r="D44" s="301"/>
      <c r="E44" s="301"/>
      <c r="F44" s="303"/>
    </row>
    <row r="45" spans="1:17" ht="21" customHeight="1" thickBot="1">
      <c r="A45" s="300"/>
      <c r="B45" s="797" t="s">
        <v>222</v>
      </c>
      <c r="C45" s="798"/>
      <c r="D45" s="798"/>
      <c r="E45" s="799"/>
      <c r="F45" s="719" t="s">
        <v>223</v>
      </c>
      <c r="G45" s="720"/>
      <c r="H45" s="720"/>
      <c r="I45" s="721"/>
      <c r="J45" s="727" t="s">
        <v>288</v>
      </c>
      <c r="K45" s="728"/>
      <c r="L45" s="728"/>
      <c r="M45" s="729"/>
      <c r="N45" s="730" t="s">
        <v>316</v>
      </c>
      <c r="O45" s="731"/>
      <c r="P45" s="731"/>
      <c r="Q45" s="732"/>
    </row>
    <row r="46" spans="1:18" ht="60" customHeight="1" thickBot="1">
      <c r="A46" s="336" t="s">
        <v>7</v>
      </c>
      <c r="B46" s="572" t="s">
        <v>225</v>
      </c>
      <c r="C46" s="573" t="s">
        <v>226</v>
      </c>
      <c r="D46" s="573" t="s">
        <v>227</v>
      </c>
      <c r="E46" s="574" t="s">
        <v>228</v>
      </c>
      <c r="F46" s="552" t="s">
        <v>229</v>
      </c>
      <c r="G46" s="553" t="s">
        <v>230</v>
      </c>
      <c r="H46" s="553" t="s">
        <v>231</v>
      </c>
      <c r="I46" s="554" t="s">
        <v>232</v>
      </c>
      <c r="J46" s="595" t="s">
        <v>229</v>
      </c>
      <c r="K46" s="596" t="s">
        <v>230</v>
      </c>
      <c r="L46" s="596" t="s">
        <v>231</v>
      </c>
      <c r="M46" s="597" t="s">
        <v>232</v>
      </c>
      <c r="N46" s="673" t="s">
        <v>317</v>
      </c>
      <c r="O46" s="674" t="s">
        <v>324</v>
      </c>
      <c r="P46" s="674" t="s">
        <v>319</v>
      </c>
      <c r="Q46" s="675" t="s">
        <v>325</v>
      </c>
      <c r="R46" s="336" t="s">
        <v>7</v>
      </c>
    </row>
    <row r="47" spans="1:18" ht="12.75">
      <c r="A47" s="317" t="s">
        <v>16</v>
      </c>
      <c r="B47" s="575">
        <f>'BRA Load Pricing Results'!K34</f>
        <v>3105.6464461683</v>
      </c>
      <c r="C47" s="576">
        <f>'BRA Load Pricing Results'!L34</f>
        <v>135.25292381190783</v>
      </c>
      <c r="D47" s="576">
        <f>'BRA CTRs'!S17</f>
        <v>0</v>
      </c>
      <c r="E47" s="622">
        <f>C47-D47</f>
        <v>135.25292381190783</v>
      </c>
      <c r="F47" s="570">
        <f>'1st IA Load Pricing Results'!K35</f>
        <v>3031.925703453835</v>
      </c>
      <c r="G47" s="571">
        <f>'1st IA Load Pricing Results'!L35</f>
        <v>137.6054258720096</v>
      </c>
      <c r="H47" s="571">
        <f>'1st IA CTRs'!S17</f>
        <v>-0.0005343983677738604</v>
      </c>
      <c r="I47" s="625">
        <f>G47-H47</f>
        <v>137.60596027037735</v>
      </c>
      <c r="J47" s="602">
        <f>'2nd IA Load Pricing Results'!K35</f>
        <v>3024.209239247981</v>
      </c>
      <c r="K47" s="603">
        <f>'2nd IA Load Pricing Results'!L35</f>
        <v>138.35814854444348</v>
      </c>
      <c r="L47" s="603">
        <f>'2nd IA CTRs'!S17</f>
        <v>-0.006352407911762489</v>
      </c>
      <c r="M47" s="651">
        <f>K47-L47</f>
        <v>138.36450095235523</v>
      </c>
      <c r="N47" s="714">
        <f>'3rd IA Load Pricing Results'!K35</f>
        <v>2992.807804339643</v>
      </c>
      <c r="O47" s="676">
        <f>'3rd IA Load Pricing Results'!L35</f>
        <v>137.5187147772715</v>
      </c>
      <c r="P47" s="676">
        <f>'3rd IA CTRs'!S17</f>
        <v>-0.010859797994722063</v>
      </c>
      <c r="Q47" s="716">
        <f aca="true" t="shared" si="0" ref="Q47:Q55">O47-P47</f>
        <v>137.52957457526622</v>
      </c>
      <c r="R47" s="317" t="s">
        <v>16</v>
      </c>
    </row>
    <row r="48" spans="1:18" ht="12.75">
      <c r="A48" s="317" t="s">
        <v>60</v>
      </c>
      <c r="B48" s="449">
        <f>'BRA Load Pricing Results'!K35</f>
        <v>2576.137845414412</v>
      </c>
      <c r="C48" s="450">
        <f>'BRA Load Pricing Results'!L35</f>
        <v>125.9362888495004</v>
      </c>
      <c r="D48" s="450">
        <f>'BRA CTRs'!S18</f>
        <v>0</v>
      </c>
      <c r="E48" s="623">
        <f>C48-D48</f>
        <v>125.9362888495004</v>
      </c>
      <c r="F48" s="315">
        <f>'1st IA Load Pricing Results'!K36</f>
        <v>2463.360107864895</v>
      </c>
      <c r="G48" s="335">
        <f>'1st IA Load Pricing Results'!L36</f>
        <v>128.1717594973168</v>
      </c>
      <c r="H48" s="335">
        <f>'1st IA CTRs'!S18</f>
        <v>0</v>
      </c>
      <c r="I48" s="626">
        <f>G48-H48</f>
        <v>128.1717594973168</v>
      </c>
      <c r="J48" s="604">
        <f>'2nd IA Load Pricing Results'!K36</f>
        <v>2523.0241009443625</v>
      </c>
      <c r="K48" s="605">
        <f>'2nd IA Load Pricing Results'!L36</f>
        <v>129.28288190690813</v>
      </c>
      <c r="L48" s="605">
        <f>'2nd IA CTRs'!S18</f>
        <v>0</v>
      </c>
      <c r="M48" s="649">
        <f aca="true" t="shared" si="1" ref="M48:M65">K48-L48</f>
        <v>129.28288190690813</v>
      </c>
      <c r="N48" s="677">
        <f>'3rd IA Load Pricing Results'!K36</f>
        <v>2485.9052178337097</v>
      </c>
      <c r="O48" s="678">
        <f>'3rd IA Load Pricing Results'!L36</f>
        <v>128.38114395421135</v>
      </c>
      <c r="P48" s="678">
        <f>'3rd IA CTRs'!S18</f>
        <v>0</v>
      </c>
      <c r="Q48" s="717">
        <f t="shared" si="0"/>
        <v>128.38114395421135</v>
      </c>
      <c r="R48" s="317" t="s">
        <v>60</v>
      </c>
    </row>
    <row r="49" spans="1:18" ht="12.75">
      <c r="A49" s="317" t="s">
        <v>19</v>
      </c>
      <c r="B49" s="449">
        <f>'BRA Load Pricing Results'!K36</f>
        <v>9675.326234564709</v>
      </c>
      <c r="C49" s="450">
        <f>'BRA Load Pricing Results'!L36</f>
        <v>125.9362888495004</v>
      </c>
      <c r="D49" s="450">
        <f>'BRA CTRs'!S19</f>
        <v>0</v>
      </c>
      <c r="E49" s="623">
        <f aca="true" t="shared" si="2" ref="E49:E65">C49-D49</f>
        <v>125.9362888495004</v>
      </c>
      <c r="F49" s="315">
        <f>'1st IA Load Pricing Results'!K37</f>
        <v>9695.097505445337</v>
      </c>
      <c r="G49" s="335">
        <f>'1st IA Load Pricing Results'!L37</f>
        <v>128.1717594973168</v>
      </c>
      <c r="H49" s="335">
        <f>'1st IA CTRs'!S19</f>
        <v>0</v>
      </c>
      <c r="I49" s="626">
        <f>G49-H49</f>
        <v>128.1717594973168</v>
      </c>
      <c r="J49" s="604">
        <f>'2nd IA Load Pricing Results'!K37</f>
        <v>9577.517873345103</v>
      </c>
      <c r="K49" s="605">
        <f>'2nd IA Load Pricing Results'!L37</f>
        <v>129.28288190690813</v>
      </c>
      <c r="L49" s="605">
        <f>'2nd IA CTRs'!S19</f>
        <v>0</v>
      </c>
      <c r="M49" s="649">
        <f t="shared" si="1"/>
        <v>129.28288190690813</v>
      </c>
      <c r="N49" s="677">
        <f>'3rd IA Load Pricing Results'!K37</f>
        <v>9594.190222988962</v>
      </c>
      <c r="O49" s="678">
        <f>'3rd IA Load Pricing Results'!L37</f>
        <v>128.38114395421135</v>
      </c>
      <c r="P49" s="678">
        <f>'3rd IA CTRs'!S19</f>
        <v>0</v>
      </c>
      <c r="Q49" s="717">
        <f t="shared" si="0"/>
        <v>128.38114395421135</v>
      </c>
      <c r="R49" s="317" t="s">
        <v>19</v>
      </c>
    </row>
    <row r="50" spans="1:18" ht="12.75">
      <c r="A50" s="317" t="s">
        <v>53</v>
      </c>
      <c r="B50" s="449">
        <f>'BRA Load Pricing Results'!K37</f>
        <v>15166.485457631126</v>
      </c>
      <c r="C50" s="450">
        <f>'BRA Load Pricing Results'!L37</f>
        <v>125.9362888495004</v>
      </c>
      <c r="D50" s="450">
        <f>'BRA CTRs'!S20</f>
        <v>0</v>
      </c>
      <c r="E50" s="623">
        <f t="shared" si="2"/>
        <v>125.9362888495004</v>
      </c>
      <c r="F50" s="315">
        <f>'1st IA Load Pricing Results'!K38</f>
        <v>14789.453242084262</v>
      </c>
      <c r="G50" s="335">
        <f>'1st IA Load Pricing Results'!L38</f>
        <v>128.1717594973168</v>
      </c>
      <c r="H50" s="335">
        <f>'1st IA CTRs'!S20</f>
        <v>0</v>
      </c>
      <c r="I50" s="626">
        <f>G50-H50</f>
        <v>128.1717594973168</v>
      </c>
      <c r="J50" s="604">
        <f>'2nd IA Load Pricing Results'!K38</f>
        <v>14628.376863720792</v>
      </c>
      <c r="K50" s="605">
        <f>'2nd IA Load Pricing Results'!L38</f>
        <v>129.28288190690813</v>
      </c>
      <c r="L50" s="605">
        <f>'2nd IA CTRs'!S20</f>
        <v>0</v>
      </c>
      <c r="M50" s="649">
        <f t="shared" si="1"/>
        <v>129.28288190690813</v>
      </c>
      <c r="N50" s="677">
        <f>'3rd IA Load Pricing Results'!K38</f>
        <v>14478.443504276993</v>
      </c>
      <c r="O50" s="678">
        <f>'3rd IA Load Pricing Results'!L38</f>
        <v>128.38114395421135</v>
      </c>
      <c r="P50" s="678">
        <f>'3rd IA CTRs'!S20</f>
        <v>0</v>
      </c>
      <c r="Q50" s="717">
        <f t="shared" si="0"/>
        <v>128.38114395421135</v>
      </c>
      <c r="R50" s="317" t="s">
        <v>53</v>
      </c>
    </row>
    <row r="51" spans="1:18" ht="12.75">
      <c r="A51" s="317" t="s">
        <v>11</v>
      </c>
      <c r="B51" s="449">
        <f>'BRA Load Pricing Results'!K38</f>
        <v>8293.296766634065</v>
      </c>
      <c r="C51" s="450">
        <f>'BRA Load Pricing Results'!L38</f>
        <v>135.25292381190783</v>
      </c>
      <c r="D51" s="450">
        <f>'BRA CTRs'!S21</f>
        <v>0</v>
      </c>
      <c r="E51" s="623">
        <f t="shared" si="2"/>
        <v>135.25292381190783</v>
      </c>
      <c r="F51" s="315">
        <f>'1st IA Load Pricing Results'!K39</f>
        <v>8096.062444077762</v>
      </c>
      <c r="G51" s="335">
        <f>'1st IA Load Pricing Results'!L39</f>
        <v>137.5987361335417</v>
      </c>
      <c r="H51" s="335">
        <f>'1st IA CTRs'!S21</f>
        <v>-0.0005343983677738604</v>
      </c>
      <c r="I51" s="626">
        <f>G51-H51</f>
        <v>137.59927053190947</v>
      </c>
      <c r="J51" s="604">
        <f>'2nd IA Load Pricing Results'!K39</f>
        <v>7983.672689812722</v>
      </c>
      <c r="K51" s="605">
        <f>'2nd IA Load Pricing Results'!L39</f>
        <v>138.35135984781928</v>
      </c>
      <c r="L51" s="605">
        <f>'2nd IA CTRs'!S21</f>
        <v>-0.006352407911762489</v>
      </c>
      <c r="M51" s="649">
        <f t="shared" si="1"/>
        <v>138.35771225573103</v>
      </c>
      <c r="N51" s="677">
        <f>'3rd IA Load Pricing Results'!K39</f>
        <v>7911.018814118672</v>
      </c>
      <c r="O51" s="678">
        <f>'3rd IA Load Pricing Results'!L39</f>
        <v>137.5118727458571</v>
      </c>
      <c r="P51" s="678">
        <f>'3rd IA CTRs'!S21</f>
        <v>-0.010859797994722063</v>
      </c>
      <c r="Q51" s="717">
        <f t="shared" si="0"/>
        <v>137.52273254385182</v>
      </c>
      <c r="R51" s="317" t="s">
        <v>11</v>
      </c>
    </row>
    <row r="52" spans="1:18" ht="12.75">
      <c r="A52" s="317" t="s">
        <v>20</v>
      </c>
      <c r="B52" s="449">
        <f>'BRA Load Pricing Results'!K39</f>
        <v>26485.911577870214</v>
      </c>
      <c r="C52" s="450">
        <f>'BRA Load Pricing Results'!L39</f>
        <v>125.9362888495004</v>
      </c>
      <c r="D52" s="450">
        <f>'BRA CTRs'!S22</f>
        <v>0</v>
      </c>
      <c r="E52" s="623">
        <f t="shared" si="2"/>
        <v>125.9362888495004</v>
      </c>
      <c r="F52" s="315">
        <f>'1st IA Load Pricing Results'!K40</f>
        <v>25902.618967008122</v>
      </c>
      <c r="G52" s="335">
        <f>'1st IA Load Pricing Results'!L40</f>
        <v>128.1717594973168</v>
      </c>
      <c r="H52" s="335">
        <f>'1st IA CTRs'!S22</f>
        <v>0</v>
      </c>
      <c r="I52" s="626">
        <f aca="true" t="shared" si="3" ref="I52:I63">G52-H52</f>
        <v>128.1717594973168</v>
      </c>
      <c r="J52" s="604">
        <f>'2nd IA Load Pricing Results'!K40</f>
        <v>25311.639942387224</v>
      </c>
      <c r="K52" s="605">
        <f>'2nd IA Load Pricing Results'!L40</f>
        <v>129.28288190690813</v>
      </c>
      <c r="L52" s="605">
        <f>'2nd IA CTRs'!S22</f>
        <v>0</v>
      </c>
      <c r="M52" s="649">
        <f t="shared" si="1"/>
        <v>129.28288190690813</v>
      </c>
      <c r="N52" s="677">
        <f>'3rd IA Load Pricing Results'!K40</f>
        <v>25210.21763171427</v>
      </c>
      <c r="O52" s="678">
        <f>'3rd IA Load Pricing Results'!L40</f>
        <v>128.38114395421135</v>
      </c>
      <c r="P52" s="678">
        <f>'3rd IA CTRs'!S22</f>
        <v>0</v>
      </c>
      <c r="Q52" s="717">
        <f t="shared" si="0"/>
        <v>128.38114395421135</v>
      </c>
      <c r="R52" s="317" t="s">
        <v>20</v>
      </c>
    </row>
    <row r="53" spans="1:18" ht="12.75">
      <c r="A53" s="317" t="s">
        <v>21</v>
      </c>
      <c r="B53" s="449">
        <f>'BRA Load Pricing Results'!K40</f>
        <v>3991.5340548661443</v>
      </c>
      <c r="C53" s="450">
        <f>'BRA Load Pricing Results'!L40</f>
        <v>125.9362888495004</v>
      </c>
      <c r="D53" s="450">
        <f>'BRA CTRs'!S23</f>
        <v>0</v>
      </c>
      <c r="E53" s="623">
        <f t="shared" si="2"/>
        <v>125.9362888495004</v>
      </c>
      <c r="F53" s="315">
        <f>'1st IA Load Pricing Results'!K41</f>
        <v>3838.5266739990434</v>
      </c>
      <c r="G53" s="335">
        <f>'1st IA Load Pricing Results'!L41</f>
        <v>128.1717594973168</v>
      </c>
      <c r="H53" s="335">
        <f>'1st IA CTRs'!S23</f>
        <v>0</v>
      </c>
      <c r="I53" s="626">
        <f t="shared" si="3"/>
        <v>128.1717594973168</v>
      </c>
      <c r="J53" s="604">
        <f>'2nd IA Load Pricing Results'!K41</f>
        <v>3810.0104255383635</v>
      </c>
      <c r="K53" s="605">
        <f>'2nd IA Load Pricing Results'!L41</f>
        <v>129.28288190690813</v>
      </c>
      <c r="L53" s="605">
        <f>'2nd IA CTRs'!S23</f>
        <v>0</v>
      </c>
      <c r="M53" s="649">
        <f t="shared" si="1"/>
        <v>129.28288190690813</v>
      </c>
      <c r="N53" s="677">
        <f>'3rd IA Load Pricing Results'!K41</f>
        <v>3745.5374525566863</v>
      </c>
      <c r="O53" s="678">
        <f>'3rd IA Load Pricing Results'!L41</f>
        <v>128.38114395421135</v>
      </c>
      <c r="P53" s="678">
        <f>'3rd IA CTRs'!S23</f>
        <v>0</v>
      </c>
      <c r="Q53" s="717">
        <f t="shared" si="0"/>
        <v>128.38114395421135</v>
      </c>
      <c r="R53" s="317" t="s">
        <v>21</v>
      </c>
    </row>
    <row r="54" spans="1:18" ht="12.75">
      <c r="A54" s="317" t="s">
        <v>69</v>
      </c>
      <c r="B54" s="449">
        <f>'BRA Load Pricing Results'!K41</f>
        <v>278.41698876395</v>
      </c>
      <c r="C54" s="450">
        <f>'BRA Load Pricing Results'!L41</f>
        <v>125.9362888495004</v>
      </c>
      <c r="D54" s="450">
        <f>'BRA CTRs'!S24</f>
        <v>0</v>
      </c>
      <c r="E54" s="623">
        <f>C54-D54</f>
        <v>125.9362888495004</v>
      </c>
      <c r="F54" s="315">
        <f>'1st IA Load Pricing Results'!K42</f>
        <v>221.96807908269616</v>
      </c>
      <c r="G54" s="335">
        <f>'1st IA Load Pricing Results'!L42</f>
        <v>128.1717594973168</v>
      </c>
      <c r="H54" s="335">
        <f>'1st IA CTRs'!S24</f>
        <v>0</v>
      </c>
      <c r="I54" s="626">
        <f>G54-H54</f>
        <v>128.1717594973168</v>
      </c>
      <c r="J54" s="604">
        <f>'2nd IA Load Pricing Results'!K42</f>
        <v>234.07486355163587</v>
      </c>
      <c r="K54" s="605">
        <f>'2nd IA Load Pricing Results'!L42</f>
        <v>129.28288190690813</v>
      </c>
      <c r="L54" s="605">
        <f>'2nd IA CTRs'!S24</f>
        <v>0</v>
      </c>
      <c r="M54" s="649">
        <f t="shared" si="1"/>
        <v>129.28288190690813</v>
      </c>
      <c r="N54" s="677">
        <f>'3rd IA Load Pricing Results'!K42</f>
        <v>206.68207134454286</v>
      </c>
      <c r="O54" s="678">
        <f>'3rd IA Load Pricing Results'!L42</f>
        <v>128.38114395421135</v>
      </c>
      <c r="P54" s="678">
        <f>'3rd IA CTRs'!S24</f>
        <v>0</v>
      </c>
      <c r="Q54" s="717">
        <f t="shared" si="0"/>
        <v>128.38114395421135</v>
      </c>
      <c r="R54" s="317" t="s">
        <v>69</v>
      </c>
    </row>
    <row r="55" spans="1:18" ht="12.75">
      <c r="A55" s="317" t="s">
        <v>52</v>
      </c>
      <c r="B55" s="449">
        <f>'BRA Load Pricing Results'!K42</f>
        <v>3316.1987476034387</v>
      </c>
      <c r="C55" s="450">
        <f>'BRA Load Pricing Results'!L42</f>
        <v>125.9362888495004</v>
      </c>
      <c r="D55" s="450">
        <f>'BRA CTRs'!S25</f>
        <v>0</v>
      </c>
      <c r="E55" s="623">
        <f t="shared" si="2"/>
        <v>125.9362888495004</v>
      </c>
      <c r="F55" s="315">
        <f>'1st IA Load Pricing Results'!K43</f>
        <v>3292.882251938223</v>
      </c>
      <c r="G55" s="335">
        <f>'1st IA Load Pricing Results'!L43</f>
        <v>128.1717594973168</v>
      </c>
      <c r="H55" s="335">
        <f>'1st IA CTRs'!S25</f>
        <v>0</v>
      </c>
      <c r="I55" s="626">
        <f t="shared" si="3"/>
        <v>128.1717594973168</v>
      </c>
      <c r="J55" s="604">
        <f>'2nd IA Load Pricing Results'!K43</f>
        <v>3268.18505149747</v>
      </c>
      <c r="K55" s="605">
        <f>'2nd IA Load Pricing Results'!L43</f>
        <v>129.28288190690813</v>
      </c>
      <c r="L55" s="605">
        <f>'2nd IA CTRs'!S25</f>
        <v>0</v>
      </c>
      <c r="M55" s="649">
        <f t="shared" si="1"/>
        <v>129.28288190690813</v>
      </c>
      <c r="N55" s="677">
        <f>'3rd IA Load Pricing Results'!K43</f>
        <v>3238.4353737578367</v>
      </c>
      <c r="O55" s="678">
        <f>'3rd IA Load Pricing Results'!L43</f>
        <v>128.38114395421135</v>
      </c>
      <c r="P55" s="678">
        <f>'3rd IA CTRs'!S25</f>
        <v>0</v>
      </c>
      <c r="Q55" s="717">
        <f t="shared" si="0"/>
        <v>128.38114395421135</v>
      </c>
      <c r="R55" s="317" t="s">
        <v>52</v>
      </c>
    </row>
    <row r="56" spans="1:18" ht="12.75">
      <c r="A56" s="317" t="s">
        <v>33</v>
      </c>
      <c r="B56" s="449">
        <f>'BRA Load Pricing Results'!K43</f>
        <v>23091.315696753692</v>
      </c>
      <c r="C56" s="450">
        <f>'BRA Load Pricing Results'!L43</f>
        <v>125.9362888495004</v>
      </c>
      <c r="D56" s="450">
        <f>'BRA CTRs'!S26</f>
        <v>0</v>
      </c>
      <c r="E56" s="623">
        <f t="shared" si="2"/>
        <v>125.9362888495004</v>
      </c>
      <c r="F56" s="315">
        <f>'1st IA Load Pricing Results'!K44</f>
        <v>22373.47699821875</v>
      </c>
      <c r="G56" s="335">
        <f>'1st IA Load Pricing Results'!L44</f>
        <v>128.1717594973168</v>
      </c>
      <c r="H56" s="335">
        <f>'1st IA CTRs'!S26</f>
        <v>0</v>
      </c>
      <c r="I56" s="626">
        <f t="shared" si="3"/>
        <v>128.1717594973168</v>
      </c>
      <c r="J56" s="604">
        <f>'2nd IA Load Pricing Results'!K44</f>
        <v>21956.43369133273</v>
      </c>
      <c r="K56" s="605">
        <f>'2nd IA Load Pricing Results'!L44</f>
        <v>129.28288190690813</v>
      </c>
      <c r="L56" s="605">
        <f>'2nd IA CTRs'!S26</f>
        <v>0</v>
      </c>
      <c r="M56" s="649">
        <f t="shared" si="1"/>
        <v>129.28288190690813</v>
      </c>
      <c r="N56" s="677">
        <f>'3rd IA Load Pricing Results'!K44</f>
        <v>21994.420743617095</v>
      </c>
      <c r="O56" s="678">
        <f>'3rd IA Load Pricing Results'!L44</f>
        <v>128.38114395421135</v>
      </c>
      <c r="P56" s="678">
        <f>'3rd IA CTRs'!S26</f>
        <v>0</v>
      </c>
      <c r="Q56" s="717">
        <f aca="true" t="shared" si="4" ref="Q56:Q65">O56-P56</f>
        <v>128.38114395421135</v>
      </c>
      <c r="R56" s="317" t="s">
        <v>33</v>
      </c>
    </row>
    <row r="57" spans="1:18" ht="12.75">
      <c r="A57" s="317" t="s">
        <v>17</v>
      </c>
      <c r="B57" s="449">
        <f>'BRA Load Pricing Results'!K44</f>
        <v>4615.351245820253</v>
      </c>
      <c r="C57" s="450">
        <f>'BRA Load Pricing Results'!L44</f>
        <v>142.98648472611222</v>
      </c>
      <c r="D57" s="450">
        <f>'BRA CTRs'!S27</f>
        <v>0</v>
      </c>
      <c r="E57" s="623">
        <f t="shared" si="2"/>
        <v>142.98648472611222</v>
      </c>
      <c r="F57" s="315">
        <f>'1st IA Load Pricing Results'!K45</f>
        <v>4625.67417072727</v>
      </c>
      <c r="G57" s="335">
        <f>'1st IA Load Pricing Results'!L45</f>
        <v>145.32172811955596</v>
      </c>
      <c r="H57" s="335">
        <f>'1st IA CTRs'!S27</f>
        <v>-0.0005343983677738605</v>
      </c>
      <c r="I57" s="626">
        <f t="shared" si="3"/>
        <v>145.32226251792372</v>
      </c>
      <c r="J57" s="604">
        <f>'2nd IA Load Pricing Results'!K45</f>
        <v>4593.1330342532565</v>
      </c>
      <c r="K57" s="605">
        <f>'2nd IA Load Pricing Results'!L45</f>
        <v>146.12911875885246</v>
      </c>
      <c r="L57" s="605">
        <f>'2nd IA CTRs'!S27</f>
        <v>-0.00635240791176249</v>
      </c>
      <c r="M57" s="649">
        <f t="shared" si="1"/>
        <v>146.1354711667642</v>
      </c>
      <c r="N57" s="677">
        <f>'3rd IA Load Pricing Results'!K45</f>
        <v>4551.467542076287</v>
      </c>
      <c r="O57" s="678">
        <f>'3rd IA Load Pricing Results'!L45</f>
        <v>145.3608227721178</v>
      </c>
      <c r="P57" s="678">
        <f>'3rd IA CTRs'!S27</f>
        <v>-0.01085979799472206</v>
      </c>
      <c r="Q57" s="717">
        <f t="shared" si="4"/>
        <v>145.37168257011254</v>
      </c>
      <c r="R57" s="317" t="s">
        <v>17</v>
      </c>
    </row>
    <row r="58" spans="1:18" ht="12.75">
      <c r="A58" s="317" t="s">
        <v>12</v>
      </c>
      <c r="B58" s="449">
        <f>'BRA Load Pricing Results'!K45</f>
        <v>7323.4122291722015</v>
      </c>
      <c r="C58" s="450">
        <f>'BRA Load Pricing Results'!L45</f>
        <v>135.25292381190783</v>
      </c>
      <c r="D58" s="450">
        <f>'BRA CTRs'!S28</f>
        <v>0</v>
      </c>
      <c r="E58" s="623">
        <f t="shared" si="2"/>
        <v>135.25292381190783</v>
      </c>
      <c r="F58" s="315">
        <f>'1st IA Load Pricing Results'!K46</f>
        <v>7029.840480186554</v>
      </c>
      <c r="G58" s="335">
        <f>'1st IA Load Pricing Results'!L46</f>
        <v>137.6054258720096</v>
      </c>
      <c r="H58" s="335">
        <f>'1st IA CTRs'!S28</f>
        <v>-0.0005343983677738605</v>
      </c>
      <c r="I58" s="626">
        <f t="shared" si="3"/>
        <v>137.60596027037735</v>
      </c>
      <c r="J58" s="604">
        <f>'2nd IA Load Pricing Results'!K46</f>
        <v>6945.689176270624</v>
      </c>
      <c r="K58" s="605">
        <f>'2nd IA Load Pricing Results'!L46</f>
        <v>138.35814854444348</v>
      </c>
      <c r="L58" s="605">
        <f>'2nd IA CTRs'!S28</f>
        <v>-0.00635240791176249</v>
      </c>
      <c r="M58" s="649">
        <f t="shared" si="1"/>
        <v>138.36450095235523</v>
      </c>
      <c r="N58" s="677">
        <f>'3rd IA Load Pricing Results'!K46</f>
        <v>6917.189293615567</v>
      </c>
      <c r="O58" s="678">
        <f>'3rd IA Load Pricing Results'!L46</f>
        <v>137.5187147772715</v>
      </c>
      <c r="P58" s="678">
        <f>'3rd IA CTRs'!S28</f>
        <v>-0.010859797994722063</v>
      </c>
      <c r="Q58" s="717">
        <f t="shared" si="4"/>
        <v>137.52957457526622</v>
      </c>
      <c r="R58" s="317" t="s">
        <v>12</v>
      </c>
    </row>
    <row r="59" spans="1:18" ht="12.75">
      <c r="A59" s="317" t="s">
        <v>13</v>
      </c>
      <c r="B59" s="449">
        <f>'BRA Load Pricing Results'!K46</f>
        <v>3416.99506212026</v>
      </c>
      <c r="C59" s="450">
        <f>'BRA Load Pricing Results'!L46</f>
        <v>135.25292381190783</v>
      </c>
      <c r="D59" s="450">
        <f>'BRA CTRs'!S29</f>
        <v>0</v>
      </c>
      <c r="E59" s="623">
        <f t="shared" si="2"/>
        <v>135.25292381190783</v>
      </c>
      <c r="F59" s="315">
        <f>'1st IA Load Pricing Results'!K47</f>
        <v>3373.445798338624</v>
      </c>
      <c r="G59" s="335">
        <f>'1st IA Load Pricing Results'!L47</f>
        <v>137.5987361335417</v>
      </c>
      <c r="H59" s="335">
        <f>'1st IA CTRs'!S29</f>
        <v>-0.0005343983677738604</v>
      </c>
      <c r="I59" s="626">
        <f t="shared" si="3"/>
        <v>137.59927053190947</v>
      </c>
      <c r="J59" s="604">
        <f>'2nd IA Load Pricing Results'!K47</f>
        <v>3308.6834791771707</v>
      </c>
      <c r="K59" s="605">
        <f>'2nd IA Load Pricing Results'!L47</f>
        <v>138.35135984781928</v>
      </c>
      <c r="L59" s="605">
        <f>'2nd IA CTRs'!S29</f>
        <v>-0.00635240791176249</v>
      </c>
      <c r="M59" s="649">
        <f t="shared" si="1"/>
        <v>138.35771225573103</v>
      </c>
      <c r="N59" s="677">
        <f>'3rd IA Load Pricing Results'!K47</f>
        <v>3276.9207993809628</v>
      </c>
      <c r="O59" s="678">
        <f>'3rd IA Load Pricing Results'!L47</f>
        <v>137.5118727458571</v>
      </c>
      <c r="P59" s="678">
        <f>'3rd IA CTRs'!S29</f>
        <v>-0.010859797994722063</v>
      </c>
      <c r="Q59" s="717">
        <f t="shared" si="4"/>
        <v>137.52273254385182</v>
      </c>
      <c r="R59" s="317" t="s">
        <v>13</v>
      </c>
    </row>
    <row r="60" spans="1:18" ht="12.75">
      <c r="A60" s="317" t="s">
        <v>9</v>
      </c>
      <c r="B60" s="449">
        <f>'BRA Load Pricing Results'!K47</f>
        <v>9979.95509621555</v>
      </c>
      <c r="C60" s="450">
        <f>'BRA Load Pricing Results'!L47</f>
        <v>135.25292381190783</v>
      </c>
      <c r="D60" s="450">
        <f>'BRA CTRs'!S30</f>
        <v>0</v>
      </c>
      <c r="E60" s="623">
        <f t="shared" si="2"/>
        <v>135.25292381190783</v>
      </c>
      <c r="F60" s="315">
        <f>'1st IA Load Pricing Results'!K48</f>
        <v>9930.187613552951</v>
      </c>
      <c r="G60" s="335">
        <f>'1st IA Load Pricing Results'!L48</f>
        <v>137.6054258720096</v>
      </c>
      <c r="H60" s="335">
        <f>'1st IA CTRs'!S30</f>
        <v>-0.0005343983677738604</v>
      </c>
      <c r="I60" s="626">
        <f t="shared" si="3"/>
        <v>137.60596027037735</v>
      </c>
      <c r="J60" s="604">
        <f>'2nd IA Load Pricing Results'!K48</f>
        <v>9689.006931315165</v>
      </c>
      <c r="K60" s="605">
        <f>'2nd IA Load Pricing Results'!L48</f>
        <v>138.35814854444348</v>
      </c>
      <c r="L60" s="605">
        <f>'2nd IA CTRs'!S30</f>
        <v>-0.00635240791176249</v>
      </c>
      <c r="M60" s="649">
        <f t="shared" si="1"/>
        <v>138.36450095235523</v>
      </c>
      <c r="N60" s="677">
        <f>'3rd IA Load Pricing Results'!K48</f>
        <v>9613.432935800525</v>
      </c>
      <c r="O60" s="678">
        <f>'3rd IA Load Pricing Results'!L48</f>
        <v>137.5187147772715</v>
      </c>
      <c r="P60" s="678">
        <f>'3rd IA CTRs'!S30</f>
        <v>-0.010859797994722063</v>
      </c>
      <c r="Q60" s="717">
        <f t="shared" si="4"/>
        <v>137.52957457526622</v>
      </c>
      <c r="R60" s="317" t="s">
        <v>9</v>
      </c>
    </row>
    <row r="61" spans="1:18" ht="12.75">
      <c r="A61" s="317" t="s">
        <v>14</v>
      </c>
      <c r="B61" s="449">
        <f>'BRA Load Pricing Results'!K48</f>
        <v>3344.1977238581107</v>
      </c>
      <c r="C61" s="450">
        <f>'BRA Load Pricing Results'!L48</f>
        <v>135.25292381190783</v>
      </c>
      <c r="D61" s="450">
        <f>'BRA CTRs'!S31</f>
        <v>0</v>
      </c>
      <c r="E61" s="623">
        <f t="shared" si="2"/>
        <v>135.25292381190783</v>
      </c>
      <c r="F61" s="315">
        <f>'1st IA Load Pricing Results'!K49</f>
        <v>3319.9977748976244</v>
      </c>
      <c r="G61" s="335">
        <f>'1st IA Load Pricing Results'!L49</f>
        <v>137.5987361335417</v>
      </c>
      <c r="H61" s="335">
        <f>'1st IA CTRs'!S31</f>
        <v>-0.0005343983677738604</v>
      </c>
      <c r="I61" s="626">
        <f>G61-H61</f>
        <v>137.59927053190947</v>
      </c>
      <c r="J61" s="604">
        <f>'2nd IA Load Pricing Results'!K49</f>
        <v>3244.051463813281</v>
      </c>
      <c r="K61" s="605">
        <f>'2nd IA Load Pricing Results'!L49</f>
        <v>138.35135984781928</v>
      </c>
      <c r="L61" s="605">
        <f>'2nd IA CTRs'!S31</f>
        <v>-0.00635240791176249</v>
      </c>
      <c r="M61" s="649">
        <f t="shared" si="1"/>
        <v>138.35771225573103</v>
      </c>
      <c r="N61" s="677">
        <f>'3rd IA Load Pricing Results'!K49</f>
        <v>3203.3457209838093</v>
      </c>
      <c r="O61" s="678">
        <f>'3rd IA Load Pricing Results'!L49</f>
        <v>137.5118727458571</v>
      </c>
      <c r="P61" s="678">
        <f>'3rd IA CTRs'!S31</f>
        <v>-0.01085979799472206</v>
      </c>
      <c r="Q61" s="717">
        <f t="shared" si="4"/>
        <v>137.52273254385182</v>
      </c>
      <c r="R61" s="317" t="s">
        <v>14</v>
      </c>
    </row>
    <row r="62" spans="1:18" ht="12.75">
      <c r="A62" s="317" t="s">
        <v>15</v>
      </c>
      <c r="B62" s="449">
        <f>'BRA Load Pricing Results'!K49</f>
        <v>7835.2335151076195</v>
      </c>
      <c r="C62" s="450">
        <f>'BRA Load Pricing Results'!L49</f>
        <v>135.25292381190783</v>
      </c>
      <c r="D62" s="450">
        <f>'BRA CTRs'!S32</f>
        <v>0</v>
      </c>
      <c r="E62" s="623">
        <f t="shared" si="2"/>
        <v>135.25292381190783</v>
      </c>
      <c r="F62" s="315">
        <f>'1st IA Load Pricing Results'!K50</f>
        <v>7647.624684172031</v>
      </c>
      <c r="G62" s="335">
        <f>'1st IA Load Pricing Results'!L50</f>
        <v>137.5987361335417</v>
      </c>
      <c r="H62" s="335">
        <f>'1st IA CTRs'!S32</f>
        <v>-0.0005343983677738605</v>
      </c>
      <c r="I62" s="626">
        <f t="shared" si="3"/>
        <v>137.59927053190947</v>
      </c>
      <c r="J62" s="604">
        <f>'2nd IA Load Pricing Results'!K50</f>
        <v>7535.340625484768</v>
      </c>
      <c r="K62" s="605">
        <f>'2nd IA Load Pricing Results'!L50</f>
        <v>138.35135984781928</v>
      </c>
      <c r="L62" s="605">
        <f>'2nd IA CTRs'!S32</f>
        <v>-0.006352407911762489</v>
      </c>
      <c r="M62" s="649">
        <f t="shared" si="1"/>
        <v>138.35771225573103</v>
      </c>
      <c r="N62" s="677">
        <f>'3rd IA Load Pricing Results'!K50</f>
        <v>7472.964116584843</v>
      </c>
      <c r="O62" s="678">
        <f>'3rd IA Load Pricing Results'!L50</f>
        <v>137.5118727458571</v>
      </c>
      <c r="P62" s="678">
        <f>'3rd IA CTRs'!S32</f>
        <v>-0.01085979799472206</v>
      </c>
      <c r="Q62" s="717">
        <f t="shared" si="4"/>
        <v>137.52273254385182</v>
      </c>
      <c r="R62" s="317" t="s">
        <v>15</v>
      </c>
    </row>
    <row r="63" spans="1:18" ht="12.75">
      <c r="A63" s="317" t="s">
        <v>10</v>
      </c>
      <c r="B63" s="449">
        <f>'BRA Load Pricing Results'!K50</f>
        <v>8493.769436617522</v>
      </c>
      <c r="C63" s="450">
        <f>'BRA Load Pricing Results'!L50</f>
        <v>135.25292381190783</v>
      </c>
      <c r="D63" s="450">
        <f>'BRA CTRs'!S33</f>
        <v>0</v>
      </c>
      <c r="E63" s="623">
        <f t="shared" si="2"/>
        <v>135.25292381190783</v>
      </c>
      <c r="F63" s="315">
        <f>'1st IA Load Pricing Results'!K51</f>
        <v>8396.687033540506</v>
      </c>
      <c r="G63" s="335">
        <f>'1st IA Load Pricing Results'!L51</f>
        <v>137.5987361335417</v>
      </c>
      <c r="H63" s="335">
        <f>'1st IA CTRs'!S33</f>
        <v>-0.0005343983677738604</v>
      </c>
      <c r="I63" s="626">
        <f t="shared" si="3"/>
        <v>137.59927053190947</v>
      </c>
      <c r="J63" s="604">
        <f>'2nd IA Load Pricing Results'!K51</f>
        <v>8259.849348073927</v>
      </c>
      <c r="K63" s="605">
        <f>'2nd IA Load Pricing Results'!L51</f>
        <v>138.35135984781928</v>
      </c>
      <c r="L63" s="605">
        <f>'2nd IA CTRs'!S33</f>
        <v>-0.00635240791176249</v>
      </c>
      <c r="M63" s="649">
        <f t="shared" si="1"/>
        <v>138.35771225573103</v>
      </c>
      <c r="N63" s="677">
        <f>'3rd IA Load Pricing Results'!K51</f>
        <v>8177.021020631461</v>
      </c>
      <c r="O63" s="678">
        <f>'3rd IA Load Pricing Results'!L51</f>
        <v>137.5118727458571</v>
      </c>
      <c r="P63" s="678">
        <f>'3rd IA CTRs'!S33</f>
        <v>-0.010859797994722063</v>
      </c>
      <c r="Q63" s="717">
        <f t="shared" si="4"/>
        <v>137.52273254385182</v>
      </c>
      <c r="R63" s="317" t="s">
        <v>10</v>
      </c>
    </row>
    <row r="64" spans="1:18" ht="12.75">
      <c r="A64" s="317" t="s">
        <v>8</v>
      </c>
      <c r="B64" s="449">
        <f>'BRA Load Pricing Results'!K51</f>
        <v>12208.673606087497</v>
      </c>
      <c r="C64" s="450">
        <f>'BRA Load Pricing Results'!L51</f>
        <v>179.80636572144232</v>
      </c>
      <c r="D64" s="450">
        <f>'BRA CTRs'!S34</f>
        <v>15.80559801546998</v>
      </c>
      <c r="E64" s="623">
        <f t="shared" si="2"/>
        <v>164.00076770597235</v>
      </c>
      <c r="F64" s="315">
        <f>'1st IA Load Pricing Results'!K52</f>
        <v>11833.462574056777</v>
      </c>
      <c r="G64" s="335">
        <f>'1st IA Load Pricing Results'!L52</f>
        <v>187.411649976458</v>
      </c>
      <c r="H64" s="335">
        <f>'1st IA CTRs'!S34</f>
        <v>17.174716870151126</v>
      </c>
      <c r="I64" s="626">
        <f>G64-H64</f>
        <v>170.23693310630688</v>
      </c>
      <c r="J64" s="604">
        <f>'2nd IA Load Pricing Results'!K52</f>
        <v>11669.88595131847</v>
      </c>
      <c r="K64" s="605">
        <f>'2nd IA Load Pricing Results'!L52</f>
        <v>189.058256072403</v>
      </c>
      <c r="L64" s="605">
        <f>'2nd IA CTRs'!S34</f>
        <v>17.596552203639185</v>
      </c>
      <c r="M64" s="649">
        <f t="shared" si="1"/>
        <v>171.4617038687638</v>
      </c>
      <c r="N64" s="677">
        <f>'3rd IA Load Pricing Results'!K52</f>
        <v>11563.738475466636</v>
      </c>
      <c r="O64" s="678">
        <f>'3rd IA Load Pricing Results'!L52</f>
        <v>188.8440169925617</v>
      </c>
      <c r="P64" s="678">
        <f>'3rd IA CTRs'!S34</f>
        <v>17.894634307338706</v>
      </c>
      <c r="Q64" s="717">
        <f t="shared" si="4"/>
        <v>170.949382685223</v>
      </c>
      <c r="R64" s="317" t="s">
        <v>8</v>
      </c>
    </row>
    <row r="65" spans="1:18" ht="13.5" thickBot="1">
      <c r="A65" s="318" t="s">
        <v>18</v>
      </c>
      <c r="B65" s="451">
        <f>'BRA Load Pricing Results'!K52</f>
        <v>484.9422687309317</v>
      </c>
      <c r="C65" s="452">
        <f>'BRA Load Pricing Results'!L52</f>
        <v>135.25292381190783</v>
      </c>
      <c r="D65" s="452">
        <f>'BRA CTRs'!S35</f>
        <v>0</v>
      </c>
      <c r="E65" s="624">
        <f t="shared" si="2"/>
        <v>135.25292381190783</v>
      </c>
      <c r="F65" s="316">
        <f>'1st IA Load Pricing Results'!K53</f>
        <v>468.8878973547206</v>
      </c>
      <c r="G65" s="337">
        <f>'1st IA Load Pricing Results'!L53</f>
        <v>137.6054258720096</v>
      </c>
      <c r="H65" s="337">
        <f>'1st IA CTRs'!S35</f>
        <v>-0.0005343983677738605</v>
      </c>
      <c r="I65" s="627">
        <f>G65-H65</f>
        <v>137.60596027037735</v>
      </c>
      <c r="J65" s="606">
        <f>'2nd IA Load Pricing Results'!K53</f>
        <v>459.8752489149424</v>
      </c>
      <c r="K65" s="607">
        <f>'2nd IA Load Pricing Results'!L53</f>
        <v>138.35814854444348</v>
      </c>
      <c r="L65" s="607">
        <f>'2nd IA CTRs'!S35</f>
        <v>-0.00635240791176249</v>
      </c>
      <c r="M65" s="650">
        <f t="shared" si="1"/>
        <v>138.36450095235523</v>
      </c>
      <c r="N65" s="679">
        <f>'3rd IA Load Pricing Results'!K53</f>
        <v>459.561258911458</v>
      </c>
      <c r="O65" s="680">
        <f>'3rd IA Load Pricing Results'!L53</f>
        <v>137.5187147772715</v>
      </c>
      <c r="P65" s="680">
        <f>'3rd IA CTRs'!S35</f>
        <v>-0.01085979799472206</v>
      </c>
      <c r="Q65" s="718">
        <f t="shared" si="4"/>
        <v>137.52957457526622</v>
      </c>
      <c r="R65" s="318" t="s">
        <v>18</v>
      </c>
    </row>
    <row r="66" spans="2:15" ht="12.75">
      <c r="B66" s="453">
        <f>SUM(B47:B65)</f>
        <v>153682.80000000002</v>
      </c>
      <c r="C66" s="42"/>
      <c r="D66" s="42"/>
      <c r="E66" s="42"/>
      <c r="F66" s="338">
        <f>SUM(F47:F65)</f>
        <v>150331.18</v>
      </c>
      <c r="J66" s="608">
        <f>SUM(J47:J65)</f>
        <v>148022.65999999995</v>
      </c>
      <c r="N66" s="715">
        <f>SUM(N47:N65)</f>
        <v>147093.29999999996</v>
      </c>
      <c r="O66" s="19" t="s">
        <v>24</v>
      </c>
    </row>
    <row r="67" spans="2:14" ht="12.75">
      <c r="B67" s="304"/>
      <c r="C67" s="42"/>
      <c r="D67" s="42"/>
      <c r="E67" s="42"/>
      <c r="F67" s="304"/>
      <c r="N67" s="19" t="s">
        <v>332</v>
      </c>
    </row>
    <row r="68" spans="2:14" ht="12.75">
      <c r="B68" s="304"/>
      <c r="C68" s="42"/>
      <c r="D68" s="42"/>
      <c r="E68" s="42"/>
      <c r="F68" s="304"/>
      <c r="N68" s="19"/>
    </row>
    <row r="69" spans="1:17" ht="19.5" customHeight="1">
      <c r="A69" s="793" t="s">
        <v>318</v>
      </c>
      <c r="B69" s="793"/>
      <c r="C69" s="793"/>
      <c r="D69" s="793"/>
      <c r="E69" s="793"/>
      <c r="F69" s="793"/>
      <c r="G69" s="793"/>
      <c r="H69" s="793"/>
      <c r="I69" s="793"/>
      <c r="J69" s="793"/>
      <c r="K69" s="793"/>
      <c r="L69" s="793"/>
      <c r="M69" s="793"/>
      <c r="N69" s="793"/>
      <c r="O69" s="793"/>
      <c r="P69" s="793"/>
      <c r="Q69" s="793"/>
    </row>
    <row r="70" spans="1:17" ht="19.5" customHeight="1">
      <c r="A70" s="784" t="s">
        <v>289</v>
      </c>
      <c r="B70" s="785"/>
      <c r="C70" s="785"/>
      <c r="D70" s="785"/>
      <c r="E70" s="785"/>
      <c r="F70" s="785"/>
      <c r="G70" s="785"/>
      <c r="H70" s="785"/>
      <c r="I70" s="785"/>
      <c r="J70" s="785"/>
      <c r="K70" s="785"/>
      <c r="L70" s="785"/>
      <c r="M70" s="785"/>
      <c r="N70" s="785"/>
      <c r="O70" s="785"/>
      <c r="P70" s="785"/>
      <c r="Q70" s="786"/>
    </row>
    <row r="72" ht="12.75">
      <c r="J72" s="695" t="s">
        <v>24</v>
      </c>
    </row>
  </sheetData>
  <sheetProtection/>
  <mergeCells count="30">
    <mergeCell ref="A70:Q70"/>
    <mergeCell ref="N17:Q17"/>
    <mergeCell ref="N18:Q18"/>
    <mergeCell ref="N31:Q31"/>
    <mergeCell ref="N32:Q32"/>
    <mergeCell ref="N45:Q45"/>
    <mergeCell ref="A69:Q69"/>
    <mergeCell ref="F32:I32"/>
    <mergeCell ref="B45:E45"/>
    <mergeCell ref="F45:I45"/>
    <mergeCell ref="H5:J5"/>
    <mergeCell ref="F31:I31"/>
    <mergeCell ref="B17:E17"/>
    <mergeCell ref="F17:I17"/>
    <mergeCell ref="B18:E18"/>
    <mergeCell ref="J32:M32"/>
    <mergeCell ref="K5:M5"/>
    <mergeCell ref="B31:E31"/>
    <mergeCell ref="B32:E41"/>
    <mergeCell ref="J31:M31"/>
    <mergeCell ref="J45:M45"/>
    <mergeCell ref="J17:M17"/>
    <mergeCell ref="H4:J4"/>
    <mergeCell ref="J18:M18"/>
    <mergeCell ref="B4:D4"/>
    <mergeCell ref="F18:I18"/>
    <mergeCell ref="E4:G4"/>
    <mergeCell ref="K4:M4"/>
    <mergeCell ref="B5:D5"/>
    <mergeCell ref="E5:G5"/>
  </mergeCells>
  <printOptions/>
  <pageMargins left="0.45" right="0.45" top="0.5" bottom="0.5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3.7109375" style="6" customWidth="1"/>
    <col min="2" max="2" width="18.28125" style="6" customWidth="1"/>
    <col min="3" max="3" width="15.7109375" style="6" customWidth="1"/>
    <col min="4" max="4" width="16.421875" style="6" customWidth="1"/>
    <col min="5" max="5" width="15.7109375" style="6" customWidth="1"/>
    <col min="6" max="6" width="18.7109375" style="6" customWidth="1"/>
    <col min="7" max="7" width="16.7109375" style="6" customWidth="1"/>
    <col min="8" max="8" width="18.421875" style="6" bestFit="1" customWidth="1"/>
    <col min="9" max="9" width="18.28125" style="6" customWidth="1"/>
    <col min="10" max="10" width="19.140625" style="6" customWidth="1"/>
    <col min="11" max="12" width="16.7109375" style="6" customWidth="1"/>
    <col min="13" max="19" width="15.7109375" style="6" customWidth="1"/>
    <col min="20" max="20" width="16.421875" style="6" customWidth="1"/>
    <col min="21" max="25" width="15.7109375" style="6" customWidth="1"/>
    <col min="26" max="26" width="12.7109375" style="6" customWidth="1"/>
    <col min="27" max="30" width="9.140625" style="6" customWidth="1"/>
    <col min="31" max="16384" width="9.140625" style="6" customWidth="1"/>
  </cols>
  <sheetData>
    <row r="1" spans="1:7" ht="18.75">
      <c r="A1" s="24" t="s">
        <v>85</v>
      </c>
      <c r="D1" s="6" t="s">
        <v>24</v>
      </c>
      <c r="E1" s="58" t="s">
        <v>24</v>
      </c>
      <c r="F1" s="58" t="s">
        <v>24</v>
      </c>
      <c r="G1" s="58" t="s">
        <v>24</v>
      </c>
    </row>
    <row r="2" spans="1:26" ht="13.5" thickBot="1">
      <c r="A2" s="4" t="s">
        <v>182</v>
      </c>
      <c r="D2" s="12" t="s">
        <v>24</v>
      </c>
      <c r="E2" s="7"/>
      <c r="F2" s="4"/>
      <c r="G2" s="7"/>
      <c r="H2" s="28" t="s">
        <v>24</v>
      </c>
      <c r="M2" s="6" t="s">
        <v>24</v>
      </c>
      <c r="T2" s="10"/>
      <c r="U2" s="10"/>
      <c r="V2" s="10"/>
      <c r="W2" s="10"/>
      <c r="X2" s="10"/>
      <c r="Y2" s="10"/>
      <c r="Z2" s="10"/>
    </row>
    <row r="3" spans="1:25" s="2" customFormat="1" ht="18.75" thickBot="1">
      <c r="A3" s="127" t="s">
        <v>79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50"/>
      <c r="S3" s="50"/>
      <c r="T3" s="50"/>
      <c r="U3" s="50"/>
      <c r="V3" s="50"/>
      <c r="W3" s="50"/>
      <c r="Y3" s="50"/>
    </row>
    <row r="4" spans="1:25" s="8" customFormat="1" ht="63.75">
      <c r="A4" s="110" t="s">
        <v>3</v>
      </c>
      <c r="B4" s="111" t="s">
        <v>83</v>
      </c>
      <c r="C4" s="111" t="s">
        <v>124</v>
      </c>
      <c r="D4" s="206" t="s">
        <v>66</v>
      </c>
      <c r="E4" s="111" t="s">
        <v>125</v>
      </c>
      <c r="F4" s="206" t="s">
        <v>126</v>
      </c>
      <c r="G4" s="111" t="s">
        <v>63</v>
      </c>
      <c r="H4" s="207" t="s">
        <v>64</v>
      </c>
      <c r="I4" s="54"/>
      <c r="J4" s="54"/>
      <c r="K4" s="54"/>
      <c r="L4" s="54"/>
      <c r="M4" s="54"/>
      <c r="N4" s="54"/>
      <c r="O4" s="54"/>
      <c r="P4" s="54"/>
      <c r="Q4" s="54"/>
      <c r="R4" s="23"/>
      <c r="S4" s="23"/>
      <c r="T4" s="23"/>
      <c r="U4" s="23"/>
      <c r="V4" s="23"/>
      <c r="W4" s="54"/>
      <c r="Y4" s="54"/>
    </row>
    <row r="5" spans="1:25" ht="12.75">
      <c r="A5" s="55" t="s">
        <v>6</v>
      </c>
      <c r="B5" s="67">
        <v>125.47</v>
      </c>
      <c r="C5" s="67">
        <v>0</v>
      </c>
      <c r="D5" s="204">
        <f>B5+C5</f>
        <v>125.47</v>
      </c>
      <c r="E5" s="67">
        <v>0.52</v>
      </c>
      <c r="F5" s="204">
        <f aca="true" t="shared" si="0" ref="F5:F12">D5+E5</f>
        <v>125.99</v>
      </c>
      <c r="G5" s="67">
        <v>0</v>
      </c>
      <c r="H5" s="208">
        <f aca="true" t="shared" si="1" ref="H5:H12">F5+G5</f>
        <v>125.99</v>
      </c>
      <c r="I5" s="10"/>
      <c r="J5" s="10"/>
      <c r="K5" s="10"/>
      <c r="L5" s="10"/>
      <c r="M5" s="10"/>
      <c r="N5" s="10"/>
      <c r="O5" s="10"/>
      <c r="P5" s="10"/>
      <c r="Q5" s="10"/>
      <c r="R5" s="88"/>
      <c r="S5" s="88"/>
      <c r="T5" s="88"/>
      <c r="U5" s="88"/>
      <c r="V5" s="88"/>
      <c r="W5" s="10"/>
      <c r="Y5" s="10"/>
    </row>
    <row r="6" spans="1:25" ht="12.75">
      <c r="A6" s="55" t="s">
        <v>30</v>
      </c>
      <c r="B6" s="67">
        <f>$B$5</f>
        <v>125.47</v>
      </c>
      <c r="C6" s="67">
        <v>0</v>
      </c>
      <c r="D6" s="204">
        <f>B6+C6</f>
        <v>125.47</v>
      </c>
      <c r="E6" s="67">
        <v>11.03</v>
      </c>
      <c r="F6" s="204">
        <f t="shared" si="0"/>
        <v>136.5</v>
      </c>
      <c r="G6" s="67">
        <v>0</v>
      </c>
      <c r="H6" s="208">
        <f t="shared" si="1"/>
        <v>136.5</v>
      </c>
      <c r="I6" s="9" t="s">
        <v>24</v>
      </c>
      <c r="J6" s="10"/>
      <c r="K6" s="10"/>
      <c r="L6" s="10"/>
      <c r="M6" s="10"/>
      <c r="N6" s="10"/>
      <c r="O6" s="10"/>
      <c r="P6" s="10"/>
      <c r="Q6" s="10"/>
      <c r="R6" s="88"/>
      <c r="S6" s="88"/>
      <c r="T6" s="88"/>
      <c r="U6" s="35"/>
      <c r="V6" s="88"/>
      <c r="W6" s="10"/>
      <c r="Y6" s="10"/>
    </row>
    <row r="7" spans="1:25" ht="12.75">
      <c r="A7" s="55" t="s">
        <v>41</v>
      </c>
      <c r="B7" s="67">
        <f aca="true" t="shared" si="2" ref="B7:B12">$B$5</f>
        <v>125.47</v>
      </c>
      <c r="C7" s="67">
        <v>0</v>
      </c>
      <c r="D7" s="204">
        <f>B7+C6+C7</f>
        <v>125.47</v>
      </c>
      <c r="E7" s="67">
        <v>11.03</v>
      </c>
      <c r="F7" s="204">
        <f t="shared" si="0"/>
        <v>136.5</v>
      </c>
      <c r="G7" s="67">
        <v>0</v>
      </c>
      <c r="H7" s="208">
        <f t="shared" si="1"/>
        <v>136.5</v>
      </c>
      <c r="I7" s="10"/>
      <c r="J7" s="10"/>
      <c r="K7" s="10"/>
      <c r="L7" s="10"/>
      <c r="M7" s="10"/>
      <c r="N7" s="10"/>
      <c r="O7" s="10"/>
      <c r="P7" s="10"/>
      <c r="Q7" s="10"/>
      <c r="R7" s="88"/>
      <c r="S7" s="88"/>
      <c r="T7" s="88"/>
      <c r="U7" s="35"/>
      <c r="V7" s="88"/>
      <c r="W7" s="10"/>
      <c r="Y7" s="10"/>
    </row>
    <row r="8" spans="1:25" ht="12.75">
      <c r="A8" s="55" t="s">
        <v>5</v>
      </c>
      <c r="B8" s="67">
        <f t="shared" si="2"/>
        <v>125.47</v>
      </c>
      <c r="C8" s="67">
        <v>0</v>
      </c>
      <c r="D8" s="204">
        <f>B8+C6+C8</f>
        <v>125.47</v>
      </c>
      <c r="E8" s="67">
        <v>11.03</v>
      </c>
      <c r="F8" s="204">
        <f t="shared" si="0"/>
        <v>136.5</v>
      </c>
      <c r="G8" s="67">
        <v>0</v>
      </c>
      <c r="H8" s="208">
        <f t="shared" si="1"/>
        <v>136.5</v>
      </c>
      <c r="I8" s="10"/>
      <c r="J8" s="10"/>
      <c r="K8" s="10"/>
      <c r="L8" s="10"/>
      <c r="M8" s="10"/>
      <c r="N8" s="10"/>
      <c r="O8" s="10"/>
      <c r="P8" s="10"/>
      <c r="Q8" s="10"/>
      <c r="R8" s="88"/>
      <c r="S8" s="88"/>
      <c r="T8" s="88"/>
      <c r="U8" s="35"/>
      <c r="V8" s="88"/>
      <c r="W8" s="10"/>
      <c r="Y8" s="10"/>
    </row>
    <row r="9" spans="1:25" ht="12.75">
      <c r="A9" s="55" t="s">
        <v>8</v>
      </c>
      <c r="B9" s="67">
        <f t="shared" si="2"/>
        <v>125.47</v>
      </c>
      <c r="C9" s="67">
        <v>0</v>
      </c>
      <c r="D9" s="204">
        <f>B9+C6+C7+C9</f>
        <v>125.47</v>
      </c>
      <c r="E9" s="67">
        <v>11.03</v>
      </c>
      <c r="F9" s="204">
        <f t="shared" si="0"/>
        <v>136.5</v>
      </c>
      <c r="G9" s="67">
        <v>0</v>
      </c>
      <c r="H9" s="208">
        <f t="shared" si="1"/>
        <v>136.5</v>
      </c>
      <c r="I9" s="10"/>
      <c r="J9" s="10"/>
      <c r="K9" s="10"/>
      <c r="L9" s="10"/>
      <c r="M9" s="10"/>
      <c r="N9" s="10"/>
      <c r="O9" s="10"/>
      <c r="P9" s="10"/>
      <c r="Q9" s="10"/>
      <c r="R9" s="88"/>
      <c r="S9" s="88"/>
      <c r="T9" s="88"/>
      <c r="U9" s="35"/>
      <c r="V9" s="35"/>
      <c r="W9" s="10"/>
      <c r="Y9" s="10"/>
    </row>
    <row r="10" spans="1:25" ht="12.75">
      <c r="A10" s="55" t="s">
        <v>42</v>
      </c>
      <c r="B10" s="67">
        <f t="shared" si="2"/>
        <v>125.47</v>
      </c>
      <c r="C10" s="67">
        <v>88.5</v>
      </c>
      <c r="D10" s="204">
        <f>B10+C6+C7+C9+C10</f>
        <v>213.97</v>
      </c>
      <c r="E10" s="67">
        <v>11.03</v>
      </c>
      <c r="F10" s="204">
        <f t="shared" si="0"/>
        <v>225</v>
      </c>
      <c r="G10" s="67">
        <v>0</v>
      </c>
      <c r="H10" s="208">
        <f t="shared" si="1"/>
        <v>225</v>
      </c>
      <c r="I10" s="10"/>
      <c r="J10" s="10"/>
      <c r="K10" s="10"/>
      <c r="L10" s="10"/>
      <c r="M10" s="10"/>
      <c r="N10" s="10"/>
      <c r="O10" s="10"/>
      <c r="P10" s="10"/>
      <c r="Q10" s="10"/>
      <c r="R10" s="88"/>
      <c r="S10" s="88"/>
      <c r="T10" s="88"/>
      <c r="U10" s="35"/>
      <c r="V10" s="35"/>
      <c r="W10" s="10"/>
      <c r="Y10" s="10"/>
    </row>
    <row r="11" spans="1:25" ht="12.75">
      <c r="A11" s="55" t="s">
        <v>43</v>
      </c>
      <c r="B11" s="67">
        <f t="shared" si="2"/>
        <v>125.47</v>
      </c>
      <c r="C11" s="67">
        <v>0</v>
      </c>
      <c r="D11" s="204">
        <f>B11+C6+C7+C11</f>
        <v>125.47</v>
      </c>
      <c r="E11" s="67">
        <v>11.03</v>
      </c>
      <c r="F11" s="204">
        <f t="shared" si="0"/>
        <v>136.5</v>
      </c>
      <c r="G11" s="67">
        <v>0</v>
      </c>
      <c r="H11" s="208">
        <f t="shared" si="1"/>
        <v>136.5</v>
      </c>
      <c r="I11" s="10"/>
      <c r="J11" s="10"/>
      <c r="K11" s="10"/>
      <c r="L11" s="10"/>
      <c r="M11" s="10"/>
      <c r="N11" s="10"/>
      <c r="O11" s="10"/>
      <c r="P11" s="10"/>
      <c r="Q11" s="10"/>
      <c r="R11" s="88"/>
      <c r="S11" s="88"/>
      <c r="T11" s="88"/>
      <c r="U11" s="35"/>
      <c r="V11" s="35"/>
      <c r="W11" s="10"/>
      <c r="Y11" s="10"/>
    </row>
    <row r="12" spans="1:25" ht="13.5" thickBot="1">
      <c r="A12" s="129" t="s">
        <v>15</v>
      </c>
      <c r="B12" s="115">
        <f t="shared" si="2"/>
        <v>125.47</v>
      </c>
      <c r="C12" s="130">
        <v>0</v>
      </c>
      <c r="D12" s="205">
        <f>B12+C6+C8+C12</f>
        <v>125.47</v>
      </c>
      <c r="E12" s="130">
        <v>11.03</v>
      </c>
      <c r="F12" s="205">
        <f t="shared" si="0"/>
        <v>136.5</v>
      </c>
      <c r="G12" s="130">
        <v>0</v>
      </c>
      <c r="H12" s="209">
        <f t="shared" si="1"/>
        <v>136.5</v>
      </c>
      <c r="I12" s="10"/>
      <c r="J12" s="10"/>
      <c r="K12" s="10"/>
      <c r="L12" s="10"/>
      <c r="M12" s="10"/>
      <c r="N12" s="10"/>
      <c r="O12" s="10"/>
      <c r="P12" s="10"/>
      <c r="Q12" s="10"/>
      <c r="R12" s="88"/>
      <c r="S12" s="88"/>
      <c r="T12" s="88"/>
      <c r="U12" s="88"/>
      <c r="V12" s="88"/>
      <c r="W12" s="10"/>
      <c r="Y12" s="10"/>
    </row>
    <row r="13" spans="1:25" ht="12.75">
      <c r="A13" s="12" t="s">
        <v>29</v>
      </c>
      <c r="B13" s="35"/>
      <c r="C13" s="35"/>
      <c r="D13" s="35"/>
      <c r="E13" s="36"/>
      <c r="F13" s="25"/>
      <c r="G13" s="25"/>
      <c r="H13" s="25"/>
      <c r="I13" s="75" t="s">
        <v>24</v>
      </c>
      <c r="J13" s="75"/>
      <c r="K13" s="75"/>
      <c r="L13" s="52" t="s">
        <v>24</v>
      </c>
      <c r="M13" s="10"/>
      <c r="N13" s="10"/>
      <c r="O13" s="10"/>
      <c r="P13" s="10"/>
      <c r="Q13" s="10"/>
      <c r="R13" s="52"/>
      <c r="S13" s="52"/>
      <c r="T13" s="52"/>
      <c r="U13" s="52"/>
      <c r="V13" s="52"/>
      <c r="W13" s="10"/>
      <c r="Y13" s="10" t="s">
        <v>24</v>
      </c>
    </row>
    <row r="14" spans="1:25" ht="12.75">
      <c r="A14" s="12"/>
      <c r="B14" s="35"/>
      <c r="C14" s="35"/>
      <c r="D14" s="35"/>
      <c r="E14" s="36"/>
      <c r="F14" s="25"/>
      <c r="G14" s="25"/>
      <c r="H14" s="25"/>
      <c r="I14" s="75"/>
      <c r="J14" s="75"/>
      <c r="K14" s="75"/>
      <c r="L14" s="52"/>
      <c r="R14" s="52"/>
      <c r="S14" s="52"/>
      <c r="T14" s="52"/>
      <c r="U14" s="52"/>
      <c r="V14" s="52"/>
      <c r="Y14" s="10"/>
    </row>
    <row r="15" spans="1:25" ht="15.75" thickBot="1">
      <c r="A15" s="97" t="s">
        <v>80</v>
      </c>
      <c r="B15" s="35"/>
      <c r="C15" s="35"/>
      <c r="D15" s="35"/>
      <c r="E15" s="36"/>
      <c r="F15" s="25"/>
      <c r="G15" s="25"/>
      <c r="H15" s="25"/>
      <c r="I15" s="75"/>
      <c r="J15" s="75"/>
      <c r="K15" s="75"/>
      <c r="L15" s="52"/>
      <c r="R15" s="52"/>
      <c r="S15" s="52"/>
      <c r="T15" s="52"/>
      <c r="U15" s="52"/>
      <c r="V15" s="52"/>
      <c r="Y15" s="10"/>
    </row>
    <row r="16" spans="1:25" ht="69" customHeight="1" thickBot="1">
      <c r="A16" s="196" t="s">
        <v>3</v>
      </c>
      <c r="B16" s="197" t="s">
        <v>175</v>
      </c>
      <c r="C16" s="197" t="s">
        <v>67</v>
      </c>
      <c r="D16" s="197" t="s">
        <v>65</v>
      </c>
      <c r="E16" s="197" t="s">
        <v>68</v>
      </c>
      <c r="F16" s="197" t="s">
        <v>176</v>
      </c>
      <c r="G16" s="197" t="s">
        <v>138</v>
      </c>
      <c r="H16" s="197" t="s">
        <v>139</v>
      </c>
      <c r="I16" s="198" t="s">
        <v>140</v>
      </c>
      <c r="J16" s="172"/>
      <c r="R16" s="52"/>
      <c r="S16" s="52"/>
      <c r="T16" s="52"/>
      <c r="U16" s="52"/>
      <c r="V16" s="52"/>
      <c r="Y16" s="10"/>
    </row>
    <row r="17" spans="1:25" ht="12.75">
      <c r="A17" s="116" t="s">
        <v>6</v>
      </c>
      <c r="B17" s="269">
        <v>12165.9</v>
      </c>
      <c r="C17" s="269">
        <v>1441</v>
      </c>
      <c r="D17" s="271">
        <v>136367.8</v>
      </c>
      <c r="E17" s="173">
        <f>B17+C17+D17</f>
        <v>149974.69999999998</v>
      </c>
      <c r="F17" s="174">
        <v>0</v>
      </c>
      <c r="G17" s="174">
        <v>0</v>
      </c>
      <c r="H17" s="174">
        <v>112.6</v>
      </c>
      <c r="I17" s="175">
        <f aca="true" t="shared" si="3" ref="I17:I24">F17+G17+H17</f>
        <v>112.6</v>
      </c>
      <c r="J17" s="10"/>
      <c r="K17" s="7"/>
      <c r="M17" s="211"/>
      <c r="R17" s="52"/>
      <c r="S17" s="52"/>
      <c r="T17" s="52"/>
      <c r="U17" s="52"/>
      <c r="V17" s="52"/>
      <c r="Y17" s="10"/>
    </row>
    <row r="18" spans="1:25" ht="12.75">
      <c r="A18" s="55" t="s">
        <v>30</v>
      </c>
      <c r="B18" s="64">
        <v>5920.7</v>
      </c>
      <c r="C18" s="64">
        <v>1076.8</v>
      </c>
      <c r="D18" s="272">
        <v>60178.5</v>
      </c>
      <c r="E18" s="73">
        <f aca="true" t="shared" si="4" ref="E18:E24">B18+C18+D18</f>
        <v>67176</v>
      </c>
      <c r="F18" s="45">
        <v>0</v>
      </c>
      <c r="G18" s="45">
        <v>0</v>
      </c>
      <c r="H18" s="45">
        <v>112.6</v>
      </c>
      <c r="I18" s="131">
        <f t="shared" si="3"/>
        <v>112.6</v>
      </c>
      <c r="J18" s="10"/>
      <c r="K18" s="7"/>
      <c r="M18" s="7"/>
      <c r="R18" s="52"/>
      <c r="S18" s="52"/>
      <c r="T18" s="52"/>
      <c r="U18" s="52"/>
      <c r="V18" s="52"/>
      <c r="Y18" s="10"/>
    </row>
    <row r="19" spans="1:25" ht="12.75">
      <c r="A19" s="55" t="s">
        <v>41</v>
      </c>
      <c r="B19" s="64">
        <v>2322.2</v>
      </c>
      <c r="C19" s="64">
        <v>442.8</v>
      </c>
      <c r="D19" s="272">
        <v>29789</v>
      </c>
      <c r="E19" s="73">
        <f t="shared" si="4"/>
        <v>32554</v>
      </c>
      <c r="F19" s="45">
        <v>0</v>
      </c>
      <c r="G19" s="45">
        <v>0</v>
      </c>
      <c r="H19" s="45">
        <v>112.6</v>
      </c>
      <c r="I19" s="131">
        <f t="shared" si="3"/>
        <v>112.6</v>
      </c>
      <c r="J19" s="10"/>
      <c r="K19" s="7"/>
      <c r="M19" s="212"/>
      <c r="R19" s="52"/>
      <c r="S19" s="52"/>
      <c r="T19" s="52"/>
      <c r="U19" s="52"/>
      <c r="V19" s="52"/>
      <c r="Y19" s="10"/>
    </row>
    <row r="20" spans="1:25" ht="12.75">
      <c r="A20" s="55" t="s">
        <v>5</v>
      </c>
      <c r="B20" s="64">
        <v>1852.2</v>
      </c>
      <c r="C20" s="64">
        <v>375.9</v>
      </c>
      <c r="D20" s="272">
        <v>8896</v>
      </c>
      <c r="E20" s="73">
        <f t="shared" si="4"/>
        <v>11124.1</v>
      </c>
      <c r="F20" s="74">
        <v>0</v>
      </c>
      <c r="G20" s="74">
        <v>0</v>
      </c>
      <c r="H20" s="74">
        <v>0</v>
      </c>
      <c r="I20" s="131">
        <f t="shared" si="3"/>
        <v>0</v>
      </c>
      <c r="J20" s="10"/>
      <c r="K20" s="7"/>
      <c r="R20" s="52"/>
      <c r="S20" s="52"/>
      <c r="T20" s="52"/>
      <c r="U20" s="52"/>
      <c r="V20" s="52"/>
      <c r="Y20" s="10"/>
    </row>
    <row r="21" spans="1:25" ht="12.75">
      <c r="A21" s="55" t="s">
        <v>8</v>
      </c>
      <c r="B21" s="64">
        <v>775.7</v>
      </c>
      <c r="C21" s="64">
        <v>142.6</v>
      </c>
      <c r="D21" s="272">
        <v>6664.7</v>
      </c>
      <c r="E21" s="73">
        <f t="shared" si="4"/>
        <v>7583</v>
      </c>
      <c r="F21" s="74">
        <v>0</v>
      </c>
      <c r="G21" s="74">
        <v>0</v>
      </c>
      <c r="H21" s="74">
        <v>0</v>
      </c>
      <c r="I21" s="131">
        <f t="shared" si="3"/>
        <v>0</v>
      </c>
      <c r="J21" s="10"/>
      <c r="K21" s="7"/>
      <c r="R21" s="52"/>
      <c r="S21" s="52"/>
      <c r="T21" s="52"/>
      <c r="U21" s="52"/>
      <c r="V21" s="52"/>
      <c r="Y21" s="10"/>
    </row>
    <row r="22" spans="1:25" ht="12.75">
      <c r="A22" s="55" t="s">
        <v>42</v>
      </c>
      <c r="B22" s="64">
        <v>340.7</v>
      </c>
      <c r="C22" s="64">
        <v>97.1</v>
      </c>
      <c r="D22" s="213">
        <v>3379.7</v>
      </c>
      <c r="E22" s="73">
        <f t="shared" si="4"/>
        <v>3817.5</v>
      </c>
      <c r="F22" s="74">
        <v>0</v>
      </c>
      <c r="G22" s="74">
        <v>0</v>
      </c>
      <c r="H22" s="74">
        <v>0</v>
      </c>
      <c r="I22" s="131">
        <f t="shared" si="3"/>
        <v>0</v>
      </c>
      <c r="J22" s="10"/>
      <c r="K22" s="7"/>
      <c r="R22" s="52"/>
      <c r="S22" s="52"/>
      <c r="T22" s="52"/>
      <c r="U22" s="52"/>
      <c r="V22" s="52"/>
      <c r="Y22" s="10"/>
    </row>
    <row r="23" spans="1:25" ht="12.75">
      <c r="A23" s="55" t="s">
        <v>43</v>
      </c>
      <c r="B23" s="64">
        <v>140.7</v>
      </c>
      <c r="C23" s="64">
        <v>78.9</v>
      </c>
      <c r="D23" s="213">
        <v>1219.6</v>
      </c>
      <c r="E23" s="73">
        <f t="shared" si="4"/>
        <v>1439.1999999999998</v>
      </c>
      <c r="F23" s="74">
        <v>0</v>
      </c>
      <c r="G23" s="74">
        <v>0</v>
      </c>
      <c r="H23" s="74">
        <v>112.6</v>
      </c>
      <c r="I23" s="131">
        <f t="shared" si="3"/>
        <v>112.6</v>
      </c>
      <c r="J23" s="10"/>
      <c r="K23" s="7"/>
      <c r="R23" s="52"/>
      <c r="S23" s="52"/>
      <c r="T23" s="52"/>
      <c r="U23" s="52"/>
      <c r="V23" s="52"/>
      <c r="Y23" s="10"/>
    </row>
    <row r="24" spans="1:25" ht="13.5" thickBot="1">
      <c r="A24" s="129" t="s">
        <v>15</v>
      </c>
      <c r="B24" s="215">
        <v>708.8</v>
      </c>
      <c r="C24" s="270">
        <v>182.3</v>
      </c>
      <c r="D24" s="215">
        <v>4723.5</v>
      </c>
      <c r="E24" s="132">
        <f t="shared" si="4"/>
        <v>5614.6</v>
      </c>
      <c r="F24" s="133">
        <v>0</v>
      </c>
      <c r="G24" s="133">
        <v>0</v>
      </c>
      <c r="H24" s="133">
        <v>0</v>
      </c>
      <c r="I24" s="134">
        <f t="shared" si="3"/>
        <v>0</v>
      </c>
      <c r="J24" s="10"/>
      <c r="K24" s="7"/>
      <c r="R24" s="52"/>
      <c r="S24" s="52"/>
      <c r="T24" s="52"/>
      <c r="U24" s="52"/>
      <c r="V24" s="52"/>
      <c r="Y24" s="10"/>
    </row>
    <row r="25" spans="1:25" ht="13.5" thickBot="1">
      <c r="A25" s="12"/>
      <c r="B25" s="35"/>
      <c r="C25" s="35"/>
      <c r="D25" s="35"/>
      <c r="E25" s="36"/>
      <c r="F25" s="25"/>
      <c r="G25" s="25"/>
      <c r="H25" s="25"/>
      <c r="I25" s="75"/>
      <c r="J25" s="75"/>
      <c r="K25" s="75"/>
      <c r="L25" s="52"/>
      <c r="R25" s="52"/>
      <c r="S25" s="52"/>
      <c r="T25" s="52"/>
      <c r="U25" s="52"/>
      <c r="V25" s="52"/>
      <c r="Y25" s="10"/>
    </row>
    <row r="26" spans="1:25" ht="15.75" thickBot="1">
      <c r="A26" s="135" t="s">
        <v>77</v>
      </c>
      <c r="B26" s="35"/>
      <c r="C26" s="35"/>
      <c r="D26" s="35"/>
      <c r="E26" s="36"/>
      <c r="F26" s="25"/>
      <c r="G26" s="25"/>
      <c r="H26" s="25"/>
      <c r="I26" s="75"/>
      <c r="J26" s="75"/>
      <c r="K26" s="75"/>
      <c r="L26" s="52"/>
      <c r="M26" s="52"/>
      <c r="N26" s="52"/>
      <c r="O26" s="52"/>
      <c r="P26" s="52"/>
      <c r="Q26" s="52"/>
      <c r="R26" s="52"/>
      <c r="Y26" s="10"/>
    </row>
    <row r="27" spans="1:25" ht="114" customHeight="1">
      <c r="A27" s="110" t="s">
        <v>3</v>
      </c>
      <c r="B27" s="111" t="s">
        <v>175</v>
      </c>
      <c r="C27" s="111" t="s">
        <v>67</v>
      </c>
      <c r="D27" s="111" t="s">
        <v>65</v>
      </c>
      <c r="E27" s="111" t="s">
        <v>68</v>
      </c>
      <c r="F27" s="112" t="s">
        <v>160</v>
      </c>
      <c r="G27" s="112" t="s">
        <v>164</v>
      </c>
      <c r="H27" s="112" t="s">
        <v>165</v>
      </c>
      <c r="I27" s="113" t="s">
        <v>76</v>
      </c>
      <c r="K27" s="172"/>
      <c r="L27" s="172"/>
      <c r="M27" s="172"/>
      <c r="N27" s="172"/>
      <c r="O27" s="172"/>
      <c r="P27" s="172"/>
      <c r="R27" s="52"/>
      <c r="Y27" s="10"/>
    </row>
    <row r="28" spans="1:25" ht="12.75">
      <c r="A28" s="55" t="s">
        <v>54</v>
      </c>
      <c r="B28" s="63">
        <f>B17-B18</f>
        <v>6245.2</v>
      </c>
      <c r="C28" s="63">
        <f>C17-C18</f>
        <v>364.20000000000005</v>
      </c>
      <c r="D28" s="63">
        <f>D17-D18</f>
        <v>76189.29999999999</v>
      </c>
      <c r="E28" s="53">
        <f aca="true" t="shared" si="5" ref="E28:E35">B28+C28+D28</f>
        <v>82798.69999999998</v>
      </c>
      <c r="F28" s="157">
        <f>B28*D5</f>
        <v>783585.244</v>
      </c>
      <c r="G28" s="157">
        <f>C28*F5</f>
        <v>45885.558000000005</v>
      </c>
      <c r="H28" s="157">
        <f>D28*H5</f>
        <v>9599089.906999998</v>
      </c>
      <c r="I28" s="136">
        <f>F28+G28+H28</f>
        <v>10428560.708999997</v>
      </c>
      <c r="K28" s="88"/>
      <c r="L28" s="88"/>
      <c r="M28" s="51"/>
      <c r="N28" s="51"/>
      <c r="O28" s="88"/>
      <c r="P28" s="51"/>
      <c r="R28" s="52"/>
      <c r="Y28" s="10"/>
    </row>
    <row r="29" spans="1:25" ht="12.75">
      <c r="A29" s="55" t="s">
        <v>57</v>
      </c>
      <c r="B29" s="63">
        <f>B18-B19-B20</f>
        <v>1746.3</v>
      </c>
      <c r="C29" s="63">
        <f>C18-C19-C20</f>
        <v>258.1</v>
      </c>
      <c r="D29" s="63">
        <f>D18-D19-D20</f>
        <v>21493.5</v>
      </c>
      <c r="E29" s="53">
        <f t="shared" si="5"/>
        <v>23497.9</v>
      </c>
      <c r="F29" s="157">
        <f aca="true" t="shared" si="6" ref="F29:F35">B29*D6</f>
        <v>219108.261</v>
      </c>
      <c r="G29" s="157">
        <f aca="true" t="shared" si="7" ref="G29:G35">C29*F6</f>
        <v>35230.65</v>
      </c>
      <c r="H29" s="157">
        <f aca="true" t="shared" si="8" ref="H29:H35">D29*H6</f>
        <v>2933862.75</v>
      </c>
      <c r="I29" s="136">
        <f aca="true" t="shared" si="9" ref="I29:I35">F29+G29+H29</f>
        <v>3188201.661</v>
      </c>
      <c r="K29" s="88"/>
      <c r="L29" s="88"/>
      <c r="M29" s="51"/>
      <c r="N29" s="51"/>
      <c r="O29" s="88"/>
      <c r="P29" s="51"/>
      <c r="R29" s="52"/>
      <c r="Y29" s="10"/>
    </row>
    <row r="30" spans="1:25" ht="12.75">
      <c r="A30" s="55" t="s">
        <v>56</v>
      </c>
      <c r="B30" s="63">
        <f>B19-B21-B23</f>
        <v>1405.7999999999997</v>
      </c>
      <c r="C30" s="63">
        <f>C19-C21-C23</f>
        <v>221.30000000000004</v>
      </c>
      <c r="D30" s="63">
        <f>D19-D21-D23</f>
        <v>21904.7</v>
      </c>
      <c r="E30" s="53">
        <f t="shared" si="5"/>
        <v>23531.8</v>
      </c>
      <c r="F30" s="157">
        <f t="shared" si="6"/>
        <v>176385.72599999997</v>
      </c>
      <c r="G30" s="157">
        <f t="shared" si="7"/>
        <v>30207.450000000004</v>
      </c>
      <c r="H30" s="157">
        <f t="shared" si="8"/>
        <v>2989991.5500000003</v>
      </c>
      <c r="I30" s="136">
        <f t="shared" si="9"/>
        <v>3196584.7260000003</v>
      </c>
      <c r="K30" s="88"/>
      <c r="L30" s="88"/>
      <c r="M30" s="51"/>
      <c r="N30" s="51"/>
      <c r="O30" s="88"/>
      <c r="P30" s="51"/>
      <c r="R30" s="52"/>
      <c r="Y30" s="10"/>
    </row>
    <row r="31" spans="1:25" ht="12.75">
      <c r="A31" s="55" t="s">
        <v>55</v>
      </c>
      <c r="B31" s="63">
        <f>B20-B24</f>
        <v>1143.4</v>
      </c>
      <c r="C31" s="63">
        <f>C20-C24</f>
        <v>193.59999999999997</v>
      </c>
      <c r="D31" s="63">
        <f>D20-D24</f>
        <v>4172.5</v>
      </c>
      <c r="E31" s="53">
        <f t="shared" si="5"/>
        <v>5509.5</v>
      </c>
      <c r="F31" s="157">
        <f t="shared" si="6"/>
        <v>143462.39800000002</v>
      </c>
      <c r="G31" s="157">
        <f t="shared" si="7"/>
        <v>26426.399999999994</v>
      </c>
      <c r="H31" s="157">
        <f t="shared" si="8"/>
        <v>569546.25</v>
      </c>
      <c r="I31" s="136">
        <f t="shared" si="9"/>
        <v>739435.048</v>
      </c>
      <c r="K31" s="88"/>
      <c r="L31" s="88"/>
      <c r="M31" s="51"/>
      <c r="N31" s="51"/>
      <c r="O31" s="88"/>
      <c r="P31" s="51"/>
      <c r="R31" s="52"/>
      <c r="Y31" s="10"/>
    </row>
    <row r="32" spans="1:25" ht="12.75">
      <c r="A32" s="55" t="s">
        <v>45</v>
      </c>
      <c r="B32" s="63">
        <f>B21-B22</f>
        <v>435.00000000000006</v>
      </c>
      <c r="C32" s="63">
        <f>C21-C22</f>
        <v>45.5</v>
      </c>
      <c r="D32" s="63">
        <f>D21-D22</f>
        <v>3285</v>
      </c>
      <c r="E32" s="53">
        <f t="shared" si="5"/>
        <v>3765.5</v>
      </c>
      <c r="F32" s="157">
        <f t="shared" si="6"/>
        <v>54579.450000000004</v>
      </c>
      <c r="G32" s="157">
        <f t="shared" si="7"/>
        <v>6210.75</v>
      </c>
      <c r="H32" s="157">
        <f t="shared" si="8"/>
        <v>448402.5</v>
      </c>
      <c r="I32" s="136">
        <f t="shared" si="9"/>
        <v>509192.7</v>
      </c>
      <c r="K32" s="88"/>
      <c r="L32" s="88"/>
      <c r="M32" s="51"/>
      <c r="N32" s="51"/>
      <c r="O32" s="88"/>
      <c r="P32" s="51"/>
      <c r="R32" s="52"/>
      <c r="Y32" s="10"/>
    </row>
    <row r="33" spans="1:25" ht="12.75">
      <c r="A33" s="55" t="s">
        <v>42</v>
      </c>
      <c r="B33" s="63">
        <f aca="true" t="shared" si="10" ref="B33:D35">B22</f>
        <v>340.7</v>
      </c>
      <c r="C33" s="63">
        <f t="shared" si="10"/>
        <v>97.1</v>
      </c>
      <c r="D33" s="63">
        <f t="shared" si="10"/>
        <v>3379.7</v>
      </c>
      <c r="E33" s="53">
        <f t="shared" si="5"/>
        <v>3817.5</v>
      </c>
      <c r="F33" s="157">
        <f t="shared" si="6"/>
        <v>72899.579</v>
      </c>
      <c r="G33" s="157">
        <f t="shared" si="7"/>
        <v>21847.5</v>
      </c>
      <c r="H33" s="157">
        <f t="shared" si="8"/>
        <v>760432.5</v>
      </c>
      <c r="I33" s="136">
        <f t="shared" si="9"/>
        <v>855179.579</v>
      </c>
      <c r="K33" s="88"/>
      <c r="L33" s="88"/>
      <c r="M33" s="51"/>
      <c r="N33" s="51"/>
      <c r="O33" s="88"/>
      <c r="P33" s="51"/>
      <c r="R33" s="52"/>
      <c r="Y33" s="10"/>
    </row>
    <row r="34" spans="1:25" ht="12.75">
      <c r="A34" s="55" t="s">
        <v>43</v>
      </c>
      <c r="B34" s="63">
        <f t="shared" si="10"/>
        <v>140.7</v>
      </c>
      <c r="C34" s="63">
        <f t="shared" si="10"/>
        <v>78.9</v>
      </c>
      <c r="D34" s="63">
        <f t="shared" si="10"/>
        <v>1219.6</v>
      </c>
      <c r="E34" s="53">
        <f t="shared" si="5"/>
        <v>1439.1999999999998</v>
      </c>
      <c r="F34" s="157">
        <f t="shared" si="6"/>
        <v>17653.628999999997</v>
      </c>
      <c r="G34" s="157">
        <f t="shared" si="7"/>
        <v>10769.85</v>
      </c>
      <c r="H34" s="157">
        <f t="shared" si="8"/>
        <v>166475.4</v>
      </c>
      <c r="I34" s="136">
        <f t="shared" si="9"/>
        <v>194898.879</v>
      </c>
      <c r="K34" s="88"/>
      <c r="L34" s="88"/>
      <c r="M34" s="51"/>
      <c r="N34" s="51"/>
      <c r="O34" s="88"/>
      <c r="P34" s="51"/>
      <c r="R34" s="52"/>
      <c r="Y34" s="10"/>
    </row>
    <row r="35" spans="1:25" ht="12.75">
      <c r="A35" s="55" t="s">
        <v>15</v>
      </c>
      <c r="B35" s="63">
        <f t="shared" si="10"/>
        <v>708.8</v>
      </c>
      <c r="C35" s="63">
        <f t="shared" si="10"/>
        <v>182.3</v>
      </c>
      <c r="D35" s="63">
        <f t="shared" si="10"/>
        <v>4723.5</v>
      </c>
      <c r="E35" s="53">
        <f t="shared" si="5"/>
        <v>5614.6</v>
      </c>
      <c r="F35" s="157">
        <f t="shared" si="6"/>
        <v>88933.136</v>
      </c>
      <c r="G35" s="157">
        <f t="shared" si="7"/>
        <v>24883.95</v>
      </c>
      <c r="H35" s="157">
        <f t="shared" si="8"/>
        <v>644757.75</v>
      </c>
      <c r="I35" s="136">
        <f t="shared" si="9"/>
        <v>758574.836</v>
      </c>
      <c r="K35" s="88"/>
      <c r="L35" s="88"/>
      <c r="M35" s="51"/>
      <c r="N35" s="51"/>
      <c r="O35" s="88"/>
      <c r="P35" s="51"/>
      <c r="R35" s="52"/>
      <c r="Y35" s="10"/>
    </row>
    <row r="36" spans="1:25" ht="13.5" thickBot="1">
      <c r="A36" s="57" t="s">
        <v>59</v>
      </c>
      <c r="B36" s="137">
        <f aca="true" t="shared" si="11" ref="B36:I36">SUM(B28:B35)</f>
        <v>12165.9</v>
      </c>
      <c r="C36" s="137">
        <f t="shared" si="11"/>
        <v>1441</v>
      </c>
      <c r="D36" s="137">
        <f t="shared" si="11"/>
        <v>136367.8</v>
      </c>
      <c r="E36" s="76">
        <f t="shared" si="11"/>
        <v>149974.69999999998</v>
      </c>
      <c r="F36" s="158">
        <f t="shared" si="11"/>
        <v>1556607.4229999997</v>
      </c>
      <c r="G36" s="158">
        <f t="shared" si="11"/>
        <v>201462.10800000004</v>
      </c>
      <c r="H36" s="158">
        <f t="shared" si="11"/>
        <v>18112558.606999997</v>
      </c>
      <c r="I36" s="138">
        <f t="shared" si="11"/>
        <v>19870628.137999997</v>
      </c>
      <c r="K36" s="88"/>
      <c r="L36" s="88"/>
      <c r="M36" s="51"/>
      <c r="N36" s="51"/>
      <c r="O36" s="88"/>
      <c r="P36" s="51"/>
      <c r="R36" s="52"/>
      <c r="Y36" s="10"/>
    </row>
    <row r="37" spans="1:25" ht="13.5" thickBot="1">
      <c r="A37" s="10"/>
      <c r="B37" s="18"/>
      <c r="C37" s="18"/>
      <c r="D37" s="18"/>
      <c r="E37" s="81"/>
      <c r="F37" s="35"/>
      <c r="G37" s="35"/>
      <c r="H37" s="35"/>
      <c r="I37" s="9"/>
      <c r="J37" s="18"/>
      <c r="K37" s="35"/>
      <c r="L37" s="18"/>
      <c r="M37" s="18"/>
      <c r="N37" s="18"/>
      <c r="O37" s="15"/>
      <c r="P37" s="15"/>
      <c r="Q37" s="15"/>
      <c r="R37" s="52"/>
      <c r="Y37" s="10"/>
    </row>
    <row r="38" spans="1:25" ht="15.75" thickBot="1">
      <c r="A38" s="139" t="s">
        <v>136</v>
      </c>
      <c r="B38" s="18"/>
      <c r="C38" s="18"/>
      <c r="D38" s="18"/>
      <c r="E38" s="81"/>
      <c r="F38" s="35"/>
      <c r="G38" s="35"/>
      <c r="H38" s="35"/>
      <c r="I38" s="9"/>
      <c r="J38" s="18"/>
      <c r="K38" s="35"/>
      <c r="L38" s="18"/>
      <c r="M38" s="18"/>
      <c r="N38" s="18"/>
      <c r="O38" s="15"/>
      <c r="P38" s="15"/>
      <c r="Q38" s="15"/>
      <c r="R38" s="52"/>
      <c r="Y38" s="10"/>
    </row>
    <row r="39" spans="1:25" ht="76.5">
      <c r="A39" s="196" t="s">
        <v>3</v>
      </c>
      <c r="B39" s="197" t="s">
        <v>177</v>
      </c>
      <c r="C39" s="197" t="s">
        <v>141</v>
      </c>
      <c r="D39" s="199" t="s">
        <v>142</v>
      </c>
      <c r="E39" s="199" t="s">
        <v>140</v>
      </c>
      <c r="F39" s="199" t="s">
        <v>88</v>
      </c>
      <c r="G39" s="199" t="s">
        <v>87</v>
      </c>
      <c r="H39" s="199" t="s">
        <v>86</v>
      </c>
      <c r="I39" s="200" t="s">
        <v>144</v>
      </c>
      <c r="J39" s="201" t="s">
        <v>137</v>
      </c>
      <c r="K39" s="35"/>
      <c r="L39" s="18"/>
      <c r="M39" s="18"/>
      <c r="N39" s="18"/>
      <c r="O39" s="15"/>
      <c r="P39" s="15"/>
      <c r="Q39" s="15"/>
      <c r="R39" s="52"/>
      <c r="Y39" s="10"/>
    </row>
    <row r="40" spans="1:25" ht="12.75">
      <c r="A40" s="55" t="s">
        <v>54</v>
      </c>
      <c r="B40" s="63">
        <f>F17-F18</f>
        <v>0</v>
      </c>
      <c r="C40" s="63">
        <f>G17-G18</f>
        <v>0</v>
      </c>
      <c r="D40" s="63">
        <f>H17-H18</f>
        <v>0</v>
      </c>
      <c r="E40" s="53">
        <f aca="true" t="shared" si="12" ref="E40:E48">B40+C40+D40</f>
        <v>0</v>
      </c>
      <c r="F40" s="46">
        <f>B40*D5</f>
        <v>0</v>
      </c>
      <c r="G40" s="46">
        <f>C40*F5</f>
        <v>0</v>
      </c>
      <c r="H40" s="46">
        <f>D40*H5</f>
        <v>0</v>
      </c>
      <c r="I40" s="46">
        <v>0</v>
      </c>
      <c r="J40" s="136">
        <f>F40+G40+H40+I40</f>
        <v>0</v>
      </c>
      <c r="K40" s="35"/>
      <c r="L40" s="18"/>
      <c r="M40" s="18"/>
      <c r="N40" s="18"/>
      <c r="O40" s="15"/>
      <c r="P40" s="15"/>
      <c r="Q40" s="15"/>
      <c r="R40" s="52"/>
      <c r="Y40" s="10"/>
    </row>
    <row r="41" spans="1:25" ht="12.75">
      <c r="A41" s="55" t="s">
        <v>57</v>
      </c>
      <c r="B41" s="63">
        <f>F18-F19-F20</f>
        <v>0</v>
      </c>
      <c r="C41" s="63">
        <f>G18-G19-G20</f>
        <v>0</v>
      </c>
      <c r="D41" s="63">
        <f>H18-H19-H20</f>
        <v>0</v>
      </c>
      <c r="E41" s="53">
        <f t="shared" si="12"/>
        <v>0</v>
      </c>
      <c r="F41" s="46">
        <f aca="true" t="shared" si="13" ref="F41:F47">B41*D6</f>
        <v>0</v>
      </c>
      <c r="G41" s="46">
        <f aca="true" t="shared" si="14" ref="G41:G47">C41*F6</f>
        <v>0</v>
      </c>
      <c r="H41" s="46">
        <f aca="true" t="shared" si="15" ref="H41:H47">D41*H6</f>
        <v>0</v>
      </c>
      <c r="I41" s="46">
        <v>0</v>
      </c>
      <c r="J41" s="136">
        <f aca="true" t="shared" si="16" ref="J41:J47">F41+G41+H41+I41</f>
        <v>0</v>
      </c>
      <c r="K41" s="35"/>
      <c r="L41" s="18"/>
      <c r="M41" s="18"/>
      <c r="N41" s="18"/>
      <c r="O41" s="15"/>
      <c r="P41" s="15"/>
      <c r="Q41" s="15"/>
      <c r="R41" s="52"/>
      <c r="Y41" s="10"/>
    </row>
    <row r="42" spans="1:25" ht="12.75">
      <c r="A42" s="55" t="s">
        <v>56</v>
      </c>
      <c r="B42" s="63">
        <f>F19-F21-F23</f>
        <v>0</v>
      </c>
      <c r="C42" s="63">
        <f>G19-G21-G23</f>
        <v>0</v>
      </c>
      <c r="D42" s="63">
        <f>H19-H21-H23</f>
        <v>0</v>
      </c>
      <c r="E42" s="53">
        <f t="shared" si="12"/>
        <v>0</v>
      </c>
      <c r="F42" s="46">
        <f t="shared" si="13"/>
        <v>0</v>
      </c>
      <c r="G42" s="46">
        <f t="shared" si="14"/>
        <v>0</v>
      </c>
      <c r="H42" s="46">
        <f t="shared" si="15"/>
        <v>0</v>
      </c>
      <c r="I42" s="46">
        <v>0</v>
      </c>
      <c r="J42" s="136">
        <f t="shared" si="16"/>
        <v>0</v>
      </c>
      <c r="K42" s="35"/>
      <c r="L42" s="18"/>
      <c r="M42" s="18"/>
      <c r="N42" s="18"/>
      <c r="O42" s="15"/>
      <c r="P42" s="15"/>
      <c r="Q42" s="15"/>
      <c r="R42" s="52"/>
      <c r="Y42" s="10"/>
    </row>
    <row r="43" spans="1:25" ht="12.75">
      <c r="A43" s="55" t="s">
        <v>55</v>
      </c>
      <c r="B43" s="63">
        <f>F20-F24</f>
        <v>0</v>
      </c>
      <c r="C43" s="63">
        <f>G20-G24</f>
        <v>0</v>
      </c>
      <c r="D43" s="63">
        <f>H20-H24</f>
        <v>0</v>
      </c>
      <c r="E43" s="53">
        <f t="shared" si="12"/>
        <v>0</v>
      </c>
      <c r="F43" s="46">
        <f t="shared" si="13"/>
        <v>0</v>
      </c>
      <c r="G43" s="46">
        <f t="shared" si="14"/>
        <v>0</v>
      </c>
      <c r="H43" s="46">
        <f t="shared" si="15"/>
        <v>0</v>
      </c>
      <c r="I43" s="46">
        <v>0</v>
      </c>
      <c r="J43" s="136">
        <f t="shared" si="16"/>
        <v>0</v>
      </c>
      <c r="K43" s="35"/>
      <c r="L43" s="18"/>
      <c r="M43" s="18"/>
      <c r="N43" s="18"/>
      <c r="O43" s="15"/>
      <c r="P43" s="15"/>
      <c r="Q43" s="15"/>
      <c r="R43" s="52"/>
      <c r="Y43" s="10"/>
    </row>
    <row r="44" spans="1:25" ht="12.75">
      <c r="A44" s="55" t="s">
        <v>45</v>
      </c>
      <c r="B44" s="63">
        <f>F21-F22</f>
        <v>0</v>
      </c>
      <c r="C44" s="63">
        <f>G21-G22</f>
        <v>0</v>
      </c>
      <c r="D44" s="63">
        <f>H21-H22</f>
        <v>0</v>
      </c>
      <c r="E44" s="53">
        <f t="shared" si="12"/>
        <v>0</v>
      </c>
      <c r="F44" s="46">
        <f t="shared" si="13"/>
        <v>0</v>
      </c>
      <c r="G44" s="46">
        <f t="shared" si="14"/>
        <v>0</v>
      </c>
      <c r="H44" s="46">
        <f t="shared" si="15"/>
        <v>0</v>
      </c>
      <c r="I44" s="46">
        <v>0</v>
      </c>
      <c r="J44" s="136">
        <f t="shared" si="16"/>
        <v>0</v>
      </c>
      <c r="K44" s="35"/>
      <c r="L44" s="18"/>
      <c r="M44" s="18"/>
      <c r="N44" s="18"/>
      <c r="O44" s="15"/>
      <c r="P44" s="15"/>
      <c r="Q44" s="15"/>
      <c r="R44" s="52"/>
      <c r="Y44" s="10"/>
    </row>
    <row r="45" spans="1:25" ht="12.75">
      <c r="A45" s="55" t="s">
        <v>42</v>
      </c>
      <c r="B45" s="63">
        <f>F22</f>
        <v>0</v>
      </c>
      <c r="C45" s="63">
        <f aca="true" t="shared" si="17" ref="C45:D47">G22</f>
        <v>0</v>
      </c>
      <c r="D45" s="63">
        <f t="shared" si="17"/>
        <v>0</v>
      </c>
      <c r="E45" s="53">
        <f t="shared" si="12"/>
        <v>0</v>
      </c>
      <c r="F45" s="46">
        <f t="shared" si="13"/>
        <v>0</v>
      </c>
      <c r="G45" s="46">
        <f t="shared" si="14"/>
        <v>0</v>
      </c>
      <c r="H45" s="46">
        <f t="shared" si="15"/>
        <v>0</v>
      </c>
      <c r="I45" s="46">
        <v>0</v>
      </c>
      <c r="J45" s="136">
        <f t="shared" si="16"/>
        <v>0</v>
      </c>
      <c r="K45" s="35"/>
      <c r="L45" s="18"/>
      <c r="M45" s="18"/>
      <c r="N45" s="18"/>
      <c r="O45" s="15"/>
      <c r="P45" s="15"/>
      <c r="Q45" s="15"/>
      <c r="R45" s="52"/>
      <c r="Y45" s="10"/>
    </row>
    <row r="46" spans="1:25" ht="12.75">
      <c r="A46" s="55" t="s">
        <v>43</v>
      </c>
      <c r="B46" s="63">
        <f>F23</f>
        <v>0</v>
      </c>
      <c r="C46" s="63">
        <f t="shared" si="17"/>
        <v>0</v>
      </c>
      <c r="D46" s="63">
        <f t="shared" si="17"/>
        <v>112.6</v>
      </c>
      <c r="E46" s="53">
        <f t="shared" si="12"/>
        <v>112.6</v>
      </c>
      <c r="F46" s="46">
        <f t="shared" si="13"/>
        <v>0</v>
      </c>
      <c r="G46" s="46">
        <f t="shared" si="14"/>
        <v>0</v>
      </c>
      <c r="H46" s="46">
        <f t="shared" si="15"/>
        <v>15369.9</v>
      </c>
      <c r="I46" s="46">
        <v>20323.2</v>
      </c>
      <c r="J46" s="136">
        <f t="shared" si="16"/>
        <v>35693.1</v>
      </c>
      <c r="K46" s="35"/>
      <c r="L46" s="18"/>
      <c r="M46" s="18"/>
      <c r="N46" s="18"/>
      <c r="O46" s="15"/>
      <c r="P46" s="15"/>
      <c r="Q46" s="15"/>
      <c r="R46" s="52"/>
      <c r="Y46" s="10"/>
    </row>
    <row r="47" spans="1:25" ht="12.75">
      <c r="A47" s="55" t="s">
        <v>15</v>
      </c>
      <c r="B47" s="63">
        <f>F24</f>
        <v>0</v>
      </c>
      <c r="C47" s="63">
        <f t="shared" si="17"/>
        <v>0</v>
      </c>
      <c r="D47" s="63">
        <f t="shared" si="17"/>
        <v>0</v>
      </c>
      <c r="E47" s="53">
        <f t="shared" si="12"/>
        <v>0</v>
      </c>
      <c r="F47" s="46">
        <f t="shared" si="13"/>
        <v>0</v>
      </c>
      <c r="G47" s="46">
        <f t="shared" si="14"/>
        <v>0</v>
      </c>
      <c r="H47" s="46">
        <f t="shared" si="15"/>
        <v>0</v>
      </c>
      <c r="I47" s="46">
        <v>0</v>
      </c>
      <c r="J47" s="136">
        <f t="shared" si="16"/>
        <v>0</v>
      </c>
      <c r="K47" s="35"/>
      <c r="L47" s="18"/>
      <c r="M47" s="18"/>
      <c r="N47" s="18"/>
      <c r="O47" s="15"/>
      <c r="P47" s="15"/>
      <c r="Q47" s="15"/>
      <c r="R47" s="52"/>
      <c r="Y47" s="10"/>
    </row>
    <row r="48" spans="1:25" ht="13.5" thickBot="1">
      <c r="A48" s="57" t="s">
        <v>59</v>
      </c>
      <c r="B48" s="137">
        <f>SUM(B40:B47)</f>
        <v>0</v>
      </c>
      <c r="C48" s="137">
        <f>SUM(C40:C47)</f>
        <v>0</v>
      </c>
      <c r="D48" s="137">
        <f>SUM(D40:D47)</f>
        <v>112.6</v>
      </c>
      <c r="E48" s="76">
        <f t="shared" si="12"/>
        <v>112.6</v>
      </c>
      <c r="F48" s="234">
        <f>SUM(F40:F47)</f>
        <v>0</v>
      </c>
      <c r="G48" s="234">
        <f>SUM(G40:G47)</f>
        <v>0</v>
      </c>
      <c r="H48" s="234">
        <f>SUM(H40:H47)</f>
        <v>15369.9</v>
      </c>
      <c r="I48" s="234">
        <v>0</v>
      </c>
      <c r="J48" s="138">
        <f>SUM(J40:J47)</f>
        <v>35693.1</v>
      </c>
      <c r="K48" s="35"/>
      <c r="L48" s="18"/>
      <c r="M48" s="18"/>
      <c r="N48" s="18"/>
      <c r="O48" s="15"/>
      <c r="P48" s="15"/>
      <c r="Q48" s="15"/>
      <c r="R48" s="52"/>
      <c r="Y48" s="10"/>
    </row>
    <row r="49" spans="1:25" ht="13.5" thickBot="1">
      <c r="A49" s="10"/>
      <c r="B49" s="18"/>
      <c r="C49" s="18"/>
      <c r="D49" s="18"/>
      <c r="E49" s="81"/>
      <c r="F49" s="35"/>
      <c r="G49" s="35"/>
      <c r="H49" s="35"/>
      <c r="I49" s="9"/>
      <c r="J49" s="18"/>
      <c r="K49" s="35"/>
      <c r="L49" s="18"/>
      <c r="M49" s="18"/>
      <c r="N49" s="18"/>
      <c r="O49" s="15"/>
      <c r="P49" s="15"/>
      <c r="Q49" s="15"/>
      <c r="R49" s="52"/>
      <c r="Y49" s="10"/>
    </row>
    <row r="50" ht="15.75" thickBot="1">
      <c r="A50" s="171" t="s">
        <v>100</v>
      </c>
    </row>
    <row r="51" spans="1:4" ht="79.5" customHeight="1">
      <c r="A51" s="110" t="s">
        <v>101</v>
      </c>
      <c r="B51" s="112" t="s">
        <v>102</v>
      </c>
      <c r="C51" s="112" t="s">
        <v>184</v>
      </c>
      <c r="D51" s="113" t="s">
        <v>103</v>
      </c>
    </row>
    <row r="52" spans="1:4" ht="12.75">
      <c r="A52" s="55" t="s">
        <v>30</v>
      </c>
      <c r="B52" s="45">
        <v>0</v>
      </c>
      <c r="C52" s="157">
        <f>C6</f>
        <v>0</v>
      </c>
      <c r="D52" s="136">
        <f aca="true" t="shared" si="18" ref="D52:D58">B52*C52</f>
        <v>0</v>
      </c>
    </row>
    <row r="53" spans="1:4" ht="12.75">
      <c r="A53" s="55" t="s">
        <v>41</v>
      </c>
      <c r="B53" s="45">
        <v>0</v>
      </c>
      <c r="C53" s="157">
        <f aca="true" t="shared" si="19" ref="C53:C58">C7</f>
        <v>0</v>
      </c>
      <c r="D53" s="136">
        <f t="shared" si="18"/>
        <v>0</v>
      </c>
    </row>
    <row r="54" spans="1:4" ht="12.75">
      <c r="A54" s="55" t="s">
        <v>5</v>
      </c>
      <c r="B54" s="45">
        <v>0</v>
      </c>
      <c r="C54" s="157">
        <f t="shared" si="19"/>
        <v>0</v>
      </c>
      <c r="D54" s="136">
        <f t="shared" si="18"/>
        <v>0</v>
      </c>
    </row>
    <row r="55" spans="1:4" ht="12.75">
      <c r="A55" s="55" t="s">
        <v>8</v>
      </c>
      <c r="B55" s="45">
        <v>0</v>
      </c>
      <c r="C55" s="157">
        <f t="shared" si="19"/>
        <v>0</v>
      </c>
      <c r="D55" s="136">
        <f t="shared" si="18"/>
        <v>0</v>
      </c>
    </row>
    <row r="56" spans="1:4" ht="12.75">
      <c r="A56" s="55" t="s">
        <v>42</v>
      </c>
      <c r="B56" s="45">
        <v>0</v>
      </c>
      <c r="C56" s="157">
        <f t="shared" si="19"/>
        <v>88.5</v>
      </c>
      <c r="D56" s="136">
        <f t="shared" si="18"/>
        <v>0</v>
      </c>
    </row>
    <row r="57" spans="1:4" ht="12.75">
      <c r="A57" s="55" t="s">
        <v>43</v>
      </c>
      <c r="B57" s="45">
        <v>0</v>
      </c>
      <c r="C57" s="157">
        <f t="shared" si="19"/>
        <v>0</v>
      </c>
      <c r="D57" s="136">
        <f t="shared" si="18"/>
        <v>0</v>
      </c>
    </row>
    <row r="58" spans="1:4" ht="12.75">
      <c r="A58" s="169" t="s">
        <v>15</v>
      </c>
      <c r="B58" s="45">
        <v>0</v>
      </c>
      <c r="C58" s="157">
        <f t="shared" si="19"/>
        <v>0</v>
      </c>
      <c r="D58" s="136">
        <f t="shared" si="18"/>
        <v>0</v>
      </c>
    </row>
    <row r="59" spans="1:4" ht="13.5" thickBot="1">
      <c r="A59" s="129" t="s">
        <v>59</v>
      </c>
      <c r="B59" s="170" t="s">
        <v>24</v>
      </c>
      <c r="C59" s="170"/>
      <c r="D59" s="138">
        <f>SUM(D52:D58)</f>
        <v>0</v>
      </c>
    </row>
    <row r="60" ht="12.75">
      <c r="A60" s="12" t="s">
        <v>185</v>
      </c>
    </row>
    <row r="61" ht="12.75">
      <c r="B61" s="6" t="s">
        <v>24</v>
      </c>
    </row>
    <row r="62" ht="12.75">
      <c r="B62" s="6" t="s">
        <v>24</v>
      </c>
    </row>
    <row r="63" ht="12.75">
      <c r="B63" s="6" t="s">
        <v>24</v>
      </c>
    </row>
  </sheetData>
  <sheetProtection/>
  <printOptions gridLines="1" horizontalCentered="1" verticalCentered="1"/>
  <pageMargins left="0.45" right="0.45" top="0.5" bottom="0.5" header="0.3" footer="0.3"/>
  <pageSetup fitToHeight="1" fitToWidth="1"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45.8515625" style="6" customWidth="1"/>
    <col min="2" max="2" width="15.28125" style="6" bestFit="1" customWidth="1"/>
    <col min="3" max="3" width="15.7109375" style="6" customWidth="1"/>
    <col min="4" max="4" width="16.421875" style="6" customWidth="1"/>
    <col min="5" max="5" width="20.00390625" style="6" customWidth="1"/>
    <col min="6" max="6" width="18.7109375" style="6" customWidth="1"/>
    <col min="7" max="7" width="20.00390625" style="6" customWidth="1"/>
    <col min="8" max="8" width="18.421875" style="6" bestFit="1" customWidth="1"/>
    <col min="9" max="9" width="18.140625" style="6" customWidth="1"/>
    <col min="10" max="10" width="18.421875" style="6" customWidth="1"/>
    <col min="11" max="11" width="20.00390625" style="6" customWidth="1"/>
    <col min="12" max="13" width="15.7109375" style="6" customWidth="1"/>
    <col min="14" max="14" width="17.00390625" style="6" customWidth="1"/>
    <col min="15" max="15" width="18.421875" style="6" customWidth="1"/>
    <col min="16" max="16" width="9.140625" style="6" customWidth="1"/>
    <col min="17" max="17" width="9.28125" style="6" customWidth="1"/>
    <col min="18" max="16384" width="9.140625" style="6" customWidth="1"/>
  </cols>
  <sheetData>
    <row r="1" spans="1:7" ht="18.75">
      <c r="A1" s="3" t="s">
        <v>84</v>
      </c>
      <c r="E1" s="58" t="s">
        <v>24</v>
      </c>
      <c r="F1" s="58" t="s">
        <v>24</v>
      </c>
      <c r="G1" s="58" t="s">
        <v>24</v>
      </c>
    </row>
    <row r="2" ht="13.5" thickBot="1">
      <c r="A2" s="126"/>
    </row>
    <row r="3" spans="1:4" ht="19.5" thickBot="1">
      <c r="A3" s="125" t="s">
        <v>0</v>
      </c>
      <c r="D3" s="1" t="s">
        <v>24</v>
      </c>
    </row>
    <row r="4" spans="1:13" ht="12.75" customHeight="1">
      <c r="A4" s="116" t="s">
        <v>1</v>
      </c>
      <c r="B4" s="117">
        <v>0.153</v>
      </c>
      <c r="D4" s="21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L4" s="23" t="s">
        <v>24</v>
      </c>
      <c r="M4" s="23"/>
    </row>
    <row r="5" spans="1:13" ht="12.75" customHeight="1">
      <c r="A5" s="118" t="s">
        <v>2</v>
      </c>
      <c r="B5" s="119">
        <v>0.0625</v>
      </c>
      <c r="D5" s="10" t="s">
        <v>24</v>
      </c>
      <c r="E5" s="14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  <c r="M5" s="14"/>
    </row>
    <row r="6" spans="1:13" ht="12.75" customHeight="1">
      <c r="A6" s="55" t="s">
        <v>4</v>
      </c>
      <c r="B6" s="120">
        <v>1.0809</v>
      </c>
      <c r="D6" s="10" t="s">
        <v>24</v>
      </c>
      <c r="E6" s="38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  <c r="M6" s="16"/>
    </row>
    <row r="7" spans="1:13" ht="12.75" customHeight="1">
      <c r="A7" s="55" t="s">
        <v>38</v>
      </c>
      <c r="B7" s="121">
        <v>148323.1</v>
      </c>
      <c r="D7" s="10" t="s">
        <v>24</v>
      </c>
      <c r="E7" s="14" t="s">
        <v>24</v>
      </c>
      <c r="F7" s="37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  <c r="M7" s="14"/>
    </row>
    <row r="8" spans="1:13" ht="12.75" customHeight="1">
      <c r="A8" s="55" t="s">
        <v>39</v>
      </c>
      <c r="B8" s="122">
        <v>0.025</v>
      </c>
      <c r="D8" s="10" t="s">
        <v>24</v>
      </c>
      <c r="E8" s="14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  <c r="M8" s="14"/>
    </row>
    <row r="9" spans="1:13" ht="12.75" customHeight="1">
      <c r="A9" s="55" t="s">
        <v>40</v>
      </c>
      <c r="B9" s="123">
        <f>ROUND(B7*B8,1)</f>
        <v>3708.1</v>
      </c>
      <c r="D9" s="10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  <c r="M9" s="16"/>
    </row>
    <row r="10" spans="1:13" ht="12.75" customHeight="1" thickBot="1">
      <c r="A10" s="57" t="s">
        <v>23</v>
      </c>
      <c r="B10" s="124">
        <f>'BRA Resource Clearing Results'!E17/('BRA Load Pricing Results'!G53*'BRA Load Pricing Results'!B6)</f>
        <v>1.0111355134711932</v>
      </c>
      <c r="C10" s="10"/>
      <c r="D10" s="10" t="s">
        <v>24</v>
      </c>
      <c r="E10" s="14" t="s">
        <v>24</v>
      </c>
      <c r="F10" s="37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  <c r="M10" s="14"/>
    </row>
    <row r="11" spans="4:12" ht="12.75">
      <c r="D11" s="12" t="s">
        <v>24</v>
      </c>
      <c r="E11" s="7"/>
      <c r="F11" s="4"/>
      <c r="G11" s="7"/>
      <c r="H11" s="28" t="s">
        <v>24</v>
      </c>
      <c r="L11" s="6" t="s">
        <v>24</v>
      </c>
    </row>
    <row r="12" spans="1:13" ht="13.5" thickBot="1">
      <c r="A12" s="12"/>
      <c r="B12" s="35"/>
      <c r="C12" s="35"/>
      <c r="D12" s="35"/>
      <c r="E12" s="36"/>
      <c r="F12" s="25"/>
      <c r="G12" s="25"/>
      <c r="H12" s="25"/>
      <c r="I12" s="75"/>
      <c r="J12" s="75"/>
      <c r="K12" s="75"/>
      <c r="L12" s="52"/>
      <c r="M12" s="52"/>
    </row>
    <row r="13" spans="1:13" ht="15.75" thickBot="1">
      <c r="A13" s="109" t="s">
        <v>78</v>
      </c>
      <c r="B13" s="35"/>
      <c r="C13" s="35"/>
      <c r="D13" s="35"/>
      <c r="E13" s="36"/>
      <c r="F13" s="25"/>
      <c r="G13" s="25"/>
      <c r="H13" s="25"/>
      <c r="I13" s="75"/>
      <c r="J13" s="75"/>
      <c r="K13" s="75"/>
      <c r="L13" s="52"/>
      <c r="M13" s="52"/>
    </row>
    <row r="14" spans="1:13" ht="88.5" customHeight="1">
      <c r="A14" s="110" t="s">
        <v>3</v>
      </c>
      <c r="B14" s="112" t="s">
        <v>82</v>
      </c>
      <c r="C14" s="112" t="s">
        <v>83</v>
      </c>
      <c r="D14" s="112" t="s">
        <v>143</v>
      </c>
      <c r="E14" s="112" t="s">
        <v>178</v>
      </c>
      <c r="F14" s="112" t="s">
        <v>157</v>
      </c>
      <c r="G14" s="112" t="s">
        <v>179</v>
      </c>
      <c r="H14" s="112" t="s">
        <v>168</v>
      </c>
      <c r="I14" s="112" t="s">
        <v>169</v>
      </c>
      <c r="J14" s="113" t="s">
        <v>158</v>
      </c>
      <c r="K14" s="82"/>
      <c r="L14" s="83"/>
      <c r="M14" s="84"/>
    </row>
    <row r="15" spans="1:13" ht="12.75">
      <c r="A15" s="55" t="s">
        <v>6</v>
      </c>
      <c r="B15" s="213">
        <f>K53</f>
        <v>153682.80000000002</v>
      </c>
      <c r="C15" s="231">
        <f>'BRA Resource Clearing Results'!B5</f>
        <v>125.47</v>
      </c>
      <c r="D15" s="231">
        <f>'BRA Resource Clearing Results'!C5</f>
        <v>0</v>
      </c>
      <c r="E15" s="214">
        <f>('BRA Resource Clearing Results'!C17+'BRA Resource Clearing Results'!D17)*'BRA Resource Clearing Results'!E5</f>
        <v>71660.576</v>
      </c>
      <c r="F15" s="231">
        <f>E15/B15</f>
        <v>0.4662888495003995</v>
      </c>
      <c r="G15" s="214">
        <f>'BRA Resource Clearing Results'!D17*'BRA Resource Clearing Results'!G5</f>
        <v>0</v>
      </c>
      <c r="H15" s="231">
        <f>G15/B15</f>
        <v>0</v>
      </c>
      <c r="I15" s="232">
        <f>'BRA Resource Clearing Results'!J40/'BRA Load Pricing Results'!B15</f>
        <v>0</v>
      </c>
      <c r="J15" s="233">
        <f>C15+D15+F15+H15+I15</f>
        <v>125.9362888495004</v>
      </c>
      <c r="K15" s="35"/>
      <c r="L15" s="18"/>
      <c r="M15" s="18"/>
    </row>
    <row r="16" spans="1:13" ht="12.75">
      <c r="A16" s="55" t="s">
        <v>30</v>
      </c>
      <c r="B16" s="213">
        <f>K34+K38+(SUM(K44:K52))</f>
        <v>69101.47339653231</v>
      </c>
      <c r="C16" s="231">
        <f>'BRA Resource Clearing Results'!B6</f>
        <v>125.47</v>
      </c>
      <c r="D16" s="231">
        <f>'BRA Resource Clearing Results'!C6</f>
        <v>0</v>
      </c>
      <c r="E16" s="214">
        <f>('BRA Resource Clearing Results'!C18+'BRA Resource Clearing Results'!D18)*('BRA Resource Clearing Results'!E6-'BRA Resource Clearing Results'!E5)</f>
        <v>643793.203</v>
      </c>
      <c r="F16" s="231">
        <f>F15+(E16/B16)</f>
        <v>9.782923811907832</v>
      </c>
      <c r="G16" s="214">
        <f>'BRA Resource Clearing Results'!D18*('BRA Resource Clearing Results'!G6-'BRA Resource Clearing Results'!G5)</f>
        <v>0</v>
      </c>
      <c r="H16" s="231">
        <f>H15+(G16/B16)</f>
        <v>0</v>
      </c>
      <c r="I16" s="232">
        <f>I15+'BRA Resource Clearing Results'!J41/'BRA Load Pricing Results'!B16</f>
        <v>0</v>
      </c>
      <c r="J16" s="233">
        <f>C16+D16+F16+H16+I16</f>
        <v>135.25292381190783</v>
      </c>
      <c r="K16" s="35"/>
      <c r="L16" s="18"/>
      <c r="M16" s="18"/>
    </row>
    <row r="17" spans="1:13" ht="12.75">
      <c r="A17" s="55" t="s">
        <v>41</v>
      </c>
      <c r="B17" s="213">
        <f>K34+K44+K45+K47+K51+K52</f>
        <v>37717.98089219473</v>
      </c>
      <c r="C17" s="231">
        <f>'BRA Resource Clearing Results'!B7</f>
        <v>125.47</v>
      </c>
      <c r="D17" s="231">
        <f>'BRA Resource Clearing Results'!C6+'BRA Resource Clearing Results'!C7</f>
        <v>0</v>
      </c>
      <c r="E17" s="214">
        <f>('BRA Resource Clearing Results'!C19+'BRA Resource Clearing Results'!D19)*('BRA Resource Clearing Results'!E7-'BRA Resource Clearing Results'!E6)</f>
        <v>0</v>
      </c>
      <c r="F17" s="231">
        <f>F16+(E17/B17)</f>
        <v>9.782923811907832</v>
      </c>
      <c r="G17" s="214">
        <f>'BRA Resource Clearing Results'!D19*('BRA Resource Clearing Results'!G7-'BRA Resource Clearing Results'!G6)</f>
        <v>0</v>
      </c>
      <c r="H17" s="231">
        <f>H16+(G17/B17)</f>
        <v>0</v>
      </c>
      <c r="I17" s="232">
        <f>I16+('BRA Resource Clearing Results'!J42/'BRA Load Pricing Results'!B17)</f>
        <v>0</v>
      </c>
      <c r="J17" s="233">
        <f>C17+D17+F17+H17+I17</f>
        <v>135.25292381190783</v>
      </c>
      <c r="K17" s="35"/>
      <c r="L17" s="18"/>
      <c r="M17" s="18"/>
    </row>
    <row r="18" spans="1:13" ht="12.75">
      <c r="A18" s="55" t="s">
        <v>5</v>
      </c>
      <c r="B18" s="213">
        <f>K38+K49</f>
        <v>16128.530281741685</v>
      </c>
      <c r="C18" s="231">
        <f>'BRA Resource Clearing Results'!B8</f>
        <v>125.47</v>
      </c>
      <c r="D18" s="231">
        <f>'BRA Resource Clearing Results'!C6+'BRA Resource Clearing Results'!C8</f>
        <v>0</v>
      </c>
      <c r="E18" s="214">
        <f>('BRA Resource Clearing Results'!C20+'BRA Resource Clearing Results'!D20)*('BRA Resource Clearing Results'!E8-'BRA Resource Clearing Results'!E6)</f>
        <v>0</v>
      </c>
      <c r="F18" s="231">
        <f>F16+(E18/B18)</f>
        <v>9.782923811907832</v>
      </c>
      <c r="G18" s="214">
        <f>'BRA Resource Clearing Results'!D20*('BRA Resource Clearing Results'!G8-'BRA Resource Clearing Results'!G6)</f>
        <v>0</v>
      </c>
      <c r="H18" s="231">
        <f>H16+(G18/B18)</f>
        <v>0</v>
      </c>
      <c r="I18" s="232">
        <f>I16+('BRA Resource Clearing Results'!J43/'BRA Load Pricing Results'!B18)</f>
        <v>0</v>
      </c>
      <c r="J18" s="233">
        <f>C18+D18+F18+H18+I18</f>
        <v>135.25292381190783</v>
      </c>
      <c r="K18" s="35"/>
      <c r="L18" s="18"/>
      <c r="M18" s="18"/>
    </row>
    <row r="19" spans="1:13" ht="13.5" thickBot="1">
      <c r="A19" s="57" t="s">
        <v>15</v>
      </c>
      <c r="B19" s="215">
        <f>K49</f>
        <v>7835.2335151076195</v>
      </c>
      <c r="C19" s="231">
        <f>'BRA Resource Clearing Results'!B12</f>
        <v>125.47</v>
      </c>
      <c r="D19" s="231">
        <f>'BRA Resource Clearing Results'!C6+'BRA Resource Clearing Results'!C8+'BRA Resource Clearing Results'!C12</f>
        <v>0</v>
      </c>
      <c r="E19" s="130">
        <f>('BRA Resource Clearing Results'!C24+'BRA Resource Clearing Results'!D24)*('BRA Resource Clearing Results'!E12-'BRA Resource Clearing Results'!E8)</f>
        <v>0</v>
      </c>
      <c r="F19" s="231">
        <f>F18+(E19/B19)</f>
        <v>9.782923811907832</v>
      </c>
      <c r="G19" s="130">
        <f>'BRA Resource Clearing Results'!D24*('BRA Resource Clearing Results'!G12-'BRA Resource Clearing Results'!G8)</f>
        <v>0</v>
      </c>
      <c r="H19" s="231">
        <f>H18+(G19/B19)</f>
        <v>0</v>
      </c>
      <c r="I19" s="232">
        <f>I18+('BRA Resource Clearing Results'!J47/'BRA Load Pricing Results'!B19)</f>
        <v>0</v>
      </c>
      <c r="J19" s="233">
        <f>C19+D19+F19+H19+I19</f>
        <v>135.25292381190783</v>
      </c>
      <c r="K19" s="35"/>
      <c r="L19" s="18"/>
      <c r="M19" s="18"/>
    </row>
    <row r="20" spans="1:13" s="10" customFormat="1" ht="12.75">
      <c r="A20" s="202" t="s">
        <v>159</v>
      </c>
      <c r="B20" s="35"/>
      <c r="C20" s="18"/>
      <c r="D20" s="18"/>
      <c r="E20" s="18"/>
      <c r="F20" s="81"/>
      <c r="H20" s="35"/>
      <c r="I20" s="35"/>
      <c r="J20" s="18"/>
      <c r="K20" s="35"/>
      <c r="L20" s="15"/>
      <c r="M20" s="15"/>
    </row>
    <row r="21" spans="1:13" s="10" customFormat="1" ht="12.75">
      <c r="A21" s="203"/>
      <c r="B21" s="35"/>
      <c r="C21" s="18"/>
      <c r="D21" s="18"/>
      <c r="E21" s="18"/>
      <c r="F21" s="81"/>
      <c r="H21" s="35"/>
      <c r="I21" s="35"/>
      <c r="J21" s="18"/>
      <c r="K21" s="35"/>
      <c r="L21" s="15"/>
      <c r="M21" s="15"/>
    </row>
    <row r="22" spans="1:24" ht="30.75" thickBot="1">
      <c r="A22" s="217" t="s">
        <v>127</v>
      </c>
      <c r="E22" s="4" t="s">
        <v>24</v>
      </c>
      <c r="J22" s="39" t="s">
        <v>24</v>
      </c>
      <c r="K22" s="60" t="s">
        <v>24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09.5" customHeight="1">
      <c r="A23" s="218" t="s">
        <v>81</v>
      </c>
      <c r="B23" s="112" t="s">
        <v>163</v>
      </c>
      <c r="C23" s="111" t="s">
        <v>128</v>
      </c>
      <c r="D23" s="111" t="s">
        <v>135</v>
      </c>
      <c r="E23" s="112" t="s">
        <v>166</v>
      </c>
      <c r="F23" s="112" t="s">
        <v>161</v>
      </c>
      <c r="G23" s="112" t="s">
        <v>167</v>
      </c>
      <c r="H23" s="112" t="s">
        <v>162</v>
      </c>
      <c r="I23" s="111" t="s">
        <v>156</v>
      </c>
      <c r="J23" s="111" t="s">
        <v>170</v>
      </c>
      <c r="K23" s="128" t="s">
        <v>34</v>
      </c>
      <c r="N23" s="172"/>
      <c r="O23" s="23"/>
      <c r="P23" s="10"/>
      <c r="Q23" s="10"/>
      <c r="R23" s="10"/>
      <c r="S23" s="10"/>
      <c r="T23" s="172"/>
      <c r="U23" s="10"/>
      <c r="V23" s="10"/>
      <c r="W23" s="23"/>
      <c r="X23" s="10"/>
    </row>
    <row r="24" spans="1:24" ht="12.75">
      <c r="A24" s="55" t="s">
        <v>45</v>
      </c>
      <c r="B24" s="45"/>
      <c r="C24" s="64">
        <f>'BRA Resource Clearing Results'!E32</f>
        <v>3765.5</v>
      </c>
      <c r="D24" s="67">
        <f>'BRA Resource Clearing Results'!C9</f>
        <v>0</v>
      </c>
      <c r="E24" s="67">
        <f>('BRA Resource Clearing Results'!C21+'BRA Resource Clearing Results'!D21)*('BRA Resource Clearing Results'!E9-'BRA Resource Clearing Results'!E7)</f>
        <v>0</v>
      </c>
      <c r="F24" s="45"/>
      <c r="G24" s="67">
        <f>'BRA Resource Clearing Results'!D21*('BRA Resource Clearing Results'!G9-'BRA Resource Clearing Results'!G7)</f>
        <v>0</v>
      </c>
      <c r="H24" s="45"/>
      <c r="I24" s="96">
        <f>'BRA Resource Clearing Results'!J44</f>
        <v>0</v>
      </c>
      <c r="J24" s="45"/>
      <c r="K24" s="131"/>
      <c r="N24" s="10"/>
      <c r="O24" s="221"/>
      <c r="P24" s="10"/>
      <c r="Q24" s="10"/>
      <c r="R24" s="10"/>
      <c r="S24" s="10"/>
      <c r="T24" s="10"/>
      <c r="U24" s="10"/>
      <c r="V24" s="10"/>
      <c r="W24" s="222"/>
      <c r="X24" s="10"/>
    </row>
    <row r="25" spans="1:24" ht="12.75">
      <c r="A25" s="55" t="s">
        <v>42</v>
      </c>
      <c r="B25" s="45"/>
      <c r="C25" s="63">
        <f>'BRA Resource Clearing Results'!E22</f>
        <v>3817.5</v>
      </c>
      <c r="D25" s="67">
        <f>'BRA Resource Clearing Results'!C9+'BRA Resource Clearing Results'!C10</f>
        <v>88.5</v>
      </c>
      <c r="E25" s="67">
        <f>('BRA Resource Clearing Results'!C22+'BRA Resource Clearing Results'!D22)*('BRA Resource Clearing Results'!E10-'BRA Resource Clearing Results'!E9)</f>
        <v>0</v>
      </c>
      <c r="F25" s="45"/>
      <c r="G25" s="67">
        <f>'BRA Resource Clearing Results'!D22*('BRA Resource Clearing Results'!G10-'BRA Resource Clearing Results'!G9)</f>
        <v>0</v>
      </c>
      <c r="H25" s="45"/>
      <c r="I25" s="96">
        <f>'BRA Resource Clearing Results'!J45</f>
        <v>0</v>
      </c>
      <c r="J25" s="45"/>
      <c r="K25" s="131"/>
      <c r="N25" s="10"/>
      <c r="O25" s="221"/>
      <c r="P25" s="10"/>
      <c r="Q25" s="10"/>
      <c r="R25" s="10"/>
      <c r="S25" s="10"/>
      <c r="T25" s="10"/>
      <c r="U25" s="10"/>
      <c r="V25" s="10"/>
      <c r="W25" s="222"/>
      <c r="X25" s="10"/>
    </row>
    <row r="26" spans="1:24" ht="12.75">
      <c r="A26" s="219" t="s">
        <v>8</v>
      </c>
      <c r="B26" s="235">
        <f>J17</f>
        <v>135.25292381190783</v>
      </c>
      <c r="C26" s="63">
        <f>C25+C24</f>
        <v>7583</v>
      </c>
      <c r="D26" s="236">
        <f>(C25*D25+C24*D24)/C26</f>
        <v>44.553441909534484</v>
      </c>
      <c r="E26" s="157">
        <f>SUM(E24:E25)</f>
        <v>0</v>
      </c>
      <c r="F26" s="235">
        <f>E26/K51</f>
        <v>0</v>
      </c>
      <c r="G26" s="157">
        <f>SUM(G24:G25)</f>
        <v>0</v>
      </c>
      <c r="H26" s="235">
        <f>G26/K51</f>
        <v>0</v>
      </c>
      <c r="I26" s="96">
        <f>I24+I25</f>
        <v>0</v>
      </c>
      <c r="J26" s="237">
        <f>I26/K51</f>
        <v>0</v>
      </c>
      <c r="K26" s="229">
        <f>B26+D26+F26+H26+J26</f>
        <v>179.80636572144232</v>
      </c>
      <c r="L26" s="455">
        <f>K26-F16</f>
        <v>170.02344190953448</v>
      </c>
      <c r="N26" s="62"/>
      <c r="O26" s="223"/>
      <c r="P26" s="10"/>
      <c r="Q26" s="10"/>
      <c r="R26" s="10"/>
      <c r="S26" s="10"/>
      <c r="T26" s="62"/>
      <c r="U26" s="10"/>
      <c r="V26" s="10"/>
      <c r="W26" s="223"/>
      <c r="X26" s="10"/>
    </row>
    <row r="27" spans="1:24" ht="12.75">
      <c r="A27" s="55" t="s">
        <v>44</v>
      </c>
      <c r="B27" s="45"/>
      <c r="C27" s="63">
        <v>2858.5</v>
      </c>
      <c r="D27" s="67">
        <v>0</v>
      </c>
      <c r="E27" s="157">
        <v>0</v>
      </c>
      <c r="F27" s="157"/>
      <c r="G27" s="67">
        <v>0</v>
      </c>
      <c r="H27" s="216"/>
      <c r="I27" s="96">
        <v>0</v>
      </c>
      <c r="J27" s="45"/>
      <c r="K27" s="131"/>
      <c r="N27" s="10"/>
      <c r="O27" s="226"/>
      <c r="P27" s="10"/>
      <c r="Q27" s="10"/>
      <c r="R27" s="10"/>
      <c r="S27" s="10"/>
      <c r="T27" s="10"/>
      <c r="U27" s="10"/>
      <c r="V27" s="10"/>
      <c r="W27" s="222"/>
      <c r="X27" s="10"/>
    </row>
    <row r="28" spans="1:24" ht="12.75">
      <c r="A28" s="55" t="s">
        <v>43</v>
      </c>
      <c r="B28" s="45"/>
      <c r="C28" s="63">
        <f>'BRA Resource Clearing Results'!E23</f>
        <v>1439.1999999999998</v>
      </c>
      <c r="D28" s="95">
        <f>'BRA Resource Clearing Results'!C11</f>
        <v>0</v>
      </c>
      <c r="E28" s="157">
        <f>('BRA Resource Clearing Results'!C23+'BRA Resource Clearing Results'!D23)*('BRA Resource Clearing Results'!E11-'BRA Resource Clearing Results'!E7)</f>
        <v>0</v>
      </c>
      <c r="F28" s="45"/>
      <c r="G28" s="67">
        <f>'BRA Resource Clearing Results'!D23*('BRA Resource Clearing Results'!G11-'BRA Resource Clearing Results'!G7)</f>
        <v>0</v>
      </c>
      <c r="H28" s="45"/>
      <c r="I28" s="96">
        <f>'BRA Resource Clearing Results'!J46</f>
        <v>35693.1</v>
      </c>
      <c r="J28" s="45"/>
      <c r="K28" s="131"/>
      <c r="N28" s="10"/>
      <c r="O28" s="224"/>
      <c r="P28" s="10"/>
      <c r="Q28" s="10"/>
      <c r="R28" s="10"/>
      <c r="S28" s="10"/>
      <c r="T28" s="10"/>
      <c r="U28" s="10"/>
      <c r="V28" s="10"/>
      <c r="W28" s="225"/>
      <c r="X28" s="10"/>
    </row>
    <row r="29" spans="1:24" ht="13.5" thickBot="1">
      <c r="A29" s="220" t="s">
        <v>17</v>
      </c>
      <c r="B29" s="238">
        <f>J17</f>
        <v>135.25292381190783</v>
      </c>
      <c r="C29" s="132">
        <f>C27+C28</f>
        <v>4297.7</v>
      </c>
      <c r="D29" s="239">
        <f>(C28*D28+C27*D27)/C29</f>
        <v>0</v>
      </c>
      <c r="E29" s="158">
        <f>SUM(E27:E28)</f>
        <v>0</v>
      </c>
      <c r="F29" s="238">
        <f>E29/K44</f>
        <v>0</v>
      </c>
      <c r="G29" s="158">
        <f>SUM(G27:G28)</f>
        <v>0</v>
      </c>
      <c r="H29" s="238">
        <f>G29/K44</f>
        <v>0</v>
      </c>
      <c r="I29" s="240">
        <f>I27+I28</f>
        <v>35693.1</v>
      </c>
      <c r="J29" s="241">
        <f>I29/K44</f>
        <v>7.7335609142043795</v>
      </c>
      <c r="K29" s="230">
        <f>B29+D29+F29+H29+J29</f>
        <v>142.98648472611222</v>
      </c>
      <c r="N29" s="62"/>
      <c r="O29" s="75"/>
      <c r="P29" s="10"/>
      <c r="Q29" s="10"/>
      <c r="R29" s="10"/>
      <c r="S29" s="10"/>
      <c r="T29" s="62"/>
      <c r="U29" s="10"/>
      <c r="V29" s="10"/>
      <c r="W29" s="223"/>
      <c r="X29" s="10"/>
    </row>
    <row r="30" spans="1:24" ht="12.75">
      <c r="A30" s="800"/>
      <c r="B30" s="800"/>
      <c r="C30" s="800"/>
      <c r="D30" s="800"/>
      <c r="E30" s="800"/>
      <c r="F30" s="800"/>
      <c r="G30" s="80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13" ht="13.5" thickBot="1">
      <c r="A31" s="10"/>
      <c r="B31" s="9"/>
      <c r="C31" s="9"/>
      <c r="D31" s="9"/>
      <c r="E31" s="72"/>
      <c r="F31" s="44" t="s">
        <v>24</v>
      </c>
      <c r="G31" s="5"/>
      <c r="H31" s="5"/>
      <c r="I31" s="5"/>
      <c r="J31" s="5"/>
      <c r="K31" s="5"/>
      <c r="L31" s="13"/>
      <c r="M31" s="13"/>
    </row>
    <row r="32" spans="1:13" s="2" customFormat="1" ht="19.5" thickBot="1">
      <c r="A32" s="108" t="s">
        <v>49</v>
      </c>
      <c r="B32" s="3"/>
      <c r="E32" s="86"/>
      <c r="F32" s="86"/>
      <c r="G32" s="86"/>
      <c r="H32" s="86"/>
      <c r="I32" s="86"/>
      <c r="J32" s="86"/>
      <c r="K32" s="86"/>
      <c r="L32" s="43"/>
      <c r="M32" s="34"/>
    </row>
    <row r="33" spans="1:13" ht="54.75" customHeight="1">
      <c r="A33" s="101" t="s">
        <v>7</v>
      </c>
      <c r="B33" s="102" t="s">
        <v>28</v>
      </c>
      <c r="C33" s="102" t="s">
        <v>27</v>
      </c>
      <c r="D33" s="102" t="s">
        <v>36</v>
      </c>
      <c r="E33" s="102" t="s">
        <v>70</v>
      </c>
      <c r="F33" s="102" t="s">
        <v>22</v>
      </c>
      <c r="G33" s="102" t="s">
        <v>72</v>
      </c>
      <c r="H33" s="102" t="s">
        <v>31</v>
      </c>
      <c r="I33" s="103" t="s">
        <v>23</v>
      </c>
      <c r="J33" s="103" t="s">
        <v>25</v>
      </c>
      <c r="K33" s="103" t="s">
        <v>26</v>
      </c>
      <c r="L33" s="210" t="s">
        <v>37</v>
      </c>
      <c r="M33" s="85"/>
    </row>
    <row r="34" spans="1:17" ht="12.75">
      <c r="A34" s="55" t="s">
        <v>16</v>
      </c>
      <c r="B34" s="98" t="s">
        <v>30</v>
      </c>
      <c r="C34" s="98" t="s">
        <v>41</v>
      </c>
      <c r="D34" s="98"/>
      <c r="E34" s="99">
        <v>2550</v>
      </c>
      <c r="F34" s="91">
        <v>1.0874509803921568</v>
      </c>
      <c r="G34" s="92">
        <f>E34*F34</f>
        <v>2773</v>
      </c>
      <c r="H34" s="93">
        <f aca="true" t="shared" si="0" ref="H34:H52">$B$9*G34/$G$53</f>
        <v>74.9338741032612</v>
      </c>
      <c r="I34" s="94">
        <f>$B$10</f>
        <v>1.0111355134711932</v>
      </c>
      <c r="J34" s="94">
        <f>I34*F34</f>
        <v>1.099560305433576</v>
      </c>
      <c r="K34" s="92">
        <f>E34*J34*$B$6+H34</f>
        <v>3105.6464461683</v>
      </c>
      <c r="L34" s="227">
        <f>J17</f>
        <v>135.25292381190783</v>
      </c>
      <c r="M34" s="10"/>
      <c r="Q34" s="11"/>
    </row>
    <row r="35" spans="1:17" ht="12.75">
      <c r="A35" s="55" t="s">
        <v>60</v>
      </c>
      <c r="B35" s="98"/>
      <c r="C35" s="98"/>
      <c r="D35" s="98"/>
      <c r="E35" s="99">
        <v>2128.4</v>
      </c>
      <c r="F35" s="91">
        <v>1.0807212822796082</v>
      </c>
      <c r="G35" s="92">
        <f aca="true" t="shared" si="1" ref="G35:G52">E35*F35</f>
        <v>2300.207177203918</v>
      </c>
      <c r="H35" s="93">
        <f t="shared" si="0"/>
        <v>62.15774793653669</v>
      </c>
      <c r="I35" s="94">
        <f aca="true" t="shared" si="2" ref="I35:I41">$B$10</f>
        <v>1.0111355134711932</v>
      </c>
      <c r="J35" s="94">
        <f aca="true" t="shared" si="3" ref="J35:J52">I35*F35</f>
        <v>1.0927556686770379</v>
      </c>
      <c r="K35" s="92">
        <f aca="true" t="shared" si="4" ref="K35:K52">E35*J35*$B$6+H35</f>
        <v>2576.137845414412</v>
      </c>
      <c r="L35" s="227">
        <f>J15</f>
        <v>125.9362888495004</v>
      </c>
      <c r="M35" s="10"/>
      <c r="Q35" s="11"/>
    </row>
    <row r="36" spans="1:17" ht="12.75">
      <c r="A36" s="55" t="s">
        <v>19</v>
      </c>
      <c r="B36" s="98" t="s">
        <v>24</v>
      </c>
      <c r="C36" s="98"/>
      <c r="D36" s="98"/>
      <c r="E36" s="99">
        <v>8280</v>
      </c>
      <c r="F36" s="91">
        <v>1.0433574879227052</v>
      </c>
      <c r="G36" s="92">
        <f t="shared" si="1"/>
        <v>8639</v>
      </c>
      <c r="H36" s="93">
        <f t="shared" si="0"/>
        <v>233.44887788607053</v>
      </c>
      <c r="I36" s="94">
        <f t="shared" si="2"/>
        <v>1.0111355134711932</v>
      </c>
      <c r="J36" s="94">
        <f t="shared" si="3"/>
        <v>1.0549758092847388</v>
      </c>
      <c r="K36" s="92">
        <f t="shared" si="4"/>
        <v>9675.326234564709</v>
      </c>
      <c r="L36" s="227">
        <f>J15</f>
        <v>125.9362888495004</v>
      </c>
      <c r="M36" s="10"/>
      <c r="Q36" s="11"/>
    </row>
    <row r="37" spans="1:17" ht="12.75">
      <c r="A37" s="55" t="s">
        <v>53</v>
      </c>
      <c r="B37" s="98"/>
      <c r="C37" s="98"/>
      <c r="D37" s="98"/>
      <c r="E37" s="99">
        <v>12600</v>
      </c>
      <c r="F37" s="91">
        <v>1.0747619047619048</v>
      </c>
      <c r="G37" s="92">
        <f t="shared" si="1"/>
        <v>13542</v>
      </c>
      <c r="H37" s="93">
        <f t="shared" si="0"/>
        <v>365.94104691899145</v>
      </c>
      <c r="I37" s="94">
        <f t="shared" si="2"/>
        <v>1.0111355134711932</v>
      </c>
      <c r="J37" s="94">
        <f t="shared" si="3"/>
        <v>1.0867299304307063</v>
      </c>
      <c r="K37" s="92">
        <f t="shared" si="4"/>
        <v>15166.485457631126</v>
      </c>
      <c r="L37" s="227">
        <f>J15</f>
        <v>125.9362888495004</v>
      </c>
      <c r="M37" s="10"/>
      <c r="Q37" s="11"/>
    </row>
    <row r="38" spans="1:17" ht="12.75">
      <c r="A38" s="55" t="s">
        <v>11</v>
      </c>
      <c r="B38" s="98" t="s">
        <v>30</v>
      </c>
      <c r="C38" s="98" t="s">
        <v>5</v>
      </c>
      <c r="D38" s="98"/>
      <c r="E38" s="99">
        <v>7080</v>
      </c>
      <c r="F38" s="91">
        <v>1.04590395480226</v>
      </c>
      <c r="G38" s="92">
        <f t="shared" si="1"/>
        <v>7405</v>
      </c>
      <c r="H38" s="93">
        <f t="shared" si="0"/>
        <v>200.10289857001416</v>
      </c>
      <c r="I38" s="94">
        <f t="shared" si="2"/>
        <v>1.0111355134711932</v>
      </c>
      <c r="J38" s="94">
        <f t="shared" si="3"/>
        <v>1.0575506323805348</v>
      </c>
      <c r="K38" s="92">
        <f t="shared" si="4"/>
        <v>8293.296766634065</v>
      </c>
      <c r="L38" s="227">
        <f>J18</f>
        <v>135.25292381190783</v>
      </c>
      <c r="M38" s="10"/>
      <c r="Q38" s="11"/>
    </row>
    <row r="39" spans="1:17" ht="12.75">
      <c r="A39" s="55" t="s">
        <v>20</v>
      </c>
      <c r="B39" s="98"/>
      <c r="C39" s="98"/>
      <c r="D39" s="98"/>
      <c r="E39" s="99">
        <v>21580</v>
      </c>
      <c r="F39" s="91">
        <v>1.0958758109360518</v>
      </c>
      <c r="G39" s="92">
        <f t="shared" si="1"/>
        <v>23648.999999999996</v>
      </c>
      <c r="H39" s="93">
        <f t="shared" si="0"/>
        <v>639.0592097612781</v>
      </c>
      <c r="I39" s="94">
        <f t="shared" si="2"/>
        <v>1.0111355134711932</v>
      </c>
      <c r="J39" s="94">
        <f t="shared" si="3"/>
        <v>1.108078950791485</v>
      </c>
      <c r="K39" s="92">
        <f t="shared" si="4"/>
        <v>26485.911577870214</v>
      </c>
      <c r="L39" s="227">
        <f>J15</f>
        <v>125.9362888495004</v>
      </c>
      <c r="M39" s="10"/>
      <c r="Q39" s="11"/>
    </row>
    <row r="40" spans="1:17" ht="12.75">
      <c r="A40" s="55" t="s">
        <v>21</v>
      </c>
      <c r="B40" s="98"/>
      <c r="C40" s="98"/>
      <c r="D40" s="98"/>
      <c r="E40" s="99">
        <v>3340</v>
      </c>
      <c r="F40" s="91">
        <v>1.067065868263473</v>
      </c>
      <c r="G40" s="92">
        <f t="shared" si="1"/>
        <v>3564</v>
      </c>
      <c r="H40" s="93">
        <f t="shared" si="0"/>
        <v>96.3088089808954</v>
      </c>
      <c r="I40" s="94">
        <f t="shared" si="2"/>
        <v>1.0111355134711932</v>
      </c>
      <c r="J40" s="94">
        <f>I40*F40</f>
        <v>1.0789481946141715</v>
      </c>
      <c r="K40" s="92">
        <f t="shared" si="4"/>
        <v>3991.5340548661443</v>
      </c>
      <c r="L40" s="227">
        <f>J15</f>
        <v>125.9362888495004</v>
      </c>
      <c r="M40" s="10"/>
      <c r="Q40" s="11"/>
    </row>
    <row r="41" spans="1:17" ht="12.75">
      <c r="A41" s="55" t="s">
        <v>69</v>
      </c>
      <c r="B41" s="98"/>
      <c r="C41" s="98"/>
      <c r="D41" s="98"/>
      <c r="E41" s="99">
        <v>225.3</v>
      </c>
      <c r="F41" s="91">
        <v>1.103398519081071</v>
      </c>
      <c r="G41" s="92">
        <f t="shared" si="1"/>
        <v>248.59568634896527</v>
      </c>
      <c r="H41" s="93">
        <f t="shared" si="0"/>
        <v>6.7177201094436265</v>
      </c>
      <c r="I41" s="94">
        <f t="shared" si="2"/>
        <v>1.0111355134711932</v>
      </c>
      <c r="J41" s="94">
        <f>I41*F41</f>
        <v>1.1156854281543929</v>
      </c>
      <c r="K41" s="92">
        <f t="shared" si="4"/>
        <v>278.41698876395</v>
      </c>
      <c r="L41" s="227">
        <f>J15</f>
        <v>125.9362888495004</v>
      </c>
      <c r="M41" s="10"/>
      <c r="Q41" s="11"/>
    </row>
    <row r="42" spans="1:17" ht="12.75">
      <c r="A42" s="55" t="s">
        <v>52</v>
      </c>
      <c r="B42" s="98"/>
      <c r="C42" s="98"/>
      <c r="D42" s="98"/>
      <c r="E42" s="99">
        <v>2800</v>
      </c>
      <c r="F42" s="91">
        <v>1.0575</v>
      </c>
      <c r="G42" s="92">
        <f t="shared" si="1"/>
        <v>2961.0000000000005</v>
      </c>
      <c r="H42" s="93">
        <f t="shared" si="0"/>
        <v>80.01413675432978</v>
      </c>
      <c r="I42" s="94">
        <f aca="true" t="shared" si="5" ref="I42:I52">$B$10</f>
        <v>1.0111355134711932</v>
      </c>
      <c r="J42" s="94">
        <f>I42*F42</f>
        <v>1.069275805495787</v>
      </c>
      <c r="K42" s="92">
        <f t="shared" si="4"/>
        <v>3316.1987476034387</v>
      </c>
      <c r="L42" s="227">
        <f>J15</f>
        <v>125.9362888495004</v>
      </c>
      <c r="M42" s="10"/>
      <c r="Q42" s="11"/>
    </row>
    <row r="43" spans="1:17" ht="12.75">
      <c r="A43" s="55" t="s">
        <v>33</v>
      </c>
      <c r="B43" s="98"/>
      <c r="C43" s="98"/>
      <c r="D43" s="98"/>
      <c r="E43" s="99">
        <v>18960</v>
      </c>
      <c r="F43" s="91">
        <v>1.0874472573839662</v>
      </c>
      <c r="G43" s="92">
        <f t="shared" si="1"/>
        <v>20618</v>
      </c>
      <c r="H43" s="93">
        <f t="shared" si="0"/>
        <v>557.1534858496357</v>
      </c>
      <c r="I43" s="94">
        <f t="shared" si="5"/>
        <v>1.0111355134711932</v>
      </c>
      <c r="J43" s="94">
        <f t="shared" si="3"/>
        <v>1.0995565409677774</v>
      </c>
      <c r="K43" s="92">
        <f t="shared" si="4"/>
        <v>23091.315696753692</v>
      </c>
      <c r="L43" s="227">
        <f>J15</f>
        <v>125.9362888495004</v>
      </c>
      <c r="M43" s="10"/>
      <c r="Q43" s="11"/>
    </row>
    <row r="44" spans="1:17" ht="12.75">
      <c r="A44" s="55" t="s">
        <v>17</v>
      </c>
      <c r="B44" s="98" t="s">
        <v>30</v>
      </c>
      <c r="C44" s="98" t="s">
        <v>41</v>
      </c>
      <c r="D44" s="98" t="s">
        <v>17</v>
      </c>
      <c r="E44" s="99">
        <v>3900</v>
      </c>
      <c r="F44" s="91">
        <v>1.0566666666666666</v>
      </c>
      <c r="G44" s="92">
        <f t="shared" si="1"/>
        <v>4121</v>
      </c>
      <c r="H44" s="93">
        <f t="shared" si="0"/>
        <v>111.3604382183698</v>
      </c>
      <c r="I44" s="94">
        <f t="shared" si="5"/>
        <v>1.0111355134711932</v>
      </c>
      <c r="J44" s="94">
        <f t="shared" si="3"/>
        <v>1.0684331925678943</v>
      </c>
      <c r="K44" s="92">
        <f t="shared" si="4"/>
        <v>4615.351245820253</v>
      </c>
      <c r="L44" s="227">
        <f>K29</f>
        <v>142.98648472611222</v>
      </c>
      <c r="M44" s="10"/>
      <c r="Q44" s="11"/>
    </row>
    <row r="45" spans="1:17" ht="12.75">
      <c r="A45" s="55" t="s">
        <v>12</v>
      </c>
      <c r="B45" s="98" t="s">
        <v>30</v>
      </c>
      <c r="C45" s="98" t="s">
        <v>41</v>
      </c>
      <c r="D45" s="98"/>
      <c r="E45" s="99">
        <v>6080</v>
      </c>
      <c r="F45" s="91">
        <v>1.0754934210526317</v>
      </c>
      <c r="G45" s="92">
        <f t="shared" si="1"/>
        <v>6539.000000000001</v>
      </c>
      <c r="H45" s="93">
        <f t="shared" si="0"/>
        <v>176.70126316668774</v>
      </c>
      <c r="I45" s="94">
        <f t="shared" si="5"/>
        <v>1.0111355134711932</v>
      </c>
      <c r="J45" s="94">
        <f t="shared" si="3"/>
        <v>1.087469592530943</v>
      </c>
      <c r="K45" s="92">
        <f t="shared" si="4"/>
        <v>7323.4122291722015</v>
      </c>
      <c r="L45" s="227">
        <f>J17</f>
        <v>135.25292381190783</v>
      </c>
      <c r="M45" s="10"/>
      <c r="Q45" s="11"/>
    </row>
    <row r="46" spans="1:17" ht="12.75">
      <c r="A46" s="55" t="s">
        <v>13</v>
      </c>
      <c r="B46" s="98" t="s">
        <v>30</v>
      </c>
      <c r="C46" s="98"/>
      <c r="D46" s="98"/>
      <c r="E46" s="99">
        <v>2720</v>
      </c>
      <c r="F46" s="91">
        <v>1.1216911764705881</v>
      </c>
      <c r="G46" s="92">
        <f t="shared" si="1"/>
        <v>3050.9999999999995</v>
      </c>
      <c r="H46" s="93">
        <f t="shared" si="0"/>
        <v>82.44617738516044</v>
      </c>
      <c r="I46" s="94">
        <f t="shared" si="5"/>
        <v>1.0111355134711932</v>
      </c>
      <c r="J46" s="94">
        <f t="shared" si="3"/>
        <v>1.134181783676695</v>
      </c>
      <c r="K46" s="92">
        <f t="shared" si="4"/>
        <v>3416.99506212026</v>
      </c>
      <c r="L46" s="227">
        <f>J16</f>
        <v>135.25292381190783</v>
      </c>
      <c r="M46" s="10"/>
      <c r="Q46" s="11"/>
    </row>
    <row r="47" spans="1:17" ht="12.75">
      <c r="A47" s="55" t="s">
        <v>9</v>
      </c>
      <c r="B47" s="98" t="s">
        <v>30</v>
      </c>
      <c r="C47" s="98" t="s">
        <v>41</v>
      </c>
      <c r="D47" s="98"/>
      <c r="E47" s="99">
        <v>8270</v>
      </c>
      <c r="F47" s="91">
        <v>1.0775090689238211</v>
      </c>
      <c r="G47" s="92">
        <f t="shared" si="1"/>
        <v>8911</v>
      </c>
      <c r="H47" s="93">
        <f t="shared" si="0"/>
        <v>240.7990451259144</v>
      </c>
      <c r="I47" s="94">
        <f t="shared" si="5"/>
        <v>1.0111355134711932</v>
      </c>
      <c r="J47" s="94">
        <f t="shared" si="3"/>
        <v>1.0895076856761552</v>
      </c>
      <c r="K47" s="92">
        <f t="shared" si="4"/>
        <v>9979.95509621555</v>
      </c>
      <c r="L47" s="227">
        <f>J17</f>
        <v>135.25292381190783</v>
      </c>
      <c r="M47" s="10"/>
      <c r="Q47" s="11"/>
    </row>
    <row r="48" spans="1:17" ht="12.75">
      <c r="A48" s="55" t="s">
        <v>14</v>
      </c>
      <c r="B48" s="98" t="s">
        <v>30</v>
      </c>
      <c r="C48" s="98"/>
      <c r="D48" s="98"/>
      <c r="E48" s="99">
        <v>2630</v>
      </c>
      <c r="F48" s="91">
        <v>1.135361216730038</v>
      </c>
      <c r="G48" s="92">
        <f t="shared" si="1"/>
        <v>2986</v>
      </c>
      <c r="H48" s="93">
        <f t="shared" si="0"/>
        <v>80.68970359622718</v>
      </c>
      <c r="I48" s="94">
        <f t="shared" si="5"/>
        <v>1.0111355134711932</v>
      </c>
      <c r="J48" s="94">
        <f t="shared" si="3"/>
        <v>1.1480040468536057</v>
      </c>
      <c r="K48" s="92">
        <f t="shared" si="4"/>
        <v>3344.1977238581107</v>
      </c>
      <c r="L48" s="227">
        <f>J16</f>
        <v>135.25292381190783</v>
      </c>
      <c r="M48" s="10"/>
      <c r="Q48" s="11"/>
    </row>
    <row r="49" spans="1:17" ht="12.75">
      <c r="A49" s="55" t="s">
        <v>15</v>
      </c>
      <c r="B49" s="98" t="s">
        <v>30</v>
      </c>
      <c r="C49" s="98" t="s">
        <v>5</v>
      </c>
      <c r="D49" s="98" t="s">
        <v>15</v>
      </c>
      <c r="E49" s="99">
        <v>6730</v>
      </c>
      <c r="F49" s="91">
        <v>1.0395245170876672</v>
      </c>
      <c r="G49" s="92">
        <f t="shared" si="1"/>
        <v>6996.000000000001</v>
      </c>
      <c r="H49" s="93">
        <f t="shared" si="0"/>
        <v>189.05062503657248</v>
      </c>
      <c r="I49" s="94">
        <f t="shared" si="5"/>
        <v>1.0111355134711932</v>
      </c>
      <c r="J49" s="94">
        <f t="shared" si="3"/>
        <v>1.0511001563513327</v>
      </c>
      <c r="K49" s="92">
        <f t="shared" si="4"/>
        <v>7835.2335151076195</v>
      </c>
      <c r="L49" s="227">
        <f>J19</f>
        <v>135.25292381190783</v>
      </c>
      <c r="M49" s="10"/>
      <c r="Q49" s="11"/>
    </row>
    <row r="50" spans="1:17" ht="12.75">
      <c r="A50" s="55" t="s">
        <v>10</v>
      </c>
      <c r="B50" s="98" t="s">
        <v>30</v>
      </c>
      <c r="C50" s="98"/>
      <c r="D50" s="98"/>
      <c r="E50" s="99">
        <v>6950</v>
      </c>
      <c r="F50" s="91">
        <v>1.0912230215827339</v>
      </c>
      <c r="G50" s="92">
        <f t="shared" si="1"/>
        <v>7584</v>
      </c>
      <c r="H50" s="93">
        <f t="shared" si="0"/>
        <v>204.93995715799963</v>
      </c>
      <c r="I50" s="94">
        <f t="shared" si="5"/>
        <v>1.0111355134711932</v>
      </c>
      <c r="J50" s="94">
        <f t="shared" si="3"/>
        <v>1.1033743502396447</v>
      </c>
      <c r="K50" s="92">
        <f t="shared" si="4"/>
        <v>8493.769436617522</v>
      </c>
      <c r="L50" s="227">
        <f>J16</f>
        <v>135.25292381190783</v>
      </c>
      <c r="M50" s="10"/>
      <c r="Q50" s="11"/>
    </row>
    <row r="51" spans="1:17" ht="12.75">
      <c r="A51" s="55" t="s">
        <v>8</v>
      </c>
      <c r="B51" s="98" t="s">
        <v>30</v>
      </c>
      <c r="C51" s="98" t="s">
        <v>41</v>
      </c>
      <c r="D51" s="98" t="s">
        <v>8</v>
      </c>
      <c r="E51" s="99">
        <v>10340</v>
      </c>
      <c r="F51" s="91">
        <v>1.054255319148936</v>
      </c>
      <c r="G51" s="92">
        <f t="shared" si="1"/>
        <v>10901</v>
      </c>
      <c r="H51" s="93">
        <f t="shared" si="0"/>
        <v>294.5741657409486</v>
      </c>
      <c r="I51" s="94">
        <f t="shared" si="5"/>
        <v>1.0111355134711932</v>
      </c>
      <c r="J51" s="94">
        <f t="shared" si="3"/>
        <v>1.0659949934573962</v>
      </c>
      <c r="K51" s="92">
        <f t="shared" si="4"/>
        <v>12208.673606087497</v>
      </c>
      <c r="L51" s="227">
        <f>K26</f>
        <v>179.80636572144232</v>
      </c>
      <c r="M51" s="10"/>
      <c r="Q51" s="11"/>
    </row>
    <row r="52" spans="1:17" ht="13.5" thickBot="1">
      <c r="A52" s="57" t="s">
        <v>18</v>
      </c>
      <c r="B52" s="104" t="s">
        <v>30</v>
      </c>
      <c r="C52" s="104" t="s">
        <v>41</v>
      </c>
      <c r="D52" s="104"/>
      <c r="E52" s="105">
        <v>410</v>
      </c>
      <c r="F52" s="91">
        <v>1.0560975609756098</v>
      </c>
      <c r="G52" s="92">
        <f t="shared" si="1"/>
        <v>433</v>
      </c>
      <c r="H52" s="106">
        <f t="shared" si="0"/>
        <v>11.700817701663219</v>
      </c>
      <c r="I52" s="107">
        <f t="shared" si="5"/>
        <v>1.0111355134711932</v>
      </c>
      <c r="J52" s="107">
        <f t="shared" si="3"/>
        <v>1.067857749592748</v>
      </c>
      <c r="K52" s="92">
        <f t="shared" si="4"/>
        <v>484.9422687309317</v>
      </c>
      <c r="L52" s="228">
        <f>J17</f>
        <v>135.25292381190783</v>
      </c>
      <c r="M52" s="10"/>
      <c r="Q52" s="11"/>
    </row>
    <row r="53" spans="1:13" ht="13.5" thickBot="1">
      <c r="A53" s="193" t="s">
        <v>110</v>
      </c>
      <c r="B53" s="12"/>
      <c r="E53" s="100">
        <f>SUM(E34:E52)</f>
        <v>127573.70000000001</v>
      </c>
      <c r="F53" s="59"/>
      <c r="G53" s="89">
        <f>SUM(G34:G52)</f>
        <v>137221.80286355288</v>
      </c>
      <c r="H53" s="89">
        <f>SUM(H34:H52)</f>
        <v>3708.1</v>
      </c>
      <c r="I53" s="4"/>
      <c r="J53" s="4"/>
      <c r="K53" s="90">
        <f>SUM(K34:K52)</f>
        <v>153682.80000000002</v>
      </c>
      <c r="L53" s="27"/>
      <c r="M53" s="27"/>
    </row>
    <row r="54" ht="12.75">
      <c r="A54" s="193" t="s">
        <v>61</v>
      </c>
    </row>
    <row r="55" spans="1:12" ht="30.75" customHeight="1">
      <c r="A55" s="801" t="s">
        <v>123</v>
      </c>
      <c r="B55" s="801"/>
      <c r="C55" s="801"/>
      <c r="D55" s="801"/>
      <c r="E55" s="801"/>
      <c r="F55" s="801"/>
      <c r="G55" s="801"/>
      <c r="H55" s="801"/>
      <c r="I55" s="801"/>
      <c r="J55" s="801"/>
      <c r="K55" s="801"/>
      <c r="L55" s="801"/>
    </row>
    <row r="56" spans="1:10" ht="12.75">
      <c r="A56" s="12"/>
      <c r="C56" s="7"/>
      <c r="D56" s="7"/>
      <c r="E56" s="11"/>
      <c r="F56" s="7"/>
      <c r="G56" s="7"/>
      <c r="I56" s="7"/>
      <c r="J56" s="7"/>
    </row>
    <row r="57" spans="1:10" ht="12.75">
      <c r="A57" s="12"/>
      <c r="C57" s="7"/>
      <c r="D57" s="7"/>
      <c r="E57" s="11"/>
      <c r="F57" s="7"/>
      <c r="G57" s="7"/>
      <c r="I57" s="7"/>
      <c r="J57" s="7"/>
    </row>
    <row r="59" ht="15">
      <c r="A59" s="77"/>
    </row>
    <row r="70" ht="12.75">
      <c r="B70" s="6" t="s">
        <v>24</v>
      </c>
    </row>
    <row r="71" ht="12.75">
      <c r="B71" s="6" t="s">
        <v>24</v>
      </c>
    </row>
    <row r="72" spans="2:4" ht="12.75">
      <c r="B72" s="6" t="s">
        <v>24</v>
      </c>
      <c r="C72" s="6" t="s">
        <v>24</v>
      </c>
      <c r="D72" s="6" t="s">
        <v>24</v>
      </c>
    </row>
    <row r="73" ht="12.75">
      <c r="B73" s="6" t="s">
        <v>24</v>
      </c>
    </row>
    <row r="74" ht="12.75">
      <c r="B74" s="6" t="s">
        <v>24</v>
      </c>
    </row>
    <row r="75" ht="12.75">
      <c r="B75" s="6" t="s">
        <v>24</v>
      </c>
    </row>
  </sheetData>
  <sheetProtection/>
  <mergeCells count="2">
    <mergeCell ref="A30:G30"/>
    <mergeCell ref="A55:L55"/>
  </mergeCells>
  <printOptions gridLines="1" horizontalCentered="1" verticalCentered="1"/>
  <pageMargins left="0.45" right="0.45" top="0.5" bottom="0.5" header="0.3" footer="0.3"/>
  <pageSetup fitToHeight="1" fitToWidth="1" horizontalDpi="600" verticalDpi="600" orientation="landscape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3" width="12.7109375" style="0" customWidth="1"/>
    <col min="4" max="4" width="15.421875" style="0" customWidth="1"/>
    <col min="5" max="6" width="15.7109375" style="0" customWidth="1"/>
    <col min="7" max="7" width="19.140625" style="0" customWidth="1"/>
    <col min="8" max="10" width="15.7109375" style="0" customWidth="1"/>
    <col min="11" max="11" width="17.28125" style="0" bestFit="1" customWidth="1"/>
    <col min="12" max="18" width="15.7109375" style="0" customWidth="1"/>
    <col min="19" max="19" width="17.28125" style="0" customWidth="1"/>
    <col min="20" max="20" width="15.7109375" style="0" customWidth="1"/>
  </cols>
  <sheetData>
    <row r="1" spans="1:17" ht="18.75">
      <c r="A1" s="24" t="s">
        <v>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9.5" thickBot="1">
      <c r="A2" s="1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9.5" thickBot="1">
      <c r="A3" s="125" t="s">
        <v>104</v>
      </c>
      <c r="B3" s="1"/>
      <c r="C3" s="1"/>
      <c r="D3" s="1"/>
      <c r="E3" s="78"/>
      <c r="F3" s="6"/>
      <c r="G3" s="6"/>
      <c r="H3" s="19" t="s">
        <v>24</v>
      </c>
      <c r="I3" s="79"/>
      <c r="J3" s="19"/>
      <c r="K3" s="19"/>
      <c r="L3" s="19"/>
      <c r="Q3" s="19"/>
    </row>
    <row r="4" spans="1:14" ht="96" customHeight="1">
      <c r="A4" s="178" t="s">
        <v>3</v>
      </c>
      <c r="B4" s="112" t="s">
        <v>105</v>
      </c>
      <c r="C4" s="112" t="s">
        <v>106</v>
      </c>
      <c r="D4" s="112" t="s">
        <v>31</v>
      </c>
      <c r="E4" s="112" t="s">
        <v>107</v>
      </c>
      <c r="F4" s="111" t="s">
        <v>108</v>
      </c>
      <c r="G4" s="111" t="s">
        <v>129</v>
      </c>
      <c r="H4" s="111" t="s">
        <v>118</v>
      </c>
      <c r="I4" s="111" t="s">
        <v>180</v>
      </c>
      <c r="J4" s="128" t="s">
        <v>46</v>
      </c>
      <c r="K4" s="23"/>
      <c r="N4" s="23"/>
    </row>
    <row r="5" spans="1:14" ht="12.75">
      <c r="A5" s="179" t="s">
        <v>30</v>
      </c>
      <c r="B5" s="194">
        <f>'BRA Load Pricing Results'!B16</f>
        <v>69101.47339653231</v>
      </c>
      <c r="C5" s="194">
        <f>'BRA Resource Clearing Results'!E18</f>
        <v>67176</v>
      </c>
      <c r="D5" s="63">
        <f>'BRA Load Pricing Results'!H34+'BRA Load Pricing Results'!H38+'BRA Load Pricing Results'!H44+'BRA Load Pricing Results'!H45+'BRA Load Pricing Results'!H46+'BRA Load Pricing Results'!H47+'BRA Load Pricing Results'!H48+'BRA Load Pricing Results'!H49+'BRA Load Pricing Results'!H50+'BRA Load Pricing Results'!H51+'BRA Load Pricing Results'!H52</f>
        <v>1667.2989658028187</v>
      </c>
      <c r="E5" s="176">
        <f aca="true" t="shared" si="0" ref="E5:E10">B5-C5-D5</f>
        <v>258.17443072949163</v>
      </c>
      <c r="F5" s="63">
        <f>'BRA Resource Clearing Results'!B52</f>
        <v>0</v>
      </c>
      <c r="G5" s="63">
        <f aca="true" t="shared" si="1" ref="G5:G10">E5-F5</f>
        <v>258.17443072949163</v>
      </c>
      <c r="H5" s="63">
        <f>'BRA ICTRs'!C15</f>
        <v>93.08329815417045</v>
      </c>
      <c r="I5" s="63">
        <f>'BRA ICTRs'!C9+'BRA ICTRs'!C12</f>
        <v>165.09113257532118</v>
      </c>
      <c r="J5" s="63">
        <f aca="true" t="shared" si="2" ref="J5:J10">G5-H5-I5</f>
        <v>0</v>
      </c>
      <c r="K5" s="177"/>
      <c r="N5" s="9"/>
    </row>
    <row r="6" spans="1:14" ht="12.75">
      <c r="A6" s="179" t="s">
        <v>41</v>
      </c>
      <c r="B6" s="194">
        <f>'BRA Load Pricing Results'!B17</f>
        <v>37717.98089219473</v>
      </c>
      <c r="C6" s="194">
        <f>'BRA Resource Clearing Results'!E19</f>
        <v>32554</v>
      </c>
      <c r="D6" s="63">
        <f>'BRA Load Pricing Results'!H34+'BRA Load Pricing Results'!H44+'BRA Load Pricing Results'!H45+'BRA Load Pricing Results'!H47+'BRA Load Pricing Results'!H51+'BRA Load Pricing Results'!H52</f>
        <v>910.069604056845</v>
      </c>
      <c r="E6" s="176">
        <f t="shared" si="0"/>
        <v>4253.911288137888</v>
      </c>
      <c r="F6" s="63">
        <f>'BRA Resource Clearing Results'!B53</f>
        <v>0</v>
      </c>
      <c r="G6" s="63">
        <f t="shared" si="1"/>
        <v>4253.911288137888</v>
      </c>
      <c r="H6" s="63">
        <v>0</v>
      </c>
      <c r="I6" s="63">
        <v>0</v>
      </c>
      <c r="J6" s="180">
        <f t="shared" si="2"/>
        <v>4253.911288137888</v>
      </c>
      <c r="K6" s="177"/>
      <c r="N6" s="9" t="s">
        <v>24</v>
      </c>
    </row>
    <row r="7" spans="1:14" ht="12.75">
      <c r="A7" s="179" t="s">
        <v>5</v>
      </c>
      <c r="B7" s="194">
        <f>'BRA Load Pricing Results'!B18</f>
        <v>16128.530281741685</v>
      </c>
      <c r="C7" s="194">
        <f>'BRA Resource Clearing Results'!E20</f>
        <v>11124.1</v>
      </c>
      <c r="D7" s="63">
        <f>'BRA Load Pricing Results'!H38+'BRA Load Pricing Results'!H49</f>
        <v>389.15352360658665</v>
      </c>
      <c r="E7" s="176">
        <f t="shared" si="0"/>
        <v>4615.276758135098</v>
      </c>
      <c r="F7" s="63">
        <f>'BRA Resource Clearing Results'!B54</f>
        <v>0</v>
      </c>
      <c r="G7" s="63">
        <f t="shared" si="1"/>
        <v>4615.276758135098</v>
      </c>
      <c r="H7" s="63">
        <f>'BRA ICTRs'!D15</f>
        <v>0</v>
      </c>
      <c r="I7" s="63">
        <f>('BRA ICTRs'!D9+'BRA ICTRs'!D12)</f>
        <v>237</v>
      </c>
      <c r="J7" s="180">
        <f t="shared" si="2"/>
        <v>4378.276758135098</v>
      </c>
      <c r="K7" s="177"/>
      <c r="N7" s="9"/>
    </row>
    <row r="8" spans="1:14" ht="12.75">
      <c r="A8" s="179" t="s">
        <v>50</v>
      </c>
      <c r="B8" s="194">
        <f>'BRA Load Pricing Results'!K51</f>
        <v>12208.673606087497</v>
      </c>
      <c r="C8" s="194">
        <f>'BRA Load Pricing Results'!C26</f>
        <v>7583</v>
      </c>
      <c r="D8" s="63">
        <f>'BRA Load Pricing Results'!H51</f>
        <v>294.5741657409486</v>
      </c>
      <c r="E8" s="176">
        <f t="shared" si="0"/>
        <v>4331.099440346548</v>
      </c>
      <c r="F8" s="63">
        <f>IF('BRA Resource Clearing Results'!D55+'BRA Resource Clearing Results'!D56=0,0,('BRA Resource Clearing Results'!D55+'BRA Resource Clearing Results'!D56/'BRA Load Pricing Results'!D26))</f>
        <v>0</v>
      </c>
      <c r="G8" s="63">
        <f t="shared" si="1"/>
        <v>4331.099440346548</v>
      </c>
      <c r="H8" s="63">
        <v>0</v>
      </c>
      <c r="I8" s="63">
        <v>0</v>
      </c>
      <c r="J8" s="180">
        <f t="shared" si="2"/>
        <v>4331.099440346548</v>
      </c>
      <c r="K8" s="177"/>
      <c r="N8" s="9"/>
    </row>
    <row r="9" spans="1:14" ht="12.75">
      <c r="A9" s="179" t="s">
        <v>48</v>
      </c>
      <c r="B9" s="194">
        <f>'BRA Load Pricing Results'!K44</f>
        <v>4615.351245820253</v>
      </c>
      <c r="C9" s="194">
        <f>'BRA Load Pricing Results'!C29</f>
        <v>4297.7</v>
      </c>
      <c r="D9" s="63">
        <f>'BRA Load Pricing Results'!H44</f>
        <v>111.3604382183698</v>
      </c>
      <c r="E9" s="176">
        <f t="shared" si="0"/>
        <v>206.2908076018835</v>
      </c>
      <c r="F9" s="63">
        <f>IF('BRA Load Pricing Results'!D29=0,0,('BRA Resource Clearing Results'!D57/'BRA Load Pricing Results'!D29))</f>
        <v>0</v>
      </c>
      <c r="G9" s="63">
        <f t="shared" si="1"/>
        <v>206.2908076018835</v>
      </c>
      <c r="H9" s="63">
        <v>0</v>
      </c>
      <c r="I9" s="63">
        <v>0</v>
      </c>
      <c r="J9" s="180">
        <f t="shared" si="2"/>
        <v>206.2908076018835</v>
      </c>
      <c r="K9" s="177"/>
      <c r="N9" s="9"/>
    </row>
    <row r="10" spans="1:14" ht="13.5" thickBot="1">
      <c r="A10" s="154" t="s">
        <v>15</v>
      </c>
      <c r="B10" s="195">
        <f>'BRA Load Pricing Results'!B19</f>
        <v>7835.2335151076195</v>
      </c>
      <c r="C10" s="195">
        <f>'BRA Resource Clearing Results'!E24</f>
        <v>5614.6</v>
      </c>
      <c r="D10" s="137">
        <f>'BRA Load Pricing Results'!H49</f>
        <v>189.05062503657248</v>
      </c>
      <c r="E10" s="181">
        <f t="shared" si="0"/>
        <v>2031.5828900710467</v>
      </c>
      <c r="F10" s="137">
        <f>'BRA Resource Clearing Results'!B58</f>
        <v>0</v>
      </c>
      <c r="G10" s="137">
        <f t="shared" si="1"/>
        <v>2031.5828900710467</v>
      </c>
      <c r="H10" s="137">
        <v>0</v>
      </c>
      <c r="I10" s="137">
        <v>0</v>
      </c>
      <c r="J10" s="182">
        <f t="shared" si="2"/>
        <v>2031.5828900710467</v>
      </c>
      <c r="K10" s="177"/>
      <c r="N10" s="9"/>
    </row>
    <row r="11" spans="1:14" ht="12.75">
      <c r="A11" s="32" t="s">
        <v>24</v>
      </c>
      <c r="B11" s="42"/>
      <c r="C11" s="42"/>
      <c r="D11" s="18"/>
      <c r="E11" s="42"/>
      <c r="F11" s="18"/>
      <c r="G11" s="26"/>
      <c r="H11" s="20"/>
      <c r="I11" s="26"/>
      <c r="J11" s="25"/>
      <c r="K11" s="62"/>
      <c r="N11" s="9"/>
    </row>
    <row r="12" spans="1:14" ht="10.5" customHeight="1" thickBot="1">
      <c r="A12" s="32"/>
      <c r="B12" s="42"/>
      <c r="C12" s="42"/>
      <c r="D12" s="18"/>
      <c r="E12" s="42"/>
      <c r="F12" s="18"/>
      <c r="G12" s="26"/>
      <c r="H12" s="20"/>
      <c r="I12" s="26"/>
      <c r="J12" s="25"/>
      <c r="K12" s="62"/>
      <c r="N12" s="9"/>
    </row>
    <row r="13" spans="1:17" ht="25.5" customHeight="1">
      <c r="A13" s="803" t="s">
        <v>153</v>
      </c>
      <c r="B13" s="804"/>
      <c r="C13" s="804"/>
      <c r="D13" s="805"/>
      <c r="E13" s="6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9" ht="15">
      <c r="A14" s="806"/>
      <c r="B14" s="807"/>
      <c r="C14" s="807"/>
      <c r="D14" s="808"/>
      <c r="E14" s="815" t="s">
        <v>30</v>
      </c>
      <c r="F14" s="802"/>
      <c r="G14" s="802" t="s">
        <v>41</v>
      </c>
      <c r="H14" s="802"/>
      <c r="I14" s="802" t="s">
        <v>5</v>
      </c>
      <c r="J14" s="802"/>
      <c r="K14" s="802" t="s">
        <v>50</v>
      </c>
      <c r="L14" s="802"/>
      <c r="M14" s="802" t="s">
        <v>48</v>
      </c>
      <c r="N14" s="802"/>
      <c r="O14" s="802" t="s">
        <v>15</v>
      </c>
      <c r="P14" s="802"/>
      <c r="Q14" s="22"/>
      <c r="R14" s="22"/>
      <c r="S14" s="22"/>
    </row>
    <row r="15" spans="1:19" ht="30.75" customHeight="1" thickBot="1">
      <c r="A15" s="809"/>
      <c r="B15" s="810"/>
      <c r="C15" s="810"/>
      <c r="D15" s="811"/>
      <c r="E15" s="183" t="s">
        <v>51</v>
      </c>
      <c r="F15" s="47">
        <f>'BRA Resource Clearing Results'!C6</f>
        <v>0</v>
      </c>
      <c r="G15" s="49" t="s">
        <v>51</v>
      </c>
      <c r="H15" s="47">
        <f>'BRA Resource Clearing Results'!C7</f>
        <v>0</v>
      </c>
      <c r="I15" s="49" t="s">
        <v>51</v>
      </c>
      <c r="J15" s="46">
        <f>'BRA Resource Clearing Results'!C8</f>
        <v>0</v>
      </c>
      <c r="K15" s="49" t="s">
        <v>51</v>
      </c>
      <c r="L15" s="47">
        <f>'BRA Load Pricing Results'!D26</f>
        <v>44.553441909534484</v>
      </c>
      <c r="M15" s="49" t="s">
        <v>51</v>
      </c>
      <c r="N15" s="48">
        <f>'BRA Load Pricing Results'!D29</f>
        <v>0</v>
      </c>
      <c r="O15" s="49" t="s">
        <v>51</v>
      </c>
      <c r="P15" s="48">
        <f>'BRA Resource Clearing Results'!C12</f>
        <v>0</v>
      </c>
      <c r="Q15" s="22"/>
      <c r="R15" s="22"/>
      <c r="S15" s="22"/>
    </row>
    <row r="16" spans="1:21" ht="111.75" customHeight="1">
      <c r="A16" s="184" t="s">
        <v>7</v>
      </c>
      <c r="B16" s="185" t="s">
        <v>28</v>
      </c>
      <c r="C16" s="185" t="s">
        <v>27</v>
      </c>
      <c r="D16" s="185" t="s">
        <v>36</v>
      </c>
      <c r="E16" s="186" t="s">
        <v>130</v>
      </c>
      <c r="F16" s="186" t="s">
        <v>154</v>
      </c>
      <c r="G16" s="186" t="s">
        <v>131</v>
      </c>
      <c r="H16" s="186" t="s">
        <v>154</v>
      </c>
      <c r="I16" s="186" t="s">
        <v>130</v>
      </c>
      <c r="J16" s="186" t="s">
        <v>154</v>
      </c>
      <c r="K16" s="186" t="s">
        <v>132</v>
      </c>
      <c r="L16" s="186" t="s">
        <v>154</v>
      </c>
      <c r="M16" s="186" t="s">
        <v>133</v>
      </c>
      <c r="N16" s="186" t="s">
        <v>154</v>
      </c>
      <c r="O16" s="186" t="s">
        <v>130</v>
      </c>
      <c r="P16" s="186" t="s">
        <v>154</v>
      </c>
      <c r="Q16" s="186" t="s">
        <v>145</v>
      </c>
      <c r="R16" s="186" t="s">
        <v>155</v>
      </c>
      <c r="S16" s="186" t="s">
        <v>62</v>
      </c>
      <c r="T16" s="186" t="s">
        <v>146</v>
      </c>
      <c r="U16" s="17"/>
    </row>
    <row r="17" spans="1:21" ht="12.75">
      <c r="A17" s="74" t="s">
        <v>16</v>
      </c>
      <c r="B17" s="98" t="s">
        <v>30</v>
      </c>
      <c r="C17" s="98" t="s">
        <v>41</v>
      </c>
      <c r="D17" s="98"/>
      <c r="E17" s="65">
        <f>IF(B17="MAAC",$J$5*'BRA Load Pricing Results'!K34/'BRA Load Pricing Results'!$B$16,0)</f>
        <v>0</v>
      </c>
      <c r="F17" s="66">
        <f>E17*$F$15</f>
        <v>0</v>
      </c>
      <c r="G17" s="65">
        <f>IF(C17="EMAAC",$J$6*'BRA Load Pricing Results'!K34/'BRA Load Pricing Results'!$B$17,0)</f>
        <v>350.2611794645277</v>
      </c>
      <c r="H17" s="66">
        <f>G17*$H$15</f>
        <v>0</v>
      </c>
      <c r="I17" s="65">
        <f>IF(C17="SWMAAC",$J$7*'BRA Load Pricing Results'!K34/'BRA Load Pricing Results'!$B$18,0)</f>
        <v>0</v>
      </c>
      <c r="J17" s="66">
        <f>I17*$J$15</f>
        <v>0</v>
      </c>
      <c r="K17" s="65">
        <f>IF(D17="PS",$J$8*'BRA Load Pricing Results'!K34/'BRA Load Pricing Results'!$K$51,0)</f>
        <v>0</v>
      </c>
      <c r="L17" s="66">
        <f>K17*$L$15</f>
        <v>0</v>
      </c>
      <c r="M17" s="65">
        <f>IF(D17="DPL",$J$9*'BRA Load Pricing Results'!K34/'BRA Load Pricing Results'!$K$44,0)</f>
        <v>0</v>
      </c>
      <c r="N17" s="66">
        <f>M17*$N$15</f>
        <v>0</v>
      </c>
      <c r="O17" s="65">
        <f>IF(D17="PEPCO",$J$10*'BRA Load Pricing Results'!K34/'BRA Load Pricing Results'!$K$49,0)</f>
        <v>0</v>
      </c>
      <c r="P17" s="66">
        <f>O17*$P$15</f>
        <v>0</v>
      </c>
      <c r="Q17" s="63">
        <f>MAX(E17,G17,I17,K17,M17,O17)</f>
        <v>350.2611794645277</v>
      </c>
      <c r="R17" s="67">
        <f>F17+H17+J17+L17+N17+P17</f>
        <v>0</v>
      </c>
      <c r="S17" s="67">
        <f>R17/'BRA Load Pricing Results'!K34</f>
        <v>0</v>
      </c>
      <c r="T17" s="67">
        <f>IF(Q17=0,0,R17/Q17)</f>
        <v>0</v>
      </c>
      <c r="U17" s="15"/>
    </row>
    <row r="18" spans="1:21" ht="12.75">
      <c r="A18" s="74" t="s">
        <v>32</v>
      </c>
      <c r="B18" s="98"/>
      <c r="C18" s="98"/>
      <c r="D18" s="98"/>
      <c r="E18" s="65">
        <f>IF(B18="MAAC",$J$5*'BRA Load Pricing Results'!K35/'BRA Load Pricing Results'!$B$16,0)</f>
        <v>0</v>
      </c>
      <c r="F18" s="66">
        <f aca="true" t="shared" si="3" ref="F18:F26">E18*$F$15</f>
        <v>0</v>
      </c>
      <c r="G18" s="65">
        <f>IF(C18="EMAAC",$J$6*'BRA Load Pricing Results'!K35/'BRA Load Pricing Results'!$B$17,0)</f>
        <v>0</v>
      </c>
      <c r="H18" s="66">
        <f>G18*$H$15</f>
        <v>0</v>
      </c>
      <c r="I18" s="65">
        <f>IF(C18="SWMAAC",$J$7*'BRA Load Pricing Results'!K35/'BRA Load Pricing Results'!$B$18,0)</f>
        <v>0</v>
      </c>
      <c r="J18" s="66">
        <f>I18*$J$15</f>
        <v>0</v>
      </c>
      <c r="K18" s="65">
        <f>IF(D18="PS",$J$8*'BRA Load Pricing Results'!K35/'BRA Load Pricing Results'!$K$51,0)</f>
        <v>0</v>
      </c>
      <c r="L18" s="66">
        <f>K18*$L$15</f>
        <v>0</v>
      </c>
      <c r="M18" s="65">
        <f>IF(D18="DPL",$J$9*'BRA Load Pricing Results'!K35/'BRA Load Pricing Results'!$K$44,0)</f>
        <v>0</v>
      </c>
      <c r="N18" s="66">
        <f aca="true" t="shared" si="4" ref="N18:N31">M18*$N$15</f>
        <v>0</v>
      </c>
      <c r="O18" s="65">
        <f>IF(D18="PEPCO",$J$10*'BRA Load Pricing Results'!K35/'BRA Load Pricing Results'!$K$49,0)</f>
        <v>0</v>
      </c>
      <c r="P18" s="66">
        <f>O18*$P$15</f>
        <v>0</v>
      </c>
      <c r="Q18" s="63">
        <f aca="true" t="shared" si="5" ref="Q18:Q35">MAX(E18,G18,I18,K18,M18,O18)</f>
        <v>0</v>
      </c>
      <c r="R18" s="67">
        <f aca="true" t="shared" si="6" ref="R18:R35">F18+H18+J18+L18+N18+P18</f>
        <v>0</v>
      </c>
      <c r="S18" s="67">
        <f>R18/'BRA Load Pricing Results'!K35</f>
        <v>0</v>
      </c>
      <c r="T18" s="67">
        <f aca="true" t="shared" si="7" ref="T18:T35">IF(Q18=0,0,R18/Q18)</f>
        <v>0</v>
      </c>
      <c r="U18" s="15"/>
    </row>
    <row r="19" spans="1:21" ht="12.75">
      <c r="A19" s="74" t="s">
        <v>19</v>
      </c>
      <c r="B19" s="98" t="s">
        <v>24</v>
      </c>
      <c r="C19" s="98"/>
      <c r="D19" s="98"/>
      <c r="E19" s="65">
        <f>IF(B19="MAAC",$J$5*'BRA Load Pricing Results'!K36/'BRA Load Pricing Results'!$B$16,0)</f>
        <v>0</v>
      </c>
      <c r="F19" s="66">
        <f t="shared" si="3"/>
        <v>0</v>
      </c>
      <c r="G19" s="65">
        <f>IF(C19="EMAAC",$J$6*'BRA Load Pricing Results'!K36/'BRA Load Pricing Results'!$B$17,0)</f>
        <v>0</v>
      </c>
      <c r="H19" s="66">
        <f aca="true" t="shared" si="8" ref="H19:H33">G19*$H$15</f>
        <v>0</v>
      </c>
      <c r="I19" s="65">
        <f>IF(C19="SWMAAC",$J$7*'BRA Load Pricing Results'!K36/'BRA Load Pricing Results'!$B$18,0)</f>
        <v>0</v>
      </c>
      <c r="J19" s="66">
        <f aca="true" t="shared" si="9" ref="J19:J35">I19*$J$15</f>
        <v>0</v>
      </c>
      <c r="K19" s="65">
        <f>IF(D19="PS",$J$8*'BRA Load Pricing Results'!K36/'BRA Load Pricing Results'!$K$51,0)</f>
        <v>0</v>
      </c>
      <c r="L19" s="66">
        <f>K19*$L$15</f>
        <v>0</v>
      </c>
      <c r="M19" s="65">
        <f>IF(D19="DPL",$J$9*'BRA Load Pricing Results'!K36/'BRA Load Pricing Results'!$K$44,0)</f>
        <v>0</v>
      </c>
      <c r="N19" s="66">
        <f t="shared" si="4"/>
        <v>0</v>
      </c>
      <c r="O19" s="65">
        <f>IF(D19="PEPCO",$J$10*'BRA Load Pricing Results'!K36/'BRA Load Pricing Results'!$K$49,0)</f>
        <v>0</v>
      </c>
      <c r="P19" s="66">
        <f>O19*$P$15</f>
        <v>0</v>
      </c>
      <c r="Q19" s="63">
        <f t="shared" si="5"/>
        <v>0</v>
      </c>
      <c r="R19" s="67">
        <f t="shared" si="6"/>
        <v>0</v>
      </c>
      <c r="S19" s="67">
        <f>R19/'BRA Load Pricing Results'!K36</f>
        <v>0</v>
      </c>
      <c r="T19" s="67">
        <f t="shared" si="7"/>
        <v>0</v>
      </c>
      <c r="U19" s="15"/>
    </row>
    <row r="20" spans="1:21" ht="12.75">
      <c r="A20" s="74" t="s">
        <v>53</v>
      </c>
      <c r="B20" s="98"/>
      <c r="C20" s="98"/>
      <c r="D20" s="98"/>
      <c r="E20" s="65">
        <f>IF(B20="MAAC",$J$5*'BRA Load Pricing Results'!K37/'BRA Load Pricing Results'!$B$16,0)</f>
        <v>0</v>
      </c>
      <c r="F20" s="66">
        <f>E20*$F$15</f>
        <v>0</v>
      </c>
      <c r="G20" s="65">
        <f>IF(C20="EMAAC",$J$6*'BRA Load Pricing Results'!K37/'BRA Load Pricing Results'!$B$17,0)</f>
        <v>0</v>
      </c>
      <c r="H20" s="66">
        <f>G20*$H$15</f>
        <v>0</v>
      </c>
      <c r="I20" s="65">
        <f>IF(C20="SWMAAC",$J$7*'BRA Load Pricing Results'!K37/'BRA Load Pricing Results'!$B$18,0)</f>
        <v>0</v>
      </c>
      <c r="J20" s="66">
        <f t="shared" si="9"/>
        <v>0</v>
      </c>
      <c r="K20" s="65">
        <f>IF(D20="PS",$J$8*'BRA Load Pricing Results'!K37/'BRA Load Pricing Results'!$K$51,0)</f>
        <v>0</v>
      </c>
      <c r="L20" s="66">
        <f aca="true" t="shared" si="10" ref="L20:L35">K20*$L$15</f>
        <v>0</v>
      </c>
      <c r="M20" s="65">
        <f>IF(D20="DPL",$J$9*'BRA Load Pricing Results'!K37/'BRA Load Pricing Results'!$K$44,0)</f>
        <v>0</v>
      </c>
      <c r="N20" s="66">
        <f t="shared" si="4"/>
        <v>0</v>
      </c>
      <c r="O20" s="65">
        <f>IF(D20="PEPCO",$J$10*'BRA Load Pricing Results'!K37/'BRA Load Pricing Results'!$K$49,0)</f>
        <v>0</v>
      </c>
      <c r="P20" s="66">
        <f aca="true" t="shared" si="11" ref="P20:P31">O20*$P$15</f>
        <v>0</v>
      </c>
      <c r="Q20" s="63">
        <f t="shared" si="5"/>
        <v>0</v>
      </c>
      <c r="R20" s="67">
        <f t="shared" si="6"/>
        <v>0</v>
      </c>
      <c r="S20" s="67">
        <f>R20/'BRA Load Pricing Results'!K37</f>
        <v>0</v>
      </c>
      <c r="T20" s="67">
        <f t="shared" si="7"/>
        <v>0</v>
      </c>
      <c r="U20" s="15"/>
    </row>
    <row r="21" spans="1:21" ht="12.75">
      <c r="A21" s="74" t="s">
        <v>11</v>
      </c>
      <c r="B21" s="98" t="s">
        <v>30</v>
      </c>
      <c r="C21" s="98" t="s">
        <v>5</v>
      </c>
      <c r="D21" s="98"/>
      <c r="E21" s="65">
        <f>IF(B21="MAAC",$J$5*'BRA Load Pricing Results'!K38/'BRA Load Pricing Results'!$B$16,0)</f>
        <v>0</v>
      </c>
      <c r="F21" s="66">
        <f t="shared" si="3"/>
        <v>0</v>
      </c>
      <c r="G21" s="65">
        <f>IF(C21="EMAAC",$J$6*'BRA Load Pricing Results'!K38/'BRA Load Pricing Results'!$B$17,0)</f>
        <v>0</v>
      </c>
      <c r="H21" s="66">
        <f t="shared" si="8"/>
        <v>0</v>
      </c>
      <c r="I21" s="65">
        <f>IF(C21="SWMAAC",$J$7*'BRA Load Pricing Results'!K38/'BRA Load Pricing Results'!$B$18,0)</f>
        <v>2251.3116723831954</v>
      </c>
      <c r="J21" s="66">
        <f>I21*$J$15</f>
        <v>0</v>
      </c>
      <c r="K21" s="65">
        <f>IF(D21="PS",$J$8*'BRA Load Pricing Results'!K38/'BRA Load Pricing Results'!$K$51,0)</f>
        <v>0</v>
      </c>
      <c r="L21" s="66">
        <f t="shared" si="10"/>
        <v>0</v>
      </c>
      <c r="M21" s="65">
        <f>IF(D21="DPL",$J$9*'BRA Load Pricing Results'!K38/'BRA Load Pricing Results'!$K$44,0)</f>
        <v>0</v>
      </c>
      <c r="N21" s="66">
        <f t="shared" si="4"/>
        <v>0</v>
      </c>
      <c r="O21" s="65">
        <f>IF(D21="PEPCO",$J$10*'BRA Load Pricing Results'!K38/'BRA Load Pricing Results'!$K$49,0)</f>
        <v>0</v>
      </c>
      <c r="P21" s="66">
        <f t="shared" si="11"/>
        <v>0</v>
      </c>
      <c r="Q21" s="63">
        <f t="shared" si="5"/>
        <v>2251.3116723831954</v>
      </c>
      <c r="R21" s="67">
        <f t="shared" si="6"/>
        <v>0</v>
      </c>
      <c r="S21" s="67">
        <f>R21/'BRA Load Pricing Results'!K38</f>
        <v>0</v>
      </c>
      <c r="T21" s="67">
        <f t="shared" si="7"/>
        <v>0</v>
      </c>
      <c r="U21" s="15"/>
    </row>
    <row r="22" spans="1:21" ht="12.75">
      <c r="A22" s="74" t="s">
        <v>20</v>
      </c>
      <c r="B22" s="98"/>
      <c r="C22" s="98"/>
      <c r="D22" s="98"/>
      <c r="E22" s="65">
        <f>IF(B22="MAAC",$J$5*'BRA Load Pricing Results'!K39/'BRA Load Pricing Results'!$B$16,0)</f>
        <v>0</v>
      </c>
      <c r="F22" s="66">
        <f t="shared" si="3"/>
        <v>0</v>
      </c>
      <c r="G22" s="65">
        <f>IF(C22="EMAAC",$J$6*'BRA Load Pricing Results'!K39/'BRA Load Pricing Results'!$B$17,0)</f>
        <v>0</v>
      </c>
      <c r="H22" s="66">
        <f t="shared" si="8"/>
        <v>0</v>
      </c>
      <c r="I22" s="65">
        <f>IF(C22="SWMAAC",$J$7*'BRA Load Pricing Results'!K39/'BRA Load Pricing Results'!$B$18,0)</f>
        <v>0</v>
      </c>
      <c r="J22" s="66">
        <f t="shared" si="9"/>
        <v>0</v>
      </c>
      <c r="K22" s="65">
        <f>IF(D22="PS",$J$8*'BRA Load Pricing Results'!K39/'BRA Load Pricing Results'!$K$51,0)</f>
        <v>0</v>
      </c>
      <c r="L22" s="66">
        <f t="shared" si="10"/>
        <v>0</v>
      </c>
      <c r="M22" s="65">
        <f>IF(D22="DPL",$J$9*'BRA Load Pricing Results'!K39/'BRA Load Pricing Results'!$K$44,0)</f>
        <v>0</v>
      </c>
      <c r="N22" s="66">
        <f t="shared" si="4"/>
        <v>0</v>
      </c>
      <c r="O22" s="65">
        <f>IF(D22="PEPCO",$J$10*'BRA Load Pricing Results'!K39/'BRA Load Pricing Results'!$K$49,0)</f>
        <v>0</v>
      </c>
      <c r="P22" s="66">
        <f t="shared" si="11"/>
        <v>0</v>
      </c>
      <c r="Q22" s="63">
        <f t="shared" si="5"/>
        <v>0</v>
      </c>
      <c r="R22" s="67">
        <f t="shared" si="6"/>
        <v>0</v>
      </c>
      <c r="S22" s="67">
        <f>R22/'BRA Load Pricing Results'!K39</f>
        <v>0</v>
      </c>
      <c r="T22" s="67">
        <f t="shared" si="7"/>
        <v>0</v>
      </c>
      <c r="U22" s="15"/>
    </row>
    <row r="23" spans="1:21" ht="12.75">
      <c r="A23" s="74" t="s">
        <v>21</v>
      </c>
      <c r="B23" s="98"/>
      <c r="C23" s="98"/>
      <c r="D23" s="98"/>
      <c r="E23" s="65">
        <f>IF(B23="MAAC",$J$5*'BRA Load Pricing Results'!K40/'BRA Load Pricing Results'!$B$16,0)</f>
        <v>0</v>
      </c>
      <c r="F23" s="66">
        <f t="shared" si="3"/>
        <v>0</v>
      </c>
      <c r="G23" s="65">
        <f>IF(C23="EMAAC",$J$6*'BRA Load Pricing Results'!K40/'BRA Load Pricing Results'!$B$17,0)</f>
        <v>0</v>
      </c>
      <c r="H23" s="66">
        <f>G23*$H$15</f>
        <v>0</v>
      </c>
      <c r="I23" s="65">
        <f>IF(C23="SWMAAC",$J$7*'BRA Load Pricing Results'!K40/'BRA Load Pricing Results'!$B$18,0)</f>
        <v>0</v>
      </c>
      <c r="J23" s="66">
        <f>I23*$J$15</f>
        <v>0</v>
      </c>
      <c r="K23" s="65">
        <f>IF(D23="PS",$J$8*'BRA Load Pricing Results'!K40/'BRA Load Pricing Results'!$K$51,0)</f>
        <v>0</v>
      </c>
      <c r="L23" s="66">
        <f t="shared" si="10"/>
        <v>0</v>
      </c>
      <c r="M23" s="65">
        <f>IF(D23="DPL",$J$9*'BRA Load Pricing Results'!K40/'BRA Load Pricing Results'!$K$44,0)</f>
        <v>0</v>
      </c>
      <c r="N23" s="66">
        <f t="shared" si="4"/>
        <v>0</v>
      </c>
      <c r="O23" s="65">
        <f>IF(D23="PEPCO",$J$10*'BRA Load Pricing Results'!K40/'BRA Load Pricing Results'!$K$49,0)</f>
        <v>0</v>
      </c>
      <c r="P23" s="66">
        <f t="shared" si="11"/>
        <v>0</v>
      </c>
      <c r="Q23" s="63">
        <f t="shared" si="5"/>
        <v>0</v>
      </c>
      <c r="R23" s="67">
        <f t="shared" si="6"/>
        <v>0</v>
      </c>
      <c r="S23" s="67">
        <f>R23/'BRA Load Pricing Results'!K40</f>
        <v>0</v>
      </c>
      <c r="T23" s="67">
        <f t="shared" si="7"/>
        <v>0</v>
      </c>
      <c r="U23" s="15"/>
    </row>
    <row r="24" spans="1:21" ht="12.75">
      <c r="A24" s="74" t="s">
        <v>71</v>
      </c>
      <c r="B24" s="98"/>
      <c r="C24" s="98"/>
      <c r="D24" s="98"/>
      <c r="E24" s="65">
        <f>IF(B24="MAAC",$J$5*'BRA Load Pricing Results'!K41/'BRA Load Pricing Results'!$B$16,0)</f>
        <v>0</v>
      </c>
      <c r="F24" s="66">
        <f t="shared" si="3"/>
        <v>0</v>
      </c>
      <c r="G24" s="65">
        <f>IF(C24="EMAAC",$J$6*'BRA Load Pricing Results'!K41/'BRA Load Pricing Results'!$B$17,0)</f>
        <v>0</v>
      </c>
      <c r="H24" s="66">
        <f>G24*$H$15</f>
        <v>0</v>
      </c>
      <c r="I24" s="65">
        <f>IF(C24="SWMAAC",$J$7*'BRA Load Pricing Results'!K41/'BRA Load Pricing Results'!$B$18,0)</f>
        <v>0</v>
      </c>
      <c r="J24" s="66">
        <f>I24*$J$15</f>
        <v>0</v>
      </c>
      <c r="K24" s="65">
        <f>IF(D24="PS",$J$8*'BRA Load Pricing Results'!K41/'BRA Load Pricing Results'!$K$51,0)</f>
        <v>0</v>
      </c>
      <c r="L24" s="66">
        <f>K24*$L$15</f>
        <v>0</v>
      </c>
      <c r="M24" s="65">
        <f>IF(D24="DPL",$J$9*'BRA Load Pricing Results'!K41/'BRA Load Pricing Results'!$K$44,0)</f>
        <v>0</v>
      </c>
      <c r="N24" s="66">
        <f>M24*$N$15</f>
        <v>0</v>
      </c>
      <c r="O24" s="65">
        <f>IF(D24="PEPCO",$J$10*'BRA Load Pricing Results'!K41/'BRA Load Pricing Results'!$K$49,0)</f>
        <v>0</v>
      </c>
      <c r="P24" s="66">
        <f>O24*$P$15</f>
        <v>0</v>
      </c>
      <c r="Q24" s="63">
        <f>MAX(E24,G24,I24,K24,M24,O24)</f>
        <v>0</v>
      </c>
      <c r="R24" s="67">
        <f>F24+H24+J24+L24+N24+P24</f>
        <v>0</v>
      </c>
      <c r="S24" s="67">
        <f>R24/'BRA Load Pricing Results'!K41</f>
        <v>0</v>
      </c>
      <c r="T24" s="67">
        <f t="shared" si="7"/>
        <v>0</v>
      </c>
      <c r="U24" s="15"/>
    </row>
    <row r="25" spans="1:21" ht="12.75">
      <c r="A25" s="74" t="s">
        <v>52</v>
      </c>
      <c r="B25" s="98"/>
      <c r="C25" s="98"/>
      <c r="D25" s="98"/>
      <c r="E25" s="65">
        <f>IF(B25="MAAC",$J$5*'BRA Load Pricing Results'!K42/'BRA Load Pricing Results'!$B$16,0)</f>
        <v>0</v>
      </c>
      <c r="F25" s="66">
        <f t="shared" si="3"/>
        <v>0</v>
      </c>
      <c r="G25" s="65">
        <f>IF(C25="EMAAC",$J$6*'BRA Load Pricing Results'!K42/'BRA Load Pricing Results'!$B$17,0)</f>
        <v>0</v>
      </c>
      <c r="H25" s="66">
        <f>G25*$H$15</f>
        <v>0</v>
      </c>
      <c r="I25" s="65">
        <f>IF(C25="SWMAAC",$J$7*'BRA Load Pricing Results'!K42/'BRA Load Pricing Results'!$B$18,0)</f>
        <v>0</v>
      </c>
      <c r="J25" s="66">
        <f>I25*$J$15</f>
        <v>0</v>
      </c>
      <c r="K25" s="65">
        <f>IF(D25="PS",$J$8*'BRA Load Pricing Results'!K42/'BRA Load Pricing Results'!$K$51,0)</f>
        <v>0</v>
      </c>
      <c r="L25" s="66">
        <f>K25*$L$15</f>
        <v>0</v>
      </c>
      <c r="M25" s="65">
        <f>IF(D25="DPL",$J$9*'BRA Load Pricing Results'!K42/'BRA Load Pricing Results'!$K$44,0)</f>
        <v>0</v>
      </c>
      <c r="N25" s="66">
        <f>M25*$N$15</f>
        <v>0</v>
      </c>
      <c r="O25" s="65">
        <f>IF(D25="PEPCO",$J$10*'BRA Load Pricing Results'!#REF!/'BRA Load Pricing Results'!$K$49,0)</f>
        <v>0</v>
      </c>
      <c r="P25" s="66">
        <f>O25*$P$15</f>
        <v>0</v>
      </c>
      <c r="Q25" s="63">
        <f>MAX(E25,G25,I25,K25,M25,O25)</f>
        <v>0</v>
      </c>
      <c r="R25" s="67">
        <f>F25+H25+J25+L25+N25+P25</f>
        <v>0</v>
      </c>
      <c r="S25" s="67">
        <f>R25/'BRA Load Pricing Results'!K42</f>
        <v>0</v>
      </c>
      <c r="T25" s="67">
        <f t="shared" si="7"/>
        <v>0</v>
      </c>
      <c r="U25" s="15"/>
    </row>
    <row r="26" spans="1:21" ht="12.75">
      <c r="A26" s="74" t="s">
        <v>33</v>
      </c>
      <c r="B26" s="98"/>
      <c r="C26" s="98"/>
      <c r="D26" s="98"/>
      <c r="E26" s="65">
        <f>IF(B26="MAAC",$J$5*'BRA Load Pricing Results'!K43/'BRA Load Pricing Results'!$B$16,0)</f>
        <v>0</v>
      </c>
      <c r="F26" s="66">
        <f t="shared" si="3"/>
        <v>0</v>
      </c>
      <c r="G26" s="65">
        <f>IF(C26="EMAAC",$J$6*'BRA Load Pricing Results'!K43/'BRA Load Pricing Results'!$B$17,0)</f>
        <v>0</v>
      </c>
      <c r="H26" s="66">
        <f t="shared" si="8"/>
        <v>0</v>
      </c>
      <c r="I26" s="65">
        <f>IF(C26="SWMAAC",$J$7*'BRA Load Pricing Results'!K43/'BRA Load Pricing Results'!$B$18,0)</f>
        <v>0</v>
      </c>
      <c r="J26" s="66">
        <f t="shared" si="9"/>
        <v>0</v>
      </c>
      <c r="K26" s="65">
        <f>IF(D26="PS",$J$8*'BRA Load Pricing Results'!K43/'BRA Load Pricing Results'!$K$51,0)</f>
        <v>0</v>
      </c>
      <c r="L26" s="66">
        <f t="shared" si="10"/>
        <v>0</v>
      </c>
      <c r="M26" s="65">
        <f>IF(D26="DPL",$J$9*'BRA Load Pricing Results'!K43/'BRA Load Pricing Results'!$K$44,0)</f>
        <v>0</v>
      </c>
      <c r="N26" s="66">
        <f t="shared" si="4"/>
        <v>0</v>
      </c>
      <c r="O26" s="65">
        <f>IF(D26="PEPCO",$J$10*'BRA Load Pricing Results'!K43/'BRA Load Pricing Results'!$K$49,0)</f>
        <v>0</v>
      </c>
      <c r="P26" s="66">
        <f t="shared" si="11"/>
        <v>0</v>
      </c>
      <c r="Q26" s="63">
        <f t="shared" si="5"/>
        <v>0</v>
      </c>
      <c r="R26" s="67">
        <f t="shared" si="6"/>
        <v>0</v>
      </c>
      <c r="S26" s="67">
        <f>R26/'BRA Load Pricing Results'!K43</f>
        <v>0</v>
      </c>
      <c r="T26" s="67">
        <f t="shared" si="7"/>
        <v>0</v>
      </c>
      <c r="U26" s="15"/>
    </row>
    <row r="27" spans="1:21" ht="12.75">
      <c r="A27" s="74" t="s">
        <v>17</v>
      </c>
      <c r="B27" s="98" t="s">
        <v>30</v>
      </c>
      <c r="C27" s="98" t="s">
        <v>41</v>
      </c>
      <c r="D27" s="98" t="s">
        <v>17</v>
      </c>
      <c r="E27" s="65">
        <f>IF(B27="MAAC",$J$5*'BRA Load Pricing Results'!K44/'BRA Load Pricing Results'!$B$16,0)</f>
        <v>0</v>
      </c>
      <c r="F27" s="66">
        <f aca="true" t="shared" si="12" ref="F27:F35">E27*$F$15</f>
        <v>0</v>
      </c>
      <c r="G27" s="65">
        <f>IF(C27="EMAAC",$J$6*'BRA Load Pricing Results'!K44/'BRA Load Pricing Results'!$B$17,0)</f>
        <v>520.528784916451</v>
      </c>
      <c r="H27" s="66">
        <f>G27*$H$15</f>
        <v>0</v>
      </c>
      <c r="I27" s="65">
        <f>IF(C27="SWMAAC",$J$7*'BRA Load Pricing Results'!K44/'BRA Load Pricing Results'!$B$18,0)</f>
        <v>0</v>
      </c>
      <c r="J27" s="66">
        <f t="shared" si="9"/>
        <v>0</v>
      </c>
      <c r="K27" s="65">
        <f>IF(D27="PS",$J$8*'BRA Load Pricing Results'!K44/'BRA Load Pricing Results'!$K$51,0)</f>
        <v>0</v>
      </c>
      <c r="L27" s="66">
        <f t="shared" si="10"/>
        <v>0</v>
      </c>
      <c r="M27" s="65">
        <f>IF(D27="DPL",$J$9*'BRA Load Pricing Results'!K44/'BRA Load Pricing Results'!$K$44,0)</f>
        <v>206.2908076018835</v>
      </c>
      <c r="N27" s="66">
        <f t="shared" si="4"/>
        <v>0</v>
      </c>
      <c r="O27" s="65">
        <f>IF(D27="PEPCO",$J$10*'BRA Load Pricing Results'!K44/'BRA Load Pricing Results'!$K$49,0)</f>
        <v>0</v>
      </c>
      <c r="P27" s="66">
        <f t="shared" si="11"/>
        <v>0</v>
      </c>
      <c r="Q27" s="63">
        <f t="shared" si="5"/>
        <v>520.528784916451</v>
      </c>
      <c r="R27" s="67">
        <f t="shared" si="6"/>
        <v>0</v>
      </c>
      <c r="S27" s="67">
        <f>R27/'BRA Load Pricing Results'!K44</f>
        <v>0</v>
      </c>
      <c r="T27" s="67">
        <f t="shared" si="7"/>
        <v>0</v>
      </c>
      <c r="U27" s="15"/>
    </row>
    <row r="28" spans="1:21" ht="12.75">
      <c r="A28" s="74" t="s">
        <v>12</v>
      </c>
      <c r="B28" s="98" t="s">
        <v>30</v>
      </c>
      <c r="C28" s="98" t="s">
        <v>41</v>
      </c>
      <c r="D28" s="98"/>
      <c r="E28" s="65">
        <f>IF(B28="MAAC",$J$5*'BRA Load Pricing Results'!K45/'BRA Load Pricing Results'!$B$16,0)</f>
        <v>0</v>
      </c>
      <c r="F28" s="66">
        <f t="shared" si="12"/>
        <v>0</v>
      </c>
      <c r="G28" s="65">
        <f>IF(C28="EMAAC",$J$6*'BRA Load Pricing Results'!K45/'BRA Load Pricing Results'!$B$17,0)</f>
        <v>825.9494599778387</v>
      </c>
      <c r="H28" s="66">
        <f>G28*$H$15</f>
        <v>0</v>
      </c>
      <c r="I28" s="65">
        <f>IF(C28="SWMAAC",$J$7*'BRA Load Pricing Results'!K45/'BRA Load Pricing Results'!$B$18,0)</f>
        <v>0</v>
      </c>
      <c r="J28" s="66">
        <f t="shared" si="9"/>
        <v>0</v>
      </c>
      <c r="K28" s="65">
        <f>IF(D28="PS",$J$8*'BRA Load Pricing Results'!K45/'BRA Load Pricing Results'!$K$51,0)</f>
        <v>0</v>
      </c>
      <c r="L28" s="66">
        <f t="shared" si="10"/>
        <v>0</v>
      </c>
      <c r="M28" s="65">
        <f>IF(D28="DPL",$J$9*'BRA Load Pricing Results'!K45/'BRA Load Pricing Results'!$K$44,0)</f>
        <v>0</v>
      </c>
      <c r="N28" s="66">
        <f t="shared" si="4"/>
        <v>0</v>
      </c>
      <c r="O28" s="65">
        <f>IF(D28="PEPCO",$J$10*'BRA Load Pricing Results'!K45/'BRA Load Pricing Results'!$K$49,0)</f>
        <v>0</v>
      </c>
      <c r="P28" s="66">
        <f t="shared" si="11"/>
        <v>0</v>
      </c>
      <c r="Q28" s="63">
        <f t="shared" si="5"/>
        <v>825.9494599778387</v>
      </c>
      <c r="R28" s="67">
        <f t="shared" si="6"/>
        <v>0</v>
      </c>
      <c r="S28" s="67">
        <f>R28/'BRA Load Pricing Results'!K45</f>
        <v>0</v>
      </c>
      <c r="T28" s="67">
        <f t="shared" si="7"/>
        <v>0</v>
      </c>
      <c r="U28" s="15"/>
    </row>
    <row r="29" spans="1:21" ht="12.75">
      <c r="A29" s="74" t="s">
        <v>13</v>
      </c>
      <c r="B29" s="98" t="s">
        <v>30</v>
      </c>
      <c r="C29" s="98"/>
      <c r="D29" s="98"/>
      <c r="E29" s="65">
        <f>IF(B29="MAAC",$J$5*'BRA Load Pricing Results'!K46/'BRA Load Pricing Results'!$B$16,0)</f>
        <v>0</v>
      </c>
      <c r="F29" s="66">
        <f t="shared" si="12"/>
        <v>0</v>
      </c>
      <c r="G29" s="65">
        <f>IF(C29="EMAAC",$J$6*'BRA Load Pricing Results'!K46/'BRA Load Pricing Results'!$B$17,0)</f>
        <v>0</v>
      </c>
      <c r="H29" s="66">
        <f t="shared" si="8"/>
        <v>0</v>
      </c>
      <c r="I29" s="65">
        <f>IF(C29="SWMAAC",$J$7*'BRA Load Pricing Results'!K46/'BRA Load Pricing Results'!$B$18,0)</f>
        <v>0</v>
      </c>
      <c r="J29" s="66">
        <f t="shared" si="9"/>
        <v>0</v>
      </c>
      <c r="K29" s="65">
        <f>IF(D29="PS",$J$8*'BRA Load Pricing Results'!K46/'BRA Load Pricing Results'!$K$51,0)</f>
        <v>0</v>
      </c>
      <c r="L29" s="66">
        <f t="shared" si="10"/>
        <v>0</v>
      </c>
      <c r="M29" s="65">
        <f>IF(D29="DPL",$J$9*'BRA Load Pricing Results'!K46/'BRA Load Pricing Results'!$K$44,0)</f>
        <v>0</v>
      </c>
      <c r="N29" s="66">
        <f t="shared" si="4"/>
        <v>0</v>
      </c>
      <c r="O29" s="65">
        <f>IF(D29="PEPCO",$J$10*'BRA Load Pricing Results'!K46/'BRA Load Pricing Results'!$K$49,0)</f>
        <v>0</v>
      </c>
      <c r="P29" s="66">
        <f t="shared" si="11"/>
        <v>0</v>
      </c>
      <c r="Q29" s="63">
        <f t="shared" si="5"/>
        <v>0</v>
      </c>
      <c r="R29" s="67">
        <f t="shared" si="6"/>
        <v>0</v>
      </c>
      <c r="S29" s="67">
        <f>R29/'BRA Load Pricing Results'!K46</f>
        <v>0</v>
      </c>
      <c r="T29" s="67">
        <f t="shared" si="7"/>
        <v>0</v>
      </c>
      <c r="U29" s="15"/>
    </row>
    <row r="30" spans="1:21" ht="12.75">
      <c r="A30" s="74" t="s">
        <v>9</v>
      </c>
      <c r="B30" s="98" t="s">
        <v>30</v>
      </c>
      <c r="C30" s="98" t="s">
        <v>41</v>
      </c>
      <c r="D30" s="98"/>
      <c r="E30" s="65">
        <f>IF(B30="MAAC",$J$5*'BRA Load Pricing Results'!K47/'BRA Load Pricing Results'!$B$16,0)</f>
        <v>0</v>
      </c>
      <c r="F30" s="66">
        <f t="shared" si="12"/>
        <v>0</v>
      </c>
      <c r="G30" s="65">
        <f>IF(C30="EMAAC",$J$6*'BRA Load Pricing Results'!K47/'BRA Load Pricing Results'!$B$17,0)</f>
        <v>1125.5598161588196</v>
      </c>
      <c r="H30" s="66">
        <f>G30*$H$15</f>
        <v>0</v>
      </c>
      <c r="I30" s="65">
        <f>IF(C30="SWMAAC",$J$7*'BRA Load Pricing Results'!K47/'BRA Load Pricing Results'!$B$18,0)</f>
        <v>0</v>
      </c>
      <c r="J30" s="66">
        <f t="shared" si="9"/>
        <v>0</v>
      </c>
      <c r="K30" s="65">
        <f>IF(D30="PS",$J$8*'BRA Load Pricing Results'!K47/'BRA Load Pricing Results'!$K$51,0)</f>
        <v>0</v>
      </c>
      <c r="L30" s="66">
        <f t="shared" si="10"/>
        <v>0</v>
      </c>
      <c r="M30" s="65">
        <f>IF(D30="DPL",$J$9*'BRA Load Pricing Results'!K47/'BRA Load Pricing Results'!$K$44,0)</f>
        <v>0</v>
      </c>
      <c r="N30" s="66">
        <f t="shared" si="4"/>
        <v>0</v>
      </c>
      <c r="O30" s="65">
        <f>IF(D30="PEPCO",$J$10*'BRA Load Pricing Results'!K47/'BRA Load Pricing Results'!$K$49,0)</f>
        <v>0</v>
      </c>
      <c r="P30" s="66">
        <f t="shared" si="11"/>
        <v>0</v>
      </c>
      <c r="Q30" s="63">
        <f t="shared" si="5"/>
        <v>1125.5598161588196</v>
      </c>
      <c r="R30" s="67">
        <f t="shared" si="6"/>
        <v>0</v>
      </c>
      <c r="S30" s="67">
        <f>R30/'BRA Load Pricing Results'!K47</f>
        <v>0</v>
      </c>
      <c r="T30" s="67">
        <f t="shared" si="7"/>
        <v>0</v>
      </c>
      <c r="U30" s="15"/>
    </row>
    <row r="31" spans="1:21" ht="12.75">
      <c r="A31" s="74" t="s">
        <v>14</v>
      </c>
      <c r="B31" s="98" t="s">
        <v>30</v>
      </c>
      <c r="C31" s="98"/>
      <c r="D31" s="98"/>
      <c r="E31" s="65">
        <f>IF(B31="MAAC",$J$5*'BRA Load Pricing Results'!K48/'BRA Load Pricing Results'!$B$16,0)</f>
        <v>0</v>
      </c>
      <c r="F31" s="66">
        <f t="shared" si="12"/>
        <v>0</v>
      </c>
      <c r="G31" s="65">
        <f>IF(C31="EMAAC",$J$6*'BRA Load Pricing Results'!K48/'BRA Load Pricing Results'!$B$17,0)</f>
        <v>0</v>
      </c>
      <c r="H31" s="66">
        <f t="shared" si="8"/>
        <v>0</v>
      </c>
      <c r="I31" s="65">
        <f>IF(C31="SWMAAC",$J$7*'BRA Load Pricing Results'!K48/'BRA Load Pricing Results'!$B$18,0)</f>
        <v>0</v>
      </c>
      <c r="J31" s="66">
        <f t="shared" si="9"/>
        <v>0</v>
      </c>
      <c r="K31" s="65">
        <f>IF(D31="PS",$J$8*'BRA Load Pricing Results'!K48/'BRA Load Pricing Results'!$K$51,0)</f>
        <v>0</v>
      </c>
      <c r="L31" s="66">
        <f t="shared" si="10"/>
        <v>0</v>
      </c>
      <c r="M31" s="65">
        <f>IF(D31="DPL",$J$9*'BRA Load Pricing Results'!K48/'BRA Load Pricing Results'!$K$44,0)</f>
        <v>0</v>
      </c>
      <c r="N31" s="66">
        <f t="shared" si="4"/>
        <v>0</v>
      </c>
      <c r="O31" s="65">
        <f>IF(D31="PEPCO",$J$10*'BRA Load Pricing Results'!K48/'BRA Load Pricing Results'!$K$49,0)</f>
        <v>0</v>
      </c>
      <c r="P31" s="66">
        <f t="shared" si="11"/>
        <v>0</v>
      </c>
      <c r="Q31" s="63">
        <f t="shared" si="5"/>
        <v>0</v>
      </c>
      <c r="R31" s="67">
        <f t="shared" si="6"/>
        <v>0</v>
      </c>
      <c r="S31" s="67">
        <f>R31/'BRA Load Pricing Results'!K48</f>
        <v>0</v>
      </c>
      <c r="T31" s="67">
        <f t="shared" si="7"/>
        <v>0</v>
      </c>
      <c r="U31" s="15"/>
    </row>
    <row r="32" spans="1:21" ht="12.75">
      <c r="A32" s="74" t="s">
        <v>15</v>
      </c>
      <c r="B32" s="98" t="s">
        <v>30</v>
      </c>
      <c r="C32" s="98" t="s">
        <v>5</v>
      </c>
      <c r="D32" s="98" t="s">
        <v>15</v>
      </c>
      <c r="E32" s="65">
        <f>IF(B32="MAAC",$J$5*'BRA Load Pricing Results'!K49/'BRA Load Pricing Results'!$B$16,0)</f>
        <v>0</v>
      </c>
      <c r="F32" s="66">
        <f t="shared" si="12"/>
        <v>0</v>
      </c>
      <c r="G32" s="65">
        <f>IF(C32="EMAAC",$J$6*'BRA Load Pricing Results'!K49/'BRA Load Pricing Results'!$B$17,0)</f>
        <v>0</v>
      </c>
      <c r="H32" s="66">
        <f t="shared" si="8"/>
        <v>0</v>
      </c>
      <c r="I32" s="65">
        <f>IF(C32="SWMAAC",$J$7*'BRA Load Pricing Results'!K49/'BRA Load Pricing Results'!$B$18,0)</f>
        <v>2126.9650857519023</v>
      </c>
      <c r="J32" s="66">
        <f t="shared" si="9"/>
        <v>0</v>
      </c>
      <c r="K32" s="65">
        <f>IF(D32="PS",$J$8*'BRA Load Pricing Results'!K49/'BRA Load Pricing Results'!$K$51,0)</f>
        <v>0</v>
      </c>
      <c r="L32" s="66">
        <f t="shared" si="10"/>
        <v>0</v>
      </c>
      <c r="M32" s="65">
        <f>IF(D32="DPL",$J$9*'BRA Load Pricing Results'!K49/'BRA Load Pricing Results'!$K$44,0)</f>
        <v>0</v>
      </c>
      <c r="N32" s="66">
        <f>M32*N15</f>
        <v>0</v>
      </c>
      <c r="O32" s="65">
        <f>IF(D32="PEPCO",$J$10*'BRA Load Pricing Results'!K49/'BRA Load Pricing Results'!$K$49,0)</f>
        <v>2031.5828900710467</v>
      </c>
      <c r="P32" s="66">
        <f>O32*$P$15</f>
        <v>0</v>
      </c>
      <c r="Q32" s="63">
        <f t="shared" si="5"/>
        <v>2126.9650857519023</v>
      </c>
      <c r="R32" s="67">
        <f t="shared" si="6"/>
        <v>0</v>
      </c>
      <c r="S32" s="67">
        <f>R32/'BRA Load Pricing Results'!K49</f>
        <v>0</v>
      </c>
      <c r="T32" s="67">
        <f t="shared" si="7"/>
        <v>0</v>
      </c>
      <c r="U32" s="15"/>
    </row>
    <row r="33" spans="1:21" ht="12.75">
      <c r="A33" s="74" t="s">
        <v>10</v>
      </c>
      <c r="B33" s="98" t="s">
        <v>30</v>
      </c>
      <c r="C33" s="98"/>
      <c r="D33" s="98"/>
      <c r="E33" s="65">
        <f>IF(B33="MAAC",$J$5*'BRA Load Pricing Results'!K50/'BRA Load Pricing Results'!$B$16,0)</f>
        <v>0</v>
      </c>
      <c r="F33" s="66">
        <f t="shared" si="12"/>
        <v>0</v>
      </c>
      <c r="G33" s="65">
        <f>IF(C33="EMAAC",$J$6*'BRA Load Pricing Results'!K50/'BRA Load Pricing Results'!$B$17,0)</f>
        <v>0</v>
      </c>
      <c r="H33" s="66">
        <f t="shared" si="8"/>
        <v>0</v>
      </c>
      <c r="I33" s="65">
        <f>IF(C33="SWMAAC",$J$7*'BRA Load Pricing Results'!K50/'BRA Load Pricing Results'!$B$18,0)</f>
        <v>0</v>
      </c>
      <c r="J33" s="66">
        <f t="shared" si="9"/>
        <v>0</v>
      </c>
      <c r="K33" s="65">
        <f>IF(D33="PS",$J$8*'BRA Load Pricing Results'!K50/'BRA Load Pricing Results'!$K$51,0)</f>
        <v>0</v>
      </c>
      <c r="L33" s="66">
        <f t="shared" si="10"/>
        <v>0</v>
      </c>
      <c r="M33" s="65">
        <f>IF(D33="DPL",$J$9*'BRA Load Pricing Results'!K50/'BRA Load Pricing Results'!$K$44,0)</f>
        <v>0</v>
      </c>
      <c r="N33" s="66">
        <f>M33*$N$15</f>
        <v>0</v>
      </c>
      <c r="O33" s="65">
        <f>IF(D33="PEPCO",$J$10*'BRA Load Pricing Results'!K50/'BRA Load Pricing Results'!$K$49,0)</f>
        <v>0</v>
      </c>
      <c r="P33" s="66">
        <f>O33*$P$15</f>
        <v>0</v>
      </c>
      <c r="Q33" s="63">
        <f t="shared" si="5"/>
        <v>0</v>
      </c>
      <c r="R33" s="67">
        <f t="shared" si="6"/>
        <v>0</v>
      </c>
      <c r="S33" s="67">
        <f>R33/'BRA Load Pricing Results'!K50</f>
        <v>0</v>
      </c>
      <c r="T33" s="67">
        <f t="shared" si="7"/>
        <v>0</v>
      </c>
      <c r="U33" s="15"/>
    </row>
    <row r="34" spans="1:21" ht="12.75">
      <c r="A34" s="74" t="s">
        <v>8</v>
      </c>
      <c r="B34" s="98" t="s">
        <v>30</v>
      </c>
      <c r="C34" s="98" t="s">
        <v>41</v>
      </c>
      <c r="D34" s="98" t="s">
        <v>8</v>
      </c>
      <c r="E34" s="65">
        <f>IF(B34="MAAC",$J$5*'BRA Load Pricing Results'!K51/'BRA Load Pricing Results'!$B$16,0)</f>
        <v>0</v>
      </c>
      <c r="F34" s="66">
        <f t="shared" si="12"/>
        <v>0</v>
      </c>
      <c r="G34" s="65">
        <f>IF(C34="EMAAC",$J$6*'BRA Load Pricing Results'!K51/'BRA Load Pricing Results'!$B$17,0)</f>
        <v>1376.919263376421</v>
      </c>
      <c r="H34" s="66">
        <f>G34*$H$15</f>
        <v>0</v>
      </c>
      <c r="I34" s="65">
        <f>IF(C34="SWMAAC",$J$7*'BRA Load Pricing Results'!K51/'BRA Load Pricing Results'!$B$18,0)</f>
        <v>0</v>
      </c>
      <c r="J34" s="66">
        <f t="shared" si="9"/>
        <v>0</v>
      </c>
      <c r="K34" s="65">
        <f>IF(D34="PS",$J$8*'BRA Load Pricing Results'!K51/'BRA Load Pricing Results'!$K$51,0)</f>
        <v>4331.099440346548</v>
      </c>
      <c r="L34" s="66">
        <f>K34*$L$15</f>
        <v>192965.38731989727</v>
      </c>
      <c r="M34" s="65">
        <f>IF(D34="DPL",$J$9*'BRA Load Pricing Results'!K51/'BRA Load Pricing Results'!$K$44,0)</f>
        <v>0</v>
      </c>
      <c r="N34" s="66">
        <f>M34*$N$15</f>
        <v>0</v>
      </c>
      <c r="O34" s="65">
        <f>IF(D34="PEPCO",$J$10*'BRA Load Pricing Results'!K51/'BRA Load Pricing Results'!$K$49,0)</f>
        <v>0</v>
      </c>
      <c r="P34" s="66">
        <f>O34*$P$15</f>
        <v>0</v>
      </c>
      <c r="Q34" s="63">
        <f t="shared" si="5"/>
        <v>4331.099440346548</v>
      </c>
      <c r="R34" s="67">
        <f t="shared" si="6"/>
        <v>192965.38731989727</v>
      </c>
      <c r="S34" s="67">
        <f>R34/'BRA Load Pricing Results'!K51</f>
        <v>15.80559801546998</v>
      </c>
      <c r="T34" s="67">
        <f t="shared" si="7"/>
        <v>44.553441909534484</v>
      </c>
      <c r="U34" s="15"/>
    </row>
    <row r="35" spans="1:21" ht="12.75">
      <c r="A35" s="74" t="s">
        <v>18</v>
      </c>
      <c r="B35" s="98" t="s">
        <v>30</v>
      </c>
      <c r="C35" s="98" t="s">
        <v>41</v>
      </c>
      <c r="D35" s="98"/>
      <c r="E35" s="65">
        <f>IF(B35="MAAC",$J$5*'BRA Load Pricing Results'!K52/'BRA Load Pricing Results'!$B$16,0)</f>
        <v>0</v>
      </c>
      <c r="F35" s="66">
        <f t="shared" si="12"/>
        <v>0</v>
      </c>
      <c r="G35" s="65">
        <f>IF(C35="EMAAC",$J$6*'BRA Load Pricing Results'!K52/'BRA Load Pricing Results'!$B$17,0)</f>
        <v>54.692784243829955</v>
      </c>
      <c r="H35" s="66">
        <f>G35*$H$15</f>
        <v>0</v>
      </c>
      <c r="I35" s="65">
        <f>IF(C35="SWMAAC",$J$7*'BRA Load Pricing Results'!K52/'BRA Load Pricing Results'!$B$18,0)</f>
        <v>0</v>
      </c>
      <c r="J35" s="66">
        <f t="shared" si="9"/>
        <v>0</v>
      </c>
      <c r="K35" s="65">
        <f>IF(D35="PS",$J$8*'BRA Load Pricing Results'!K52/'BRA Load Pricing Results'!$K$51,0)</f>
        <v>0</v>
      </c>
      <c r="L35" s="66">
        <f t="shared" si="10"/>
        <v>0</v>
      </c>
      <c r="M35" s="65">
        <f>IF(D35="DPL",$J$9*'BRA Load Pricing Results'!K52/'BRA Load Pricing Results'!$K$44,0)</f>
        <v>0</v>
      </c>
      <c r="N35" s="66">
        <f>M35*$N$15</f>
        <v>0</v>
      </c>
      <c r="O35" s="65">
        <f>IF(D35="PEPCO",$J$10*'BRA Load Pricing Results'!K52/'BRA Load Pricing Results'!$K$49,0)</f>
        <v>0</v>
      </c>
      <c r="P35" s="66">
        <f>O35*$P$15</f>
        <v>0</v>
      </c>
      <c r="Q35" s="63">
        <f t="shared" si="5"/>
        <v>54.692784243829955</v>
      </c>
      <c r="R35" s="67">
        <f t="shared" si="6"/>
        <v>0</v>
      </c>
      <c r="S35" s="67">
        <f>R35/'BRA Load Pricing Results'!K52</f>
        <v>0</v>
      </c>
      <c r="T35" s="67">
        <f t="shared" si="7"/>
        <v>0</v>
      </c>
      <c r="U35" s="15"/>
    </row>
    <row r="36" spans="1:21" ht="12.75">
      <c r="A36" s="812" t="s">
        <v>109</v>
      </c>
      <c r="B36" s="813"/>
      <c r="C36" s="813"/>
      <c r="D36" s="814"/>
      <c r="E36" s="68">
        <f aca="true" t="shared" si="13" ref="E36:L36">SUM(E17:E35)</f>
        <v>0</v>
      </c>
      <c r="F36" s="69">
        <f t="shared" si="13"/>
        <v>0</v>
      </c>
      <c r="G36" s="68">
        <f t="shared" si="13"/>
        <v>4253.911288137888</v>
      </c>
      <c r="H36" s="69">
        <f t="shared" si="13"/>
        <v>0</v>
      </c>
      <c r="I36" s="68">
        <f t="shared" si="13"/>
        <v>4378.276758135098</v>
      </c>
      <c r="J36" s="69">
        <f t="shared" si="13"/>
        <v>0</v>
      </c>
      <c r="K36" s="68">
        <f>SUM(K17:K35)</f>
        <v>4331.099440346548</v>
      </c>
      <c r="L36" s="69">
        <f t="shared" si="13"/>
        <v>192965.38731989727</v>
      </c>
      <c r="M36" s="68">
        <f>SUM(M17:M35)</f>
        <v>206.2908076018835</v>
      </c>
      <c r="N36" s="69">
        <f>SUM(N17:N35)</f>
        <v>0</v>
      </c>
      <c r="O36" s="68">
        <f>SUM(O17:O35)</f>
        <v>2031.5828900710467</v>
      </c>
      <c r="P36" s="69">
        <f>SUM(P17:P35)</f>
        <v>0</v>
      </c>
      <c r="Q36" s="63"/>
      <c r="R36" s="69">
        <f>SUM(R17:R35)</f>
        <v>192965.38731989727</v>
      </c>
      <c r="S36" s="70"/>
      <c r="T36" s="70"/>
      <c r="U36" s="29"/>
    </row>
    <row r="37" ht="12.75">
      <c r="A37" s="12" t="s">
        <v>110</v>
      </c>
    </row>
    <row r="38" ht="12.75">
      <c r="A38" s="12" t="s">
        <v>111</v>
      </c>
    </row>
    <row r="39" ht="12.75">
      <c r="A39" s="12" t="s">
        <v>112</v>
      </c>
    </row>
    <row r="40" ht="12.75">
      <c r="A40" s="12" t="s">
        <v>113</v>
      </c>
    </row>
    <row r="41" ht="12.75">
      <c r="A41" s="12" t="s">
        <v>114</v>
      </c>
    </row>
  </sheetData>
  <sheetProtection/>
  <mergeCells count="8">
    <mergeCell ref="O14:P14"/>
    <mergeCell ref="I14:J14"/>
    <mergeCell ref="A13:D15"/>
    <mergeCell ref="A36:D36"/>
    <mergeCell ref="E14:F14"/>
    <mergeCell ref="G14:H14"/>
    <mergeCell ref="K14:L14"/>
    <mergeCell ref="M14:N14"/>
  </mergeCells>
  <printOptions horizontalCentered="1" verticalCentered="1"/>
  <pageMargins left="0.25" right="0.25" top="0.25" bottom="0.25" header="0.3" footer="0.3"/>
  <pageSetup fitToHeight="1" fitToWidth="1" horizontalDpi="600" verticalDpi="600" orientation="landscape" paperSize="5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2" width="23.140625" style="0" customWidth="1"/>
    <col min="3" max="3" width="22.7109375" style="0" customWidth="1"/>
    <col min="4" max="4" width="21.421875" style="0" customWidth="1"/>
    <col min="5" max="5" width="17.28125" style="0" customWidth="1"/>
    <col min="6" max="8" width="15.7109375" style="0" customWidth="1"/>
    <col min="9" max="9" width="19.57421875" style="0" customWidth="1"/>
    <col min="10" max="16" width="15.7109375" style="0" customWidth="1"/>
    <col min="17" max="17" width="9.140625" style="0" customWidth="1"/>
  </cols>
  <sheetData>
    <row r="1" ht="18.75">
      <c r="A1" s="3" t="s">
        <v>89</v>
      </c>
    </row>
    <row r="2" ht="19.5" thickBot="1">
      <c r="A2" s="3"/>
    </row>
    <row r="3" ht="13.5" thickBot="1">
      <c r="A3" s="816" t="s">
        <v>97</v>
      </c>
    </row>
    <row r="4" spans="1:16" ht="18.75" customHeight="1" thickBot="1">
      <c r="A4" s="817"/>
      <c r="B4" s="831" t="s">
        <v>30</v>
      </c>
      <c r="C4" s="832"/>
      <c r="D4" s="254" t="s">
        <v>5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7" ht="15.75" customHeight="1">
      <c r="A5" s="244" t="s">
        <v>174</v>
      </c>
      <c r="B5" s="248" t="s">
        <v>172</v>
      </c>
      <c r="C5" s="192" t="s">
        <v>173</v>
      </c>
      <c r="D5" s="255" t="s">
        <v>172</v>
      </c>
      <c r="E5" s="242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42"/>
    </row>
    <row r="6" spans="1:17" ht="30" customHeight="1">
      <c r="A6" s="246" t="s">
        <v>181</v>
      </c>
      <c r="B6" s="249"/>
      <c r="C6" s="250"/>
      <c r="D6" s="256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42"/>
    </row>
    <row r="7" spans="1:17" ht="14.25">
      <c r="A7" s="245" t="s">
        <v>74</v>
      </c>
      <c r="B7" s="251">
        <v>160</v>
      </c>
      <c r="C7" s="252">
        <f>B7/$B$17*'BRA CTRs'!$G$5</f>
        <v>93.6687277023099</v>
      </c>
      <c r="D7" s="257">
        <v>0</v>
      </c>
      <c r="E7" s="141"/>
      <c r="F7" s="141"/>
      <c r="G7" s="141"/>
      <c r="H7" s="42"/>
      <c r="I7" s="141"/>
      <c r="J7" s="141"/>
      <c r="K7" s="42"/>
      <c r="L7" s="141"/>
      <c r="M7" s="141"/>
      <c r="N7" s="141"/>
      <c r="O7" s="141"/>
      <c r="P7" s="141"/>
      <c r="Q7" s="42"/>
    </row>
    <row r="8" spans="1:17" ht="14.25">
      <c r="A8" s="245" t="s">
        <v>75</v>
      </c>
      <c r="B8" s="251">
        <v>106</v>
      </c>
      <c r="C8" s="252">
        <f>B8/$B$17*'BRA CTRs'!$G$5</f>
        <v>62.055532102780305</v>
      </c>
      <c r="D8" s="257">
        <v>0</v>
      </c>
      <c r="E8" s="141"/>
      <c r="F8" s="141"/>
      <c r="G8" s="141"/>
      <c r="H8" s="42"/>
      <c r="I8" s="141"/>
      <c r="J8" s="141"/>
      <c r="K8" s="42"/>
      <c r="L8" s="141"/>
      <c r="M8" s="141"/>
      <c r="N8" s="141"/>
      <c r="O8" s="141"/>
      <c r="P8" s="141"/>
      <c r="Q8" s="42"/>
    </row>
    <row r="9" spans="1:17" ht="14.25">
      <c r="A9" s="260" t="s">
        <v>147</v>
      </c>
      <c r="B9" s="262">
        <f>SUM(B7:B8)</f>
        <v>266</v>
      </c>
      <c r="C9" s="263">
        <f>SUM(C7:C8)</f>
        <v>155.72425980509018</v>
      </c>
      <c r="D9" s="264">
        <f>SUM(D7:D8)</f>
        <v>0</v>
      </c>
      <c r="E9" s="141"/>
      <c r="F9" s="141"/>
      <c r="G9" s="141"/>
      <c r="H9" s="42"/>
      <c r="I9" s="141"/>
      <c r="J9" s="141"/>
      <c r="K9" s="42"/>
      <c r="L9" s="141"/>
      <c r="M9" s="141"/>
      <c r="N9" s="141"/>
      <c r="O9" s="141"/>
      <c r="P9" s="141"/>
      <c r="Q9" s="42"/>
    </row>
    <row r="10" spans="1:17" ht="30" customHeight="1">
      <c r="A10" s="246" t="s">
        <v>120</v>
      </c>
      <c r="B10" s="251" t="s">
        <v>24</v>
      </c>
      <c r="C10" s="252"/>
      <c r="D10" s="257"/>
      <c r="E10" s="142"/>
      <c r="F10" s="142"/>
      <c r="G10" s="143"/>
      <c r="H10" s="142"/>
      <c r="I10" s="142"/>
      <c r="J10" s="143"/>
      <c r="K10" s="142"/>
      <c r="L10" s="142"/>
      <c r="M10" s="143"/>
      <c r="N10" s="142"/>
      <c r="O10" s="142"/>
      <c r="P10" s="143"/>
      <c r="Q10" s="42"/>
    </row>
    <row r="11" spans="1:17" ht="26.25">
      <c r="A11" s="245" t="s">
        <v>73</v>
      </c>
      <c r="B11" s="251">
        <v>16</v>
      </c>
      <c r="C11" s="252">
        <f>B11/$B$17*'BRA CTRs'!$G$5</f>
        <v>9.366872770230989</v>
      </c>
      <c r="D11" s="257">
        <v>237</v>
      </c>
      <c r="E11" s="141"/>
      <c r="F11" s="142"/>
      <c r="G11" s="143"/>
      <c r="H11" s="42"/>
      <c r="I11" s="142"/>
      <c r="J11" s="143"/>
      <c r="K11" s="42"/>
      <c r="L11" s="142"/>
      <c r="M11" s="143"/>
      <c r="N11" s="142"/>
      <c r="O11" s="142"/>
      <c r="P11" s="143"/>
      <c r="Q11" s="42"/>
    </row>
    <row r="12" spans="1:17" ht="15">
      <c r="A12" s="260" t="s">
        <v>148</v>
      </c>
      <c r="B12" s="262">
        <f>SUM(B11)</f>
        <v>16</v>
      </c>
      <c r="C12" s="263">
        <f>SUM(C11)</f>
        <v>9.366872770230989</v>
      </c>
      <c r="D12" s="264">
        <f>SUM(D11)</f>
        <v>237</v>
      </c>
      <c r="E12" s="142"/>
      <c r="F12" s="142"/>
      <c r="G12" s="143"/>
      <c r="H12" s="42"/>
      <c r="I12" s="142"/>
      <c r="J12" s="143"/>
      <c r="K12" s="42"/>
      <c r="L12" s="142"/>
      <c r="M12" s="143"/>
      <c r="N12" s="142"/>
      <c r="O12" s="142"/>
      <c r="P12" s="143"/>
      <c r="Q12" s="42"/>
    </row>
    <row r="13" spans="1:17" ht="15">
      <c r="A13" s="261" t="s">
        <v>119</v>
      </c>
      <c r="B13" s="253"/>
      <c r="C13" s="252"/>
      <c r="D13" s="258"/>
      <c r="E13" s="142"/>
      <c r="F13" s="142"/>
      <c r="G13" s="143"/>
      <c r="H13" s="42"/>
      <c r="I13" s="142"/>
      <c r="J13" s="143"/>
      <c r="K13" s="42"/>
      <c r="L13" s="142"/>
      <c r="M13" s="143"/>
      <c r="N13" s="142"/>
      <c r="O13" s="142"/>
      <c r="P13" s="143"/>
      <c r="Q13" s="42"/>
    </row>
    <row r="14" spans="1:17" ht="30" customHeight="1">
      <c r="A14" s="245" t="s">
        <v>96</v>
      </c>
      <c r="B14" s="251">
        <v>159</v>
      </c>
      <c r="C14" s="252">
        <f>B14/$B$17*'BRA CTRs'!$G$5</f>
        <v>93.08329815417045</v>
      </c>
      <c r="D14" s="257">
        <v>0</v>
      </c>
      <c r="E14" s="141"/>
      <c r="F14" s="142"/>
      <c r="G14" s="143"/>
      <c r="H14" s="42"/>
      <c r="I14" s="142"/>
      <c r="J14" s="143"/>
      <c r="K14" s="42"/>
      <c r="L14" s="142"/>
      <c r="M14" s="143"/>
      <c r="N14" s="142"/>
      <c r="O14" s="142"/>
      <c r="P14" s="143"/>
      <c r="Q14" s="42"/>
    </row>
    <row r="15" spans="1:17" ht="30" customHeight="1">
      <c r="A15" s="260" t="s">
        <v>149</v>
      </c>
      <c r="B15" s="262">
        <f>SUM(B14)</f>
        <v>159</v>
      </c>
      <c r="C15" s="265">
        <f>SUM(C14)</f>
        <v>93.08329815417045</v>
      </c>
      <c r="D15" s="264">
        <f>SUM(D14)</f>
        <v>0</v>
      </c>
      <c r="E15" s="142"/>
      <c r="F15" s="142"/>
      <c r="G15" s="143"/>
      <c r="H15" s="42"/>
      <c r="I15" s="142"/>
      <c r="J15" s="143"/>
      <c r="K15" s="42"/>
      <c r="L15" s="142"/>
      <c r="M15" s="143"/>
      <c r="N15" s="142"/>
      <c r="O15" s="142"/>
      <c r="P15" s="143"/>
      <c r="Q15" s="42"/>
    </row>
    <row r="16" spans="1:17" ht="15">
      <c r="A16" s="247"/>
      <c r="B16" s="251"/>
      <c r="C16" s="252"/>
      <c r="D16" s="259"/>
      <c r="E16" s="142"/>
      <c r="F16" s="142"/>
      <c r="G16" s="143"/>
      <c r="H16" s="42"/>
      <c r="I16" s="142"/>
      <c r="J16" s="143"/>
      <c r="K16" s="42"/>
      <c r="L16" s="142"/>
      <c r="M16" s="143"/>
      <c r="N16" s="142"/>
      <c r="O16" s="142"/>
      <c r="P16" s="143"/>
      <c r="Q16" s="42"/>
    </row>
    <row r="17" spans="1:17" ht="15.75" thickBot="1">
      <c r="A17" s="260" t="s">
        <v>150</v>
      </c>
      <c r="B17" s="266">
        <f>B9+B12+B15</f>
        <v>441</v>
      </c>
      <c r="C17" s="267">
        <f>C9+C12+C15</f>
        <v>258.17443072949163</v>
      </c>
      <c r="D17" s="268">
        <f>D9+D12+D15</f>
        <v>237</v>
      </c>
      <c r="E17" s="243"/>
      <c r="F17" s="145"/>
      <c r="G17" s="141"/>
      <c r="H17" s="42"/>
      <c r="I17" s="145"/>
      <c r="J17" s="141"/>
      <c r="K17" s="42"/>
      <c r="L17" s="145"/>
      <c r="M17" s="141"/>
      <c r="N17" s="145"/>
      <c r="O17" s="145"/>
      <c r="P17" s="141"/>
      <c r="Q17" s="42"/>
    </row>
    <row r="18" spans="1:16" s="42" customFormat="1" ht="51" customHeight="1">
      <c r="A18" s="829" t="s">
        <v>183</v>
      </c>
      <c r="B18" s="830"/>
      <c r="C18" s="830"/>
      <c r="D18" s="830"/>
      <c r="E18" s="148"/>
      <c r="F18" s="148"/>
      <c r="G18" s="147"/>
      <c r="H18" s="148"/>
      <c r="I18" s="148"/>
      <c r="J18" s="147"/>
      <c r="K18" s="148"/>
      <c r="L18" s="148"/>
      <c r="M18" s="149"/>
      <c r="N18" s="148"/>
      <c r="O18" s="148"/>
      <c r="P18" s="149"/>
    </row>
    <row r="19" spans="1:16" s="42" customFormat="1" ht="15">
      <c r="A19" s="12"/>
      <c r="B19" s="146"/>
      <c r="C19" s="146"/>
      <c r="D19" s="147"/>
      <c r="E19" s="148"/>
      <c r="F19" s="148"/>
      <c r="G19" s="147"/>
      <c r="H19" s="148"/>
      <c r="I19" s="148"/>
      <c r="J19" s="147"/>
      <c r="K19" s="148"/>
      <c r="L19" s="148"/>
      <c r="M19" s="149"/>
      <c r="N19" s="148"/>
      <c r="O19" s="148"/>
      <c r="P19" s="149"/>
    </row>
    <row r="20" spans="1:16" s="42" customFormat="1" ht="15.75" thickBot="1">
      <c r="A20" s="144"/>
      <c r="B20" s="146"/>
      <c r="C20" s="146"/>
      <c r="D20" s="147"/>
      <c r="E20" s="148"/>
      <c r="F20" s="148"/>
      <c r="G20" s="147"/>
      <c r="H20" s="148"/>
      <c r="I20" s="148"/>
      <c r="J20" s="147"/>
      <c r="K20" s="148"/>
      <c r="L20" s="148"/>
      <c r="M20" s="149"/>
      <c r="N20" s="148"/>
      <c r="O20" s="148"/>
      <c r="P20" s="149"/>
    </row>
    <row r="21" spans="1:16" ht="32.25" thickBot="1">
      <c r="A21" s="153" t="s">
        <v>98</v>
      </c>
      <c r="B21" s="40"/>
      <c r="C21" s="40"/>
      <c r="D21" s="41"/>
      <c r="E21" s="148"/>
      <c r="F21" s="148"/>
      <c r="G21" s="147"/>
      <c r="H21" s="148"/>
      <c r="I21" s="148"/>
      <c r="J21" s="147"/>
      <c r="K21" s="148"/>
      <c r="L21" s="148"/>
      <c r="M21" s="149"/>
      <c r="N21" s="148"/>
      <c r="O21" s="148"/>
      <c r="P21" s="149"/>
    </row>
    <row r="22" spans="1:16" ht="26.25">
      <c r="A22" s="101" t="s">
        <v>90</v>
      </c>
      <c r="B22" s="162" t="s">
        <v>93</v>
      </c>
      <c r="C22" s="163" t="s">
        <v>91</v>
      </c>
      <c r="D22" s="150"/>
      <c r="E22" s="148"/>
      <c r="F22" s="148"/>
      <c r="G22" s="147"/>
      <c r="H22" s="148"/>
      <c r="I22" s="148"/>
      <c r="J22" s="147"/>
      <c r="K22" s="148"/>
      <c r="L22" s="148"/>
      <c r="M22" s="149"/>
      <c r="N22" s="148"/>
      <c r="O22" s="148"/>
      <c r="P22" s="149"/>
    </row>
    <row r="23" spans="1:16" ht="15">
      <c r="A23" s="55" t="s">
        <v>16</v>
      </c>
      <c r="B23" s="71">
        <v>0.0209</v>
      </c>
      <c r="C23" s="119">
        <v>0.0906</v>
      </c>
      <c r="D23" s="151"/>
      <c r="E23" s="148"/>
      <c r="F23" s="148"/>
      <c r="G23" s="147"/>
      <c r="H23" s="148"/>
      <c r="I23" s="148"/>
      <c r="J23" s="147"/>
      <c r="K23" s="148"/>
      <c r="L23" s="148"/>
      <c r="M23" s="149"/>
      <c r="N23" s="148"/>
      <c r="O23" s="148"/>
      <c r="P23" s="149"/>
    </row>
    <row r="24" spans="1:16" ht="15">
      <c r="A24" s="55" t="s">
        <v>32</v>
      </c>
      <c r="B24" s="71">
        <v>0.167</v>
      </c>
      <c r="C24" s="119">
        <v>0</v>
      </c>
      <c r="D24" s="151"/>
      <c r="E24" s="148"/>
      <c r="F24" s="148"/>
      <c r="G24" s="147"/>
      <c r="H24" s="148"/>
      <c r="I24" s="148"/>
      <c r="J24" s="147"/>
      <c r="K24" s="148"/>
      <c r="L24" s="148"/>
      <c r="M24" s="149"/>
      <c r="N24" s="148"/>
      <c r="O24" s="148"/>
      <c r="P24" s="149"/>
    </row>
    <row r="25" spans="1:16" ht="15">
      <c r="A25" s="55" t="s">
        <v>19</v>
      </c>
      <c r="B25" s="71">
        <v>0.0603</v>
      </c>
      <c r="C25" s="119">
        <v>0</v>
      </c>
      <c r="D25" s="151"/>
      <c r="E25" s="148"/>
      <c r="F25" s="148"/>
      <c r="G25" s="147"/>
      <c r="H25" s="148"/>
      <c r="I25" s="148"/>
      <c r="J25" s="147"/>
      <c r="K25" s="148"/>
      <c r="L25" s="148"/>
      <c r="M25" s="149"/>
      <c r="N25" s="148"/>
      <c r="O25" s="148"/>
      <c r="P25" s="149"/>
    </row>
    <row r="26" spans="1:4" s="42" customFormat="1" ht="12.75">
      <c r="A26" s="55" t="s">
        <v>53</v>
      </c>
      <c r="B26" s="71">
        <v>0</v>
      </c>
      <c r="C26" s="119">
        <v>0</v>
      </c>
      <c r="D26" s="151"/>
    </row>
    <row r="27" spans="1:4" s="42" customFormat="1" ht="12.75">
      <c r="A27" s="55" t="s">
        <v>11</v>
      </c>
      <c r="B27" s="71">
        <v>0.0492</v>
      </c>
      <c r="C27" s="119">
        <v>0</v>
      </c>
      <c r="D27" s="151"/>
    </row>
    <row r="28" spans="1:4" s="42" customFormat="1" ht="12.75">
      <c r="A28" s="55" t="s">
        <v>20</v>
      </c>
      <c r="B28" s="71">
        <v>0.1558</v>
      </c>
      <c r="C28" s="119">
        <v>0</v>
      </c>
      <c r="D28" s="151"/>
    </row>
    <row r="29" spans="1:16" ht="12.75">
      <c r="A29" s="55" t="s">
        <v>21</v>
      </c>
      <c r="B29" s="71">
        <v>0.0241</v>
      </c>
      <c r="C29" s="119">
        <v>0</v>
      </c>
      <c r="D29" s="15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2.75">
      <c r="A30" s="55" t="s">
        <v>71</v>
      </c>
      <c r="B30" s="71">
        <v>0</v>
      </c>
      <c r="C30" s="119">
        <v>0</v>
      </c>
      <c r="D30" s="15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2.75">
      <c r="A31" s="55" t="s">
        <v>52</v>
      </c>
      <c r="B31" s="71">
        <v>0.0205</v>
      </c>
      <c r="C31" s="119">
        <v>0</v>
      </c>
      <c r="D31" s="15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12.75">
      <c r="A32" s="55" t="s">
        <v>33</v>
      </c>
      <c r="B32" s="71">
        <v>0.1361</v>
      </c>
      <c r="C32" s="119">
        <v>0</v>
      </c>
      <c r="D32" s="15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2.75">
      <c r="A33" s="55" t="s">
        <v>17</v>
      </c>
      <c r="B33" s="71">
        <v>0.0288</v>
      </c>
      <c r="C33" s="119">
        <v>0.1696</v>
      </c>
      <c r="D33" s="15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12.75">
      <c r="A34" s="55" t="s">
        <v>12</v>
      </c>
      <c r="B34" s="71">
        <v>0.0456</v>
      </c>
      <c r="C34" s="119">
        <v>0.097</v>
      </c>
      <c r="D34" s="15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ht="12.75">
      <c r="A35" s="55" t="s">
        <v>13</v>
      </c>
      <c r="B35" s="71">
        <v>0.0209</v>
      </c>
      <c r="C35" s="119">
        <v>0.0148</v>
      </c>
      <c r="D35" s="15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12.75">
      <c r="A36" s="55" t="s">
        <v>9</v>
      </c>
      <c r="B36" s="71">
        <v>0.063</v>
      </c>
      <c r="C36" s="119">
        <v>0.3098</v>
      </c>
      <c r="D36" s="15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12.75">
      <c r="A37" s="55" t="s">
        <v>14</v>
      </c>
      <c r="B37" s="71">
        <v>0.0211</v>
      </c>
      <c r="C37" s="119">
        <v>0</v>
      </c>
      <c r="D37" s="15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12.75">
      <c r="A38" s="55" t="s">
        <v>15</v>
      </c>
      <c r="B38" s="71">
        <v>0.0473</v>
      </c>
      <c r="C38" s="119">
        <v>0</v>
      </c>
      <c r="D38" s="15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12.75">
      <c r="A39" s="55" t="s">
        <v>10</v>
      </c>
      <c r="B39" s="71">
        <v>0.0527</v>
      </c>
      <c r="C39" s="119">
        <v>0.1651</v>
      </c>
      <c r="D39" s="15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12.75">
      <c r="A40" s="55" t="s">
        <v>8</v>
      </c>
      <c r="B40" s="71">
        <v>0.0765</v>
      </c>
      <c r="C40" s="119">
        <v>0.1416</v>
      </c>
      <c r="D40" s="15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ht="12.75">
      <c r="A41" s="55" t="s">
        <v>18</v>
      </c>
      <c r="B41" s="71">
        <v>0.0031</v>
      </c>
      <c r="C41" s="119">
        <v>0.0053</v>
      </c>
      <c r="D41" s="15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4" ht="12.75">
      <c r="A42" s="55" t="s">
        <v>47</v>
      </c>
      <c r="B42" s="71">
        <v>0.0049</v>
      </c>
      <c r="C42" s="119">
        <v>0.0047</v>
      </c>
      <c r="D42" s="151"/>
    </row>
    <row r="43" spans="1:4" ht="12.75">
      <c r="A43" s="55" t="s">
        <v>58</v>
      </c>
      <c r="B43" s="71">
        <v>0.0022</v>
      </c>
      <c r="C43" s="119">
        <v>0.0015</v>
      </c>
      <c r="D43" s="151"/>
    </row>
    <row r="44" spans="1:4" ht="12.75">
      <c r="A44" s="187"/>
      <c r="B44" s="188">
        <f>SUM(B23:B43)</f>
        <v>1</v>
      </c>
      <c r="C44" s="189">
        <f>SUM(C23:C43)</f>
        <v>0.9999999999999999</v>
      </c>
      <c r="D44" s="152"/>
    </row>
    <row r="45" spans="1:4" ht="33.75" customHeight="1" thickBot="1">
      <c r="A45" s="821" t="s">
        <v>115</v>
      </c>
      <c r="B45" s="822"/>
      <c r="C45" s="823"/>
      <c r="D45" s="152"/>
    </row>
    <row r="46" spans="1:4" ht="12.75">
      <c r="A46" s="12"/>
      <c r="B46" s="152"/>
      <c r="C46" s="152"/>
      <c r="D46" s="152"/>
    </row>
    <row r="47" spans="1:4" ht="13.5" thickBot="1">
      <c r="A47" s="12"/>
      <c r="B47" s="152"/>
      <c r="C47" s="152"/>
      <c r="D47" s="152"/>
    </row>
    <row r="48" spans="1:4" ht="15.75" thickBot="1">
      <c r="A48" s="826" t="s">
        <v>95</v>
      </c>
      <c r="B48" s="146"/>
      <c r="C48" s="146"/>
      <c r="D48" s="147"/>
    </row>
    <row r="49" spans="1:9" ht="15" thickBot="1">
      <c r="A49" s="827"/>
      <c r="B49" s="818" t="s">
        <v>30</v>
      </c>
      <c r="C49" s="818"/>
      <c r="D49" s="818"/>
      <c r="E49" s="819"/>
      <c r="F49" s="820" t="s">
        <v>5</v>
      </c>
      <c r="G49" s="818"/>
      <c r="H49" s="818"/>
      <c r="I49" s="819"/>
    </row>
    <row r="50" spans="1:9" ht="22.5" customHeight="1" thickBot="1">
      <c r="A50" s="828"/>
      <c r="B50" s="824" t="s">
        <v>171</v>
      </c>
      <c r="C50" s="824"/>
      <c r="D50" s="825"/>
      <c r="E50" s="67">
        <f>'BRA Resource Clearing Results'!C6</f>
        <v>0</v>
      </c>
      <c r="F50" s="824" t="s">
        <v>171</v>
      </c>
      <c r="G50" s="824"/>
      <c r="H50" s="825"/>
      <c r="I50" s="67">
        <f>'BRA Resource Clearing Results'!C8</f>
        <v>0</v>
      </c>
    </row>
    <row r="51" spans="1:9" ht="66" customHeight="1">
      <c r="A51" s="101" t="s">
        <v>90</v>
      </c>
      <c r="B51" s="161" t="s">
        <v>151</v>
      </c>
      <c r="C51" s="161" t="s">
        <v>152</v>
      </c>
      <c r="D51" s="161" t="s">
        <v>92</v>
      </c>
      <c r="E51" s="111" t="s">
        <v>116</v>
      </c>
      <c r="F51" s="161" t="s">
        <v>151</v>
      </c>
      <c r="G51" s="161" t="s">
        <v>152</v>
      </c>
      <c r="H51" s="161" t="s">
        <v>92</v>
      </c>
      <c r="I51" s="128" t="s">
        <v>116</v>
      </c>
    </row>
    <row r="52" spans="1:9" ht="12.75">
      <c r="A52" s="55" t="s">
        <v>16</v>
      </c>
      <c r="B52" s="65">
        <f>B23*$C$9</f>
        <v>3.2546370299263847</v>
      </c>
      <c r="C52" s="65">
        <f>C23*$C$11</f>
        <v>0.8486386729829276</v>
      </c>
      <c r="D52" s="65">
        <f>B52+C52</f>
        <v>4.103275702909312</v>
      </c>
      <c r="E52" s="157">
        <f>D52*$E$50</f>
        <v>0</v>
      </c>
      <c r="F52" s="65">
        <f>B23*$D$9</f>
        <v>0</v>
      </c>
      <c r="G52" s="65">
        <f>C23*$D$12</f>
        <v>21.4722</v>
      </c>
      <c r="H52" s="65">
        <f aca="true" t="shared" si="0" ref="H52:H57">F52+G52</f>
        <v>21.4722</v>
      </c>
      <c r="I52" s="136">
        <f>H52*$I$50</f>
        <v>0</v>
      </c>
    </row>
    <row r="53" spans="1:9" ht="12.75">
      <c r="A53" s="55" t="s">
        <v>32</v>
      </c>
      <c r="B53" s="65">
        <f aca="true" t="shared" si="1" ref="B53:B72">B24*$C$9</f>
        <v>26.00595138745006</v>
      </c>
      <c r="C53" s="65">
        <f aca="true" t="shared" si="2" ref="C53:C72">C24*$C$11</f>
        <v>0</v>
      </c>
      <c r="D53" s="65">
        <f>B53+C53</f>
        <v>26.00595138745006</v>
      </c>
      <c r="E53" s="157">
        <f aca="true" t="shared" si="3" ref="E53:E72">D53*$E$50</f>
        <v>0</v>
      </c>
      <c r="F53" s="65">
        <f aca="true" t="shared" si="4" ref="F53:F72">B24*$D$9</f>
        <v>0</v>
      </c>
      <c r="G53" s="65">
        <f aca="true" t="shared" si="5" ref="G53:G71">C24*$D$12</f>
        <v>0</v>
      </c>
      <c r="H53" s="65">
        <f t="shared" si="0"/>
        <v>0</v>
      </c>
      <c r="I53" s="136">
        <f>H53*$I$50</f>
        <v>0</v>
      </c>
    </row>
    <row r="54" spans="1:9" ht="12.75">
      <c r="A54" s="55" t="s">
        <v>19</v>
      </c>
      <c r="B54" s="65">
        <f t="shared" si="1"/>
        <v>9.390172866246939</v>
      </c>
      <c r="C54" s="65">
        <f t="shared" si="2"/>
        <v>0</v>
      </c>
      <c r="D54" s="65">
        <f>B54+C54</f>
        <v>9.390172866246939</v>
      </c>
      <c r="E54" s="157">
        <f t="shared" si="3"/>
        <v>0</v>
      </c>
      <c r="F54" s="65">
        <f t="shared" si="4"/>
        <v>0</v>
      </c>
      <c r="G54" s="65">
        <f t="shared" si="5"/>
        <v>0</v>
      </c>
      <c r="H54" s="65">
        <f t="shared" si="0"/>
        <v>0</v>
      </c>
      <c r="I54" s="136">
        <f>H54*$I$50</f>
        <v>0</v>
      </c>
    </row>
    <row r="55" spans="1:9" ht="12.75">
      <c r="A55" s="55" t="s">
        <v>53</v>
      </c>
      <c r="B55" s="65">
        <f t="shared" si="1"/>
        <v>0</v>
      </c>
      <c r="C55" s="65">
        <f t="shared" si="2"/>
        <v>0</v>
      </c>
      <c r="D55" s="65">
        <f aca="true" t="shared" si="6" ref="D55:D72">B55+C55</f>
        <v>0</v>
      </c>
      <c r="E55" s="157">
        <f t="shared" si="3"/>
        <v>0</v>
      </c>
      <c r="F55" s="65">
        <f t="shared" si="4"/>
        <v>0</v>
      </c>
      <c r="G55" s="65">
        <f t="shared" si="5"/>
        <v>0</v>
      </c>
      <c r="H55" s="65">
        <f t="shared" si="0"/>
        <v>0</v>
      </c>
      <c r="I55" s="136">
        <f aca="true" t="shared" si="7" ref="I55:I72">H55*$I$50</f>
        <v>0</v>
      </c>
    </row>
    <row r="56" spans="1:9" ht="12.75">
      <c r="A56" s="55" t="s">
        <v>11</v>
      </c>
      <c r="B56" s="65">
        <f t="shared" si="1"/>
        <v>7.661633582410437</v>
      </c>
      <c r="C56" s="65">
        <f t="shared" si="2"/>
        <v>0</v>
      </c>
      <c r="D56" s="65">
        <f t="shared" si="6"/>
        <v>7.661633582410437</v>
      </c>
      <c r="E56" s="157">
        <f t="shared" si="3"/>
        <v>0</v>
      </c>
      <c r="F56" s="65">
        <f t="shared" si="4"/>
        <v>0</v>
      </c>
      <c r="G56" s="65">
        <f t="shared" si="5"/>
        <v>0</v>
      </c>
      <c r="H56" s="65">
        <f t="shared" si="0"/>
        <v>0</v>
      </c>
      <c r="I56" s="136">
        <f t="shared" si="7"/>
        <v>0</v>
      </c>
    </row>
    <row r="57" spans="1:9" ht="12.75">
      <c r="A57" s="55" t="s">
        <v>20</v>
      </c>
      <c r="B57" s="65">
        <f t="shared" si="1"/>
        <v>24.26183967763305</v>
      </c>
      <c r="C57" s="65">
        <f t="shared" si="2"/>
        <v>0</v>
      </c>
      <c r="D57" s="65">
        <f t="shared" si="6"/>
        <v>24.26183967763305</v>
      </c>
      <c r="E57" s="157">
        <f t="shared" si="3"/>
        <v>0</v>
      </c>
      <c r="F57" s="65">
        <f t="shared" si="4"/>
        <v>0</v>
      </c>
      <c r="G57" s="65">
        <f t="shared" si="5"/>
        <v>0</v>
      </c>
      <c r="H57" s="65">
        <f t="shared" si="0"/>
        <v>0</v>
      </c>
      <c r="I57" s="136">
        <f t="shared" si="7"/>
        <v>0</v>
      </c>
    </row>
    <row r="58" spans="1:9" ht="12.75">
      <c r="A58" s="55" t="s">
        <v>21</v>
      </c>
      <c r="B58" s="65">
        <f t="shared" si="1"/>
        <v>3.7529546613026734</v>
      </c>
      <c r="C58" s="65">
        <f t="shared" si="2"/>
        <v>0</v>
      </c>
      <c r="D58" s="65">
        <f t="shared" si="6"/>
        <v>3.7529546613026734</v>
      </c>
      <c r="E58" s="157">
        <f t="shared" si="3"/>
        <v>0</v>
      </c>
      <c r="F58" s="65">
        <f t="shared" si="4"/>
        <v>0</v>
      </c>
      <c r="G58" s="65">
        <f t="shared" si="5"/>
        <v>0</v>
      </c>
      <c r="H58" s="65">
        <f aca="true" t="shared" si="8" ref="H58:H72">F58+G58</f>
        <v>0</v>
      </c>
      <c r="I58" s="136">
        <f t="shared" si="7"/>
        <v>0</v>
      </c>
    </row>
    <row r="59" spans="1:9" ht="12.75">
      <c r="A59" s="55" t="s">
        <v>71</v>
      </c>
      <c r="B59" s="65">
        <f t="shared" si="1"/>
        <v>0</v>
      </c>
      <c r="C59" s="65">
        <f t="shared" si="2"/>
        <v>0</v>
      </c>
      <c r="D59" s="65">
        <f t="shared" si="6"/>
        <v>0</v>
      </c>
      <c r="E59" s="157">
        <f t="shared" si="3"/>
        <v>0</v>
      </c>
      <c r="F59" s="65">
        <f t="shared" si="4"/>
        <v>0</v>
      </c>
      <c r="G59" s="65">
        <f t="shared" si="5"/>
        <v>0</v>
      </c>
      <c r="H59" s="65">
        <f t="shared" si="8"/>
        <v>0</v>
      </c>
      <c r="I59" s="136">
        <f t="shared" si="7"/>
        <v>0</v>
      </c>
    </row>
    <row r="60" spans="1:9" ht="12.75">
      <c r="A60" s="55" t="s">
        <v>52</v>
      </c>
      <c r="B60" s="65">
        <f t="shared" si="1"/>
        <v>3.192347326004349</v>
      </c>
      <c r="C60" s="65">
        <f t="shared" si="2"/>
        <v>0</v>
      </c>
      <c r="D60" s="65">
        <f t="shared" si="6"/>
        <v>3.192347326004349</v>
      </c>
      <c r="E60" s="157">
        <f t="shared" si="3"/>
        <v>0</v>
      </c>
      <c r="F60" s="65">
        <f t="shared" si="4"/>
        <v>0</v>
      </c>
      <c r="G60" s="65">
        <f t="shared" si="5"/>
        <v>0</v>
      </c>
      <c r="H60" s="65">
        <f t="shared" si="8"/>
        <v>0</v>
      </c>
      <c r="I60" s="136">
        <f t="shared" si="7"/>
        <v>0</v>
      </c>
    </row>
    <row r="61" spans="1:9" ht="12.75">
      <c r="A61" s="55" t="s">
        <v>33</v>
      </c>
      <c r="B61" s="65">
        <f t="shared" si="1"/>
        <v>21.194071759472774</v>
      </c>
      <c r="C61" s="65">
        <f t="shared" si="2"/>
        <v>0</v>
      </c>
      <c r="D61" s="65">
        <f t="shared" si="6"/>
        <v>21.194071759472774</v>
      </c>
      <c r="E61" s="157">
        <f t="shared" si="3"/>
        <v>0</v>
      </c>
      <c r="F61" s="65">
        <f t="shared" si="4"/>
        <v>0</v>
      </c>
      <c r="G61" s="65">
        <f t="shared" si="5"/>
        <v>0</v>
      </c>
      <c r="H61" s="65">
        <f t="shared" si="8"/>
        <v>0</v>
      </c>
      <c r="I61" s="136">
        <f t="shared" si="7"/>
        <v>0</v>
      </c>
    </row>
    <row r="62" spans="1:9" ht="12.75">
      <c r="A62" s="55" t="s">
        <v>17</v>
      </c>
      <c r="B62" s="65">
        <f t="shared" si="1"/>
        <v>4.484858682386597</v>
      </c>
      <c r="C62" s="65">
        <f t="shared" si="2"/>
        <v>1.5886216218311757</v>
      </c>
      <c r="D62" s="65">
        <f t="shared" si="6"/>
        <v>6.073480304217773</v>
      </c>
      <c r="E62" s="157">
        <f t="shared" si="3"/>
        <v>0</v>
      </c>
      <c r="F62" s="65">
        <f t="shared" si="4"/>
        <v>0</v>
      </c>
      <c r="G62" s="65">
        <f t="shared" si="5"/>
        <v>40.1952</v>
      </c>
      <c r="H62" s="65">
        <f t="shared" si="8"/>
        <v>40.1952</v>
      </c>
      <c r="I62" s="136">
        <f t="shared" si="7"/>
        <v>0</v>
      </c>
    </row>
    <row r="63" spans="1:9" ht="12.75">
      <c r="A63" s="55" t="s">
        <v>12</v>
      </c>
      <c r="B63" s="65">
        <f t="shared" si="1"/>
        <v>7.101026247112113</v>
      </c>
      <c r="C63" s="65">
        <f t="shared" si="2"/>
        <v>0.908586658712406</v>
      </c>
      <c r="D63" s="65">
        <f t="shared" si="6"/>
        <v>8.009612905824518</v>
      </c>
      <c r="E63" s="157">
        <f t="shared" si="3"/>
        <v>0</v>
      </c>
      <c r="F63" s="65">
        <f t="shared" si="4"/>
        <v>0</v>
      </c>
      <c r="G63" s="65">
        <f t="shared" si="5"/>
        <v>22.989</v>
      </c>
      <c r="H63" s="65">
        <f t="shared" si="8"/>
        <v>22.989</v>
      </c>
      <c r="I63" s="136">
        <f t="shared" si="7"/>
        <v>0</v>
      </c>
    </row>
    <row r="64" spans="1:9" ht="12.75">
      <c r="A64" s="55" t="s">
        <v>13</v>
      </c>
      <c r="B64" s="65">
        <f t="shared" si="1"/>
        <v>3.2546370299263847</v>
      </c>
      <c r="C64" s="65">
        <f t="shared" si="2"/>
        <v>0.13862971699941865</v>
      </c>
      <c r="D64" s="65">
        <f t="shared" si="6"/>
        <v>3.3932667469258035</v>
      </c>
      <c r="E64" s="157">
        <f t="shared" si="3"/>
        <v>0</v>
      </c>
      <c r="F64" s="65">
        <f t="shared" si="4"/>
        <v>0</v>
      </c>
      <c r="G64" s="65">
        <f t="shared" si="5"/>
        <v>3.5076</v>
      </c>
      <c r="H64" s="65">
        <f t="shared" si="8"/>
        <v>3.5076</v>
      </c>
      <c r="I64" s="136">
        <f t="shared" si="7"/>
        <v>0</v>
      </c>
    </row>
    <row r="65" spans="1:9" ht="12.75">
      <c r="A65" s="55" t="s">
        <v>9</v>
      </c>
      <c r="B65" s="65">
        <f t="shared" si="1"/>
        <v>9.810628367720682</v>
      </c>
      <c r="C65" s="65">
        <f t="shared" si="2"/>
        <v>2.9018571842175604</v>
      </c>
      <c r="D65" s="65">
        <f t="shared" si="6"/>
        <v>12.712485551938242</v>
      </c>
      <c r="E65" s="157">
        <f t="shared" si="3"/>
        <v>0</v>
      </c>
      <c r="F65" s="65">
        <f t="shared" si="4"/>
        <v>0</v>
      </c>
      <c r="G65" s="65">
        <f t="shared" si="5"/>
        <v>73.4226</v>
      </c>
      <c r="H65" s="65">
        <f t="shared" si="8"/>
        <v>73.4226</v>
      </c>
      <c r="I65" s="136">
        <f t="shared" si="7"/>
        <v>0</v>
      </c>
    </row>
    <row r="66" spans="1:9" ht="12.75">
      <c r="A66" s="55" t="s">
        <v>14</v>
      </c>
      <c r="B66" s="65">
        <f t="shared" si="1"/>
        <v>3.285781881887403</v>
      </c>
      <c r="C66" s="65">
        <f t="shared" si="2"/>
        <v>0</v>
      </c>
      <c r="D66" s="65">
        <f t="shared" si="6"/>
        <v>3.285781881887403</v>
      </c>
      <c r="E66" s="157">
        <f t="shared" si="3"/>
        <v>0</v>
      </c>
      <c r="F66" s="65">
        <f t="shared" si="4"/>
        <v>0</v>
      </c>
      <c r="G66" s="65">
        <f t="shared" si="5"/>
        <v>0</v>
      </c>
      <c r="H66" s="65">
        <f t="shared" si="8"/>
        <v>0</v>
      </c>
      <c r="I66" s="136">
        <f t="shared" si="7"/>
        <v>0</v>
      </c>
    </row>
    <row r="67" spans="1:9" ht="12.75">
      <c r="A67" s="55" t="s">
        <v>15</v>
      </c>
      <c r="B67" s="65">
        <f t="shared" si="1"/>
        <v>7.365757488780766</v>
      </c>
      <c r="C67" s="65">
        <f t="shared" si="2"/>
        <v>0</v>
      </c>
      <c r="D67" s="65">
        <f t="shared" si="6"/>
        <v>7.365757488780766</v>
      </c>
      <c r="E67" s="157">
        <f t="shared" si="3"/>
        <v>0</v>
      </c>
      <c r="F67" s="65">
        <f t="shared" si="4"/>
        <v>0</v>
      </c>
      <c r="G67" s="65">
        <f t="shared" si="5"/>
        <v>0</v>
      </c>
      <c r="H67" s="65">
        <f t="shared" si="8"/>
        <v>0</v>
      </c>
      <c r="I67" s="136">
        <f t="shared" si="7"/>
        <v>0</v>
      </c>
    </row>
    <row r="68" spans="1:9" ht="12.75">
      <c r="A68" s="55" t="s">
        <v>10</v>
      </c>
      <c r="B68" s="65">
        <f t="shared" si="1"/>
        <v>8.206668491728252</v>
      </c>
      <c r="C68" s="65">
        <f t="shared" si="2"/>
        <v>1.5464706943651363</v>
      </c>
      <c r="D68" s="65">
        <f t="shared" si="6"/>
        <v>9.753139186093389</v>
      </c>
      <c r="E68" s="157">
        <f t="shared" si="3"/>
        <v>0</v>
      </c>
      <c r="F68" s="65">
        <f t="shared" si="4"/>
        <v>0</v>
      </c>
      <c r="G68" s="65">
        <f t="shared" si="5"/>
        <v>39.1287</v>
      </c>
      <c r="H68" s="65">
        <f t="shared" si="8"/>
        <v>39.1287</v>
      </c>
      <c r="I68" s="136">
        <f t="shared" si="7"/>
        <v>0</v>
      </c>
    </row>
    <row r="69" spans="1:9" ht="12.75">
      <c r="A69" s="55" t="s">
        <v>8</v>
      </c>
      <c r="B69" s="65">
        <f t="shared" si="1"/>
        <v>11.912905875089399</v>
      </c>
      <c r="C69" s="65">
        <f t="shared" si="2"/>
        <v>1.3263491842647082</v>
      </c>
      <c r="D69" s="65">
        <f t="shared" si="6"/>
        <v>13.239255059354107</v>
      </c>
      <c r="E69" s="157">
        <f t="shared" si="3"/>
        <v>0</v>
      </c>
      <c r="F69" s="65">
        <f t="shared" si="4"/>
        <v>0</v>
      </c>
      <c r="G69" s="65">
        <f t="shared" si="5"/>
        <v>33.559200000000004</v>
      </c>
      <c r="H69" s="65">
        <f t="shared" si="8"/>
        <v>33.559200000000004</v>
      </c>
      <c r="I69" s="136">
        <f t="shared" si="7"/>
        <v>0</v>
      </c>
    </row>
    <row r="70" spans="1:9" ht="12.75">
      <c r="A70" s="55" t="s">
        <v>18</v>
      </c>
      <c r="B70" s="65">
        <f t="shared" si="1"/>
        <v>0.48274520539577953</v>
      </c>
      <c r="C70" s="65">
        <f t="shared" si="2"/>
        <v>0.04964442568222424</v>
      </c>
      <c r="D70" s="65">
        <f t="shared" si="6"/>
        <v>0.5323896310780037</v>
      </c>
      <c r="E70" s="157">
        <f t="shared" si="3"/>
        <v>0</v>
      </c>
      <c r="F70" s="65">
        <f t="shared" si="4"/>
        <v>0</v>
      </c>
      <c r="G70" s="65">
        <f t="shared" si="5"/>
        <v>1.2561</v>
      </c>
      <c r="H70" s="65">
        <f t="shared" si="8"/>
        <v>1.2561</v>
      </c>
      <c r="I70" s="136">
        <f t="shared" si="7"/>
        <v>0</v>
      </c>
    </row>
    <row r="71" spans="1:9" ht="12.75">
      <c r="A71" s="55" t="s">
        <v>47</v>
      </c>
      <c r="B71" s="65">
        <f t="shared" si="1"/>
        <v>0.7630488730449418</v>
      </c>
      <c r="C71" s="65">
        <f t="shared" si="2"/>
        <v>0.04402430202008565</v>
      </c>
      <c r="D71" s="65">
        <f t="shared" si="6"/>
        <v>0.8070731750650275</v>
      </c>
      <c r="E71" s="157">
        <f t="shared" si="3"/>
        <v>0</v>
      </c>
      <c r="F71" s="65">
        <f t="shared" si="4"/>
        <v>0</v>
      </c>
      <c r="G71" s="65">
        <f t="shared" si="5"/>
        <v>1.1139000000000001</v>
      </c>
      <c r="H71" s="65">
        <f t="shared" si="8"/>
        <v>1.1139000000000001</v>
      </c>
      <c r="I71" s="136">
        <f t="shared" si="7"/>
        <v>0</v>
      </c>
    </row>
    <row r="72" spans="1:9" ht="12.75">
      <c r="A72" s="55" t="s">
        <v>58</v>
      </c>
      <c r="B72" s="65">
        <f t="shared" si="1"/>
        <v>0.3425933715711984</v>
      </c>
      <c r="C72" s="65">
        <f t="shared" si="2"/>
        <v>0.014050309155346484</v>
      </c>
      <c r="D72" s="65">
        <f t="shared" si="6"/>
        <v>0.3566436807265449</v>
      </c>
      <c r="E72" s="157">
        <f t="shared" si="3"/>
        <v>0</v>
      </c>
      <c r="F72" s="65">
        <f t="shared" si="4"/>
        <v>0</v>
      </c>
      <c r="G72" s="65">
        <f>C43*$D$12</f>
        <v>0.3555</v>
      </c>
      <c r="H72" s="65">
        <f t="shared" si="8"/>
        <v>0.3555</v>
      </c>
      <c r="I72" s="136">
        <f t="shared" si="7"/>
        <v>0</v>
      </c>
    </row>
    <row r="73" spans="1:9" ht="13.5" thickBot="1">
      <c r="A73" s="191" t="s">
        <v>59</v>
      </c>
      <c r="B73" s="114">
        <f aca="true" t="shared" si="9" ref="B73:H73">SUM(B52:B72)</f>
        <v>155.7242598050902</v>
      </c>
      <c r="C73" s="114">
        <f>SUM(C52:C72)</f>
        <v>9.366872770230989</v>
      </c>
      <c r="D73" s="114">
        <f t="shared" si="9"/>
        <v>165.09113257532113</v>
      </c>
      <c r="E73" s="158">
        <f t="shared" si="9"/>
        <v>0</v>
      </c>
      <c r="F73" s="114">
        <f t="shared" si="9"/>
        <v>0</v>
      </c>
      <c r="G73" s="114">
        <f t="shared" si="9"/>
        <v>237.00000000000003</v>
      </c>
      <c r="H73" s="114">
        <f t="shared" si="9"/>
        <v>237.00000000000003</v>
      </c>
      <c r="I73" s="138">
        <f>SUM(I52:I72)</f>
        <v>0</v>
      </c>
    </row>
    <row r="74" spans="1:9" ht="12.75">
      <c r="A74" s="190" t="s">
        <v>110</v>
      </c>
      <c r="B74" s="25"/>
      <c r="C74" s="25"/>
      <c r="D74" s="25"/>
      <c r="E74" s="9"/>
      <c r="F74" s="25"/>
      <c r="G74" s="25"/>
      <c r="H74" s="25"/>
      <c r="I74" s="9"/>
    </row>
    <row r="75" spans="1:10" ht="15">
      <c r="A75" s="61" t="s">
        <v>117</v>
      </c>
      <c r="B75" s="146"/>
      <c r="C75" s="146"/>
      <c r="D75" s="147"/>
      <c r="J75" s="155"/>
    </row>
    <row r="76" spans="1:4" ht="15">
      <c r="A76" s="61" t="s">
        <v>121</v>
      </c>
      <c r="B76" s="146"/>
      <c r="C76" s="146"/>
      <c r="D76" s="147"/>
    </row>
    <row r="77" ht="13.5" thickBot="1"/>
    <row r="78" spans="1:2" ht="13.5" thickBot="1">
      <c r="A78" s="164" t="s">
        <v>99</v>
      </c>
      <c r="B78" s="6"/>
    </row>
    <row r="79" spans="1:4" ht="38.25">
      <c r="A79" s="165" t="s">
        <v>3</v>
      </c>
      <c r="B79" s="159" t="s">
        <v>122</v>
      </c>
      <c r="C79" s="160" t="s">
        <v>134</v>
      </c>
      <c r="D79" s="80"/>
    </row>
    <row r="80" spans="1:3" ht="12.75">
      <c r="A80" s="55" t="s">
        <v>30</v>
      </c>
      <c r="B80" s="156">
        <f>B15*E50</f>
        <v>0</v>
      </c>
      <c r="C80" s="166">
        <f>(C9+C12)*E50</f>
        <v>0</v>
      </c>
    </row>
    <row r="81" spans="1:3" ht="12.75">
      <c r="A81" s="55" t="s">
        <v>5</v>
      </c>
      <c r="B81" s="156">
        <f>D15*I50</f>
        <v>0</v>
      </c>
      <c r="C81" s="166">
        <f>(D9+D12)*I50</f>
        <v>0</v>
      </c>
    </row>
    <row r="82" spans="1:3" ht="13.5" thickBot="1">
      <c r="A82" s="129" t="s">
        <v>59</v>
      </c>
      <c r="B82" s="167">
        <f>SUM(B80:B81)</f>
        <v>0</v>
      </c>
      <c r="C82" s="168">
        <f>SUM(C80:C81)</f>
        <v>0</v>
      </c>
    </row>
  </sheetData>
  <sheetProtection/>
  <mergeCells count="9">
    <mergeCell ref="A3:A4"/>
    <mergeCell ref="B49:E49"/>
    <mergeCell ref="F49:I49"/>
    <mergeCell ref="A45:C45"/>
    <mergeCell ref="B50:D50"/>
    <mergeCell ref="F50:H50"/>
    <mergeCell ref="A48:A50"/>
    <mergeCell ref="A18:D18"/>
    <mergeCell ref="B4:C4"/>
  </mergeCells>
  <printOptions gridLines="1" horizontalCentered="1" verticalCentered="1"/>
  <pageMargins left="0.25" right="0.25" top="0.25" bottom="0.25" header="0.3" footer="0.3"/>
  <pageSetup fitToHeight="1" fitToWidth="1" horizontalDpi="600" verticalDpi="600" orientation="landscape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421875" style="0" customWidth="1"/>
    <col min="2" max="25" width="16.7109375" style="0" customWidth="1"/>
    <col min="26" max="26" width="9.28125" style="0" bestFit="1" customWidth="1"/>
    <col min="27" max="27" width="9.7109375" style="0" bestFit="1" customWidth="1"/>
  </cols>
  <sheetData>
    <row r="1" spans="1:10" ht="18.75">
      <c r="A1" s="24" t="s">
        <v>251</v>
      </c>
      <c r="B1" s="6"/>
      <c r="C1" s="6"/>
      <c r="D1" s="6" t="s">
        <v>24</v>
      </c>
      <c r="E1" s="58" t="s">
        <v>24</v>
      </c>
      <c r="F1" s="58" t="s">
        <v>24</v>
      </c>
      <c r="G1" s="58" t="s">
        <v>24</v>
      </c>
      <c r="H1" s="6"/>
      <c r="I1" s="6"/>
      <c r="J1" s="6"/>
    </row>
    <row r="2" spans="1:6" ht="13.5" thickBot="1">
      <c r="A2" s="4" t="s">
        <v>277</v>
      </c>
      <c r="B2" s="6"/>
      <c r="C2" s="6"/>
      <c r="D2" s="305" t="s">
        <v>24</v>
      </c>
      <c r="E2" s="7" t="s">
        <v>24</v>
      </c>
      <c r="F2" s="4"/>
    </row>
    <row r="3" spans="1:10" ht="15.75" thickBot="1">
      <c r="A3" s="127" t="s">
        <v>79</v>
      </c>
      <c r="B3" s="87"/>
      <c r="C3" s="87"/>
      <c r="D3" s="87"/>
      <c r="E3" s="87"/>
      <c r="F3" s="87"/>
      <c r="G3" s="87"/>
      <c r="H3" s="87"/>
      <c r="I3" s="87" t="s">
        <v>24</v>
      </c>
      <c r="J3" s="87"/>
    </row>
    <row r="4" spans="1:10" ht="64.5" thickBot="1">
      <c r="A4" s="418" t="s">
        <v>3</v>
      </c>
      <c r="B4" s="419" t="s">
        <v>83</v>
      </c>
      <c r="C4" s="393" t="s">
        <v>235</v>
      </c>
      <c r="D4" s="420" t="s">
        <v>66</v>
      </c>
      <c r="E4" s="393" t="s">
        <v>236</v>
      </c>
      <c r="F4" s="420" t="s">
        <v>126</v>
      </c>
      <c r="G4" s="393" t="s">
        <v>63</v>
      </c>
      <c r="H4" s="421" t="s">
        <v>64</v>
      </c>
      <c r="I4" s="54"/>
      <c r="J4" s="54"/>
    </row>
    <row r="5" spans="1:10" ht="12.75">
      <c r="A5" s="413" t="s">
        <v>6</v>
      </c>
      <c r="B5" s="414">
        <v>0.03</v>
      </c>
      <c r="C5" s="415">
        <v>0</v>
      </c>
      <c r="D5" s="416">
        <f>B5+C5</f>
        <v>0.03</v>
      </c>
      <c r="E5" s="415">
        <v>5.51</v>
      </c>
      <c r="F5" s="416">
        <f aca="true" t="shared" si="0" ref="F5:F12">D5+E5</f>
        <v>5.54</v>
      </c>
      <c r="G5" s="415">
        <v>0</v>
      </c>
      <c r="H5" s="417">
        <f aca="true" t="shared" si="1" ref="H5:H12">F5+G5</f>
        <v>5.54</v>
      </c>
      <c r="I5" s="10"/>
      <c r="J5" s="10"/>
    </row>
    <row r="6" spans="1:10" ht="12.75">
      <c r="A6" s="379" t="s">
        <v>30</v>
      </c>
      <c r="B6" s="366">
        <f>$B$5</f>
        <v>0.03</v>
      </c>
      <c r="C6" s="67">
        <v>5.2</v>
      </c>
      <c r="D6" s="204">
        <f>B6+C6</f>
        <v>5.23</v>
      </c>
      <c r="E6" s="67">
        <v>11.33</v>
      </c>
      <c r="F6" s="204">
        <f t="shared" si="0"/>
        <v>16.560000000000002</v>
      </c>
      <c r="G6" s="67">
        <v>0</v>
      </c>
      <c r="H6" s="208">
        <f t="shared" si="1"/>
        <v>16.560000000000002</v>
      </c>
      <c r="I6" s="10"/>
      <c r="J6" s="10"/>
    </row>
    <row r="7" spans="1:10" ht="12.75">
      <c r="A7" s="379" t="s">
        <v>41</v>
      </c>
      <c r="B7" s="366">
        <f aca="true" t="shared" si="2" ref="B7:B12">$B$5</f>
        <v>0.03</v>
      </c>
      <c r="C7" s="67">
        <v>0</v>
      </c>
      <c r="D7" s="204">
        <f>B7+C6+C7</f>
        <v>5.23</v>
      </c>
      <c r="E7" s="67">
        <v>11.33</v>
      </c>
      <c r="F7" s="204">
        <f t="shared" si="0"/>
        <v>16.560000000000002</v>
      </c>
      <c r="G7" s="67">
        <v>0</v>
      </c>
      <c r="H7" s="208">
        <f t="shared" si="1"/>
        <v>16.560000000000002</v>
      </c>
      <c r="I7" s="10"/>
      <c r="J7" s="10"/>
    </row>
    <row r="8" spans="1:10" ht="12.75">
      <c r="A8" s="379" t="s">
        <v>5</v>
      </c>
      <c r="B8" s="366">
        <f t="shared" si="2"/>
        <v>0.03</v>
      </c>
      <c r="C8" s="67">
        <v>0</v>
      </c>
      <c r="D8" s="204">
        <f>B8+C6+C8</f>
        <v>5.23</v>
      </c>
      <c r="E8" s="67">
        <v>11.33</v>
      </c>
      <c r="F8" s="204">
        <f t="shared" si="0"/>
        <v>16.560000000000002</v>
      </c>
      <c r="G8" s="67">
        <v>0</v>
      </c>
      <c r="H8" s="208">
        <f t="shared" si="1"/>
        <v>16.560000000000002</v>
      </c>
      <c r="I8" s="10"/>
      <c r="J8" s="10"/>
    </row>
    <row r="9" spans="1:10" ht="12.75">
      <c r="A9" s="379" t="s">
        <v>8</v>
      </c>
      <c r="B9" s="366">
        <f t="shared" si="2"/>
        <v>0.03</v>
      </c>
      <c r="C9" s="67">
        <v>0</v>
      </c>
      <c r="D9" s="204">
        <f>B9+C6+C7+C9</f>
        <v>5.23</v>
      </c>
      <c r="E9" s="67">
        <v>11.33</v>
      </c>
      <c r="F9" s="204">
        <f t="shared" si="0"/>
        <v>16.560000000000002</v>
      </c>
      <c r="G9" s="67">
        <v>0</v>
      </c>
      <c r="H9" s="208">
        <f t="shared" si="1"/>
        <v>16.560000000000002</v>
      </c>
      <c r="I9" s="10"/>
      <c r="J9" s="10"/>
    </row>
    <row r="10" spans="1:10" ht="12.75">
      <c r="A10" s="379" t="s">
        <v>42</v>
      </c>
      <c r="B10" s="366">
        <f t="shared" si="2"/>
        <v>0.03</v>
      </c>
      <c r="C10" s="67">
        <v>394.39</v>
      </c>
      <c r="D10" s="204">
        <f>B10+C6+C7+C9+C10</f>
        <v>399.62</v>
      </c>
      <c r="E10" s="67">
        <v>11.33</v>
      </c>
      <c r="F10" s="204">
        <f t="shared" si="0"/>
        <v>410.95</v>
      </c>
      <c r="G10" s="67">
        <v>0</v>
      </c>
      <c r="H10" s="208">
        <f t="shared" si="1"/>
        <v>410.95</v>
      </c>
      <c r="I10" s="10"/>
      <c r="J10" s="10"/>
    </row>
    <row r="11" spans="1:10" ht="12.75">
      <c r="A11" s="379" t="s">
        <v>43</v>
      </c>
      <c r="B11" s="366">
        <f t="shared" si="2"/>
        <v>0.03</v>
      </c>
      <c r="C11" s="67">
        <v>0</v>
      </c>
      <c r="D11" s="204">
        <f>B11+C6+C7+C11</f>
        <v>5.23</v>
      </c>
      <c r="E11" s="67">
        <v>11.33</v>
      </c>
      <c r="F11" s="204">
        <f t="shared" si="0"/>
        <v>16.560000000000002</v>
      </c>
      <c r="G11" s="67">
        <v>0</v>
      </c>
      <c r="H11" s="208">
        <f t="shared" si="1"/>
        <v>16.560000000000002</v>
      </c>
      <c r="I11" s="10"/>
      <c r="J11" s="10"/>
    </row>
    <row r="12" spans="1:10" ht="13.5" thickBot="1">
      <c r="A12" s="380" t="s">
        <v>15</v>
      </c>
      <c r="B12" s="378">
        <f t="shared" si="2"/>
        <v>0.03</v>
      </c>
      <c r="C12" s="130">
        <v>0</v>
      </c>
      <c r="D12" s="205">
        <f>B12+C6+C8+C12</f>
        <v>5.23</v>
      </c>
      <c r="E12" s="130">
        <v>11.33</v>
      </c>
      <c r="F12" s="205">
        <f t="shared" si="0"/>
        <v>16.560000000000002</v>
      </c>
      <c r="G12" s="130">
        <v>0</v>
      </c>
      <c r="H12" s="209">
        <f t="shared" si="1"/>
        <v>16.560000000000002</v>
      </c>
      <c r="I12" s="10"/>
      <c r="J12" s="10"/>
    </row>
    <row r="13" spans="1:10" ht="12.75">
      <c r="A13" s="12" t="s">
        <v>29</v>
      </c>
      <c r="B13" s="35"/>
      <c r="C13" s="35"/>
      <c r="D13" s="35"/>
      <c r="E13" s="36"/>
      <c r="F13" s="25"/>
      <c r="G13" s="25"/>
      <c r="H13" s="25"/>
      <c r="I13" s="75" t="s">
        <v>24</v>
      </c>
      <c r="J13" s="75"/>
    </row>
    <row r="14" spans="1:10" ht="12.75">
      <c r="A14" s="32"/>
      <c r="B14" s="35"/>
      <c r="C14" s="35"/>
      <c r="D14" s="35"/>
      <c r="E14" s="36"/>
      <c r="F14" s="25"/>
      <c r="G14" s="25"/>
      <c r="H14" s="25"/>
      <c r="I14" s="75"/>
      <c r="J14" s="75"/>
    </row>
    <row r="15" spans="1:10" ht="13.5" thickBot="1">
      <c r="A15" s="12"/>
      <c r="B15" s="35"/>
      <c r="C15" s="35"/>
      <c r="D15" s="35"/>
      <c r="E15" s="36"/>
      <c r="F15" s="25"/>
      <c r="G15" s="25"/>
      <c r="H15" s="25"/>
      <c r="I15" s="75"/>
      <c r="J15" s="75"/>
    </row>
    <row r="16" spans="1:10" ht="15.75" thickBot="1">
      <c r="A16" s="839" t="s">
        <v>263</v>
      </c>
      <c r="B16" s="840"/>
      <c r="C16" s="841"/>
      <c r="D16" s="306"/>
      <c r="E16" s="36"/>
      <c r="F16" s="25"/>
      <c r="G16" s="25"/>
      <c r="H16" s="25"/>
      <c r="I16" s="75"/>
      <c r="J16" s="75"/>
    </row>
    <row r="17" spans="1:18" ht="15.75" customHeight="1" thickBot="1">
      <c r="A17" s="842" t="s">
        <v>3</v>
      </c>
      <c r="B17" s="836" t="s">
        <v>186</v>
      </c>
      <c r="C17" s="837"/>
      <c r="D17" s="837"/>
      <c r="E17" s="838"/>
      <c r="F17" s="836" t="s">
        <v>187</v>
      </c>
      <c r="G17" s="837"/>
      <c r="H17" s="837"/>
      <c r="I17" s="838"/>
      <c r="J17" s="836" t="s">
        <v>188</v>
      </c>
      <c r="K17" s="837"/>
      <c r="L17" s="837"/>
      <c r="M17" s="838"/>
      <c r="N17" s="836" t="s">
        <v>189</v>
      </c>
      <c r="O17" s="837"/>
      <c r="P17" s="837"/>
      <c r="Q17" s="838"/>
      <c r="R17" s="75"/>
    </row>
    <row r="18" spans="1:17" ht="42" customHeight="1" thickBot="1">
      <c r="A18" s="843"/>
      <c r="B18" s="392" t="s">
        <v>190</v>
      </c>
      <c r="C18" s="393" t="s">
        <v>191</v>
      </c>
      <c r="D18" s="393" t="s">
        <v>192</v>
      </c>
      <c r="E18" s="394" t="s">
        <v>193</v>
      </c>
      <c r="F18" s="392" t="s">
        <v>190</v>
      </c>
      <c r="G18" s="393" t="s">
        <v>191</v>
      </c>
      <c r="H18" s="393" t="s">
        <v>192</v>
      </c>
      <c r="I18" s="394" t="s">
        <v>193</v>
      </c>
      <c r="J18" s="392" t="s">
        <v>190</v>
      </c>
      <c r="K18" s="393" t="s">
        <v>191</v>
      </c>
      <c r="L18" s="393" t="s">
        <v>192</v>
      </c>
      <c r="M18" s="394" t="s">
        <v>193</v>
      </c>
      <c r="N18" s="392" t="s">
        <v>190</v>
      </c>
      <c r="O18" s="393" t="s">
        <v>191</v>
      </c>
      <c r="P18" s="393" t="s">
        <v>192</v>
      </c>
      <c r="Q18" s="404" t="s">
        <v>256</v>
      </c>
    </row>
    <row r="19" spans="1:17" ht="12.75">
      <c r="A19" s="422" t="s">
        <v>6</v>
      </c>
      <c r="B19" s="388">
        <v>2781.8</v>
      </c>
      <c r="C19" s="389">
        <v>116.6</v>
      </c>
      <c r="D19" s="390">
        <v>3951.4</v>
      </c>
      <c r="E19" s="391">
        <f>B19+C19+D19</f>
        <v>6849.8</v>
      </c>
      <c r="F19" s="395">
        <v>79.4</v>
      </c>
      <c r="G19" s="396">
        <v>29</v>
      </c>
      <c r="H19" s="397">
        <v>4131.4</v>
      </c>
      <c r="I19" s="398">
        <f aca="true" t="shared" si="3" ref="I19:I26">F19+G19+H19</f>
        <v>4239.799999999999</v>
      </c>
      <c r="J19" s="401">
        <f>B19-F19</f>
        <v>2702.4</v>
      </c>
      <c r="K19" s="396">
        <f aca="true" t="shared" si="4" ref="K19:K26">C19-G19</f>
        <v>87.6</v>
      </c>
      <c r="L19" s="396">
        <f aca="true" t="shared" si="5" ref="L19:L26">D19-H19</f>
        <v>-179.99999999999955</v>
      </c>
      <c r="M19" s="398">
        <f>J19+K19+L19</f>
        <v>2610.0000000000005</v>
      </c>
      <c r="N19" s="405">
        <v>0</v>
      </c>
      <c r="O19" s="406">
        <v>0</v>
      </c>
      <c r="P19" s="406">
        <v>0</v>
      </c>
      <c r="Q19" s="407">
        <v>0</v>
      </c>
    </row>
    <row r="20" spans="1:17" ht="12.75">
      <c r="A20" s="259" t="s">
        <v>30</v>
      </c>
      <c r="B20" s="382">
        <v>1300.9</v>
      </c>
      <c r="C20" s="345">
        <v>103.3</v>
      </c>
      <c r="D20" s="347">
        <v>1399</v>
      </c>
      <c r="E20" s="383">
        <f aca="true" t="shared" si="6" ref="E20:E26">B20+C20+D20</f>
        <v>2803.2</v>
      </c>
      <c r="F20" s="399">
        <v>54.2</v>
      </c>
      <c r="G20" s="345">
        <v>29</v>
      </c>
      <c r="H20" s="347">
        <v>1565.7</v>
      </c>
      <c r="I20" s="383">
        <f t="shared" si="3"/>
        <v>1648.9</v>
      </c>
      <c r="J20" s="382">
        <f aca="true" t="shared" si="7" ref="J20:J26">B20-F20</f>
        <v>1246.7</v>
      </c>
      <c r="K20" s="345">
        <f t="shared" si="4"/>
        <v>74.3</v>
      </c>
      <c r="L20" s="345">
        <f t="shared" si="5"/>
        <v>-166.70000000000005</v>
      </c>
      <c r="M20" s="383">
        <f aca="true" t="shared" si="8" ref="M20:M26">J20+K20+L20</f>
        <v>1154.3</v>
      </c>
      <c r="N20" s="408">
        <v>0</v>
      </c>
      <c r="O20" s="53">
        <v>0</v>
      </c>
      <c r="P20" s="53">
        <v>0</v>
      </c>
      <c r="Q20" s="409">
        <v>0</v>
      </c>
    </row>
    <row r="21" spans="1:17" ht="12.75">
      <c r="A21" s="259" t="s">
        <v>41</v>
      </c>
      <c r="B21" s="382">
        <v>584.6</v>
      </c>
      <c r="C21" s="345">
        <v>41.8</v>
      </c>
      <c r="D21" s="347">
        <v>435.9</v>
      </c>
      <c r="E21" s="383">
        <f t="shared" si="6"/>
        <v>1062.3</v>
      </c>
      <c r="F21" s="399">
        <v>43.1</v>
      </c>
      <c r="G21" s="345">
        <v>13.6</v>
      </c>
      <c r="H21" s="347">
        <v>197.7</v>
      </c>
      <c r="I21" s="383">
        <f t="shared" si="3"/>
        <v>254.39999999999998</v>
      </c>
      <c r="J21" s="382">
        <f t="shared" si="7"/>
        <v>541.5</v>
      </c>
      <c r="K21" s="345">
        <f t="shared" si="4"/>
        <v>28.199999999999996</v>
      </c>
      <c r="L21" s="345">
        <f t="shared" si="5"/>
        <v>238.2</v>
      </c>
      <c r="M21" s="383">
        <f t="shared" si="8"/>
        <v>807.9000000000001</v>
      </c>
      <c r="N21" s="408">
        <v>0</v>
      </c>
      <c r="O21" s="53">
        <v>0</v>
      </c>
      <c r="P21" s="53">
        <v>0</v>
      </c>
      <c r="Q21" s="409">
        <v>0</v>
      </c>
    </row>
    <row r="22" spans="1:17" ht="12.75">
      <c r="A22" s="259" t="s">
        <v>5</v>
      </c>
      <c r="B22" s="382">
        <v>365.4</v>
      </c>
      <c r="C22" s="345">
        <v>8.6</v>
      </c>
      <c r="D22" s="347">
        <v>56.3</v>
      </c>
      <c r="E22" s="383">
        <f t="shared" si="6"/>
        <v>430.3</v>
      </c>
      <c r="F22" s="399">
        <v>0.5</v>
      </c>
      <c r="G22" s="345">
        <v>15.4</v>
      </c>
      <c r="H22" s="347">
        <v>773.1</v>
      </c>
      <c r="I22" s="383">
        <f t="shared" si="3"/>
        <v>789</v>
      </c>
      <c r="J22" s="382">
        <f t="shared" si="7"/>
        <v>364.9</v>
      </c>
      <c r="K22" s="345">
        <f t="shared" si="4"/>
        <v>-6.800000000000001</v>
      </c>
      <c r="L22" s="345">
        <f t="shared" si="5"/>
        <v>-716.8000000000001</v>
      </c>
      <c r="M22" s="383">
        <f t="shared" si="8"/>
        <v>-358.7000000000001</v>
      </c>
      <c r="N22" s="410">
        <v>0</v>
      </c>
      <c r="O22" s="93">
        <v>0</v>
      </c>
      <c r="P22" s="93">
        <v>0</v>
      </c>
      <c r="Q22" s="409">
        <v>0</v>
      </c>
    </row>
    <row r="23" spans="1:17" ht="12.75">
      <c r="A23" s="259" t="s">
        <v>8</v>
      </c>
      <c r="B23" s="382">
        <v>198.7</v>
      </c>
      <c r="C23" s="345">
        <v>2.7</v>
      </c>
      <c r="D23" s="347">
        <v>41.5</v>
      </c>
      <c r="E23" s="383">
        <f t="shared" si="6"/>
        <v>242.89999999999998</v>
      </c>
      <c r="F23" s="399">
        <v>22.2</v>
      </c>
      <c r="G23" s="345">
        <v>3.1</v>
      </c>
      <c r="H23" s="347">
        <v>149.8</v>
      </c>
      <c r="I23" s="383">
        <f t="shared" si="3"/>
        <v>175.10000000000002</v>
      </c>
      <c r="J23" s="382">
        <f t="shared" si="7"/>
        <v>176.5</v>
      </c>
      <c r="K23" s="345">
        <f t="shared" si="4"/>
        <v>-0.3999999999999999</v>
      </c>
      <c r="L23" s="345">
        <f t="shared" si="5"/>
        <v>-108.30000000000001</v>
      </c>
      <c r="M23" s="383">
        <f t="shared" si="8"/>
        <v>67.79999999999998</v>
      </c>
      <c r="N23" s="410">
        <v>0</v>
      </c>
      <c r="O23" s="93">
        <v>0</v>
      </c>
      <c r="P23" s="93">
        <v>0</v>
      </c>
      <c r="Q23" s="409">
        <v>0</v>
      </c>
    </row>
    <row r="24" spans="1:17" ht="12.75">
      <c r="A24" s="259" t="s">
        <v>42</v>
      </c>
      <c r="B24" s="382">
        <v>50.9</v>
      </c>
      <c r="C24" s="345">
        <v>0</v>
      </c>
      <c r="D24" s="346">
        <v>0</v>
      </c>
      <c r="E24" s="383">
        <f t="shared" si="6"/>
        <v>50.9</v>
      </c>
      <c r="F24" s="400">
        <v>21.6</v>
      </c>
      <c r="G24" s="345">
        <v>3.1</v>
      </c>
      <c r="H24" s="346">
        <v>118.6</v>
      </c>
      <c r="I24" s="383">
        <f t="shared" si="3"/>
        <v>143.3</v>
      </c>
      <c r="J24" s="382">
        <f t="shared" si="7"/>
        <v>29.299999999999997</v>
      </c>
      <c r="K24" s="345">
        <f t="shared" si="4"/>
        <v>-3.1</v>
      </c>
      <c r="L24" s="345">
        <f t="shared" si="5"/>
        <v>-118.6</v>
      </c>
      <c r="M24" s="383">
        <f t="shared" si="8"/>
        <v>-92.4</v>
      </c>
      <c r="N24" s="410">
        <v>0</v>
      </c>
      <c r="O24" s="93">
        <v>0</v>
      </c>
      <c r="P24" s="93">
        <v>0</v>
      </c>
      <c r="Q24" s="409">
        <v>0</v>
      </c>
    </row>
    <row r="25" spans="1:17" ht="12.75">
      <c r="A25" s="259" t="s">
        <v>43</v>
      </c>
      <c r="B25" s="382">
        <v>48.4</v>
      </c>
      <c r="C25" s="345">
        <v>29.9</v>
      </c>
      <c r="D25" s="346">
        <v>1.3</v>
      </c>
      <c r="E25" s="383">
        <f t="shared" si="6"/>
        <v>79.6</v>
      </c>
      <c r="F25" s="400">
        <v>0</v>
      </c>
      <c r="G25" s="345">
        <v>0</v>
      </c>
      <c r="H25" s="346">
        <v>10.3</v>
      </c>
      <c r="I25" s="383">
        <f t="shared" si="3"/>
        <v>10.3</v>
      </c>
      <c r="J25" s="382">
        <f t="shared" si="7"/>
        <v>48.4</v>
      </c>
      <c r="K25" s="345">
        <f t="shared" si="4"/>
        <v>29.9</v>
      </c>
      <c r="L25" s="345">
        <f t="shared" si="5"/>
        <v>-9</v>
      </c>
      <c r="M25" s="383">
        <f t="shared" si="8"/>
        <v>69.3</v>
      </c>
      <c r="N25" s="410">
        <v>0</v>
      </c>
      <c r="O25" s="93">
        <v>0</v>
      </c>
      <c r="P25" s="93">
        <v>0</v>
      </c>
      <c r="Q25" s="409">
        <v>0</v>
      </c>
    </row>
    <row r="26" spans="1:17" ht="13.5" thickBot="1">
      <c r="A26" s="381" t="s">
        <v>15</v>
      </c>
      <c r="B26" s="384">
        <v>151.8</v>
      </c>
      <c r="C26" s="385">
        <v>6.1</v>
      </c>
      <c r="D26" s="386">
        <v>2</v>
      </c>
      <c r="E26" s="387">
        <f t="shared" si="6"/>
        <v>159.9</v>
      </c>
      <c r="F26" s="384">
        <v>0</v>
      </c>
      <c r="G26" s="385">
        <v>15.4</v>
      </c>
      <c r="H26" s="386">
        <v>9.1</v>
      </c>
      <c r="I26" s="387">
        <f t="shared" si="3"/>
        <v>24.5</v>
      </c>
      <c r="J26" s="402">
        <f t="shared" si="7"/>
        <v>151.8</v>
      </c>
      <c r="K26" s="403">
        <f t="shared" si="4"/>
        <v>-9.3</v>
      </c>
      <c r="L26" s="403">
        <f t="shared" si="5"/>
        <v>-7.1</v>
      </c>
      <c r="M26" s="387">
        <f t="shared" si="8"/>
        <v>135.4</v>
      </c>
      <c r="N26" s="411">
        <v>0</v>
      </c>
      <c r="O26" s="106">
        <v>0</v>
      </c>
      <c r="P26" s="106">
        <v>0</v>
      </c>
      <c r="Q26" s="412">
        <v>0</v>
      </c>
    </row>
    <row r="27" spans="1:17" ht="12.75">
      <c r="A27" s="12"/>
      <c r="B27" s="339"/>
      <c r="C27" s="340"/>
      <c r="D27" s="339"/>
      <c r="E27" s="341"/>
      <c r="F27" s="339"/>
      <c r="G27" s="340"/>
      <c r="H27" s="339"/>
      <c r="I27" s="341"/>
      <c r="J27" s="342"/>
      <c r="K27" s="342"/>
      <c r="L27" s="342"/>
      <c r="M27" s="341"/>
      <c r="N27" s="12"/>
      <c r="O27" s="12"/>
      <c r="P27" s="12"/>
      <c r="Q27" s="12"/>
    </row>
    <row r="28" spans="1:17" ht="13.5" thickBot="1">
      <c r="A28" s="12"/>
      <c r="B28" s="339"/>
      <c r="C28" s="340"/>
      <c r="D28" s="339"/>
      <c r="E28" s="341"/>
      <c r="F28" s="339"/>
      <c r="G28" s="340"/>
      <c r="H28" s="339"/>
      <c r="I28" s="341"/>
      <c r="J28" s="342"/>
      <c r="K28" s="342"/>
      <c r="L28" s="342" t="s">
        <v>24</v>
      </c>
      <c r="M28" s="341"/>
      <c r="N28" s="12"/>
      <c r="O28" s="12"/>
      <c r="P28" s="12"/>
      <c r="Q28" s="12"/>
    </row>
    <row r="29" spans="1:17" ht="15.75" thickBot="1">
      <c r="A29" s="852" t="s">
        <v>253</v>
      </c>
      <c r="B29" s="853"/>
      <c r="C29" s="340"/>
      <c r="D29" s="339"/>
      <c r="E29" s="341"/>
      <c r="F29" s="339"/>
      <c r="G29" s="340"/>
      <c r="H29" s="339"/>
      <c r="I29" s="341"/>
      <c r="J29" s="342"/>
      <c r="K29" s="342"/>
      <c r="L29" s="342"/>
      <c r="M29" s="341"/>
      <c r="N29" s="12"/>
      <c r="O29" s="12"/>
      <c r="P29" s="12"/>
      <c r="Q29" s="10"/>
    </row>
    <row r="30" spans="1:18" ht="13.5" thickBot="1">
      <c r="A30" s="844" t="s">
        <v>3</v>
      </c>
      <c r="B30" s="836" t="s">
        <v>264</v>
      </c>
      <c r="C30" s="837"/>
      <c r="D30" s="837"/>
      <c r="E30" s="838"/>
      <c r="F30" s="836" t="s">
        <v>265</v>
      </c>
      <c r="G30" s="837"/>
      <c r="H30" s="837"/>
      <c r="I30" s="838"/>
      <c r="J30" s="836" t="s">
        <v>266</v>
      </c>
      <c r="K30" s="837"/>
      <c r="L30" s="837"/>
      <c r="M30" s="838"/>
      <c r="N30" s="52"/>
      <c r="O30" s="469"/>
      <c r="P30" s="469"/>
      <c r="Q30" s="469"/>
      <c r="R30" s="75"/>
    </row>
    <row r="31" spans="1:17" ht="42" customHeight="1" thickBot="1">
      <c r="A31" s="845"/>
      <c r="B31" s="392" t="s">
        <v>190</v>
      </c>
      <c r="C31" s="393" t="s">
        <v>191</v>
      </c>
      <c r="D31" s="393" t="s">
        <v>192</v>
      </c>
      <c r="E31" s="394" t="s">
        <v>193</v>
      </c>
      <c r="F31" s="392" t="s">
        <v>190</v>
      </c>
      <c r="G31" s="393" t="s">
        <v>191</v>
      </c>
      <c r="H31" s="393" t="s">
        <v>192</v>
      </c>
      <c r="I31" s="394" t="s">
        <v>193</v>
      </c>
      <c r="J31" s="392" t="s">
        <v>190</v>
      </c>
      <c r="K31" s="393" t="s">
        <v>191</v>
      </c>
      <c r="L31" s="393" t="s">
        <v>192</v>
      </c>
      <c r="M31" s="394" t="s">
        <v>193</v>
      </c>
      <c r="N31" s="23"/>
      <c r="O31" s="172"/>
      <c r="P31" s="172"/>
      <c r="Q31" s="172"/>
    </row>
    <row r="32" spans="1:19" ht="12.75">
      <c r="A32" s="422" t="s">
        <v>6</v>
      </c>
      <c r="B32" s="401">
        <v>0</v>
      </c>
      <c r="C32" s="396">
        <v>92.4</v>
      </c>
      <c r="D32" s="397">
        <v>0</v>
      </c>
      <c r="E32" s="398">
        <f aca="true" t="shared" si="9" ref="E32:E39">B32+C32+D32</f>
        <v>92.4</v>
      </c>
      <c r="F32" s="395">
        <v>2702.4</v>
      </c>
      <c r="G32" s="396">
        <v>0</v>
      </c>
      <c r="H32" s="397">
        <v>0</v>
      </c>
      <c r="I32" s="398">
        <f aca="true" t="shared" si="10" ref="I32:I39">F32+G32+H32</f>
        <v>2702.4</v>
      </c>
      <c r="J32" s="395">
        <f>B32-F32</f>
        <v>-2702.4</v>
      </c>
      <c r="K32" s="396">
        <f aca="true" t="shared" si="11" ref="K32:K39">C32-G32</f>
        <v>92.4</v>
      </c>
      <c r="L32" s="396">
        <f aca="true" t="shared" si="12" ref="L32:L39">D32-H32</f>
        <v>0</v>
      </c>
      <c r="M32" s="398">
        <f aca="true" t="shared" si="13" ref="M32:M39">J32+K32+L32</f>
        <v>-2610</v>
      </c>
      <c r="N32" s="10"/>
      <c r="O32" s="12"/>
      <c r="P32" s="51"/>
      <c r="Q32" s="51"/>
      <c r="R32" s="462"/>
      <c r="S32" s="155"/>
    </row>
    <row r="33" spans="1:19" ht="12.75">
      <c r="A33" s="259" t="s">
        <v>30</v>
      </c>
      <c r="B33" s="382">
        <v>0</v>
      </c>
      <c r="C33" s="345">
        <v>92.4</v>
      </c>
      <c r="D33" s="346">
        <v>0</v>
      </c>
      <c r="E33" s="383">
        <f t="shared" si="9"/>
        <v>92.4</v>
      </c>
      <c r="F33" s="399">
        <v>1246.7</v>
      </c>
      <c r="G33" s="345">
        <v>0</v>
      </c>
      <c r="H33" s="346">
        <v>0</v>
      </c>
      <c r="I33" s="383">
        <f t="shared" si="10"/>
        <v>1246.7</v>
      </c>
      <c r="J33" s="382">
        <f aca="true" t="shared" si="14" ref="J33:J39">B33-F33</f>
        <v>-1246.7</v>
      </c>
      <c r="K33" s="345">
        <f t="shared" si="11"/>
        <v>92.4</v>
      </c>
      <c r="L33" s="345">
        <f t="shared" si="12"/>
        <v>0</v>
      </c>
      <c r="M33" s="383">
        <f t="shared" si="13"/>
        <v>-1154.3</v>
      </c>
      <c r="N33" s="10"/>
      <c r="O33" s="12"/>
      <c r="P33" s="51"/>
      <c r="Q33" s="51"/>
      <c r="R33" s="463"/>
      <c r="S33" s="155"/>
    </row>
    <row r="34" spans="1:19" ht="12.75">
      <c r="A34" s="259" t="s">
        <v>41</v>
      </c>
      <c r="B34" s="382">
        <v>0</v>
      </c>
      <c r="C34" s="345">
        <v>92.4</v>
      </c>
      <c r="D34" s="346">
        <v>0</v>
      </c>
      <c r="E34" s="383">
        <f t="shared" si="9"/>
        <v>92.4</v>
      </c>
      <c r="F34" s="399">
        <v>1027.9</v>
      </c>
      <c r="G34" s="345">
        <v>0</v>
      </c>
      <c r="H34" s="346">
        <v>0</v>
      </c>
      <c r="I34" s="383">
        <f t="shared" si="10"/>
        <v>1027.9</v>
      </c>
      <c r="J34" s="382">
        <f t="shared" si="14"/>
        <v>-1027.9</v>
      </c>
      <c r="K34" s="345">
        <f t="shared" si="11"/>
        <v>92.4</v>
      </c>
      <c r="L34" s="345">
        <f t="shared" si="12"/>
        <v>0</v>
      </c>
      <c r="M34" s="383">
        <f t="shared" si="13"/>
        <v>-935.5000000000001</v>
      </c>
      <c r="N34" s="10"/>
      <c r="O34" s="12"/>
      <c r="P34" s="51"/>
      <c r="Q34" s="12"/>
      <c r="R34" s="463"/>
      <c r="S34" s="155"/>
    </row>
    <row r="35" spans="1:19" ht="12.75">
      <c r="A35" s="259" t="s">
        <v>5</v>
      </c>
      <c r="B35" s="382">
        <v>0</v>
      </c>
      <c r="C35" s="345">
        <v>0</v>
      </c>
      <c r="D35" s="346">
        <v>0</v>
      </c>
      <c r="E35" s="383">
        <f t="shared" si="9"/>
        <v>0</v>
      </c>
      <c r="F35" s="399">
        <v>159.5</v>
      </c>
      <c r="G35" s="345">
        <v>0</v>
      </c>
      <c r="H35" s="346">
        <v>0</v>
      </c>
      <c r="I35" s="383">
        <f t="shared" si="10"/>
        <v>159.5</v>
      </c>
      <c r="J35" s="382">
        <f t="shared" si="14"/>
        <v>-159.5</v>
      </c>
      <c r="K35" s="345">
        <f t="shared" si="11"/>
        <v>0</v>
      </c>
      <c r="L35" s="345">
        <f t="shared" si="12"/>
        <v>0</v>
      </c>
      <c r="M35" s="383">
        <f t="shared" si="13"/>
        <v>-159.5</v>
      </c>
      <c r="N35" s="12"/>
      <c r="O35" s="12"/>
      <c r="P35" s="51"/>
      <c r="Q35" s="12"/>
      <c r="R35" s="463"/>
      <c r="S35" s="155"/>
    </row>
    <row r="36" spans="1:19" ht="12.75">
      <c r="A36" s="259" t="s">
        <v>8</v>
      </c>
      <c r="B36" s="382">
        <v>0</v>
      </c>
      <c r="C36" s="345">
        <v>92.4</v>
      </c>
      <c r="D36" s="346">
        <v>0</v>
      </c>
      <c r="E36" s="383">
        <f t="shared" si="9"/>
        <v>92.4</v>
      </c>
      <c r="F36" s="399">
        <v>268.6</v>
      </c>
      <c r="G36" s="345">
        <v>0</v>
      </c>
      <c r="H36" s="346">
        <v>0</v>
      </c>
      <c r="I36" s="383">
        <f t="shared" si="10"/>
        <v>268.6</v>
      </c>
      <c r="J36" s="382">
        <f t="shared" si="14"/>
        <v>-268.6</v>
      </c>
      <c r="K36" s="345">
        <f t="shared" si="11"/>
        <v>92.4</v>
      </c>
      <c r="L36" s="345">
        <f t="shared" si="12"/>
        <v>0</v>
      </c>
      <c r="M36" s="383">
        <f t="shared" si="13"/>
        <v>-176.20000000000002</v>
      </c>
      <c r="N36" s="12"/>
      <c r="O36" s="12"/>
      <c r="P36" s="51"/>
      <c r="Q36" s="12"/>
      <c r="R36" s="463"/>
      <c r="S36" s="155"/>
    </row>
    <row r="37" spans="1:17" ht="12.75">
      <c r="A37" s="259" t="s">
        <v>42</v>
      </c>
      <c r="B37" s="382">
        <v>0</v>
      </c>
      <c r="C37" s="345">
        <v>92.4</v>
      </c>
      <c r="D37" s="346">
        <v>0</v>
      </c>
      <c r="E37" s="383">
        <f t="shared" si="9"/>
        <v>92.4</v>
      </c>
      <c r="F37" s="400">
        <v>0</v>
      </c>
      <c r="G37" s="345">
        <v>0</v>
      </c>
      <c r="H37" s="346">
        <v>0</v>
      </c>
      <c r="I37" s="383">
        <f t="shared" si="10"/>
        <v>0</v>
      </c>
      <c r="J37" s="382">
        <f t="shared" si="14"/>
        <v>0</v>
      </c>
      <c r="K37" s="345">
        <f t="shared" si="11"/>
        <v>92.4</v>
      </c>
      <c r="L37" s="345">
        <f t="shared" si="12"/>
        <v>0</v>
      </c>
      <c r="M37" s="383">
        <f t="shared" si="13"/>
        <v>92.4</v>
      </c>
      <c r="N37" s="12"/>
      <c r="O37" s="51"/>
      <c r="P37" s="12"/>
      <c r="Q37" s="12"/>
    </row>
    <row r="38" spans="1:17" ht="12.75">
      <c r="A38" s="259" t="s">
        <v>43</v>
      </c>
      <c r="B38" s="382">
        <v>0</v>
      </c>
      <c r="C38" s="345">
        <v>0</v>
      </c>
      <c r="D38" s="346">
        <v>0</v>
      </c>
      <c r="E38" s="383">
        <f t="shared" si="9"/>
        <v>0</v>
      </c>
      <c r="F38" s="400">
        <v>0</v>
      </c>
      <c r="G38" s="345">
        <v>0</v>
      </c>
      <c r="H38" s="346">
        <v>0</v>
      </c>
      <c r="I38" s="383">
        <f t="shared" si="10"/>
        <v>0</v>
      </c>
      <c r="J38" s="382">
        <f t="shared" si="14"/>
        <v>0</v>
      </c>
      <c r="K38" s="345">
        <f t="shared" si="11"/>
        <v>0</v>
      </c>
      <c r="L38" s="345">
        <f t="shared" si="12"/>
        <v>0</v>
      </c>
      <c r="M38" s="383">
        <f t="shared" si="13"/>
        <v>0</v>
      </c>
      <c r="N38" s="12"/>
      <c r="O38" s="12"/>
      <c r="P38" s="12"/>
      <c r="Q38" s="12"/>
    </row>
    <row r="39" spans="1:17" ht="13.5" thickBot="1">
      <c r="A39" s="381" t="s">
        <v>15</v>
      </c>
      <c r="B39" s="384">
        <v>0</v>
      </c>
      <c r="C39" s="385">
        <v>0</v>
      </c>
      <c r="D39" s="386">
        <v>0</v>
      </c>
      <c r="E39" s="387">
        <f t="shared" si="9"/>
        <v>0</v>
      </c>
      <c r="F39" s="384">
        <v>0</v>
      </c>
      <c r="G39" s="403">
        <v>0</v>
      </c>
      <c r="H39" s="386">
        <v>0</v>
      </c>
      <c r="I39" s="387">
        <f t="shared" si="10"/>
        <v>0</v>
      </c>
      <c r="J39" s="402">
        <f t="shared" si="14"/>
        <v>0</v>
      </c>
      <c r="K39" s="403">
        <f t="shared" si="11"/>
        <v>0</v>
      </c>
      <c r="L39" s="403">
        <f t="shared" si="12"/>
        <v>0</v>
      </c>
      <c r="M39" s="387">
        <f t="shared" si="13"/>
        <v>0</v>
      </c>
      <c r="N39" s="12"/>
      <c r="O39" s="470"/>
      <c r="P39" s="471"/>
      <c r="Q39" s="472"/>
    </row>
    <row r="40" spans="1:17" ht="13.5" thickBot="1">
      <c r="A40" s="12"/>
      <c r="B40" s="339"/>
      <c r="C40" s="340"/>
      <c r="D40" s="339"/>
      <c r="E40" s="341"/>
      <c r="F40" s="339"/>
      <c r="G40" s="340"/>
      <c r="H40" s="339"/>
      <c r="I40" s="341"/>
      <c r="J40" s="342"/>
      <c r="K40" s="342"/>
      <c r="L40" s="342"/>
      <c r="M40" s="341"/>
      <c r="N40" s="12"/>
      <c r="O40" s="12"/>
      <c r="P40" s="12"/>
      <c r="Q40" s="10"/>
    </row>
    <row r="41" spans="1:10" ht="15.75" thickBot="1">
      <c r="A41" s="376" t="s">
        <v>269</v>
      </c>
      <c r="B41" s="35"/>
      <c r="C41" s="35"/>
      <c r="D41" s="35"/>
      <c r="E41" s="36"/>
      <c r="F41" s="25"/>
      <c r="G41" s="25"/>
      <c r="H41" s="25"/>
      <c r="I41" s="75"/>
      <c r="J41" s="75"/>
    </row>
    <row r="42" spans="1:25" ht="16.5" customHeight="1" thickBot="1">
      <c r="A42" s="842" t="s">
        <v>3</v>
      </c>
      <c r="B42" s="836" t="s">
        <v>186</v>
      </c>
      <c r="C42" s="837"/>
      <c r="D42" s="837"/>
      <c r="E42" s="838"/>
      <c r="F42" s="836" t="s">
        <v>187</v>
      </c>
      <c r="G42" s="837"/>
      <c r="H42" s="837"/>
      <c r="I42" s="838"/>
      <c r="J42" s="836" t="s">
        <v>188</v>
      </c>
      <c r="K42" s="837"/>
      <c r="L42" s="837"/>
      <c r="M42" s="838"/>
      <c r="N42" s="833" t="s">
        <v>194</v>
      </c>
      <c r="O42" s="834"/>
      <c r="P42" s="834"/>
      <c r="Q42" s="835"/>
      <c r="R42" s="833" t="s">
        <v>195</v>
      </c>
      <c r="S42" s="834"/>
      <c r="T42" s="834"/>
      <c r="U42" s="835"/>
      <c r="V42" s="833" t="s">
        <v>237</v>
      </c>
      <c r="W42" s="834"/>
      <c r="X42" s="834"/>
      <c r="Y42" s="835"/>
    </row>
    <row r="43" spans="1:25" ht="42" customHeight="1" thickBot="1">
      <c r="A43" s="843"/>
      <c r="B43" s="392" t="s">
        <v>190</v>
      </c>
      <c r="C43" s="393" t="s">
        <v>191</v>
      </c>
      <c r="D43" s="393" t="s">
        <v>192</v>
      </c>
      <c r="E43" s="394" t="s">
        <v>193</v>
      </c>
      <c r="F43" s="392" t="s">
        <v>190</v>
      </c>
      <c r="G43" s="393" t="s">
        <v>191</v>
      </c>
      <c r="H43" s="393" t="s">
        <v>192</v>
      </c>
      <c r="I43" s="394" t="s">
        <v>193</v>
      </c>
      <c r="J43" s="392" t="s">
        <v>190</v>
      </c>
      <c r="K43" s="393" t="s">
        <v>191</v>
      </c>
      <c r="L43" s="393" t="s">
        <v>192</v>
      </c>
      <c r="M43" s="394" t="s">
        <v>193</v>
      </c>
      <c r="N43" s="392" t="s">
        <v>190</v>
      </c>
      <c r="O43" s="393" t="s">
        <v>191</v>
      </c>
      <c r="P43" s="393" t="s">
        <v>192</v>
      </c>
      <c r="Q43" s="394" t="s">
        <v>193</v>
      </c>
      <c r="R43" s="392" t="s">
        <v>190</v>
      </c>
      <c r="S43" s="393" t="s">
        <v>191</v>
      </c>
      <c r="T43" s="393" t="s">
        <v>192</v>
      </c>
      <c r="U43" s="394" t="s">
        <v>193</v>
      </c>
      <c r="V43" s="392" t="s">
        <v>190</v>
      </c>
      <c r="W43" s="393" t="s">
        <v>191</v>
      </c>
      <c r="X43" s="393" t="s">
        <v>192</v>
      </c>
      <c r="Y43" s="394" t="s">
        <v>193</v>
      </c>
    </row>
    <row r="44" spans="1:25" ht="12.75">
      <c r="A44" s="423" t="s">
        <v>54</v>
      </c>
      <c r="B44" s="425">
        <f>B19-B20</f>
        <v>1480.9</v>
      </c>
      <c r="C44" s="426">
        <f>C19-C20</f>
        <v>13.299999999999997</v>
      </c>
      <c r="D44" s="426">
        <f>D19-D20</f>
        <v>2552.4</v>
      </c>
      <c r="E44" s="427">
        <f aca="true" t="shared" si="15" ref="E44:E51">B44+C44+D44</f>
        <v>4046.6000000000004</v>
      </c>
      <c r="F44" s="425">
        <f>F19-F20</f>
        <v>25.200000000000003</v>
      </c>
      <c r="G44" s="426">
        <f>G19-G20</f>
        <v>0</v>
      </c>
      <c r="H44" s="426">
        <f>H19-H20</f>
        <v>2565.7</v>
      </c>
      <c r="I44" s="427">
        <f aca="true" t="shared" si="16" ref="I44:I51">F44+G44+H44</f>
        <v>2590.8999999999996</v>
      </c>
      <c r="J44" s="430">
        <f>B44-F44</f>
        <v>1455.7</v>
      </c>
      <c r="K44" s="431">
        <f aca="true" t="shared" si="17" ref="J44:L51">C44-G44</f>
        <v>13.299999999999997</v>
      </c>
      <c r="L44" s="431">
        <f t="shared" si="17"/>
        <v>-13.299999999999727</v>
      </c>
      <c r="M44" s="398">
        <f aca="true" t="shared" si="18" ref="M44:M51">J44+K44+L44</f>
        <v>1455.7000000000003</v>
      </c>
      <c r="N44" s="436">
        <f aca="true" t="shared" si="19" ref="N44:N51">B44*D5</f>
        <v>44.427</v>
      </c>
      <c r="O44" s="437">
        <f aca="true" t="shared" si="20" ref="O44:O51">C44*F5</f>
        <v>73.68199999999999</v>
      </c>
      <c r="P44" s="437">
        <f aca="true" t="shared" si="21" ref="P44:P51">D44*H5</f>
        <v>14140.296</v>
      </c>
      <c r="Q44" s="438">
        <f>N44+O44+P44</f>
        <v>14258.405</v>
      </c>
      <c r="R44" s="436">
        <f aca="true" t="shared" si="22" ref="R44:R51">F44*D5</f>
        <v>0.756</v>
      </c>
      <c r="S44" s="437">
        <f aca="true" t="shared" si="23" ref="S44:S51">G44*F5</f>
        <v>0</v>
      </c>
      <c r="T44" s="437">
        <f aca="true" t="shared" si="24" ref="T44:T51">H44*H5</f>
        <v>14213.978</v>
      </c>
      <c r="U44" s="438">
        <f aca="true" t="shared" si="25" ref="U44:U51">R44+S44+T44</f>
        <v>14214.733999999999</v>
      </c>
      <c r="V44" s="439">
        <f aca="true" t="shared" si="26" ref="V44:X51">N44-R44</f>
        <v>43.671</v>
      </c>
      <c r="W44" s="440">
        <f t="shared" si="26"/>
        <v>73.68199999999999</v>
      </c>
      <c r="X44" s="440">
        <f t="shared" si="26"/>
        <v>-73.68199999999888</v>
      </c>
      <c r="Y44" s="441">
        <f aca="true" t="shared" si="27" ref="Y44:Y51">V44+W44+X44</f>
        <v>43.6710000000011</v>
      </c>
    </row>
    <row r="45" spans="1:25" ht="12.75">
      <c r="A45" s="259" t="s">
        <v>57</v>
      </c>
      <c r="B45" s="367">
        <f>B20-B21-B22</f>
        <v>350.9000000000001</v>
      </c>
      <c r="C45" s="63">
        <f>C20-C21-C22</f>
        <v>52.9</v>
      </c>
      <c r="D45" s="63">
        <f>D20-D21-D22</f>
        <v>906.8000000000001</v>
      </c>
      <c r="E45" s="428">
        <f t="shared" si="15"/>
        <v>1310.6000000000001</v>
      </c>
      <c r="F45" s="367">
        <f>F20-F21-F22</f>
        <v>10.600000000000001</v>
      </c>
      <c r="G45" s="63">
        <f>G20-G21-G22</f>
        <v>0</v>
      </c>
      <c r="H45" s="63">
        <f>H20-H21-H22</f>
        <v>594.9</v>
      </c>
      <c r="I45" s="428">
        <f t="shared" si="16"/>
        <v>605.5</v>
      </c>
      <c r="J45" s="432">
        <f t="shared" si="17"/>
        <v>340.30000000000007</v>
      </c>
      <c r="K45" s="274">
        <f t="shared" si="17"/>
        <v>52.9</v>
      </c>
      <c r="L45" s="274">
        <f t="shared" si="17"/>
        <v>311.9000000000001</v>
      </c>
      <c r="M45" s="383">
        <f t="shared" si="18"/>
        <v>705.1000000000001</v>
      </c>
      <c r="N45" s="434">
        <f t="shared" si="19"/>
        <v>1835.2070000000006</v>
      </c>
      <c r="O45" s="157">
        <f t="shared" si="20"/>
        <v>876.0240000000001</v>
      </c>
      <c r="P45" s="157">
        <f t="shared" si="21"/>
        <v>15016.608000000004</v>
      </c>
      <c r="Q45" s="136">
        <f aca="true" t="shared" si="28" ref="Q45:Q51">N45+O45+P45</f>
        <v>17727.839000000004</v>
      </c>
      <c r="R45" s="434">
        <f t="shared" si="22"/>
        <v>55.43800000000001</v>
      </c>
      <c r="S45" s="157">
        <f t="shared" si="23"/>
        <v>0</v>
      </c>
      <c r="T45" s="157">
        <f t="shared" si="24"/>
        <v>9851.544000000002</v>
      </c>
      <c r="U45" s="136">
        <f t="shared" si="25"/>
        <v>9906.982000000002</v>
      </c>
      <c r="V45" s="434">
        <f t="shared" si="26"/>
        <v>1779.7690000000005</v>
      </c>
      <c r="W45" s="157">
        <f t="shared" si="26"/>
        <v>876.0240000000001</v>
      </c>
      <c r="X45" s="157">
        <f t="shared" si="26"/>
        <v>5165.064000000002</v>
      </c>
      <c r="Y45" s="136">
        <f t="shared" si="27"/>
        <v>7820.857000000003</v>
      </c>
    </row>
    <row r="46" spans="1:25" ht="12.75">
      <c r="A46" s="259" t="s">
        <v>56</v>
      </c>
      <c r="B46" s="367">
        <f>B21-B23-B25</f>
        <v>337.50000000000006</v>
      </c>
      <c r="C46" s="63">
        <f>C21-C23-C25</f>
        <v>9.199999999999996</v>
      </c>
      <c r="D46" s="63">
        <f>D21-D23-D25</f>
        <v>393.09999999999997</v>
      </c>
      <c r="E46" s="428">
        <f t="shared" si="15"/>
        <v>739.8</v>
      </c>
      <c r="F46" s="367">
        <f>F21-F23-F25</f>
        <v>20.900000000000002</v>
      </c>
      <c r="G46" s="63">
        <f>G21-G23-G25</f>
        <v>10.5</v>
      </c>
      <c r="H46" s="63">
        <f>H21-H23-H25</f>
        <v>37.59999999999998</v>
      </c>
      <c r="I46" s="428">
        <f t="shared" si="16"/>
        <v>68.99999999999999</v>
      </c>
      <c r="J46" s="432">
        <f t="shared" si="17"/>
        <v>316.6000000000001</v>
      </c>
      <c r="K46" s="274">
        <f t="shared" si="17"/>
        <v>-1.3000000000000043</v>
      </c>
      <c r="L46" s="274">
        <f t="shared" si="17"/>
        <v>355.5</v>
      </c>
      <c r="M46" s="383">
        <f t="shared" si="18"/>
        <v>670.8000000000001</v>
      </c>
      <c r="N46" s="434">
        <f t="shared" si="19"/>
        <v>1765.1250000000005</v>
      </c>
      <c r="O46" s="157">
        <f t="shared" si="20"/>
        <v>152.35199999999995</v>
      </c>
      <c r="P46" s="157">
        <f t="shared" si="21"/>
        <v>6509.736</v>
      </c>
      <c r="Q46" s="136">
        <f t="shared" si="28"/>
        <v>8427.213</v>
      </c>
      <c r="R46" s="434">
        <f t="shared" si="22"/>
        <v>109.30700000000002</v>
      </c>
      <c r="S46" s="157">
        <f t="shared" si="23"/>
        <v>173.88000000000002</v>
      </c>
      <c r="T46" s="157">
        <f t="shared" si="24"/>
        <v>622.6559999999997</v>
      </c>
      <c r="U46" s="136">
        <f t="shared" si="25"/>
        <v>905.8429999999997</v>
      </c>
      <c r="V46" s="434">
        <f t="shared" si="26"/>
        <v>1655.8180000000004</v>
      </c>
      <c r="W46" s="157">
        <f t="shared" si="26"/>
        <v>-21.528000000000077</v>
      </c>
      <c r="X46" s="157">
        <f t="shared" si="26"/>
        <v>5887.08</v>
      </c>
      <c r="Y46" s="136">
        <f t="shared" si="27"/>
        <v>7521.370000000001</v>
      </c>
    </row>
    <row r="47" spans="1:25" ht="12.75">
      <c r="A47" s="259" t="s">
        <v>55</v>
      </c>
      <c r="B47" s="367">
        <f>B22-B26</f>
        <v>213.59999999999997</v>
      </c>
      <c r="C47" s="63">
        <f>C22-C26</f>
        <v>2.5</v>
      </c>
      <c r="D47" s="63">
        <f>D22-D26</f>
        <v>54.3</v>
      </c>
      <c r="E47" s="428">
        <f t="shared" si="15"/>
        <v>270.4</v>
      </c>
      <c r="F47" s="367">
        <f>F22-F26</f>
        <v>0.5</v>
      </c>
      <c r="G47" s="63">
        <f>G22-G26</f>
        <v>0</v>
      </c>
      <c r="H47" s="63">
        <f>H22-H26</f>
        <v>764</v>
      </c>
      <c r="I47" s="428">
        <f t="shared" si="16"/>
        <v>764.5</v>
      </c>
      <c r="J47" s="432">
        <f t="shared" si="17"/>
        <v>213.09999999999997</v>
      </c>
      <c r="K47" s="274">
        <f t="shared" si="17"/>
        <v>2.5</v>
      </c>
      <c r="L47" s="274">
        <f t="shared" si="17"/>
        <v>-709.7</v>
      </c>
      <c r="M47" s="383">
        <f t="shared" si="18"/>
        <v>-494.1000000000001</v>
      </c>
      <c r="N47" s="434">
        <f t="shared" si="19"/>
        <v>1117.128</v>
      </c>
      <c r="O47" s="157">
        <f t="shared" si="20"/>
        <v>41.400000000000006</v>
      </c>
      <c r="P47" s="157">
        <f t="shared" si="21"/>
        <v>899.2080000000001</v>
      </c>
      <c r="Q47" s="136">
        <f t="shared" si="28"/>
        <v>2057.736</v>
      </c>
      <c r="R47" s="434">
        <f t="shared" si="22"/>
        <v>2.615</v>
      </c>
      <c r="S47" s="157">
        <f t="shared" si="23"/>
        <v>0</v>
      </c>
      <c r="T47" s="157">
        <f t="shared" si="24"/>
        <v>12651.840000000002</v>
      </c>
      <c r="U47" s="136">
        <f t="shared" si="25"/>
        <v>12654.455000000002</v>
      </c>
      <c r="V47" s="434">
        <f t="shared" si="26"/>
        <v>1114.513</v>
      </c>
      <c r="W47" s="157">
        <f t="shared" si="26"/>
        <v>41.400000000000006</v>
      </c>
      <c r="X47" s="157">
        <f t="shared" si="26"/>
        <v>-11752.632000000001</v>
      </c>
      <c r="Y47" s="136">
        <f t="shared" si="27"/>
        <v>-10596.719000000001</v>
      </c>
    </row>
    <row r="48" spans="1:25" ht="12.75">
      <c r="A48" s="259" t="s">
        <v>45</v>
      </c>
      <c r="B48" s="367">
        <f>B23-B24</f>
        <v>147.79999999999998</v>
      </c>
      <c r="C48" s="63">
        <f>C23-C24</f>
        <v>2.7</v>
      </c>
      <c r="D48" s="63">
        <f>D23-D24</f>
        <v>41.5</v>
      </c>
      <c r="E48" s="428">
        <f t="shared" si="15"/>
        <v>191.99999999999997</v>
      </c>
      <c r="F48" s="367">
        <f>F23-F24</f>
        <v>0.5999999999999979</v>
      </c>
      <c r="G48" s="63">
        <f>G23-G24</f>
        <v>0</v>
      </c>
      <c r="H48" s="63">
        <f>H23-H24</f>
        <v>31.200000000000017</v>
      </c>
      <c r="I48" s="428">
        <f t="shared" si="16"/>
        <v>31.800000000000015</v>
      </c>
      <c r="J48" s="432">
        <f t="shared" si="17"/>
        <v>147.2</v>
      </c>
      <c r="K48" s="274">
        <f t="shared" si="17"/>
        <v>2.7</v>
      </c>
      <c r="L48" s="274">
        <f t="shared" si="17"/>
        <v>10.299999999999983</v>
      </c>
      <c r="M48" s="383">
        <f t="shared" si="18"/>
        <v>160.19999999999996</v>
      </c>
      <c r="N48" s="434">
        <f t="shared" si="19"/>
        <v>772.994</v>
      </c>
      <c r="O48" s="157">
        <f t="shared" si="20"/>
        <v>44.71200000000001</v>
      </c>
      <c r="P48" s="157">
        <f t="shared" si="21"/>
        <v>687.2400000000001</v>
      </c>
      <c r="Q48" s="136">
        <f t="shared" si="28"/>
        <v>1504.9460000000001</v>
      </c>
      <c r="R48" s="434">
        <f t="shared" si="22"/>
        <v>3.1379999999999892</v>
      </c>
      <c r="S48" s="157">
        <f t="shared" si="23"/>
        <v>0</v>
      </c>
      <c r="T48" s="157">
        <f t="shared" si="24"/>
        <v>516.6720000000004</v>
      </c>
      <c r="U48" s="136">
        <f t="shared" si="25"/>
        <v>519.8100000000004</v>
      </c>
      <c r="V48" s="434">
        <f t="shared" si="26"/>
        <v>769.856</v>
      </c>
      <c r="W48" s="157">
        <f t="shared" si="26"/>
        <v>44.71200000000001</v>
      </c>
      <c r="X48" s="157">
        <f t="shared" si="26"/>
        <v>170.56799999999976</v>
      </c>
      <c r="Y48" s="136">
        <f t="shared" si="27"/>
        <v>985.1359999999997</v>
      </c>
    </row>
    <row r="49" spans="1:25" ht="12.75">
      <c r="A49" s="259" t="s">
        <v>42</v>
      </c>
      <c r="B49" s="367">
        <f>B24</f>
        <v>50.9</v>
      </c>
      <c r="C49" s="63">
        <f aca="true" t="shared" si="29" ref="C49:D51">C24</f>
        <v>0</v>
      </c>
      <c r="D49" s="63">
        <f t="shared" si="29"/>
        <v>0</v>
      </c>
      <c r="E49" s="428">
        <f t="shared" si="15"/>
        <v>50.9</v>
      </c>
      <c r="F49" s="367">
        <f aca="true" t="shared" si="30" ref="F49:H51">F24</f>
        <v>21.6</v>
      </c>
      <c r="G49" s="63">
        <f t="shared" si="30"/>
        <v>3.1</v>
      </c>
      <c r="H49" s="63">
        <f t="shared" si="30"/>
        <v>118.6</v>
      </c>
      <c r="I49" s="428">
        <f t="shared" si="16"/>
        <v>143.3</v>
      </c>
      <c r="J49" s="432">
        <f t="shared" si="17"/>
        <v>29.299999999999997</v>
      </c>
      <c r="K49" s="274">
        <f t="shared" si="17"/>
        <v>-3.1</v>
      </c>
      <c r="L49" s="274">
        <f t="shared" si="17"/>
        <v>-118.6</v>
      </c>
      <c r="M49" s="383">
        <f t="shared" si="18"/>
        <v>-92.4</v>
      </c>
      <c r="N49" s="434">
        <f t="shared" si="19"/>
        <v>20340.658</v>
      </c>
      <c r="O49" s="157">
        <f t="shared" si="20"/>
        <v>0</v>
      </c>
      <c r="P49" s="157">
        <f t="shared" si="21"/>
        <v>0</v>
      </c>
      <c r="Q49" s="136">
        <f t="shared" si="28"/>
        <v>20340.658</v>
      </c>
      <c r="R49" s="434">
        <f t="shared" si="22"/>
        <v>8631.792000000001</v>
      </c>
      <c r="S49" s="157">
        <f t="shared" si="23"/>
        <v>1273.945</v>
      </c>
      <c r="T49" s="157">
        <f t="shared" si="24"/>
        <v>48738.67</v>
      </c>
      <c r="U49" s="136">
        <f t="shared" si="25"/>
        <v>58644.407</v>
      </c>
      <c r="V49" s="434">
        <f t="shared" si="26"/>
        <v>11708.865999999998</v>
      </c>
      <c r="W49" s="157">
        <f t="shared" si="26"/>
        <v>-1273.945</v>
      </c>
      <c r="X49" s="157">
        <f t="shared" si="26"/>
        <v>-48738.67</v>
      </c>
      <c r="Y49" s="136">
        <f t="shared" si="27"/>
        <v>-38303.748999999996</v>
      </c>
    </row>
    <row r="50" spans="1:25" ht="12.75">
      <c r="A50" s="259" t="s">
        <v>43</v>
      </c>
      <c r="B50" s="367">
        <f>B25</f>
        <v>48.4</v>
      </c>
      <c r="C50" s="63">
        <f t="shared" si="29"/>
        <v>29.9</v>
      </c>
      <c r="D50" s="63">
        <f t="shared" si="29"/>
        <v>1.3</v>
      </c>
      <c r="E50" s="428">
        <f t="shared" si="15"/>
        <v>79.6</v>
      </c>
      <c r="F50" s="367">
        <f t="shared" si="30"/>
        <v>0</v>
      </c>
      <c r="G50" s="63">
        <f t="shared" si="30"/>
        <v>0</v>
      </c>
      <c r="H50" s="63">
        <f t="shared" si="30"/>
        <v>10.3</v>
      </c>
      <c r="I50" s="428">
        <f t="shared" si="16"/>
        <v>10.3</v>
      </c>
      <c r="J50" s="432">
        <f t="shared" si="17"/>
        <v>48.4</v>
      </c>
      <c r="K50" s="274">
        <f t="shared" si="17"/>
        <v>29.9</v>
      </c>
      <c r="L50" s="274">
        <f t="shared" si="17"/>
        <v>-9</v>
      </c>
      <c r="M50" s="383">
        <f t="shared" si="18"/>
        <v>69.3</v>
      </c>
      <c r="N50" s="434">
        <f t="shared" si="19"/>
        <v>253.132</v>
      </c>
      <c r="O50" s="157">
        <f t="shared" si="20"/>
        <v>495.14400000000006</v>
      </c>
      <c r="P50" s="157">
        <f t="shared" si="21"/>
        <v>21.528000000000002</v>
      </c>
      <c r="Q50" s="136">
        <f t="shared" si="28"/>
        <v>769.8040000000001</v>
      </c>
      <c r="R50" s="434">
        <f t="shared" si="22"/>
        <v>0</v>
      </c>
      <c r="S50" s="157">
        <f t="shared" si="23"/>
        <v>0</v>
      </c>
      <c r="T50" s="157">
        <f t="shared" si="24"/>
        <v>170.56800000000004</v>
      </c>
      <c r="U50" s="136">
        <f t="shared" si="25"/>
        <v>170.56800000000004</v>
      </c>
      <c r="V50" s="434">
        <f t="shared" si="26"/>
        <v>253.132</v>
      </c>
      <c r="W50" s="157">
        <f t="shared" si="26"/>
        <v>495.14400000000006</v>
      </c>
      <c r="X50" s="157">
        <f t="shared" si="26"/>
        <v>-149.04000000000005</v>
      </c>
      <c r="Y50" s="136">
        <f t="shared" si="27"/>
        <v>599.236</v>
      </c>
    </row>
    <row r="51" spans="1:25" ht="12.75">
      <c r="A51" s="259" t="s">
        <v>15</v>
      </c>
      <c r="B51" s="367">
        <f>B26</f>
        <v>151.8</v>
      </c>
      <c r="C51" s="63">
        <f t="shared" si="29"/>
        <v>6.1</v>
      </c>
      <c r="D51" s="63">
        <f t="shared" si="29"/>
        <v>2</v>
      </c>
      <c r="E51" s="428">
        <f t="shared" si="15"/>
        <v>159.9</v>
      </c>
      <c r="F51" s="367">
        <f t="shared" si="30"/>
        <v>0</v>
      </c>
      <c r="G51" s="63">
        <f t="shared" si="30"/>
        <v>15.4</v>
      </c>
      <c r="H51" s="63">
        <f t="shared" si="30"/>
        <v>9.1</v>
      </c>
      <c r="I51" s="428">
        <f t="shared" si="16"/>
        <v>24.5</v>
      </c>
      <c r="J51" s="433">
        <f t="shared" si="17"/>
        <v>151.8</v>
      </c>
      <c r="K51" s="274">
        <f t="shared" si="17"/>
        <v>-9.3</v>
      </c>
      <c r="L51" s="274">
        <f t="shared" si="17"/>
        <v>-7.1</v>
      </c>
      <c r="M51" s="383">
        <f t="shared" si="18"/>
        <v>135.4</v>
      </c>
      <c r="N51" s="434">
        <f t="shared" si="19"/>
        <v>793.9140000000001</v>
      </c>
      <c r="O51" s="157">
        <f t="shared" si="20"/>
        <v>101.016</v>
      </c>
      <c r="P51" s="157">
        <f t="shared" si="21"/>
        <v>33.120000000000005</v>
      </c>
      <c r="Q51" s="136">
        <f t="shared" si="28"/>
        <v>928.0500000000001</v>
      </c>
      <c r="R51" s="434">
        <f t="shared" si="22"/>
        <v>0</v>
      </c>
      <c r="S51" s="157">
        <f t="shared" si="23"/>
        <v>255.02400000000003</v>
      </c>
      <c r="T51" s="157">
        <f t="shared" si="24"/>
        <v>150.69600000000003</v>
      </c>
      <c r="U51" s="136">
        <f t="shared" si="25"/>
        <v>405.72</v>
      </c>
      <c r="V51" s="434">
        <f t="shared" si="26"/>
        <v>793.9140000000001</v>
      </c>
      <c r="W51" s="157">
        <f t="shared" si="26"/>
        <v>-154.00800000000004</v>
      </c>
      <c r="X51" s="157">
        <f t="shared" si="26"/>
        <v>-117.57600000000002</v>
      </c>
      <c r="Y51" s="136">
        <f t="shared" si="27"/>
        <v>522.33</v>
      </c>
    </row>
    <row r="52" spans="1:27" ht="13.5" thickBot="1">
      <c r="A52" s="424" t="s">
        <v>59</v>
      </c>
      <c r="B52" s="369">
        <f>SUM(B44:B51)</f>
        <v>2781.8000000000006</v>
      </c>
      <c r="C52" s="275">
        <f>SUM(C44:C51)</f>
        <v>116.59999999999997</v>
      </c>
      <c r="D52" s="275">
        <f>SUM(D44:D51)</f>
        <v>3951.4000000000005</v>
      </c>
      <c r="E52" s="429">
        <f>SUM(E44:E51)</f>
        <v>6849.8</v>
      </c>
      <c r="F52" s="369">
        <f aca="true" t="shared" si="31" ref="F52:K52">SUM(F44:F51)</f>
        <v>79.4</v>
      </c>
      <c r="G52" s="275">
        <f>SUM(G44:G51)</f>
        <v>29</v>
      </c>
      <c r="H52" s="275">
        <f>SUM(H44:H51)</f>
        <v>4131.400000000001</v>
      </c>
      <c r="I52" s="429">
        <f>SUM(I44:I51)</f>
        <v>4239.8</v>
      </c>
      <c r="J52" s="369">
        <f t="shared" si="31"/>
        <v>2702.4</v>
      </c>
      <c r="K52" s="275">
        <f t="shared" si="31"/>
        <v>87.59999999999998</v>
      </c>
      <c r="L52" s="275">
        <f aca="true" t="shared" si="32" ref="L52:Y52">SUM(L44:L51)</f>
        <v>-179.9999999999997</v>
      </c>
      <c r="M52" s="370">
        <f t="shared" si="32"/>
        <v>2610.0000000000005</v>
      </c>
      <c r="N52" s="435">
        <f t="shared" si="32"/>
        <v>26922.585000000003</v>
      </c>
      <c r="O52" s="293">
        <f t="shared" si="32"/>
        <v>1784.3300000000002</v>
      </c>
      <c r="P52" s="293">
        <f t="shared" si="32"/>
        <v>37307.736</v>
      </c>
      <c r="Q52" s="294">
        <f t="shared" si="32"/>
        <v>66014.65100000001</v>
      </c>
      <c r="R52" s="435">
        <f t="shared" si="32"/>
        <v>8803.046000000002</v>
      </c>
      <c r="S52" s="293">
        <f t="shared" si="32"/>
        <v>1702.8490000000002</v>
      </c>
      <c r="T52" s="293">
        <f t="shared" si="32"/>
        <v>86916.624</v>
      </c>
      <c r="U52" s="294">
        <f t="shared" si="32"/>
        <v>97422.519</v>
      </c>
      <c r="V52" s="435">
        <f t="shared" si="32"/>
        <v>18119.539</v>
      </c>
      <c r="W52" s="293">
        <f t="shared" si="32"/>
        <v>81.48100000000017</v>
      </c>
      <c r="X52" s="293">
        <f t="shared" si="32"/>
        <v>-49608.888</v>
      </c>
      <c r="Y52" s="294">
        <f t="shared" si="32"/>
        <v>-31407.86799999999</v>
      </c>
      <c r="Z52" s="461"/>
      <c r="AA52" s="155"/>
    </row>
    <row r="53" spans="1:25" ht="13.5" thickBot="1">
      <c r="A53" s="10"/>
      <c r="B53" s="361"/>
      <c r="C53" s="361"/>
      <c r="D53" s="361"/>
      <c r="E53" s="362"/>
      <c r="F53" s="361"/>
      <c r="G53" s="361"/>
      <c r="H53" s="361"/>
      <c r="I53" s="362"/>
      <c r="J53" s="361"/>
      <c r="K53" s="361"/>
      <c r="L53" s="361"/>
      <c r="M53" s="361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10" ht="15.75" thickBot="1">
      <c r="A54" s="171" t="s">
        <v>136</v>
      </c>
      <c r="B54" s="18"/>
      <c r="C54" s="18"/>
      <c r="D54" s="18"/>
      <c r="F54" s="81"/>
      <c r="G54" s="35"/>
      <c r="H54" s="35"/>
      <c r="I54" s="9"/>
      <c r="J54" s="18"/>
    </row>
    <row r="55" spans="1:10" ht="13.5" thickBot="1">
      <c r="A55" s="842" t="s">
        <v>3</v>
      </c>
      <c r="B55" s="846" t="s">
        <v>189</v>
      </c>
      <c r="C55" s="847"/>
      <c r="D55" s="848"/>
      <c r="E55" s="849" t="s">
        <v>196</v>
      </c>
      <c r="F55" s="850"/>
      <c r="G55" s="850"/>
      <c r="H55" s="851"/>
      <c r="I55" s="9"/>
      <c r="J55" s="18"/>
    </row>
    <row r="56" spans="1:10" ht="64.5" thickBot="1">
      <c r="A56" s="843"/>
      <c r="B56" s="377" t="s">
        <v>190</v>
      </c>
      <c r="C56" s="111" t="s">
        <v>191</v>
      </c>
      <c r="D56" s="128" t="s">
        <v>192</v>
      </c>
      <c r="E56" s="178" t="s">
        <v>190</v>
      </c>
      <c r="F56" s="111" t="s">
        <v>191</v>
      </c>
      <c r="G56" s="111" t="s">
        <v>192</v>
      </c>
      <c r="H56" s="371" t="s">
        <v>137</v>
      </c>
      <c r="I56" s="110" t="s">
        <v>267</v>
      </c>
      <c r="J56" s="113" t="s">
        <v>268</v>
      </c>
    </row>
    <row r="57" spans="1:10" ht="12.75">
      <c r="A57" s="442" t="s">
        <v>54</v>
      </c>
      <c r="B57" s="367">
        <f>N19-N20</f>
        <v>0</v>
      </c>
      <c r="C57" s="63">
        <f>O19-O20</f>
        <v>0</v>
      </c>
      <c r="D57" s="368">
        <f>P19-P20</f>
        <v>0</v>
      </c>
      <c r="E57" s="372">
        <f aca="true" t="shared" si="33" ref="E57:E64">B57*D5</f>
        <v>0</v>
      </c>
      <c r="F57" s="67">
        <f aca="true" t="shared" si="34" ref="F57:F64">C57*F5</f>
        <v>0</v>
      </c>
      <c r="G57" s="67">
        <f aca="true" t="shared" si="35" ref="G57:G64">D57*H5</f>
        <v>0</v>
      </c>
      <c r="H57" s="56">
        <f>E57+F57+G57</f>
        <v>0</v>
      </c>
      <c r="I57" s="372">
        <v>0</v>
      </c>
      <c r="J57" s="56">
        <v>0</v>
      </c>
    </row>
    <row r="58" spans="1:10" ht="12.75">
      <c r="A58" s="311" t="s">
        <v>57</v>
      </c>
      <c r="B58" s="367">
        <f>N20-N21-N22</f>
        <v>0</v>
      </c>
      <c r="C58" s="63">
        <f>O20-O21-O22</f>
        <v>0</v>
      </c>
      <c r="D58" s="368">
        <f>P20-P21-P22</f>
        <v>0</v>
      </c>
      <c r="E58" s="372">
        <f t="shared" si="33"/>
        <v>0</v>
      </c>
      <c r="F58" s="67">
        <f t="shared" si="34"/>
        <v>0</v>
      </c>
      <c r="G58" s="67">
        <f t="shared" si="35"/>
        <v>0</v>
      </c>
      <c r="H58" s="56">
        <f aca="true" t="shared" si="36" ref="H58:H64">E58+F58+G58</f>
        <v>0</v>
      </c>
      <c r="I58" s="372">
        <v>0</v>
      </c>
      <c r="J58" s="56">
        <v>0</v>
      </c>
    </row>
    <row r="59" spans="1:10" ht="12.75">
      <c r="A59" s="311" t="s">
        <v>56</v>
      </c>
      <c r="B59" s="367">
        <f>N21-N23-N25</f>
        <v>0</v>
      </c>
      <c r="C59" s="63">
        <f>O21-O23-O25</f>
        <v>0</v>
      </c>
      <c r="D59" s="368">
        <f>P21-P23-P25</f>
        <v>0</v>
      </c>
      <c r="E59" s="372">
        <f t="shared" si="33"/>
        <v>0</v>
      </c>
      <c r="F59" s="67">
        <f t="shared" si="34"/>
        <v>0</v>
      </c>
      <c r="G59" s="67">
        <f t="shared" si="35"/>
        <v>0</v>
      </c>
      <c r="H59" s="56">
        <f t="shared" si="36"/>
        <v>0</v>
      </c>
      <c r="I59" s="372">
        <v>0</v>
      </c>
      <c r="J59" s="56">
        <v>0</v>
      </c>
    </row>
    <row r="60" spans="1:10" ht="12.75">
      <c r="A60" s="311" t="s">
        <v>55</v>
      </c>
      <c r="B60" s="367">
        <f>N22-N26</f>
        <v>0</v>
      </c>
      <c r="C60" s="63">
        <f>O22-O26</f>
        <v>0</v>
      </c>
      <c r="D60" s="368">
        <f>P22-P26</f>
        <v>0</v>
      </c>
      <c r="E60" s="372">
        <f t="shared" si="33"/>
        <v>0</v>
      </c>
      <c r="F60" s="67">
        <f t="shared" si="34"/>
        <v>0</v>
      </c>
      <c r="G60" s="67">
        <f t="shared" si="35"/>
        <v>0</v>
      </c>
      <c r="H60" s="56">
        <f t="shared" si="36"/>
        <v>0</v>
      </c>
      <c r="I60" s="372">
        <v>0</v>
      </c>
      <c r="J60" s="56">
        <v>0</v>
      </c>
    </row>
    <row r="61" spans="1:10" ht="12.75">
      <c r="A61" s="311" t="s">
        <v>45</v>
      </c>
      <c r="B61" s="367">
        <f>N23-N24</f>
        <v>0</v>
      </c>
      <c r="C61" s="63">
        <f>O23-O24</f>
        <v>0</v>
      </c>
      <c r="D61" s="368">
        <f>P23-P24</f>
        <v>0</v>
      </c>
      <c r="E61" s="372">
        <f t="shared" si="33"/>
        <v>0</v>
      </c>
      <c r="F61" s="67">
        <f t="shared" si="34"/>
        <v>0</v>
      </c>
      <c r="G61" s="67">
        <f t="shared" si="35"/>
        <v>0</v>
      </c>
      <c r="H61" s="56">
        <f t="shared" si="36"/>
        <v>0</v>
      </c>
      <c r="I61" s="372">
        <v>0</v>
      </c>
      <c r="J61" s="56">
        <v>0</v>
      </c>
    </row>
    <row r="62" spans="1:10" ht="12.75">
      <c r="A62" s="311" t="s">
        <v>42</v>
      </c>
      <c r="B62" s="367">
        <f>N24</f>
        <v>0</v>
      </c>
      <c r="C62" s="63">
        <f aca="true" t="shared" si="37" ref="C62:D64">O24</f>
        <v>0</v>
      </c>
      <c r="D62" s="368">
        <f t="shared" si="37"/>
        <v>0</v>
      </c>
      <c r="E62" s="372">
        <f t="shared" si="33"/>
        <v>0</v>
      </c>
      <c r="F62" s="67">
        <f t="shared" si="34"/>
        <v>0</v>
      </c>
      <c r="G62" s="67">
        <f t="shared" si="35"/>
        <v>0</v>
      </c>
      <c r="H62" s="56">
        <f t="shared" si="36"/>
        <v>0</v>
      </c>
      <c r="I62" s="372">
        <v>0</v>
      </c>
      <c r="J62" s="56">
        <v>0</v>
      </c>
    </row>
    <row r="63" spans="1:10" ht="12.75">
      <c r="A63" s="311" t="s">
        <v>43</v>
      </c>
      <c r="B63" s="367">
        <f>N25</f>
        <v>0</v>
      </c>
      <c r="C63" s="63">
        <f t="shared" si="37"/>
        <v>0</v>
      </c>
      <c r="D63" s="368">
        <f t="shared" si="37"/>
        <v>0</v>
      </c>
      <c r="E63" s="372">
        <f t="shared" si="33"/>
        <v>0</v>
      </c>
      <c r="F63" s="67">
        <f t="shared" si="34"/>
        <v>0</v>
      </c>
      <c r="G63" s="67">
        <f t="shared" si="35"/>
        <v>0</v>
      </c>
      <c r="H63" s="56">
        <f t="shared" si="36"/>
        <v>0</v>
      </c>
      <c r="I63" s="372">
        <v>0</v>
      </c>
      <c r="J63" s="56">
        <v>0</v>
      </c>
    </row>
    <row r="64" spans="1:10" ht="12.75">
      <c r="A64" s="311" t="s">
        <v>15</v>
      </c>
      <c r="B64" s="367">
        <f>N26</f>
        <v>0</v>
      </c>
      <c r="C64" s="63">
        <f t="shared" si="37"/>
        <v>0</v>
      </c>
      <c r="D64" s="368">
        <f t="shared" si="37"/>
        <v>0</v>
      </c>
      <c r="E64" s="372">
        <f t="shared" si="33"/>
        <v>0</v>
      </c>
      <c r="F64" s="67">
        <f t="shared" si="34"/>
        <v>0</v>
      </c>
      <c r="G64" s="67">
        <f t="shared" si="35"/>
        <v>0</v>
      </c>
      <c r="H64" s="56">
        <f t="shared" si="36"/>
        <v>0</v>
      </c>
      <c r="I64" s="372">
        <v>0</v>
      </c>
      <c r="J64" s="56">
        <v>0</v>
      </c>
    </row>
    <row r="65" spans="1:10" ht="13.5" thickBot="1">
      <c r="A65" s="365" t="s">
        <v>59</v>
      </c>
      <c r="B65" s="369">
        <f aca="true" t="shared" si="38" ref="B65:H65">SUM(B57:B64)</f>
        <v>0</v>
      </c>
      <c r="C65" s="275">
        <f t="shared" si="38"/>
        <v>0</v>
      </c>
      <c r="D65" s="370">
        <f t="shared" si="38"/>
        <v>0</v>
      </c>
      <c r="E65" s="373">
        <f t="shared" si="38"/>
        <v>0</v>
      </c>
      <c r="F65" s="363">
        <f t="shared" si="38"/>
        <v>0</v>
      </c>
      <c r="G65" s="363">
        <f t="shared" si="38"/>
        <v>0</v>
      </c>
      <c r="H65" s="364">
        <f t="shared" si="38"/>
        <v>0</v>
      </c>
      <c r="I65" s="374">
        <f>SUM(I57:I64)</f>
        <v>0</v>
      </c>
      <c r="J65" s="375">
        <v>0</v>
      </c>
    </row>
  </sheetData>
  <sheetProtection/>
  <mergeCells count="21">
    <mergeCell ref="B55:D55"/>
    <mergeCell ref="E55:H55"/>
    <mergeCell ref="B30:E30"/>
    <mergeCell ref="A55:A56"/>
    <mergeCell ref="J42:M42"/>
    <mergeCell ref="A17:A18"/>
    <mergeCell ref="A29:B29"/>
    <mergeCell ref="J30:M30"/>
    <mergeCell ref="F30:I30"/>
    <mergeCell ref="A16:C16"/>
    <mergeCell ref="A42:A43"/>
    <mergeCell ref="B42:E42"/>
    <mergeCell ref="A30:A31"/>
    <mergeCell ref="F42:I42"/>
    <mergeCell ref="N17:Q17"/>
    <mergeCell ref="V42:Y42"/>
    <mergeCell ref="R42:U42"/>
    <mergeCell ref="N42:Q42"/>
    <mergeCell ref="F17:I17"/>
    <mergeCell ref="J17:M17"/>
    <mergeCell ref="B17:E17"/>
  </mergeCells>
  <printOptions/>
  <pageMargins left="0.45" right="0.45" top="0.5" bottom="0.5" header="0" footer="0"/>
  <pageSetup fitToHeight="1" fitToWidth="1" horizontalDpi="600" verticalDpi="600" orientation="landscape" paperSize="5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30" width="16.7109375" style="0" customWidth="1"/>
  </cols>
  <sheetData>
    <row r="1" spans="1:12" ht="18.75">
      <c r="A1" s="3" t="s">
        <v>214</v>
      </c>
      <c r="B1" s="6"/>
      <c r="C1" s="6"/>
      <c r="D1" s="6"/>
      <c r="E1" s="58" t="s">
        <v>24</v>
      </c>
      <c r="F1" s="58" t="s">
        <v>24</v>
      </c>
      <c r="G1" s="58" t="s">
        <v>24</v>
      </c>
      <c r="H1" s="6"/>
      <c r="I1" s="6"/>
      <c r="J1" s="6"/>
      <c r="K1" s="6"/>
      <c r="L1" s="6"/>
    </row>
    <row r="2" spans="1:12" ht="13.5" thickBot="1">
      <c r="A2" s="12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thickBot="1">
      <c r="A3" s="125" t="s">
        <v>0</v>
      </c>
      <c r="B3" s="6"/>
      <c r="C3" s="6"/>
      <c r="D3" s="1" t="s">
        <v>24</v>
      </c>
      <c r="E3" s="6"/>
      <c r="F3" s="6"/>
      <c r="G3" s="6"/>
      <c r="H3" s="6"/>
      <c r="I3" s="6"/>
      <c r="J3" s="6"/>
      <c r="K3" s="6"/>
      <c r="L3" s="6"/>
    </row>
    <row r="4" spans="1:12" ht="12.75">
      <c r="A4" s="116" t="s">
        <v>1</v>
      </c>
      <c r="B4" s="117">
        <v>0.154</v>
      </c>
      <c r="C4" s="6"/>
      <c r="D4" s="21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K4" s="6"/>
      <c r="L4" s="23" t="s">
        <v>24</v>
      </c>
    </row>
    <row r="5" spans="1:12" ht="12.75">
      <c r="A5" s="118" t="s">
        <v>2</v>
      </c>
      <c r="B5" s="119">
        <v>0.0589</v>
      </c>
      <c r="C5" s="6"/>
      <c r="D5" s="288" t="s">
        <v>24</v>
      </c>
      <c r="E5" s="14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</row>
    <row r="6" spans="1:12" ht="12.75">
      <c r="A6" s="55" t="s">
        <v>4</v>
      </c>
      <c r="B6" s="120">
        <v>1.086</v>
      </c>
      <c r="C6" s="6"/>
      <c r="D6" s="72" t="s">
        <v>24</v>
      </c>
      <c r="E6" s="38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</row>
    <row r="7" spans="1:12" ht="12.75">
      <c r="A7" s="55" t="s">
        <v>38</v>
      </c>
      <c r="B7" s="121">
        <v>144530.7</v>
      </c>
      <c r="C7" s="6"/>
      <c r="D7" s="10" t="s">
        <v>24</v>
      </c>
      <c r="E7" s="14" t="s">
        <v>24</v>
      </c>
      <c r="F7" s="37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</row>
    <row r="8" spans="1:12" ht="12.75">
      <c r="A8" s="55" t="s">
        <v>39</v>
      </c>
      <c r="B8" s="122" t="s">
        <v>197</v>
      </c>
      <c r="C8" s="6"/>
      <c r="D8" s="10" t="s">
        <v>24</v>
      </c>
      <c r="E8" s="14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</row>
    <row r="9" spans="1:12" ht="12.75">
      <c r="A9" s="55" t="s">
        <v>40</v>
      </c>
      <c r="B9" s="123">
        <f>0.8*'BRA Load Pricing Results'!B9</f>
        <v>2966.48</v>
      </c>
      <c r="C9" s="6"/>
      <c r="D9" s="9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</row>
    <row r="10" spans="1:12" ht="13.5" thickBot="1">
      <c r="A10" s="57" t="s">
        <v>23</v>
      </c>
      <c r="B10" s="124">
        <f>(B15-B9)/(G54*B6)</f>
        <v>1.0196082522207948</v>
      </c>
      <c r="C10" s="276" t="s">
        <v>24</v>
      </c>
      <c r="D10" s="289" t="s">
        <v>24</v>
      </c>
      <c r="E10" s="14" t="s">
        <v>24</v>
      </c>
      <c r="F10" s="37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</row>
    <row r="11" spans="1:12" ht="12.75">
      <c r="A11" s="6"/>
      <c r="B11" s="7"/>
      <c r="C11" s="6"/>
      <c r="D11" s="12"/>
      <c r="E11" s="7" t="s">
        <v>24</v>
      </c>
      <c r="F11" s="4" t="s">
        <v>24</v>
      </c>
      <c r="G11" s="7"/>
      <c r="H11" s="28" t="s">
        <v>24</v>
      </c>
      <c r="I11" s="6"/>
      <c r="J11" s="6"/>
      <c r="K11" s="6"/>
      <c r="L11" s="6" t="s">
        <v>24</v>
      </c>
    </row>
    <row r="12" spans="1:12" ht="13.5" thickBot="1">
      <c r="A12" s="12"/>
      <c r="B12" s="222"/>
      <c r="C12" s="454"/>
      <c r="D12" s="35"/>
      <c r="E12" s="36"/>
      <c r="F12" s="25"/>
      <c r="G12" s="25"/>
      <c r="H12" s="25"/>
      <c r="I12" s="75"/>
      <c r="J12" s="75"/>
      <c r="K12" s="75"/>
      <c r="L12" s="52"/>
    </row>
    <row r="13" spans="1:12" ht="15.75" thickBot="1">
      <c r="A13" s="109" t="s">
        <v>78</v>
      </c>
      <c r="B13" s="35"/>
      <c r="C13" s="35"/>
      <c r="D13" s="35"/>
      <c r="E13" s="711" t="s">
        <v>24</v>
      </c>
      <c r="F13" s="712"/>
      <c r="G13" s="712"/>
      <c r="H13" s="712"/>
      <c r="I13" s="75"/>
      <c r="J13" s="75"/>
      <c r="K13" s="75"/>
      <c r="L13" s="52"/>
    </row>
    <row r="14" spans="1:15" ht="89.25">
      <c r="A14" s="110" t="s">
        <v>3</v>
      </c>
      <c r="B14" s="112" t="s">
        <v>198</v>
      </c>
      <c r="C14" s="112" t="s">
        <v>199</v>
      </c>
      <c r="D14" s="112" t="s">
        <v>200</v>
      </c>
      <c r="E14" s="112" t="s">
        <v>290</v>
      </c>
      <c r="F14" s="112" t="s">
        <v>157</v>
      </c>
      <c r="G14" s="112" t="s">
        <v>291</v>
      </c>
      <c r="H14" s="112" t="s">
        <v>238</v>
      </c>
      <c r="I14" s="112" t="s">
        <v>201</v>
      </c>
      <c r="J14" s="112" t="s">
        <v>202</v>
      </c>
      <c r="K14" s="113" t="s">
        <v>203</v>
      </c>
      <c r="L14" s="83"/>
      <c r="M14" s="6"/>
      <c r="N14" s="6"/>
      <c r="O14" s="6"/>
    </row>
    <row r="15" spans="1:15" ht="12.75">
      <c r="A15" s="55" t="s">
        <v>6</v>
      </c>
      <c r="B15" s="213">
        <f>'BRA Resource Clearing Results'!E17-'1stIA Resource Clearing Results'!M19+B9</f>
        <v>150331.18</v>
      </c>
      <c r="C15" s="231">
        <f>('BRA Resource Clearing Results'!E17*'BRA Resource Clearing Results'!B5-'1stIA Resource Clearing Results'!M19*'1stIA Resource Clearing Results'!B5)/('BRA Resource Clearing Results'!E17-'1stIA Resource Clearing Results'!M19)</f>
        <v>127.69168809762446</v>
      </c>
      <c r="D15" s="231">
        <f>('BRA Resource Clearing Results'!E17*'BRA Resource Clearing Results'!C5-'1stIA Resource Clearing Results'!M19*'1stIA Resource Clearing Results'!C5)/('BRA Resource Clearing Results'!E17-'1stIA Resource Clearing Results'!M19)</f>
        <v>0</v>
      </c>
      <c r="E15" s="214">
        <f>('BRA Resource Clearing Results'!C17+'BRA Resource Clearing Results'!D17)*'BRA Resource Clearing Results'!E5-('1stIA Resource Clearing Results'!K19+'1stIA Resource Clearing Results'!L19)*'1stIA Resource Clearing Results'!E5</f>
        <v>72169.7</v>
      </c>
      <c r="F15" s="231">
        <f>E15/B15</f>
        <v>0.48007139969233265</v>
      </c>
      <c r="G15" s="214">
        <f>'BRA Resource Clearing Results'!D17*'BRA Resource Clearing Results'!G5-'1stIA Resource Clearing Results'!L19*'1stIA Resource Clearing Results'!G5</f>
        <v>0</v>
      </c>
      <c r="H15" s="231">
        <f>G15/B15</f>
        <v>0</v>
      </c>
      <c r="I15" s="214">
        <f>'BRA Resource Clearing Results'!J40+'1stIA Resource Clearing Results'!H57</f>
        <v>0</v>
      </c>
      <c r="J15" s="277">
        <f>I15/B15</f>
        <v>0</v>
      </c>
      <c r="K15" s="233">
        <f>C15+D15+F15+H15+J15</f>
        <v>128.1717594973168</v>
      </c>
      <c r="L15" s="456"/>
      <c r="M15" s="6"/>
      <c r="N15" s="6"/>
      <c r="O15" s="6"/>
    </row>
    <row r="16" spans="1:15" ht="12.75">
      <c r="A16" s="55" t="s">
        <v>30</v>
      </c>
      <c r="B16" s="213">
        <f>K35+K39+(SUM(K45:K53))</f>
        <v>67753.79617435865</v>
      </c>
      <c r="C16" s="231">
        <f>$C$15</f>
        <v>127.69168809762446</v>
      </c>
      <c r="D16" s="231">
        <f>D15+('BRA Resource Clearing Results'!E18*'BRA Resource Clearing Results'!C6-'1stIA Resource Clearing Results'!M20*'1stIA Resource Clearing Results'!C6)/('BRA Resource Clearing Results'!E18-'1stIA Resource Clearing Results'!M20)</f>
        <v>-0.09091495674906887</v>
      </c>
      <c r="E16" s="214">
        <f>('BRA Resource Clearing Results'!C18+'BRA Resource Clearing Results'!D18)*('BRA Resource Clearing Results'!E6-'BRA Resource Clearing Results'!E5)-('1stIA Resource Clearing Results'!K20+'1stIA Resource Clearing Results'!L20)*('1stIA Resource Clearing Results'!E6-'1stIA Resource Clearing Results'!E5)+542.316</f>
        <v>644873.287</v>
      </c>
      <c r="F16" s="231">
        <f>F15+(E16/B16)</f>
        <v>9.997962992666302</v>
      </c>
      <c r="G16" s="214">
        <f>'BRA Resource Clearing Results'!D18*('BRA Resource Clearing Results'!G6-'BRA Resource Clearing Results'!G5)-'1stIA Resource Clearing Results'!L20*('1stIA Resource Clearing Results'!G6-'1stIA Resource Clearing Results'!G5)</f>
        <v>0</v>
      </c>
      <c r="H16" s="231">
        <f>H15+(G16/B16)</f>
        <v>0</v>
      </c>
      <c r="I16" s="214">
        <f>'BRA Resource Clearing Results'!J41+'1stIA Resource Clearing Results'!H58</f>
        <v>0</v>
      </c>
      <c r="J16" s="277">
        <f>J15+I16/B16</f>
        <v>0</v>
      </c>
      <c r="K16" s="233">
        <f>C16+D16+F16+H16+J16</f>
        <v>137.5987361335417</v>
      </c>
      <c r="L16" s="456"/>
      <c r="M16" s="6"/>
      <c r="N16" s="6"/>
      <c r="O16" s="6"/>
    </row>
    <row r="17" spans="1:15" ht="12.75">
      <c r="A17" s="55" t="s">
        <v>41</v>
      </c>
      <c r="B17" s="213">
        <f>K35+K45+K46+K48+K52+K53</f>
        <v>36919.97843933211</v>
      </c>
      <c r="C17" s="231">
        <f>$C$15</f>
        <v>127.69168809762446</v>
      </c>
      <c r="D17" s="231">
        <f>D16+('BRA Resource Clearing Results'!E19*'BRA Resource Clearing Results'!C7-'1stIA Resource Clearing Results'!M21*'1stIA Resource Clearing Results'!C7)/('BRA Resource Clearing Results'!E19-'1stIA Resource Clearing Results'!M21)</f>
        <v>-0.09091495674906887</v>
      </c>
      <c r="E17" s="214">
        <f>('BRA Resource Clearing Results'!C19+'BRA Resource Clearing Results'!D19)*('BRA Resource Clearing Results'!E7-'BRA Resource Clearing Results'!E6)-('1stIA Resource Clearing Results'!K21+'1stIA Resource Clearing Results'!L21)*('1stIA Resource Clearing Results'!E7-'1stIA Resource Clearing Results'!E6)+246.985</f>
        <v>246.985</v>
      </c>
      <c r="F17" s="231">
        <f>F16+(E17/B17)</f>
        <v>10.004652731134213</v>
      </c>
      <c r="G17" s="214">
        <f>'BRA Resource Clearing Results'!D19*('BRA Resource Clearing Results'!G7-'BRA Resource Clearing Results'!G6)-'1stIA Resource Clearing Results'!L21*('1stIA Resource Clearing Results'!G7-'1stIA Resource Clearing Results'!G6)</f>
        <v>0</v>
      </c>
      <c r="H17" s="231">
        <f>H16+(G17/B17)</f>
        <v>0</v>
      </c>
      <c r="I17" s="214">
        <f>'BRA Resource Clearing Results'!J42+'1stIA Resource Clearing Results'!H59</f>
        <v>0</v>
      </c>
      <c r="J17" s="277">
        <f>J16+I17/B17</f>
        <v>0</v>
      </c>
      <c r="K17" s="233">
        <f>C17+D17+F17+H17+J17</f>
        <v>137.6054258720096</v>
      </c>
      <c r="L17" s="456"/>
      <c r="M17" s="6"/>
      <c r="N17" s="6"/>
      <c r="O17" s="6"/>
    </row>
    <row r="18" spans="1:15" ht="12.75">
      <c r="A18" s="55" t="s">
        <v>5</v>
      </c>
      <c r="B18" s="213">
        <f>K39+K50</f>
        <v>15743.687128249792</v>
      </c>
      <c r="C18" s="231">
        <f>$C$15</f>
        <v>127.69168809762446</v>
      </c>
      <c r="D18" s="231">
        <f>D16+('BRA Resource Clearing Results'!E20*'BRA Resource Clearing Results'!C8-'1stIA Resource Clearing Results'!M22*'1stIA Resource Clearing Results'!C8)/('BRA Resource Clearing Results'!E20-'1stIA Resource Clearing Results'!M22)</f>
        <v>-0.09091495674906887</v>
      </c>
      <c r="E18" s="214">
        <f>('BRA Resource Clearing Results'!C20+'BRA Resource Clearing Results'!D20)*('BRA Resource Clearing Results'!E8-'BRA Resource Clearing Results'!E6)-('1stIA Resource Clearing Results'!K22+'1stIA Resource Clearing Results'!L22)*('1stIA Resource Clearing Results'!E8-'1stIA Resource Clearing Results'!E6)</f>
        <v>0</v>
      </c>
      <c r="F18" s="231">
        <f>F16+(E18/B18)</f>
        <v>9.997962992666302</v>
      </c>
      <c r="G18" s="214">
        <f>'BRA Resource Clearing Results'!D20*('BRA Resource Clearing Results'!G8-'BRA Resource Clearing Results'!G6)-'1stIA Resource Clearing Results'!L22*('1stIA Resource Clearing Results'!G8-'1stIA Resource Clearing Results'!G6)</f>
        <v>0</v>
      </c>
      <c r="H18" s="231">
        <f>H16+(G18/B18)</f>
        <v>0</v>
      </c>
      <c r="I18" s="214">
        <f>'BRA Resource Clearing Results'!J43+'1stIA Resource Clearing Results'!H60</f>
        <v>0</v>
      </c>
      <c r="J18" s="277">
        <f>J16+I18/B18</f>
        <v>0</v>
      </c>
      <c r="K18" s="233">
        <f>C18+D18+F18+H18+J18</f>
        <v>137.5987361335417</v>
      </c>
      <c r="L18" s="456"/>
      <c r="M18" s="6"/>
      <c r="N18" s="6"/>
      <c r="O18" s="6"/>
    </row>
    <row r="19" spans="1:15" ht="13.5" thickBot="1">
      <c r="A19" s="57" t="s">
        <v>15</v>
      </c>
      <c r="B19" s="215">
        <f>K50</f>
        <v>7647.624684172031</v>
      </c>
      <c r="C19" s="307">
        <f>$C$15</f>
        <v>127.69168809762446</v>
      </c>
      <c r="D19" s="307">
        <f>D18+('BRA Resource Clearing Results'!E24*'BRA Resource Clearing Results'!C12-'1stIA Resource Clearing Results'!M26*'1stIA Resource Clearing Results'!C12)/('BRA Resource Clearing Results'!E24-'1stIA Resource Clearing Results'!M26)</f>
        <v>-0.09091495674906887</v>
      </c>
      <c r="E19" s="130">
        <f>('BRA Resource Clearing Results'!C24+'BRA Resource Clearing Results'!D24)*('BRA Resource Clearing Results'!E12-'BRA Resource Clearing Results'!E8)-('1stIA Resource Clearing Results'!K26+'1stIA Resource Clearing Results'!L26)*('1stIA Resource Clearing Results'!E12-'1stIA Resource Clearing Results'!E8)</f>
        <v>0</v>
      </c>
      <c r="F19" s="307">
        <f>F18+(E19/B19)</f>
        <v>9.997962992666302</v>
      </c>
      <c r="G19" s="130">
        <f>'BRA Resource Clearing Results'!D24*('BRA Resource Clearing Results'!G12-'BRA Resource Clearing Results'!G8)-'1stIA Resource Clearing Results'!L23*('1stIA Resource Clearing Results'!G12-'1stIA Resource Clearing Results'!G8)</f>
        <v>0</v>
      </c>
      <c r="H19" s="307">
        <f>H18+(G19/B19)</f>
        <v>0</v>
      </c>
      <c r="I19" s="130">
        <f>'BRA Resource Clearing Results'!J47+'1stIA Resource Clearing Results'!H64</f>
        <v>0</v>
      </c>
      <c r="J19" s="308">
        <f>J18+I19/B19</f>
        <v>0</v>
      </c>
      <c r="K19" s="309">
        <f>C19+D19+F19+H19+J19</f>
        <v>137.5987361335417</v>
      </c>
      <c r="L19" s="456"/>
      <c r="M19" s="6"/>
      <c r="N19" s="6"/>
      <c r="O19" s="6"/>
    </row>
    <row r="20" spans="1:12" ht="13.5" thickBot="1">
      <c r="A20" s="202" t="s">
        <v>159</v>
      </c>
      <c r="B20" s="35"/>
      <c r="C20" s="18"/>
      <c r="D20" s="295" t="s">
        <v>24</v>
      </c>
      <c r="E20" s="51" t="s">
        <v>24</v>
      </c>
      <c r="F20" s="81"/>
      <c r="H20" s="88"/>
      <c r="I20" s="88"/>
      <c r="J20" s="341"/>
      <c r="K20" s="88"/>
      <c r="L20" s="15"/>
    </row>
    <row r="21" spans="1:12" ht="12.75">
      <c r="A21" s="613" t="s">
        <v>294</v>
      </c>
      <c r="B21" s="35"/>
      <c r="C21" s="18"/>
      <c r="D21" s="18"/>
      <c r="E21" s="18"/>
      <c r="F21" s="81"/>
      <c r="H21" s="35"/>
      <c r="I21" s="35"/>
      <c r="J21" s="18"/>
      <c r="K21" s="35"/>
      <c r="L21" s="15"/>
    </row>
    <row r="22" spans="1:12" ht="12.75">
      <c r="A22" s="32"/>
      <c r="B22" s="35"/>
      <c r="C22" s="18"/>
      <c r="D22" s="18"/>
      <c r="E22" s="18"/>
      <c r="F22" s="81"/>
      <c r="H22" s="35"/>
      <c r="I22" s="35"/>
      <c r="J22" s="18"/>
      <c r="K22" s="35"/>
      <c r="L22" s="15"/>
    </row>
    <row r="23" spans="1:12" ht="34.5" customHeight="1" thickBot="1">
      <c r="A23" s="217" t="s">
        <v>127</v>
      </c>
      <c r="B23" s="6"/>
      <c r="C23" s="6"/>
      <c r="D23" s="78" t="s">
        <v>24</v>
      </c>
      <c r="E23" s="4" t="s">
        <v>24</v>
      </c>
      <c r="F23" s="6"/>
      <c r="G23" s="6"/>
      <c r="H23" s="6"/>
      <c r="I23" s="6"/>
      <c r="J23" s="39" t="s">
        <v>24</v>
      </c>
      <c r="K23" s="60" t="s">
        <v>24</v>
      </c>
      <c r="L23" s="6"/>
    </row>
    <row r="24" spans="1:15" ht="90" customHeight="1">
      <c r="A24" s="218" t="s">
        <v>81</v>
      </c>
      <c r="B24" s="112" t="s">
        <v>163</v>
      </c>
      <c r="C24" s="112" t="s">
        <v>274</v>
      </c>
      <c r="D24" s="111" t="s">
        <v>204</v>
      </c>
      <c r="E24" s="112" t="s">
        <v>292</v>
      </c>
      <c r="F24" s="112" t="s">
        <v>239</v>
      </c>
      <c r="G24" s="112" t="s">
        <v>293</v>
      </c>
      <c r="H24" s="112" t="s">
        <v>240</v>
      </c>
      <c r="I24" s="111" t="s">
        <v>205</v>
      </c>
      <c r="J24" s="111" t="s">
        <v>241</v>
      </c>
      <c r="K24" s="128" t="s">
        <v>206</v>
      </c>
      <c r="L24" s="6"/>
      <c r="M24" s="172"/>
      <c r="N24" s="23"/>
      <c r="O24" s="10"/>
    </row>
    <row r="25" spans="1:15" ht="12.75">
      <c r="A25" s="55" t="s">
        <v>45</v>
      </c>
      <c r="B25" s="45"/>
      <c r="C25" s="213">
        <f>'BRA Resource Clearing Results'!E32-'1stIA Resource Clearing Results'!M48</f>
        <v>3605.3</v>
      </c>
      <c r="D25" s="67">
        <f>('BRA Resource Clearing Results'!E21*'BRA Resource Clearing Results'!C9-'1stIA Resource Clearing Results'!M23*'1stIA Resource Clearing Results'!C9)/('BRA Resource Clearing Results'!E21-'1stIA Resource Clearing Results'!M23)</f>
        <v>0</v>
      </c>
      <c r="E25" s="67">
        <f>('BRA Resource Clearing Results'!C21+'BRA Resource Clearing Results'!D21)*('BRA Resource Clearing Results'!E9-'BRA Resource Clearing Results'!E7)-('1stIA Resource Clearing Results'!K23+'1stIA Resource Clearing Results'!L23)*('1stIA Resource Clearing Results'!E9-'1stIA Resource Clearing Results'!E7)</f>
        <v>0</v>
      </c>
      <c r="F25" s="67"/>
      <c r="G25" s="67">
        <f>'BRA Resource Clearing Results'!D21*('BRA Resource Clearing Results'!G9-'BRA Resource Clearing Results'!G7)-'1stIA Resource Clearing Results'!L23*('1stIA Resource Clearing Results'!G9-'1stIA Resource Clearing Results'!G7)</f>
        <v>0</v>
      </c>
      <c r="H25" s="67"/>
      <c r="I25" s="96">
        <f>'BRA Resource Clearing Results'!J44+'1stIA Resource Clearing Results'!H61</f>
        <v>0</v>
      </c>
      <c r="J25" s="45"/>
      <c r="K25" s="131"/>
      <c r="L25" s="6"/>
      <c r="M25" s="10"/>
      <c r="N25" s="221"/>
      <c r="O25" s="10"/>
    </row>
    <row r="26" spans="1:15" ht="12.75">
      <c r="A26" s="55" t="s">
        <v>42</v>
      </c>
      <c r="B26" s="45"/>
      <c r="C26" s="73">
        <f>'BRA Resource Clearing Results'!E33-'1stIA Resource Clearing Results'!M49</f>
        <v>3909.9</v>
      </c>
      <c r="D26" s="67">
        <f>D25+('BRA Resource Clearing Results'!E22*'BRA Resource Clearing Results'!C10-'1stIA Resource Clearing Results'!M24*'1stIA Resource Clearing Results'!C10)/('BRA Resource Clearing Results'!E22-'1stIA Resource Clearing Results'!M24)</f>
        <v>95.7288897414256</v>
      </c>
      <c r="E26" s="67">
        <f>('BRA Resource Clearing Results'!C22+'BRA Resource Clearing Results'!D22)*('BRA Resource Clearing Results'!E10-'BRA Resource Clearing Results'!E9)-('1stIA Resource Clearing Results'!K24+'1stIA Resource Clearing Results'!L24)*('1stIA Resource Clearing Results'!E10-'1stIA Resource Clearing Results'!E9)</f>
        <v>0</v>
      </c>
      <c r="F26" s="67"/>
      <c r="G26" s="67">
        <f>'BRA Resource Clearing Results'!D22*('BRA Resource Clearing Results'!G10-'BRA Resource Clearing Results'!G9)-'1stIA Resource Clearing Results'!L24*('1stIA Resource Clearing Results'!G10-'1stIA Resource Clearing Results'!G9)</f>
        <v>0</v>
      </c>
      <c r="H26" s="67"/>
      <c r="I26" s="96">
        <f>'BRA Resource Clearing Results'!J45+'1stIA Resource Clearing Results'!H62</f>
        <v>0</v>
      </c>
      <c r="J26" s="45"/>
      <c r="K26" s="131"/>
      <c r="L26" s="6"/>
      <c r="M26" s="10"/>
      <c r="N26" s="221"/>
      <c r="O26" s="10"/>
    </row>
    <row r="27" spans="1:15" ht="12.75">
      <c r="A27" s="219" t="s">
        <v>8</v>
      </c>
      <c r="B27" s="235">
        <f>K17</f>
        <v>137.6054258720096</v>
      </c>
      <c r="C27" s="73">
        <f>C26+C25</f>
        <v>7515.200000000001</v>
      </c>
      <c r="D27" s="236">
        <f>(C26*D26+C25*D25)/C27</f>
        <v>49.804447785820734</v>
      </c>
      <c r="E27" s="638">
        <f>E25+E26+21.02</f>
        <v>21.02</v>
      </c>
      <c r="F27" s="236">
        <f>E27/K52</f>
        <v>0.0017763186276587742</v>
      </c>
      <c r="G27" s="236">
        <f>G25+G26</f>
        <v>0</v>
      </c>
      <c r="H27" s="236">
        <f>G27/K52</f>
        <v>0</v>
      </c>
      <c r="I27" s="96">
        <f>I25+I26</f>
        <v>0</v>
      </c>
      <c r="J27" s="237">
        <f>I27/K52</f>
        <v>0</v>
      </c>
      <c r="K27" s="229">
        <f>B27+D27+F27+H27+J27</f>
        <v>187.411649976458</v>
      </c>
      <c r="L27" s="455"/>
      <c r="M27" s="62"/>
      <c r="N27" s="223"/>
      <c r="O27" s="10"/>
    </row>
    <row r="28" spans="1:15" ht="12.75">
      <c r="A28" s="55" t="s">
        <v>44</v>
      </c>
      <c r="B28" s="45"/>
      <c r="C28" s="73">
        <f>'BRA Load Pricing Results'!C27</f>
        <v>2858.5</v>
      </c>
      <c r="D28" s="67">
        <v>0</v>
      </c>
      <c r="E28" s="67">
        <v>0</v>
      </c>
      <c r="F28" s="67"/>
      <c r="G28" s="67">
        <v>0</v>
      </c>
      <c r="H28" s="67"/>
      <c r="I28" s="96">
        <v>0</v>
      </c>
      <c r="J28" s="45"/>
      <c r="K28" s="131"/>
      <c r="L28" s="6"/>
      <c r="M28" s="10"/>
      <c r="N28" s="226"/>
      <c r="O28" s="10"/>
    </row>
    <row r="29" spans="1:15" ht="12.75">
      <c r="A29" s="55" t="s">
        <v>43</v>
      </c>
      <c r="B29" s="45"/>
      <c r="C29" s="73">
        <f>'BRA Resource Clearing Results'!E34-'1stIA Resource Clearing Results'!M50</f>
        <v>1369.8999999999999</v>
      </c>
      <c r="D29" s="67">
        <f>('BRA Resource Clearing Results'!E23*'BRA Resource Clearing Results'!C11-'1stIA Resource Clearing Results'!M25*'1stIA Resource Clearing Results'!C11)/('BRA Resource Clearing Results'!E23-'1stIA Resource Clearing Results'!M25)</f>
        <v>0</v>
      </c>
      <c r="E29" s="67">
        <f>('BRA Resource Clearing Results'!C23+'BRA Resource Clearing Results'!D23)*('BRA Resource Clearing Results'!E11-'BRA Resource Clearing Results'!E7)-('1stIA Resource Clearing Results'!K25+'1stIA Resource Clearing Results'!L25)*('1stIA Resource Clearing Results'!E11-'1stIA Resource Clearing Results'!E7)</f>
        <v>0</v>
      </c>
      <c r="F29" s="95"/>
      <c r="G29" s="67">
        <f>'BRA Resource Clearing Results'!D23*('BRA Resource Clearing Results'!G11-'BRA Resource Clearing Results'!G7)-'1stIA Resource Clearing Results'!L25*('1stIA Resource Clearing Results'!G11-'1stIA Resource Clearing Results'!G7)</f>
        <v>0</v>
      </c>
      <c r="H29" s="95"/>
      <c r="I29" s="96">
        <f>'BRA Resource Clearing Results'!J46+'1stIA Resource Clearing Results'!H63</f>
        <v>35693.1</v>
      </c>
      <c r="J29" s="45"/>
      <c r="K29" s="131"/>
      <c r="L29" s="6"/>
      <c r="M29" s="10"/>
      <c r="N29" s="224"/>
      <c r="O29" s="10"/>
    </row>
    <row r="30" spans="1:15" ht="13.5" thickBot="1">
      <c r="A30" s="220" t="s">
        <v>17</v>
      </c>
      <c r="B30" s="238">
        <f>K17</f>
        <v>137.6054258720096</v>
      </c>
      <c r="C30" s="132">
        <f>C28+C29</f>
        <v>4228.4</v>
      </c>
      <c r="D30" s="239">
        <f>(C29*D29+C28*D28)/C30</f>
        <v>0</v>
      </c>
      <c r="E30" s="634">
        <f>E28+E29</f>
        <v>0</v>
      </c>
      <c r="F30" s="239">
        <f>E30/K45</f>
        <v>0</v>
      </c>
      <c r="G30" s="239">
        <f>G28+G29</f>
        <v>0</v>
      </c>
      <c r="H30" s="239">
        <f>G30/K45</f>
        <v>0</v>
      </c>
      <c r="I30" s="240">
        <f>I28+I29</f>
        <v>35693.1</v>
      </c>
      <c r="J30" s="241">
        <f>I30/K45</f>
        <v>7.716302247546364</v>
      </c>
      <c r="K30" s="230">
        <f>B30+D30+F30+H30+J30</f>
        <v>145.32172811955596</v>
      </c>
      <c r="L30" s="455"/>
      <c r="M30" s="62"/>
      <c r="N30" s="75"/>
      <c r="O30" s="10"/>
    </row>
    <row r="31" spans="1:12" ht="12.75">
      <c r="A31" s="613" t="s">
        <v>294</v>
      </c>
      <c r="B31" s="613"/>
      <c r="C31" s="613"/>
      <c r="D31" s="613"/>
      <c r="E31" s="613"/>
      <c r="F31" s="613"/>
      <c r="G31" s="613"/>
      <c r="H31" s="58"/>
      <c r="I31" s="58"/>
      <c r="J31" s="6"/>
      <c r="K31" s="6"/>
      <c r="L31" s="6"/>
    </row>
    <row r="32" spans="1:12" ht="13.5" thickBot="1">
      <c r="A32" s="10"/>
      <c r="B32" s="9"/>
      <c r="C32" s="9"/>
      <c r="D32" s="9" t="s">
        <v>24</v>
      </c>
      <c r="E32" s="72" t="s">
        <v>24</v>
      </c>
      <c r="F32" s="44" t="s">
        <v>24</v>
      </c>
      <c r="G32" s="5"/>
      <c r="H32" s="5"/>
      <c r="I32" s="5"/>
      <c r="J32" s="5"/>
      <c r="K32" s="5"/>
      <c r="L32" s="13"/>
    </row>
    <row r="33" spans="1:12" ht="19.5" thickBot="1">
      <c r="A33" s="108" t="s">
        <v>213</v>
      </c>
      <c r="B33" s="3"/>
      <c r="C33" s="2"/>
      <c r="D33" s="2"/>
      <c r="E33" s="86"/>
      <c r="F33" s="86"/>
      <c r="G33" s="468"/>
      <c r="H33" s="86"/>
      <c r="I33" s="86"/>
      <c r="J33" s="86"/>
      <c r="K33" s="86"/>
      <c r="L33" s="43"/>
    </row>
    <row r="34" spans="1:12" ht="69.75" customHeight="1" thickBot="1">
      <c r="A34" s="473" t="s">
        <v>7</v>
      </c>
      <c r="B34" s="278" t="s">
        <v>28</v>
      </c>
      <c r="C34" s="278" t="s">
        <v>27</v>
      </c>
      <c r="D34" s="278" t="s">
        <v>36</v>
      </c>
      <c r="E34" s="278" t="s">
        <v>242</v>
      </c>
      <c r="F34" s="278" t="s">
        <v>22</v>
      </c>
      <c r="G34" s="278" t="s">
        <v>243</v>
      </c>
      <c r="H34" s="278" t="s">
        <v>244</v>
      </c>
      <c r="I34" s="474" t="s">
        <v>23</v>
      </c>
      <c r="J34" s="474" t="s">
        <v>207</v>
      </c>
      <c r="K34" s="474" t="s">
        <v>208</v>
      </c>
      <c r="L34" s="475" t="s">
        <v>295</v>
      </c>
    </row>
    <row r="35" spans="1:13" ht="12.75">
      <c r="A35" s="116" t="s">
        <v>16</v>
      </c>
      <c r="B35" s="476" t="s">
        <v>30</v>
      </c>
      <c r="C35" s="476" t="s">
        <v>41</v>
      </c>
      <c r="D35" s="476"/>
      <c r="E35" s="478">
        <v>2520</v>
      </c>
      <c r="F35" s="479">
        <f>G35/E35</f>
        <v>1.065079365079365</v>
      </c>
      <c r="G35" s="480">
        <v>2684</v>
      </c>
      <c r="H35" s="617">
        <f>0.8*'BRA Load Pricing Results'!H34</f>
        <v>59.94709928260897</v>
      </c>
      <c r="I35" s="482">
        <f aca="true" t="shared" si="0" ref="I35:I53">$B$10</f>
        <v>1.0196082522207948</v>
      </c>
      <c r="J35" s="482">
        <f>I35*F35</f>
        <v>1.0859637099050052</v>
      </c>
      <c r="K35" s="480">
        <f>E35*J35*$B$6+H35</f>
        <v>3031.925703453835</v>
      </c>
      <c r="L35" s="614">
        <f>K17</f>
        <v>137.6054258720096</v>
      </c>
      <c r="M35" s="457"/>
    </row>
    <row r="36" spans="1:13" ht="12.75">
      <c r="A36" s="55" t="s">
        <v>271</v>
      </c>
      <c r="B36" s="98"/>
      <c r="C36" s="98"/>
      <c r="D36" s="98"/>
      <c r="E36" s="99">
        <f>22460-20383.6</f>
        <v>2076.4000000000015</v>
      </c>
      <c r="F36" s="91">
        <v>1.0497773820124665</v>
      </c>
      <c r="G36" s="92">
        <f>E36*F36</f>
        <v>2179.757756010687</v>
      </c>
      <c r="H36" s="93">
        <f>0.8*'BRA Load Pricing Results'!H35</f>
        <v>49.72619834922935</v>
      </c>
      <c r="I36" s="94">
        <f t="shared" si="0"/>
        <v>1.0196082522207948</v>
      </c>
      <c r="J36" s="94">
        <f aca="true" t="shared" si="1" ref="J36:J53">I36*F36</f>
        <v>1.0703616816946526</v>
      </c>
      <c r="K36" s="92">
        <f aca="true" t="shared" si="2" ref="K36:K53">E36*J36*$B$6+H36</f>
        <v>2463.360107864895</v>
      </c>
      <c r="L36" s="227">
        <f>K15</f>
        <v>128.1717594973168</v>
      </c>
      <c r="M36" s="457"/>
    </row>
    <row r="37" spans="1:13" ht="12.75">
      <c r="A37" s="55" t="s">
        <v>19</v>
      </c>
      <c r="B37" s="98" t="s">
        <v>24</v>
      </c>
      <c r="C37" s="98"/>
      <c r="D37" s="98"/>
      <c r="E37" s="99">
        <v>8210</v>
      </c>
      <c r="F37" s="91">
        <f>G37/E37</f>
        <v>1.045919610231425</v>
      </c>
      <c r="G37" s="92">
        <v>8587</v>
      </c>
      <c r="H37" s="93">
        <f>0.8*'BRA Load Pricing Results'!H36</f>
        <v>186.75910230885643</v>
      </c>
      <c r="I37" s="94">
        <f t="shared" si="0"/>
        <v>1.0196082522207948</v>
      </c>
      <c r="J37" s="94">
        <f t="shared" si="1"/>
        <v>1.066428265751518</v>
      </c>
      <c r="K37" s="92">
        <f t="shared" si="2"/>
        <v>9695.097505445337</v>
      </c>
      <c r="L37" s="227">
        <f>K15</f>
        <v>128.1717594973168</v>
      </c>
      <c r="M37" s="457"/>
    </row>
    <row r="38" spans="1:13" ht="12.75">
      <c r="A38" s="55" t="s">
        <v>53</v>
      </c>
      <c r="B38" s="98"/>
      <c r="C38" s="98"/>
      <c r="D38" s="98"/>
      <c r="E38" s="99">
        <v>12620</v>
      </c>
      <c r="F38" s="91">
        <f>G38/E38</f>
        <v>1.0374009508716324</v>
      </c>
      <c r="G38" s="92">
        <v>13092</v>
      </c>
      <c r="H38" s="93">
        <f>0.8*'BRA Load Pricing Results'!H37</f>
        <v>292.7528375351932</v>
      </c>
      <c r="I38" s="94">
        <f t="shared" si="0"/>
        <v>1.0196082522207948</v>
      </c>
      <c r="J38" s="94">
        <f t="shared" si="1"/>
        <v>1.0577425703704157</v>
      </c>
      <c r="K38" s="92">
        <f>E38*J38*$B$6+H38</f>
        <v>14789.453242084262</v>
      </c>
      <c r="L38" s="227">
        <f>K15</f>
        <v>128.1717594973168</v>
      </c>
      <c r="M38" s="457"/>
    </row>
    <row r="39" spans="1:13" ht="12.75">
      <c r="A39" s="55" t="s">
        <v>11</v>
      </c>
      <c r="B39" s="98" t="s">
        <v>30</v>
      </c>
      <c r="C39" s="98" t="s">
        <v>5</v>
      </c>
      <c r="D39" s="98"/>
      <c r="E39" s="99">
        <v>6960</v>
      </c>
      <c r="F39" s="91">
        <f>G39/E39</f>
        <v>1.029741379310345</v>
      </c>
      <c r="G39" s="92">
        <v>7167</v>
      </c>
      <c r="H39" s="93">
        <f>0.8*'BRA Load Pricing Results'!H38</f>
        <v>160.08231885601134</v>
      </c>
      <c r="I39" s="94">
        <f t="shared" si="0"/>
        <v>1.0196082522207948</v>
      </c>
      <c r="J39" s="94">
        <f t="shared" si="1"/>
        <v>1.0499328079980512</v>
      </c>
      <c r="K39" s="92">
        <f t="shared" si="2"/>
        <v>8096.062444077762</v>
      </c>
      <c r="L39" s="227">
        <f>K18</f>
        <v>137.5987361335417</v>
      </c>
      <c r="M39" s="457"/>
    </row>
    <row r="40" spans="1:13" ht="12.75">
      <c r="A40" s="55" t="s">
        <v>20</v>
      </c>
      <c r="B40" s="98"/>
      <c r="C40" s="98"/>
      <c r="D40" s="98"/>
      <c r="E40" s="99">
        <v>21480</v>
      </c>
      <c r="F40" s="91">
        <f>G40/E40</f>
        <v>1.0675512104283054</v>
      </c>
      <c r="G40" s="92">
        <v>22931</v>
      </c>
      <c r="H40" s="93">
        <f>0.8*'BRA Load Pricing Results'!H39</f>
        <v>511.24736780902253</v>
      </c>
      <c r="I40" s="94">
        <f t="shared" si="0"/>
        <v>1.0196082522207948</v>
      </c>
      <c r="J40" s="94">
        <f t="shared" si="1"/>
        <v>1.0884840238209983</v>
      </c>
      <c r="K40" s="92">
        <f t="shared" si="2"/>
        <v>25902.618967008122</v>
      </c>
      <c r="L40" s="227">
        <f>K15</f>
        <v>128.1717594973168</v>
      </c>
      <c r="M40" s="457"/>
    </row>
    <row r="41" spans="1:13" ht="12.75">
      <c r="A41" s="55" t="s">
        <v>21</v>
      </c>
      <c r="B41" s="98"/>
      <c r="C41" s="98"/>
      <c r="D41" s="98"/>
      <c r="E41" s="99">
        <v>3180</v>
      </c>
      <c r="F41" s="91">
        <f>G41/E41</f>
        <v>1.0682389937106918</v>
      </c>
      <c r="G41" s="92">
        <v>3397</v>
      </c>
      <c r="H41" s="93">
        <f>0.8*'BRA Load Pricing Results'!H40</f>
        <v>77.04704718471633</v>
      </c>
      <c r="I41" s="94">
        <f t="shared" si="0"/>
        <v>1.0196082522207948</v>
      </c>
      <c r="J41" s="94">
        <f t="shared" si="1"/>
        <v>1.089185293331459</v>
      </c>
      <c r="K41" s="92">
        <f t="shared" si="2"/>
        <v>3838.5266739990434</v>
      </c>
      <c r="L41" s="227">
        <f>K15</f>
        <v>128.1717594973168</v>
      </c>
      <c r="M41" s="457"/>
    </row>
    <row r="42" spans="1:13" ht="12.75">
      <c r="A42" s="55" t="s">
        <v>272</v>
      </c>
      <c r="B42" s="98"/>
      <c r="C42" s="98"/>
      <c r="D42" s="98"/>
      <c r="E42" s="99">
        <f>5250-5065.2</f>
        <v>184.80000000000018</v>
      </c>
      <c r="F42" s="91">
        <v>1.0584761904761906</v>
      </c>
      <c r="G42" s="92">
        <f>E42*F42</f>
        <v>195.6064000000002</v>
      </c>
      <c r="H42" s="93">
        <f>0.8*'BRA Load Pricing Results'!H41</f>
        <v>5.374176087554901</v>
      </c>
      <c r="I42" s="94">
        <f t="shared" si="0"/>
        <v>1.0196082522207948</v>
      </c>
      <c r="J42" s="94">
        <f>I42*F42</f>
        <v>1.0792310585887537</v>
      </c>
      <c r="K42" s="92">
        <f>E42*J42*$B$6+H42</f>
        <v>221.96807908269616</v>
      </c>
      <c r="L42" s="227">
        <f>K15</f>
        <v>128.1717594973168</v>
      </c>
      <c r="M42" s="457"/>
    </row>
    <row r="43" spans="1:13" ht="12.75">
      <c r="A43" s="55" t="s">
        <v>52</v>
      </c>
      <c r="B43" s="98"/>
      <c r="C43" s="98"/>
      <c r="D43" s="98"/>
      <c r="E43" s="99">
        <v>2800</v>
      </c>
      <c r="F43" s="91">
        <f aca="true" t="shared" si="3" ref="F43:F53">G43/E43</f>
        <v>1.0414285714285714</v>
      </c>
      <c r="G43" s="92">
        <v>2916</v>
      </c>
      <c r="H43" s="93">
        <f>0.8*'BRA Load Pricing Results'!H42</f>
        <v>64.01130940346383</v>
      </c>
      <c r="I43" s="94">
        <f t="shared" si="0"/>
        <v>1.0196082522207948</v>
      </c>
      <c r="J43" s="94">
        <f t="shared" si="1"/>
        <v>1.0618491655270847</v>
      </c>
      <c r="K43" s="92">
        <f t="shared" si="2"/>
        <v>3292.882251938223</v>
      </c>
      <c r="L43" s="227">
        <f>K15</f>
        <v>128.1717594973168</v>
      </c>
      <c r="M43" s="457"/>
    </row>
    <row r="44" spans="1:13" ht="12.75">
      <c r="A44" s="55" t="s">
        <v>33</v>
      </c>
      <c r="B44" s="98"/>
      <c r="C44" s="98"/>
      <c r="D44" s="98"/>
      <c r="E44" s="99">
        <v>18530</v>
      </c>
      <c r="F44" s="91">
        <f t="shared" si="3"/>
        <v>1.0686994063680517</v>
      </c>
      <c r="G44" s="92">
        <v>19803</v>
      </c>
      <c r="H44" s="93">
        <f>0.8*'BRA Load Pricing Results'!H43</f>
        <v>445.7227886797086</v>
      </c>
      <c r="I44" s="94">
        <f t="shared" si="0"/>
        <v>1.0196082522207948</v>
      </c>
      <c r="J44" s="94">
        <f t="shared" si="1"/>
        <v>1.08965473387633</v>
      </c>
      <c r="K44" s="92">
        <f t="shared" si="2"/>
        <v>22373.47699821875</v>
      </c>
      <c r="L44" s="227">
        <f>K15</f>
        <v>128.1717594973168</v>
      </c>
      <c r="M44" s="457"/>
    </row>
    <row r="45" spans="1:13" ht="12.75">
      <c r="A45" s="55" t="s">
        <v>17</v>
      </c>
      <c r="B45" s="98" t="s">
        <v>30</v>
      </c>
      <c r="C45" s="98" t="s">
        <v>41</v>
      </c>
      <c r="D45" s="98" t="s">
        <v>17</v>
      </c>
      <c r="E45" s="99">
        <v>3920</v>
      </c>
      <c r="F45" s="91">
        <f t="shared" si="3"/>
        <v>1.0451530612244897</v>
      </c>
      <c r="G45" s="92">
        <v>4097</v>
      </c>
      <c r="H45" s="93">
        <f>0.8*'BRA Load Pricing Results'!H44</f>
        <v>89.08835057469584</v>
      </c>
      <c r="I45" s="94">
        <f t="shared" si="0"/>
        <v>1.0196082522207948</v>
      </c>
      <c r="J45" s="94">
        <f t="shared" si="1"/>
        <v>1.0656466860583151</v>
      </c>
      <c r="K45" s="92">
        <f t="shared" si="2"/>
        <v>4625.67417072727</v>
      </c>
      <c r="L45" s="227">
        <f>K30</f>
        <v>145.32172811955596</v>
      </c>
      <c r="M45" s="457"/>
    </row>
    <row r="46" spans="1:13" ht="12.75">
      <c r="A46" s="55" t="s">
        <v>12</v>
      </c>
      <c r="B46" s="98" t="s">
        <v>30</v>
      </c>
      <c r="C46" s="98" t="s">
        <v>41</v>
      </c>
      <c r="D46" s="98"/>
      <c r="E46" s="99">
        <v>5960</v>
      </c>
      <c r="F46" s="91">
        <f t="shared" si="3"/>
        <v>1.0437919463087248</v>
      </c>
      <c r="G46" s="92">
        <v>6221</v>
      </c>
      <c r="H46" s="93">
        <f>0.8*'BRA Load Pricing Results'!H45</f>
        <v>141.3610105333502</v>
      </c>
      <c r="I46" s="94">
        <f t="shared" si="0"/>
        <v>1.0196082522207948</v>
      </c>
      <c r="J46" s="94">
        <f t="shared" si="1"/>
        <v>1.0642588820579806</v>
      </c>
      <c r="K46" s="92">
        <f t="shared" si="2"/>
        <v>7029.840480186554</v>
      </c>
      <c r="L46" s="227">
        <f>K17</f>
        <v>137.6054258720096</v>
      </c>
      <c r="M46" s="457"/>
    </row>
    <row r="47" spans="1:13" ht="12.75">
      <c r="A47" s="55" t="s">
        <v>13</v>
      </c>
      <c r="B47" s="98" t="s">
        <v>30</v>
      </c>
      <c r="C47" s="98"/>
      <c r="D47" s="98"/>
      <c r="E47" s="99">
        <v>2800</v>
      </c>
      <c r="F47" s="91">
        <f t="shared" si="3"/>
        <v>1.0667857142857142</v>
      </c>
      <c r="G47" s="92">
        <v>2987</v>
      </c>
      <c r="H47" s="93">
        <f>0.8*'BRA Load Pricing Results'!H46</f>
        <v>65.95694190812836</v>
      </c>
      <c r="I47" s="94">
        <f t="shared" si="0"/>
        <v>1.0196082522207948</v>
      </c>
      <c r="J47" s="94">
        <f t="shared" si="1"/>
        <v>1.0877035176369692</v>
      </c>
      <c r="K47" s="92">
        <f t="shared" si="2"/>
        <v>3373.445798338624</v>
      </c>
      <c r="L47" s="227">
        <f>K16</f>
        <v>137.5987361335417</v>
      </c>
      <c r="M47" s="457"/>
    </row>
    <row r="48" spans="1:13" ht="12.75">
      <c r="A48" s="55" t="s">
        <v>9</v>
      </c>
      <c r="B48" s="98" t="s">
        <v>30</v>
      </c>
      <c r="C48" s="98" t="s">
        <v>41</v>
      </c>
      <c r="D48" s="98"/>
      <c r="E48" s="99">
        <v>8370</v>
      </c>
      <c r="F48" s="91">
        <f t="shared" si="3"/>
        <v>1.0506571087216248</v>
      </c>
      <c r="G48" s="92">
        <v>8794</v>
      </c>
      <c r="H48" s="93">
        <f>0.8*'BRA Load Pricing Results'!H47</f>
        <v>192.63923610073152</v>
      </c>
      <c r="I48" s="94">
        <f t="shared" si="0"/>
        <v>1.0196082522207948</v>
      </c>
      <c r="J48" s="94">
        <f t="shared" si="1"/>
        <v>1.0712586583070094</v>
      </c>
      <c r="K48" s="92">
        <f t="shared" si="2"/>
        <v>9930.187613552951</v>
      </c>
      <c r="L48" s="227">
        <f>K17</f>
        <v>137.6054258720096</v>
      </c>
      <c r="M48" s="457"/>
    </row>
    <row r="49" spans="1:13" ht="12.75">
      <c r="A49" s="55" t="s">
        <v>14</v>
      </c>
      <c r="B49" s="98" t="s">
        <v>30</v>
      </c>
      <c r="C49" s="98"/>
      <c r="D49" s="98"/>
      <c r="E49" s="99">
        <v>2720</v>
      </c>
      <c r="F49" s="91">
        <f t="shared" si="3"/>
        <v>1.0808823529411764</v>
      </c>
      <c r="G49" s="92">
        <v>2940</v>
      </c>
      <c r="H49" s="93">
        <f>0.8*'BRA Load Pricing Results'!H48</f>
        <v>64.55176287698174</v>
      </c>
      <c r="I49" s="94">
        <f t="shared" si="0"/>
        <v>1.0196082522207948</v>
      </c>
      <c r="J49" s="94">
        <f t="shared" si="1"/>
        <v>1.1020765667386532</v>
      </c>
      <c r="K49" s="92">
        <f t="shared" si="2"/>
        <v>3319.9977748976244</v>
      </c>
      <c r="L49" s="227">
        <f>K16</f>
        <v>137.5987361335417</v>
      </c>
      <c r="M49" s="457"/>
    </row>
    <row r="50" spans="1:13" ht="12.75">
      <c r="A50" s="55" t="s">
        <v>15</v>
      </c>
      <c r="B50" s="98" t="s">
        <v>30</v>
      </c>
      <c r="C50" s="98" t="s">
        <v>5</v>
      </c>
      <c r="D50" s="98" t="s">
        <v>15</v>
      </c>
      <c r="E50" s="99">
        <v>6600</v>
      </c>
      <c r="F50" s="91">
        <f t="shared" si="3"/>
        <v>1.0257575757575759</v>
      </c>
      <c r="G50" s="92">
        <v>6770</v>
      </c>
      <c r="H50" s="93">
        <f>0.8*'BRA Load Pricing Results'!H49</f>
        <v>151.240500029258</v>
      </c>
      <c r="I50" s="94">
        <f t="shared" si="0"/>
        <v>1.0196082522207948</v>
      </c>
      <c r="J50" s="94">
        <f t="shared" si="1"/>
        <v>1.0458708890204214</v>
      </c>
      <c r="K50" s="92">
        <f t="shared" si="2"/>
        <v>7647.624684172031</v>
      </c>
      <c r="L50" s="227">
        <f>K19</f>
        <v>137.5987361335417</v>
      </c>
      <c r="M50" s="457"/>
    </row>
    <row r="51" spans="1:13" ht="12.75">
      <c r="A51" s="55" t="s">
        <v>10</v>
      </c>
      <c r="B51" s="98" t="s">
        <v>30</v>
      </c>
      <c r="C51" s="98"/>
      <c r="D51" s="98"/>
      <c r="E51" s="99">
        <v>7065</v>
      </c>
      <c r="F51" s="91">
        <f t="shared" si="3"/>
        <v>1.0523708421797593</v>
      </c>
      <c r="G51" s="92">
        <v>7435</v>
      </c>
      <c r="H51" s="93">
        <f>0.8*'BRA Load Pricing Results'!H50</f>
        <v>163.95196572639972</v>
      </c>
      <c r="I51" s="94">
        <f t="shared" si="0"/>
        <v>1.0196082522207948</v>
      </c>
      <c r="J51" s="94">
        <f t="shared" si="1"/>
        <v>1.0730059950830302</v>
      </c>
      <c r="K51" s="92">
        <f t="shared" si="2"/>
        <v>8396.687033540506</v>
      </c>
      <c r="L51" s="227">
        <f>K16</f>
        <v>137.5987361335417</v>
      </c>
      <c r="M51" s="457"/>
    </row>
    <row r="52" spans="1:13" ht="12.75">
      <c r="A52" s="55" t="s">
        <v>8</v>
      </c>
      <c r="B52" s="98" t="s">
        <v>30</v>
      </c>
      <c r="C52" s="98" t="s">
        <v>41</v>
      </c>
      <c r="D52" s="98" t="s">
        <v>8</v>
      </c>
      <c r="E52" s="99">
        <v>10150</v>
      </c>
      <c r="F52" s="91">
        <f t="shared" si="3"/>
        <v>1.03192118226601</v>
      </c>
      <c r="G52" s="92">
        <v>10474</v>
      </c>
      <c r="H52" s="93">
        <f>0.8*'BRA Load Pricing Results'!H51</f>
        <v>235.65933259275891</v>
      </c>
      <c r="I52" s="94">
        <f t="shared" si="0"/>
        <v>1.0196082522207948</v>
      </c>
      <c r="J52" s="94">
        <f t="shared" si="1"/>
        <v>1.0521553530798626</v>
      </c>
      <c r="K52" s="92">
        <f t="shared" si="2"/>
        <v>11833.462574056777</v>
      </c>
      <c r="L52" s="227">
        <f>K27</f>
        <v>187.411649976458</v>
      </c>
      <c r="M52" s="457"/>
    </row>
    <row r="53" spans="1:13" ht="13.5" thickBot="1">
      <c r="A53" s="57" t="s">
        <v>18</v>
      </c>
      <c r="B53" s="104" t="s">
        <v>30</v>
      </c>
      <c r="C53" s="104" t="s">
        <v>41</v>
      </c>
      <c r="D53" s="104"/>
      <c r="E53" s="105">
        <v>400</v>
      </c>
      <c r="F53" s="282">
        <f t="shared" si="3"/>
        <v>1.0375</v>
      </c>
      <c r="G53" s="283">
        <v>415</v>
      </c>
      <c r="H53" s="106">
        <f>0.8*'BRA Load Pricing Results'!H52</f>
        <v>9.360654161330576</v>
      </c>
      <c r="I53" s="107">
        <f t="shared" si="0"/>
        <v>1.0196082522207948</v>
      </c>
      <c r="J53" s="107">
        <f t="shared" si="1"/>
        <v>1.0578435616790747</v>
      </c>
      <c r="K53" s="283">
        <f t="shared" si="2"/>
        <v>468.8878973547206</v>
      </c>
      <c r="L53" s="228">
        <f>K17</f>
        <v>137.6054258720096</v>
      </c>
      <c r="M53" s="457"/>
    </row>
    <row r="54" spans="2:12" ht="13.5" customHeight="1" thickBot="1">
      <c r="B54" s="12"/>
      <c r="C54" s="6"/>
      <c r="D54" s="6"/>
      <c r="E54" s="100">
        <f>SUM(E35:E53)</f>
        <v>126546.20000000001</v>
      </c>
      <c r="F54" s="59"/>
      <c r="G54" s="89">
        <f>SUM(G35:G53)</f>
        <v>133085.36415601068</v>
      </c>
      <c r="H54" s="89">
        <f>SUM(H35:H53)</f>
        <v>2966.48</v>
      </c>
      <c r="I54" s="4"/>
      <c r="J54" s="4"/>
      <c r="K54" s="90">
        <f>SUM(K35:K53)</f>
        <v>150331.18</v>
      </c>
      <c r="L54" s="42"/>
    </row>
    <row r="55" spans="1:12" ht="12.75">
      <c r="A55" s="193" t="s">
        <v>110</v>
      </c>
      <c r="B55" s="12"/>
      <c r="C55" s="6"/>
      <c r="D55" s="6"/>
      <c r="E55" s="458"/>
      <c r="F55" s="59"/>
      <c r="G55" s="459"/>
      <c r="H55" s="459"/>
      <c r="I55" s="4"/>
      <c r="J55" s="4"/>
      <c r="K55" s="460"/>
      <c r="L55" s="484"/>
    </row>
    <row r="56" spans="1:12" ht="12.75">
      <c r="A56" s="854" t="s">
        <v>273</v>
      </c>
      <c r="B56" s="854"/>
      <c r="C56" s="6"/>
      <c r="D56" s="6"/>
      <c r="E56" s="284" t="s">
        <v>24</v>
      </c>
      <c r="F56" s="6"/>
      <c r="G56" s="284" t="s">
        <v>24</v>
      </c>
      <c r="H56" s="6"/>
      <c r="I56" s="6"/>
      <c r="J56" s="6"/>
      <c r="K56" s="6"/>
      <c r="L56" s="484"/>
    </row>
    <row r="57" spans="1:12" ht="12.75">
      <c r="A57" s="615"/>
      <c r="B57" s="615"/>
      <c r="C57" s="6"/>
      <c r="D57" s="6"/>
      <c r="E57" s="284"/>
      <c r="F57" s="6"/>
      <c r="G57" s="284"/>
      <c r="H57" s="6"/>
      <c r="I57" s="6"/>
      <c r="J57" s="6"/>
      <c r="K57" s="6"/>
      <c r="L57" s="484"/>
    </row>
    <row r="58" spans="1:12" ht="30" customHeight="1">
      <c r="A58" s="801" t="s">
        <v>234</v>
      </c>
      <c r="B58" s="801"/>
      <c r="C58" s="801"/>
      <c r="D58" s="801"/>
      <c r="E58" s="801"/>
      <c r="F58" s="801"/>
      <c r="G58" s="801"/>
      <c r="H58" s="801"/>
      <c r="I58" s="801"/>
      <c r="J58" s="801"/>
      <c r="K58" s="801"/>
      <c r="L58" s="801"/>
    </row>
    <row r="59" ht="12.75">
      <c r="G59" t="s">
        <v>24</v>
      </c>
    </row>
    <row r="60" ht="12.75">
      <c r="G60" t="s">
        <v>24</v>
      </c>
    </row>
    <row r="68" ht="12.75">
      <c r="G68" t="s">
        <v>24</v>
      </c>
    </row>
    <row r="69" ht="12.75">
      <c r="G69" t="s">
        <v>24</v>
      </c>
    </row>
    <row r="70" ht="12.75">
      <c r="G70" t="s">
        <v>24</v>
      </c>
    </row>
  </sheetData>
  <sheetProtection/>
  <mergeCells count="2">
    <mergeCell ref="A58:L58"/>
    <mergeCell ref="A56:B56"/>
  </mergeCells>
  <printOptions/>
  <pageMargins left="0.45" right="0.45" top="0.5" bottom="0.5" header="0" footer="0"/>
  <pageSetup fitToHeight="1" fitToWidth="1" horizontalDpi="600" verticalDpi="600" orientation="landscape" paperSize="5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3" width="12.7109375" style="0" customWidth="1"/>
    <col min="4" max="6" width="15.7109375" style="0" customWidth="1"/>
    <col min="7" max="7" width="18.7109375" style="0" customWidth="1"/>
    <col min="8" max="20" width="15.7109375" style="0" customWidth="1"/>
  </cols>
  <sheetData>
    <row r="1" spans="1:17" ht="18.75">
      <c r="A1" s="24" t="s">
        <v>215</v>
      </c>
      <c r="B1" s="6"/>
      <c r="C1" s="6"/>
      <c r="D1" s="6"/>
      <c r="E1" s="6"/>
      <c r="F1" s="494" t="s">
        <v>24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9.5" thickBot="1">
      <c r="A2" s="1" t="s">
        <v>24</v>
      </c>
      <c r="B2" s="6"/>
      <c r="C2" s="6"/>
      <c r="D2" s="6" t="s">
        <v>24</v>
      </c>
      <c r="E2" s="710" t="s">
        <v>24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9.5" thickBot="1">
      <c r="A3" s="125" t="s">
        <v>104</v>
      </c>
      <c r="B3" s="1"/>
      <c r="C3" s="296" t="s">
        <v>24</v>
      </c>
      <c r="D3" s="1"/>
      <c r="E3" s="78"/>
      <c r="F3" s="285"/>
      <c r="G3" s="6"/>
      <c r="H3" s="6"/>
      <c r="I3" s="6"/>
      <c r="J3" s="6"/>
      <c r="K3" s="19"/>
      <c r="L3" s="19"/>
      <c r="Q3" s="19"/>
    </row>
    <row r="4" spans="1:16" ht="109.5" customHeight="1">
      <c r="A4" s="178" t="s">
        <v>3</v>
      </c>
      <c r="B4" s="112" t="s">
        <v>198</v>
      </c>
      <c r="C4" s="112" t="s">
        <v>246</v>
      </c>
      <c r="D4" s="112" t="s">
        <v>245</v>
      </c>
      <c r="E4" s="112" t="s">
        <v>221</v>
      </c>
      <c r="F4" s="111" t="s">
        <v>108</v>
      </c>
      <c r="G4" s="111" t="s">
        <v>129</v>
      </c>
      <c r="H4" s="111" t="s">
        <v>118</v>
      </c>
      <c r="I4" s="111" t="s">
        <v>247</v>
      </c>
      <c r="J4" s="128" t="s">
        <v>248</v>
      </c>
      <c r="K4" s="23"/>
      <c r="N4" s="23"/>
      <c r="O4" s="23"/>
      <c r="P4" s="23"/>
    </row>
    <row r="5" spans="1:16" ht="12.75">
      <c r="A5" s="179" t="s">
        <v>30</v>
      </c>
      <c r="B5" s="194">
        <f>'1st IA Load Pricing Results'!B16</f>
        <v>67753.79617435865</v>
      </c>
      <c r="C5" s="286">
        <f>'BRA Resource Clearing Results'!E18-'1stIA Resource Clearing Results'!M20</f>
        <v>66021.7</v>
      </c>
      <c r="D5" s="63">
        <f>'1st IA Load Pricing Results'!H47+'1st IA Load Pricing Results'!H49+'1st IA Load Pricing Results'!H51+D6+D7</f>
        <v>1333.839172642255</v>
      </c>
      <c r="E5" s="176">
        <f>MAX(B5-C5-D5,0)</f>
        <v>398.2570017163971</v>
      </c>
      <c r="F5" s="290">
        <v>0</v>
      </c>
      <c r="G5" s="63">
        <f aca="true" t="shared" si="0" ref="G5:G10">E5-F5</f>
        <v>398.2570017163971</v>
      </c>
      <c r="H5" s="63">
        <f>'1st IA ICTRs'!C15</f>
        <v>0</v>
      </c>
      <c r="I5" s="63">
        <f>'1st IA ICTRs'!C9+'1st IA ICTRs'!C12</f>
        <v>0</v>
      </c>
      <c r="J5" s="368">
        <f>IF(G5-H5-I5&lt;0,0,G5-H5-I5)</f>
        <v>398.2570017163971</v>
      </c>
      <c r="K5" s="177"/>
      <c r="N5" s="9"/>
      <c r="O5" s="9"/>
      <c r="P5" s="9"/>
    </row>
    <row r="6" spans="1:16" ht="12.75">
      <c r="A6" s="179" t="s">
        <v>41</v>
      </c>
      <c r="B6" s="194">
        <f>'1st IA Load Pricing Results'!B17</f>
        <v>36919.97843933211</v>
      </c>
      <c r="C6" s="286">
        <f>'BRA Resource Clearing Results'!E19-'1stIA Resource Clearing Results'!M21</f>
        <v>31746.1</v>
      </c>
      <c r="D6" s="63">
        <f>'1st IA Load Pricing Results'!H35+'1st IA Load Pricing Results'!H45+'1st IA Load Pricing Results'!H46+'1st IA Load Pricing Results'!H48+'1st IA Load Pricing Results'!H52+'1st IA Load Pricing Results'!H53</f>
        <v>728.055683245476</v>
      </c>
      <c r="E6" s="297">
        <f>B6-C6-D6</f>
        <v>4445.822756086635</v>
      </c>
      <c r="F6" s="290">
        <v>0</v>
      </c>
      <c r="G6" s="64">
        <f t="shared" si="0"/>
        <v>4445.822756086635</v>
      </c>
      <c r="H6" s="63">
        <v>0</v>
      </c>
      <c r="I6" s="63">
        <v>0</v>
      </c>
      <c r="J6" s="180">
        <f>G6-H6-I6</f>
        <v>4445.822756086635</v>
      </c>
      <c r="K6" s="177"/>
      <c r="N6" s="9" t="s">
        <v>24</v>
      </c>
      <c r="O6" s="9"/>
      <c r="P6" s="9"/>
    </row>
    <row r="7" spans="1:16" ht="12.75">
      <c r="A7" s="179" t="s">
        <v>5</v>
      </c>
      <c r="B7" s="194">
        <f>'1st IA Load Pricing Results'!B18</f>
        <v>15743.687128249792</v>
      </c>
      <c r="C7" s="286">
        <f>'BRA Resource Clearing Results'!E20-'1stIA Resource Clearing Results'!M22</f>
        <v>11482.800000000001</v>
      </c>
      <c r="D7" s="63">
        <f>'1st IA Load Pricing Results'!H39+'1st IA Load Pricing Results'!H50</f>
        <v>311.3228188852693</v>
      </c>
      <c r="E7" s="297">
        <f>B7-C7-D7</f>
        <v>3949.5643093645217</v>
      </c>
      <c r="F7" s="290">
        <v>0</v>
      </c>
      <c r="G7" s="64">
        <f t="shared" si="0"/>
        <v>3949.5643093645217</v>
      </c>
      <c r="H7" s="63">
        <f>'1st IA ICTRs'!D15</f>
        <v>0</v>
      </c>
      <c r="I7" s="63">
        <f>'1st IA ICTRs'!D9+'1st IA ICTRs'!D12</f>
        <v>237</v>
      </c>
      <c r="J7" s="180">
        <f>G7-H7-I7</f>
        <v>3712.5643093645217</v>
      </c>
      <c r="K7" s="177"/>
      <c r="N7" s="9"/>
      <c r="O7" s="9"/>
      <c r="P7" s="9"/>
    </row>
    <row r="8" spans="1:16" ht="12.75">
      <c r="A8" s="179" t="s">
        <v>50</v>
      </c>
      <c r="B8" s="194">
        <f>'1st IA Load Pricing Results'!K52</f>
        <v>11833.462574056777</v>
      </c>
      <c r="C8" s="92">
        <f>'1st IA Load Pricing Results'!C27</f>
        <v>7515.200000000001</v>
      </c>
      <c r="D8" s="63">
        <f>'1st IA Load Pricing Results'!H52</f>
        <v>235.65933259275891</v>
      </c>
      <c r="E8" s="641">
        <f>B8-C8-D8-1.78913506</f>
        <v>4080.814106404018</v>
      </c>
      <c r="F8" s="290">
        <v>0</v>
      </c>
      <c r="G8" s="64">
        <f t="shared" si="0"/>
        <v>4080.814106404018</v>
      </c>
      <c r="H8" s="63">
        <v>0</v>
      </c>
      <c r="I8" s="63">
        <v>0</v>
      </c>
      <c r="J8" s="180">
        <f>G8-H8-I8</f>
        <v>4080.814106404018</v>
      </c>
      <c r="K8" s="177"/>
      <c r="N8" s="9"/>
      <c r="O8" s="9"/>
      <c r="P8" s="9"/>
    </row>
    <row r="9" spans="1:16" ht="12.75">
      <c r="A9" s="179" t="s">
        <v>48</v>
      </c>
      <c r="B9" s="194">
        <f>'1st IA Load Pricing Results'!K45</f>
        <v>4625.67417072727</v>
      </c>
      <c r="C9" s="92">
        <f>'1st IA Load Pricing Results'!C30</f>
        <v>4228.4</v>
      </c>
      <c r="D9" s="63">
        <f>'1st IA Load Pricing Results'!H45</f>
        <v>89.08835057469584</v>
      </c>
      <c r="E9" s="297">
        <f>B9-C9-D9</f>
        <v>308.18582015257493</v>
      </c>
      <c r="F9" s="290">
        <v>0</v>
      </c>
      <c r="G9" s="64">
        <f t="shared" si="0"/>
        <v>308.18582015257493</v>
      </c>
      <c r="H9" s="63">
        <v>0</v>
      </c>
      <c r="I9" s="63">
        <v>0</v>
      </c>
      <c r="J9" s="180">
        <f>G9-H9-I9</f>
        <v>308.18582015257493</v>
      </c>
      <c r="K9" s="177"/>
      <c r="N9" s="9"/>
      <c r="O9" s="9"/>
      <c r="P9" s="9"/>
    </row>
    <row r="10" spans="1:16" ht="13.5" thickBot="1">
      <c r="A10" s="154" t="s">
        <v>15</v>
      </c>
      <c r="B10" s="195">
        <f>'1st IA Load Pricing Results'!B19</f>
        <v>7647.624684172031</v>
      </c>
      <c r="C10" s="496">
        <f>'BRA Resource Clearing Results'!E24-'1stIA Resource Clearing Results'!M26</f>
        <v>5479.200000000001</v>
      </c>
      <c r="D10" s="137">
        <f>'1st IA Load Pricing Results'!H50</f>
        <v>151.240500029258</v>
      </c>
      <c r="E10" s="497">
        <f>B10-C10-D10</f>
        <v>2017.1841841427727</v>
      </c>
      <c r="F10" s="498">
        <v>0</v>
      </c>
      <c r="G10" s="137">
        <f t="shared" si="0"/>
        <v>2017.1841841427727</v>
      </c>
      <c r="H10" s="137">
        <v>0</v>
      </c>
      <c r="I10" s="137">
        <v>0</v>
      </c>
      <c r="J10" s="182">
        <f>G10-H10-I10</f>
        <v>2017.1841841427727</v>
      </c>
      <c r="K10" s="177"/>
      <c r="N10" s="9"/>
      <c r="O10" s="9"/>
      <c r="P10" s="9"/>
    </row>
    <row r="11" spans="1:16" ht="12.75">
      <c r="A11" s="6" t="s">
        <v>296</v>
      </c>
      <c r="B11" s="42"/>
      <c r="C11" s="42"/>
      <c r="D11" s="18"/>
      <c r="E11" s="42"/>
      <c r="F11" s="18"/>
      <c r="G11" s="26"/>
      <c r="H11" s="20"/>
      <c r="I11" s="26"/>
      <c r="J11" s="25"/>
      <c r="K11" s="62"/>
      <c r="N11" s="9"/>
      <c r="O11" s="9"/>
      <c r="P11" s="9"/>
    </row>
    <row r="12" spans="1:16" ht="13.5" thickBot="1">
      <c r="A12" s="32"/>
      <c r="B12" s="42"/>
      <c r="C12" s="42"/>
      <c r="D12" s="18"/>
      <c r="E12" s="42"/>
      <c r="F12" s="18"/>
      <c r="G12" s="26"/>
      <c r="H12" s="20"/>
      <c r="I12" s="26"/>
      <c r="J12" s="25"/>
      <c r="K12" s="62"/>
      <c r="N12" s="9"/>
      <c r="O12" s="9"/>
      <c r="P12" s="9"/>
    </row>
    <row r="13" spans="1:17" ht="15" thickBot="1">
      <c r="A13" s="803" t="s">
        <v>153</v>
      </c>
      <c r="B13" s="804"/>
      <c r="C13" s="804"/>
      <c r="D13" s="805"/>
      <c r="E13" s="6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9" ht="15">
      <c r="A14" s="806"/>
      <c r="B14" s="807"/>
      <c r="C14" s="807"/>
      <c r="D14" s="808"/>
      <c r="E14" s="860" t="s">
        <v>30</v>
      </c>
      <c r="F14" s="855"/>
      <c r="G14" s="855" t="s">
        <v>41</v>
      </c>
      <c r="H14" s="855"/>
      <c r="I14" s="855" t="s">
        <v>5</v>
      </c>
      <c r="J14" s="855"/>
      <c r="K14" s="855" t="s">
        <v>50</v>
      </c>
      <c r="L14" s="855"/>
      <c r="M14" s="855" t="s">
        <v>48</v>
      </c>
      <c r="N14" s="855"/>
      <c r="O14" s="855" t="s">
        <v>15</v>
      </c>
      <c r="P14" s="856"/>
      <c r="Q14" s="22"/>
      <c r="R14" s="22"/>
      <c r="S14" s="22"/>
    </row>
    <row r="15" spans="1:19" ht="49.5" customHeight="1" thickBot="1">
      <c r="A15" s="806"/>
      <c r="B15" s="807"/>
      <c r="C15" s="807"/>
      <c r="D15" s="808"/>
      <c r="E15" s="499" t="s">
        <v>209</v>
      </c>
      <c r="F15" s="500">
        <f>'1st IA Load Pricing Results'!D16</f>
        <v>-0.09091495674906887</v>
      </c>
      <c r="G15" s="501" t="s">
        <v>209</v>
      </c>
      <c r="H15" s="500">
        <f>'1st IA Load Pricing Results'!D17-'1st IA Load Pricing Results'!D16</f>
        <v>0</v>
      </c>
      <c r="I15" s="501" t="s">
        <v>209</v>
      </c>
      <c r="J15" s="502">
        <f>'1st IA Load Pricing Results'!D18-'1st IA Load Pricing Results'!D16</f>
        <v>0</v>
      </c>
      <c r="K15" s="501" t="s">
        <v>209</v>
      </c>
      <c r="L15" s="500">
        <f>'1st IA Load Pricing Results'!D27</f>
        <v>49.804447785820734</v>
      </c>
      <c r="M15" s="501" t="s">
        <v>209</v>
      </c>
      <c r="N15" s="503">
        <f>'1st IA Load Pricing Results'!D30</f>
        <v>0</v>
      </c>
      <c r="O15" s="501" t="s">
        <v>209</v>
      </c>
      <c r="P15" s="504">
        <f>'1st IA Load Pricing Results'!D19-'1st IA Load Pricing Results'!D18</f>
        <v>0</v>
      </c>
      <c r="Q15" s="22"/>
      <c r="R15" s="22"/>
      <c r="S15" s="22"/>
    </row>
    <row r="16" spans="1:20" ht="69.75" customHeight="1">
      <c r="A16" s="505" t="s">
        <v>7</v>
      </c>
      <c r="B16" s="102" t="s">
        <v>28</v>
      </c>
      <c r="C16" s="102" t="s">
        <v>27</v>
      </c>
      <c r="D16" s="102" t="s">
        <v>36</v>
      </c>
      <c r="E16" s="102" t="s">
        <v>130</v>
      </c>
      <c r="F16" s="102" t="s">
        <v>154</v>
      </c>
      <c r="G16" s="102" t="s">
        <v>131</v>
      </c>
      <c r="H16" s="102" t="s">
        <v>154</v>
      </c>
      <c r="I16" s="102" t="s">
        <v>130</v>
      </c>
      <c r="J16" s="102" t="s">
        <v>154</v>
      </c>
      <c r="K16" s="102" t="s">
        <v>132</v>
      </c>
      <c r="L16" s="102" t="s">
        <v>154</v>
      </c>
      <c r="M16" s="102" t="s">
        <v>133</v>
      </c>
      <c r="N16" s="102" t="s">
        <v>154</v>
      </c>
      <c r="O16" s="102" t="s">
        <v>133</v>
      </c>
      <c r="P16" s="102" t="s">
        <v>154</v>
      </c>
      <c r="Q16" s="102" t="s">
        <v>210</v>
      </c>
      <c r="R16" s="506" t="s">
        <v>220</v>
      </c>
      <c r="S16" s="102" t="s">
        <v>211</v>
      </c>
      <c r="T16" s="507" t="s">
        <v>212</v>
      </c>
    </row>
    <row r="17" spans="1:21" ht="12.75">
      <c r="A17" s="169" t="s">
        <v>16</v>
      </c>
      <c r="B17" s="98" t="s">
        <v>30</v>
      </c>
      <c r="C17" s="98" t="s">
        <v>41</v>
      </c>
      <c r="D17" s="98"/>
      <c r="E17" s="65">
        <f>IF(B17="MAAC",$J$5*'1st IA Load Pricing Results'!K35/'1st IA Load Pricing Results'!$B$16,0)</f>
        <v>17.82166768895193</v>
      </c>
      <c r="F17" s="66">
        <f>E17*$F$15</f>
        <v>-1.620256147137343</v>
      </c>
      <c r="G17" s="65">
        <f>IF(C17="EMAAC",$J$6*'1st IA Load Pricing Results'!K35/'1st IA Load Pricing Results'!$B$17,0)</f>
        <v>365.09783745753685</v>
      </c>
      <c r="H17" s="66">
        <f>G17*$H$15</f>
        <v>0</v>
      </c>
      <c r="I17" s="65">
        <f>IF(C17="SWMAAC",$J$7*'1st IA Load Pricing Results'!K35/'1st IA Load Pricing Results'!$B$18,0)</f>
        <v>0</v>
      </c>
      <c r="J17" s="66">
        <f>I17*$J$15</f>
        <v>0</v>
      </c>
      <c r="K17" s="65">
        <f>IF(D17="PS",$J$8*'1st IA Load Pricing Results'!K35/'1st IA Load Pricing Results'!$K$52,0)</f>
        <v>0</v>
      </c>
      <c r="L17" s="66">
        <f aca="true" t="shared" si="1" ref="L17:L35">K17*$L$15</f>
        <v>0</v>
      </c>
      <c r="M17" s="65">
        <f>IF(D17="DPL",$J$9*'1st IA Load Pricing Results'!K35/'1st IA Load Pricing Results'!$K$45,0)</f>
        <v>0</v>
      </c>
      <c r="N17" s="66">
        <f>M17*$N$15</f>
        <v>0</v>
      </c>
      <c r="O17" s="65">
        <f>IF(D17="PEPCO",$J$10*'1st IA Load Pricing Results'!K35/'1st IA Load Pricing Results'!$K$50,0)</f>
        <v>0</v>
      </c>
      <c r="P17" s="66">
        <f aca="true" t="shared" si="2" ref="P17:P31">O17*$P$15</f>
        <v>0</v>
      </c>
      <c r="Q17" s="63">
        <f>MAX(E17,G17,I17,K17,M17,O17)</f>
        <v>365.09783745753685</v>
      </c>
      <c r="R17" s="67">
        <f>F17+H17+J17+L17+N17+P17</f>
        <v>-1.620256147137343</v>
      </c>
      <c r="S17" s="67">
        <f>R17/'1st IA Load Pricing Results'!K35</f>
        <v>-0.0005343983677738604</v>
      </c>
      <c r="T17" s="56">
        <f>IF(Q17=0,0,R17/Q17)</f>
        <v>-0.004437868376379492</v>
      </c>
      <c r="U17" s="618"/>
    </row>
    <row r="18" spans="1:20" ht="12.75">
      <c r="A18" s="169" t="s">
        <v>32</v>
      </c>
      <c r="B18" s="98"/>
      <c r="C18" s="98"/>
      <c r="D18" s="98"/>
      <c r="E18" s="65">
        <f>IF(B18="MAAC",$J$5*'1st IA Load Pricing Results'!K36/'1st IA Load Pricing Results'!$B$16,0)</f>
        <v>0</v>
      </c>
      <c r="F18" s="66">
        <f aca="true" t="shared" si="3" ref="F18:F35">E18*$F$15</f>
        <v>0</v>
      </c>
      <c r="G18" s="65">
        <f>IF(C18="EMAAC",$J$6*'1st IA Load Pricing Results'!K36/'1st IA Load Pricing Results'!$B$17,0)</f>
        <v>0</v>
      </c>
      <c r="H18" s="66">
        <f>G18*$H$15</f>
        <v>0</v>
      </c>
      <c r="I18" s="65">
        <f>IF(C18="SWMAAC",$J$7*'1st IA Load Pricing Results'!K36/'1st IA Load Pricing Results'!$B$18,0)</f>
        <v>0</v>
      </c>
      <c r="J18" s="66">
        <f>I18*$J$15</f>
        <v>0</v>
      </c>
      <c r="K18" s="65">
        <f>IF(D18="PS",$J$8*'1st IA Load Pricing Results'!K36/'1st IA Load Pricing Results'!$K$52,0)</f>
        <v>0</v>
      </c>
      <c r="L18" s="66">
        <f t="shared" si="1"/>
        <v>0</v>
      </c>
      <c r="M18" s="65">
        <f>IF(D18="DPL",$J$9*'1st IA Load Pricing Results'!K36/'1st IA Load Pricing Results'!$K$45,0)</f>
        <v>0</v>
      </c>
      <c r="N18" s="66">
        <f>M18*$N$15</f>
        <v>0</v>
      </c>
      <c r="O18" s="65">
        <f>IF(D18="PEPCO",$J$10*'1st IA Load Pricing Results'!K36/'1st IA Load Pricing Results'!$K$50,0)</f>
        <v>0</v>
      </c>
      <c r="P18" s="66">
        <f t="shared" si="2"/>
        <v>0</v>
      </c>
      <c r="Q18" s="63">
        <f aca="true" t="shared" si="4" ref="Q18:Q35">MAX(E18,G18,I18,K18,M18,O18)</f>
        <v>0</v>
      </c>
      <c r="R18" s="67">
        <f aca="true" t="shared" si="5" ref="R18:R34">F18+H18+J18+L18+N18+P18</f>
        <v>0</v>
      </c>
      <c r="S18" s="67">
        <f>R18/'1st IA Load Pricing Results'!K36</f>
        <v>0</v>
      </c>
      <c r="T18" s="56">
        <f aca="true" t="shared" si="6" ref="T18:T35">IF(Q18=0,0,R18/Q18)</f>
        <v>0</v>
      </c>
    </row>
    <row r="19" spans="1:20" ht="12.75">
      <c r="A19" s="169" t="s">
        <v>19</v>
      </c>
      <c r="B19" s="98" t="s">
        <v>24</v>
      </c>
      <c r="C19" s="98"/>
      <c r="D19" s="98"/>
      <c r="E19" s="65">
        <f>IF(B19="MAAC",$J$5*'1st IA Load Pricing Results'!K37/'1st IA Load Pricing Results'!$B$16,0)</f>
        <v>0</v>
      </c>
      <c r="F19" s="66">
        <f t="shared" si="3"/>
        <v>0</v>
      </c>
      <c r="G19" s="65">
        <f>IF(C19="EMAAC",$J$6*'1st IA Load Pricing Results'!K37/'1st IA Load Pricing Results'!$B$17,0)</f>
        <v>0</v>
      </c>
      <c r="H19" s="66">
        <f aca="true" t="shared" si="7" ref="H19:H33">G19*$H$15</f>
        <v>0</v>
      </c>
      <c r="I19" s="65">
        <f>IF(C19="SWMAAC",$J$7*'1st IA Load Pricing Results'!K37/'1st IA Load Pricing Results'!$B$18,0)</f>
        <v>0</v>
      </c>
      <c r="J19" s="66">
        <f>I19*$J$15</f>
        <v>0</v>
      </c>
      <c r="K19" s="65">
        <f>IF(D19="PS",$J$8*'1st IA Load Pricing Results'!K37/'1st IA Load Pricing Results'!$K$52,0)</f>
        <v>0</v>
      </c>
      <c r="L19" s="66">
        <f t="shared" si="1"/>
        <v>0</v>
      </c>
      <c r="M19" s="65">
        <f>IF(D19="DPL",$J$9*'1st IA Load Pricing Results'!K37/'1st IA Load Pricing Results'!$K$45,0)</f>
        <v>0</v>
      </c>
      <c r="N19" s="66">
        <f aca="true" t="shared" si="8" ref="N19:N31">M19*$N$15</f>
        <v>0</v>
      </c>
      <c r="O19" s="65">
        <f>IF(D19="PEPCO",$J$10*'1st IA Load Pricing Results'!K37/'1st IA Load Pricing Results'!$K$50,0)</f>
        <v>0</v>
      </c>
      <c r="P19" s="66">
        <f t="shared" si="2"/>
        <v>0</v>
      </c>
      <c r="Q19" s="63">
        <f t="shared" si="4"/>
        <v>0</v>
      </c>
      <c r="R19" s="67">
        <f t="shared" si="5"/>
        <v>0</v>
      </c>
      <c r="S19" s="67">
        <f>R19/'1st IA Load Pricing Results'!K37</f>
        <v>0</v>
      </c>
      <c r="T19" s="56">
        <f t="shared" si="6"/>
        <v>0</v>
      </c>
    </row>
    <row r="20" spans="1:20" ht="12.75">
      <c r="A20" s="169" t="s">
        <v>53</v>
      </c>
      <c r="B20" s="98"/>
      <c r="C20" s="98"/>
      <c r="D20" s="98"/>
      <c r="E20" s="65">
        <f>IF(B20="MAAC",$J$5*'1st IA Load Pricing Results'!K38/'1st IA Load Pricing Results'!$B$16,0)</f>
        <v>0</v>
      </c>
      <c r="F20" s="66">
        <f>E20*$F$15</f>
        <v>0</v>
      </c>
      <c r="G20" s="65">
        <f>IF(C20="EMAAC",$J$6*'1st IA Load Pricing Results'!K38/'1st IA Load Pricing Results'!$B$17,0)</f>
        <v>0</v>
      </c>
      <c r="H20" s="66">
        <f>G20*$H$15</f>
        <v>0</v>
      </c>
      <c r="I20" s="65">
        <f>IF(C20="SWMAAC",$J$7*'1st IA Load Pricing Results'!K38/'1st IA Load Pricing Results'!$B$18,0)</f>
        <v>0</v>
      </c>
      <c r="J20" s="66">
        <f>I20*$J$15</f>
        <v>0</v>
      </c>
      <c r="K20" s="65">
        <f>IF(D20="PS",$J$8*'1st IA Load Pricing Results'!K38/'1st IA Load Pricing Results'!$K$52,0)</f>
        <v>0</v>
      </c>
      <c r="L20" s="66">
        <f t="shared" si="1"/>
        <v>0</v>
      </c>
      <c r="M20" s="65">
        <f>IF(D20="DPL",$J$9*'1st IA Load Pricing Results'!K38/'1st IA Load Pricing Results'!$K$45,0)</f>
        <v>0</v>
      </c>
      <c r="N20" s="66">
        <f>M20*$N$15</f>
        <v>0</v>
      </c>
      <c r="O20" s="65">
        <f>IF(D20="PEPCO",$J$10*'1st IA Load Pricing Results'!K38/'1st IA Load Pricing Results'!$K$50,0)</f>
        <v>0</v>
      </c>
      <c r="P20" s="66">
        <f t="shared" si="2"/>
        <v>0</v>
      </c>
      <c r="Q20" s="63">
        <f t="shared" si="4"/>
        <v>0</v>
      </c>
      <c r="R20" s="67">
        <f t="shared" si="5"/>
        <v>0</v>
      </c>
      <c r="S20" s="67">
        <f>R20/'1st IA Load Pricing Results'!K38</f>
        <v>0</v>
      </c>
      <c r="T20" s="56">
        <f>IF(Q20=0,0,R20/Q20)</f>
        <v>0</v>
      </c>
    </row>
    <row r="21" spans="1:20" ht="12.75">
      <c r="A21" s="169" t="s">
        <v>11</v>
      </c>
      <c r="B21" s="98" t="s">
        <v>30</v>
      </c>
      <c r="C21" s="98" t="s">
        <v>5</v>
      </c>
      <c r="D21" s="98"/>
      <c r="E21" s="65">
        <f>IF(B21="MAAC",$J$5*'1st IA Load Pricing Results'!K39/'1st IA Load Pricing Results'!$B$16,0)</f>
        <v>47.58867748737853</v>
      </c>
      <c r="F21" s="66">
        <f t="shared" si="3"/>
        <v>-4.326522555510406</v>
      </c>
      <c r="G21" s="65">
        <f>IF(C21="EMAAC",$J$6*'1st IA Load Pricing Results'!K39/'1st IA Load Pricing Results'!$B$17,0)</f>
        <v>0</v>
      </c>
      <c r="H21" s="66">
        <f t="shared" si="7"/>
        <v>0</v>
      </c>
      <c r="I21" s="65">
        <f>IF(C21="SWMAAC",$J$7*'1st IA Load Pricing Results'!K39/'1st IA Load Pricing Results'!$B$18,0)</f>
        <v>1909.155856021576</v>
      </c>
      <c r="J21" s="66">
        <f>I21*$J$15</f>
        <v>0</v>
      </c>
      <c r="K21" s="65">
        <f>IF(D21="PS",$J$8*'1st IA Load Pricing Results'!K39/'1st IA Load Pricing Results'!$K$52,0)</f>
        <v>0</v>
      </c>
      <c r="L21" s="66">
        <f t="shared" si="1"/>
        <v>0</v>
      </c>
      <c r="M21" s="65">
        <f>IF(D21="DPL",$J$9*'1st IA Load Pricing Results'!K39/'1st IA Load Pricing Results'!$K$45,0)</f>
        <v>0</v>
      </c>
      <c r="N21" s="66">
        <f t="shared" si="8"/>
        <v>0</v>
      </c>
      <c r="O21" s="65">
        <f>IF(D21="PEPCO",$J$10*'1st IA Load Pricing Results'!K39/'1st IA Load Pricing Results'!$K$50,0)</f>
        <v>0</v>
      </c>
      <c r="P21" s="66">
        <f t="shared" si="2"/>
        <v>0</v>
      </c>
      <c r="Q21" s="63">
        <f t="shared" si="4"/>
        <v>1909.155856021576</v>
      </c>
      <c r="R21" s="67">
        <f t="shared" si="5"/>
        <v>-4.326522555510406</v>
      </c>
      <c r="S21" s="67">
        <f>R21/'1st IA Load Pricing Results'!K39</f>
        <v>-0.0005343983677738604</v>
      </c>
      <c r="T21" s="508">
        <f t="shared" si="6"/>
        <v>-0.002266196623949968</v>
      </c>
    </row>
    <row r="22" spans="1:20" ht="12.75">
      <c r="A22" s="169" t="s">
        <v>20</v>
      </c>
      <c r="B22" s="98"/>
      <c r="C22" s="98"/>
      <c r="D22" s="98"/>
      <c r="E22" s="65">
        <f>IF(B22="MAAC",$J$5*'1st IA Load Pricing Results'!K40/'1st IA Load Pricing Results'!$B$16,0)</f>
        <v>0</v>
      </c>
      <c r="F22" s="66">
        <f t="shared" si="3"/>
        <v>0</v>
      </c>
      <c r="G22" s="65">
        <f>IF(C22="EMAAC",$J$6*'1st IA Load Pricing Results'!K40/'1st IA Load Pricing Results'!$B$17,0)</f>
        <v>0</v>
      </c>
      <c r="H22" s="66">
        <f t="shared" si="7"/>
        <v>0</v>
      </c>
      <c r="I22" s="65">
        <f>IF(C22="SWMAAC",$J$7*'1st IA Load Pricing Results'!K40/'1st IA Load Pricing Results'!$B$18,0)</f>
        <v>0</v>
      </c>
      <c r="J22" s="66">
        <f aca="true" t="shared" si="9" ref="J22:J35">I22*$J$15</f>
        <v>0</v>
      </c>
      <c r="K22" s="65">
        <f>IF(D22="PS",$J$8*'1st IA Load Pricing Results'!K40/'1st IA Load Pricing Results'!$K$52,0)</f>
        <v>0</v>
      </c>
      <c r="L22" s="66">
        <f t="shared" si="1"/>
        <v>0</v>
      </c>
      <c r="M22" s="65">
        <f>IF(D22="DPL",$J$9*'1st IA Load Pricing Results'!K40/'1st IA Load Pricing Results'!$K$45,0)</f>
        <v>0</v>
      </c>
      <c r="N22" s="66">
        <f t="shared" si="8"/>
        <v>0</v>
      </c>
      <c r="O22" s="65">
        <f>IF(D22="PEPCO",$J$10*'1st IA Load Pricing Results'!K40/'1st IA Load Pricing Results'!$K$50,0)</f>
        <v>0</v>
      </c>
      <c r="P22" s="66">
        <f t="shared" si="2"/>
        <v>0</v>
      </c>
      <c r="Q22" s="63">
        <f t="shared" si="4"/>
        <v>0</v>
      </c>
      <c r="R22" s="67">
        <f t="shared" si="5"/>
        <v>0</v>
      </c>
      <c r="S22" s="67">
        <f>R22/'1st IA Load Pricing Results'!K40</f>
        <v>0</v>
      </c>
      <c r="T22" s="56">
        <f t="shared" si="6"/>
        <v>0</v>
      </c>
    </row>
    <row r="23" spans="1:20" ht="12.75">
      <c r="A23" s="169" t="s">
        <v>21</v>
      </c>
      <c r="B23" s="98"/>
      <c r="C23" s="98"/>
      <c r="D23" s="98"/>
      <c r="E23" s="65">
        <f>IF(B23="MAAC",$J$5*'1st IA Load Pricing Results'!K41/'1st IA Load Pricing Results'!$B$16,0)</f>
        <v>0</v>
      </c>
      <c r="F23" s="66">
        <f t="shared" si="3"/>
        <v>0</v>
      </c>
      <c r="G23" s="65">
        <f>IF(C23="EMAAC",$J$6*'1st IA Load Pricing Results'!K41/'1st IA Load Pricing Results'!$B$17,0)</f>
        <v>0</v>
      </c>
      <c r="H23" s="66">
        <f>G23*$H$15</f>
        <v>0</v>
      </c>
      <c r="I23" s="65">
        <f>IF(C23="SWMAAC",$J$7*'1st IA Load Pricing Results'!K41/'1st IA Load Pricing Results'!$B$18,0)</f>
        <v>0</v>
      </c>
      <c r="J23" s="66">
        <f>I23*$J$15</f>
        <v>0</v>
      </c>
      <c r="K23" s="65">
        <f>IF(D23="PS",$J$8*'1st IA Load Pricing Results'!K41/'1st IA Load Pricing Results'!$K$52,0)</f>
        <v>0</v>
      </c>
      <c r="L23" s="66">
        <f t="shared" si="1"/>
        <v>0</v>
      </c>
      <c r="M23" s="65">
        <f>IF(D23="DPL",$J$9*'1st IA Load Pricing Results'!K41/'1st IA Load Pricing Results'!$K$45,0)</f>
        <v>0</v>
      </c>
      <c r="N23" s="66">
        <f t="shared" si="8"/>
        <v>0</v>
      </c>
      <c r="O23" s="65">
        <f>IF(D23="PEPCO",$J$10*'1st IA Load Pricing Results'!K41/'1st IA Load Pricing Results'!$K$50,0)</f>
        <v>0</v>
      </c>
      <c r="P23" s="66">
        <f t="shared" si="2"/>
        <v>0</v>
      </c>
      <c r="Q23" s="63">
        <f t="shared" si="4"/>
        <v>0</v>
      </c>
      <c r="R23" s="67">
        <f t="shared" si="5"/>
        <v>0</v>
      </c>
      <c r="S23" s="67">
        <f>R23/'1st IA Load Pricing Results'!K41</f>
        <v>0</v>
      </c>
      <c r="T23" s="56">
        <f t="shared" si="6"/>
        <v>0</v>
      </c>
    </row>
    <row r="24" spans="1:20" ht="12.75">
      <c r="A24" s="169" t="s">
        <v>71</v>
      </c>
      <c r="B24" s="98"/>
      <c r="C24" s="98"/>
      <c r="D24" s="98"/>
      <c r="E24" s="65">
        <f>IF(B24="MAAC",$J$5*'1st IA Load Pricing Results'!K42/'1st IA Load Pricing Results'!$B$16,0)</f>
        <v>0</v>
      </c>
      <c r="F24" s="66">
        <f>E24*$F$15</f>
        <v>0</v>
      </c>
      <c r="G24" s="65">
        <f>IF(C24="EMAAC",$J$6*'1st IA Load Pricing Results'!K42/'1st IA Load Pricing Results'!$B$17,0)</f>
        <v>0</v>
      </c>
      <c r="H24" s="66">
        <f>G24*$H$15</f>
        <v>0</v>
      </c>
      <c r="I24" s="65">
        <f>IF(C24="SWMAAC",$J$7*'1st IA Load Pricing Results'!K42/'1st IA Load Pricing Results'!$B$18,0)</f>
        <v>0</v>
      </c>
      <c r="J24" s="66">
        <f>I24*$J$15</f>
        <v>0</v>
      </c>
      <c r="K24" s="65">
        <f>IF(D24="PS",$J$8*'1st IA Load Pricing Results'!K42/'1st IA Load Pricing Results'!$K$52,0)</f>
        <v>0</v>
      </c>
      <c r="L24" s="66">
        <f t="shared" si="1"/>
        <v>0</v>
      </c>
      <c r="M24" s="65">
        <f>IF(D24="DPL",$J$9*'1st IA Load Pricing Results'!K42/'1st IA Load Pricing Results'!$K$45,0)</f>
        <v>0</v>
      </c>
      <c r="N24" s="66">
        <f>M24*$N$15</f>
        <v>0</v>
      </c>
      <c r="O24" s="65">
        <f>IF(D24="PEPCO",$J$10*'1st IA Load Pricing Results'!K42/'1st IA Load Pricing Results'!$K$50,0)</f>
        <v>0</v>
      </c>
      <c r="P24" s="66">
        <f t="shared" si="2"/>
        <v>0</v>
      </c>
      <c r="Q24" s="63">
        <f>MAX(E24,G24,I24,K24,M24,O24)</f>
        <v>0</v>
      </c>
      <c r="R24" s="67">
        <f>F24+H24+J24+L24+N24+P24</f>
        <v>0</v>
      </c>
      <c r="S24" s="67">
        <f>R24/'1st IA Load Pricing Results'!K42</f>
        <v>0</v>
      </c>
      <c r="T24" s="56">
        <f>IF(Q24=0,0,R24/Q24)</f>
        <v>0</v>
      </c>
    </row>
    <row r="25" spans="1:20" ht="12.75">
      <c r="A25" s="169" t="s">
        <v>52</v>
      </c>
      <c r="B25" s="98"/>
      <c r="C25" s="98"/>
      <c r="D25" s="98"/>
      <c r="E25" s="65">
        <f>IF(B25="MAAC",$J$5*'1st IA Load Pricing Results'!K43/'1st IA Load Pricing Results'!$B$16,0)</f>
        <v>0</v>
      </c>
      <c r="F25" s="66">
        <f t="shared" si="3"/>
        <v>0</v>
      </c>
      <c r="G25" s="65">
        <f>IF(C25="EMAAC",$J$6*'1st IA Load Pricing Results'!K43/'1st IA Load Pricing Results'!$B$17,0)</f>
        <v>0</v>
      </c>
      <c r="H25" s="66">
        <f>G25*$H$15</f>
        <v>0</v>
      </c>
      <c r="I25" s="65">
        <f>IF(C25="SWMAAC",$J$7*'1st IA Load Pricing Results'!K43/'1st IA Load Pricing Results'!$B$18,0)</f>
        <v>0</v>
      </c>
      <c r="J25" s="66">
        <f>I25*$J$15</f>
        <v>0</v>
      </c>
      <c r="K25" s="65">
        <f>IF(D25="PS",$J$8*'1st IA Load Pricing Results'!K43/'1st IA Load Pricing Results'!$K$52,0)</f>
        <v>0</v>
      </c>
      <c r="L25" s="66">
        <f t="shared" si="1"/>
        <v>0</v>
      </c>
      <c r="M25" s="65">
        <f>IF(D25="DPL",$J$9*'1st IA Load Pricing Results'!K43/'1st IA Load Pricing Results'!$K$45,0)</f>
        <v>0</v>
      </c>
      <c r="N25" s="66">
        <f>M25*$N$15</f>
        <v>0</v>
      </c>
      <c r="O25" s="65">
        <f>IF(D25="PEPCO",$J$10*'1st IA Load Pricing Results'!K43/'1st IA Load Pricing Results'!$K$50,0)</f>
        <v>0</v>
      </c>
      <c r="P25" s="66">
        <f t="shared" si="2"/>
        <v>0</v>
      </c>
      <c r="Q25" s="63">
        <f t="shared" si="4"/>
        <v>0</v>
      </c>
      <c r="R25" s="67">
        <f t="shared" si="5"/>
        <v>0</v>
      </c>
      <c r="S25" s="67">
        <f>R25/'1st IA Load Pricing Results'!K43</f>
        <v>0</v>
      </c>
      <c r="T25" s="56">
        <f t="shared" si="6"/>
        <v>0</v>
      </c>
    </row>
    <row r="26" spans="1:20" ht="12.75">
      <c r="A26" s="169" t="s">
        <v>33</v>
      </c>
      <c r="B26" s="98"/>
      <c r="C26" s="98"/>
      <c r="D26" s="98"/>
      <c r="E26" s="65">
        <f>IF(B26="MAAC",$J$5*'1st IA Load Pricing Results'!K44/'1st IA Load Pricing Results'!$B$16,0)</f>
        <v>0</v>
      </c>
      <c r="F26" s="66">
        <f t="shared" si="3"/>
        <v>0</v>
      </c>
      <c r="G26" s="65">
        <f>IF(C26="EMAAC",$J$6*'1st IA Load Pricing Results'!K44/'1st IA Load Pricing Results'!$B$17,0)</f>
        <v>0</v>
      </c>
      <c r="H26" s="66">
        <f t="shared" si="7"/>
        <v>0</v>
      </c>
      <c r="I26" s="65">
        <f>IF(C26="SWMAAC",$J$7*'1st IA Load Pricing Results'!K44/'1st IA Load Pricing Results'!$B$18,0)</f>
        <v>0</v>
      </c>
      <c r="J26" s="66">
        <f t="shared" si="9"/>
        <v>0</v>
      </c>
      <c r="K26" s="65">
        <f>IF(D26="PS",$J$8*'1st IA Load Pricing Results'!K44/'1st IA Load Pricing Results'!$K$52,0)</f>
        <v>0</v>
      </c>
      <c r="L26" s="66">
        <f t="shared" si="1"/>
        <v>0</v>
      </c>
      <c r="M26" s="65">
        <f>IF(D26="DPL",$J$9*'1st IA Load Pricing Results'!K44/'1st IA Load Pricing Results'!$K$45,0)</f>
        <v>0</v>
      </c>
      <c r="N26" s="66">
        <f t="shared" si="8"/>
        <v>0</v>
      </c>
      <c r="O26" s="65">
        <f>IF(D26="PEPCO",$J$10*'1st IA Load Pricing Results'!K44/'1st IA Load Pricing Results'!$K$50,0)</f>
        <v>0</v>
      </c>
      <c r="P26" s="66">
        <f t="shared" si="2"/>
        <v>0</v>
      </c>
      <c r="Q26" s="63">
        <f t="shared" si="4"/>
        <v>0</v>
      </c>
      <c r="R26" s="67">
        <f t="shared" si="5"/>
        <v>0</v>
      </c>
      <c r="S26" s="67">
        <f>R26/'1st IA Load Pricing Results'!K44</f>
        <v>0</v>
      </c>
      <c r="T26" s="56">
        <f t="shared" si="6"/>
        <v>0</v>
      </c>
    </row>
    <row r="27" spans="1:20" ht="12.75">
      <c r="A27" s="169" t="s">
        <v>17</v>
      </c>
      <c r="B27" s="98" t="s">
        <v>30</v>
      </c>
      <c r="C27" s="98" t="s">
        <v>41</v>
      </c>
      <c r="D27" s="98" t="s">
        <v>17</v>
      </c>
      <c r="E27" s="65">
        <f>IF(B27="MAAC",$J$5*'1st IA Load Pricing Results'!K45/'1st IA Load Pricing Results'!$B$16,0)</f>
        <v>27.18972559722057</v>
      </c>
      <c r="F27" s="66">
        <f t="shared" si="3"/>
        <v>-2.471952726690359</v>
      </c>
      <c r="G27" s="65">
        <f>IF(C27="EMAAC",$J$6*'1st IA Load Pricing Results'!K45/'1st IA Load Pricing Results'!$B$17,0)</f>
        <v>557.0135292536618</v>
      </c>
      <c r="H27" s="66">
        <f>G27*$H$15</f>
        <v>0</v>
      </c>
      <c r="I27" s="65">
        <f>IF(C27="SWMAAC",$J$7*'1st IA Load Pricing Results'!K45/'1st IA Load Pricing Results'!$B$18,0)</f>
        <v>0</v>
      </c>
      <c r="J27" s="66">
        <f t="shared" si="9"/>
        <v>0</v>
      </c>
      <c r="K27" s="65">
        <f>IF(D27="PS",$J$8*'1st IA Load Pricing Results'!K45/'1st IA Load Pricing Results'!$K$52,0)</f>
        <v>0</v>
      </c>
      <c r="L27" s="66">
        <f t="shared" si="1"/>
        <v>0</v>
      </c>
      <c r="M27" s="65">
        <f>IF(D27="DPL",$J$9*'1st IA Load Pricing Results'!K45/'1st IA Load Pricing Results'!$K$45,0)</f>
        <v>308.18582015257493</v>
      </c>
      <c r="N27" s="66">
        <f t="shared" si="8"/>
        <v>0</v>
      </c>
      <c r="O27" s="65">
        <f>IF(D27="PEPCO",$J$10*'1st IA Load Pricing Results'!K45/'1st IA Load Pricing Results'!$K$50,0)</f>
        <v>0</v>
      </c>
      <c r="P27" s="66">
        <f t="shared" si="2"/>
        <v>0</v>
      </c>
      <c r="Q27" s="63">
        <f t="shared" si="4"/>
        <v>557.0135292536618</v>
      </c>
      <c r="R27" s="67">
        <f t="shared" si="5"/>
        <v>-2.471952726690359</v>
      </c>
      <c r="S27" s="67">
        <f>R27/'1st IA Load Pricing Results'!K45</f>
        <v>-0.0005343983677738605</v>
      </c>
      <c r="T27" s="56">
        <f t="shared" si="6"/>
        <v>-0.004437868376379493</v>
      </c>
    </row>
    <row r="28" spans="1:20" ht="12.75">
      <c r="A28" s="169" t="s">
        <v>12</v>
      </c>
      <c r="B28" s="98" t="s">
        <v>30</v>
      </c>
      <c r="C28" s="98" t="s">
        <v>41</v>
      </c>
      <c r="D28" s="98"/>
      <c r="E28" s="65">
        <f>IF(B28="MAAC",$J$5*'1st IA Load Pricing Results'!K46/'1st IA Load Pricing Results'!$B$16,0)</f>
        <v>41.321421828216195</v>
      </c>
      <c r="F28" s="66">
        <f t="shared" si="3"/>
        <v>-3.7567352783223056</v>
      </c>
      <c r="G28" s="65">
        <f>IF(C28="EMAAC",$J$6*'1st IA Load Pricing Results'!K46/'1st IA Load Pricing Results'!$B$17,0)</f>
        <v>846.5179585580971</v>
      </c>
      <c r="H28" s="66">
        <f>G28*$H$15</f>
        <v>0</v>
      </c>
      <c r="I28" s="65">
        <f>IF(C28="SWMAAC",$J$7*'1st IA Load Pricing Results'!K46/'1st IA Load Pricing Results'!$B$18,0)</f>
        <v>0</v>
      </c>
      <c r="J28" s="66">
        <f t="shared" si="9"/>
        <v>0</v>
      </c>
      <c r="K28" s="65">
        <f>IF(D28="PS",$J$8*'1st IA Load Pricing Results'!K46/'1st IA Load Pricing Results'!$K$52,0)</f>
        <v>0</v>
      </c>
      <c r="L28" s="66">
        <f t="shared" si="1"/>
        <v>0</v>
      </c>
      <c r="M28" s="65">
        <f>IF(D28="DPL",$J$9*'1st IA Load Pricing Results'!K46/'1st IA Load Pricing Results'!$K$45,0)</f>
        <v>0</v>
      </c>
      <c r="N28" s="66">
        <f t="shared" si="8"/>
        <v>0</v>
      </c>
      <c r="O28" s="65">
        <f>IF(D28="PEPCO",$J$10*'1st IA Load Pricing Results'!K46/'1st IA Load Pricing Results'!$K$50,0)</f>
        <v>0</v>
      </c>
      <c r="P28" s="66">
        <f t="shared" si="2"/>
        <v>0</v>
      </c>
      <c r="Q28" s="63">
        <f t="shared" si="4"/>
        <v>846.5179585580971</v>
      </c>
      <c r="R28" s="67">
        <f t="shared" si="5"/>
        <v>-3.7567352783223056</v>
      </c>
      <c r="S28" s="67">
        <f>R28/'1st IA Load Pricing Results'!K46</f>
        <v>-0.0005343983677738605</v>
      </c>
      <c r="T28" s="56">
        <f t="shared" si="6"/>
        <v>-0.004437868376379493</v>
      </c>
    </row>
    <row r="29" spans="1:20" ht="12.75">
      <c r="A29" s="169" t="s">
        <v>13</v>
      </c>
      <c r="B29" s="98" t="s">
        <v>30</v>
      </c>
      <c r="C29" s="98"/>
      <c r="D29" s="98"/>
      <c r="E29" s="65">
        <f>IF(B29="MAAC",$J$5*'1st IA Load Pricing Results'!K47/'1st IA Load Pricing Results'!$B$16,0)</f>
        <v>19.829123753327988</v>
      </c>
      <c r="F29" s="66">
        <f t="shared" si="3"/>
        <v>-1.8027639284057482</v>
      </c>
      <c r="G29" s="65">
        <f>IF(C29="EMAAC",$J$6*'1st IA Load Pricing Results'!K47/'1st IA Load Pricing Results'!$B$17,0)</f>
        <v>0</v>
      </c>
      <c r="H29" s="66">
        <f t="shared" si="7"/>
        <v>0</v>
      </c>
      <c r="I29" s="65">
        <f>IF(C29="SWMAAC",$J$7*'1st IA Load Pricing Results'!K47/'1st IA Load Pricing Results'!$B$18,0)</f>
        <v>0</v>
      </c>
      <c r="J29" s="66">
        <f t="shared" si="9"/>
        <v>0</v>
      </c>
      <c r="K29" s="65">
        <f>IF(D29="PS",$J$8*'1st IA Load Pricing Results'!K47/'1st IA Load Pricing Results'!$K$52,0)</f>
        <v>0</v>
      </c>
      <c r="L29" s="66">
        <f t="shared" si="1"/>
        <v>0</v>
      </c>
      <c r="M29" s="65">
        <f>IF(D29="DPL",$J$9*'1st IA Load Pricing Results'!K47/'1st IA Load Pricing Results'!$K$45,0)</f>
        <v>0</v>
      </c>
      <c r="N29" s="66">
        <f t="shared" si="8"/>
        <v>0</v>
      </c>
      <c r="O29" s="65">
        <f>IF(D29="PEPCO",$J$10*'1st IA Load Pricing Results'!K47/'1st IA Load Pricing Results'!$K$50,0)</f>
        <v>0</v>
      </c>
      <c r="P29" s="66">
        <f t="shared" si="2"/>
        <v>0</v>
      </c>
      <c r="Q29" s="63">
        <f t="shared" si="4"/>
        <v>19.829123753327988</v>
      </c>
      <c r="R29" s="67">
        <f t="shared" si="5"/>
        <v>-1.8027639284057482</v>
      </c>
      <c r="S29" s="67">
        <f>R29/'1st IA Load Pricing Results'!K47</f>
        <v>-0.0005343983677738604</v>
      </c>
      <c r="T29" s="56">
        <f t="shared" si="6"/>
        <v>-0.09091495674906887</v>
      </c>
    </row>
    <row r="30" spans="1:20" ht="12.75">
      <c r="A30" s="169" t="s">
        <v>9</v>
      </c>
      <c r="B30" s="98" t="s">
        <v>30</v>
      </c>
      <c r="C30" s="98" t="s">
        <v>41</v>
      </c>
      <c r="D30" s="98"/>
      <c r="E30" s="65">
        <f>IF(B30="MAAC",$J$5*'1st IA Load Pricing Results'!K48/'1st IA Load Pricing Results'!$B$16,0)</f>
        <v>58.3696703174778</v>
      </c>
      <c r="F30" s="66">
        <f t="shared" si="3"/>
        <v>-5.306676052370903</v>
      </c>
      <c r="G30" s="65">
        <f>IF(C30="EMAAC",$J$6*'1st IA Load Pricing Results'!K48/'1st IA Load Pricing Results'!$B$17,0)</f>
        <v>1195.7713934499793</v>
      </c>
      <c r="H30" s="66">
        <f>G30*$H$15</f>
        <v>0</v>
      </c>
      <c r="I30" s="65">
        <f>IF(C30="SWMAAC",$J$7*'1st IA Load Pricing Results'!K48/'1st IA Load Pricing Results'!$B$18,0)</f>
        <v>0</v>
      </c>
      <c r="J30" s="66">
        <f t="shared" si="9"/>
        <v>0</v>
      </c>
      <c r="K30" s="65">
        <f>IF(D30="PS",$J$8*'1st IA Load Pricing Results'!K48/'1st IA Load Pricing Results'!$K$52,0)</f>
        <v>0</v>
      </c>
      <c r="L30" s="66">
        <f t="shared" si="1"/>
        <v>0</v>
      </c>
      <c r="M30" s="65">
        <f>IF(D30="DPL",$J$9*'1st IA Load Pricing Results'!K48/'1st IA Load Pricing Results'!$K$45,0)</f>
        <v>0</v>
      </c>
      <c r="N30" s="66">
        <f t="shared" si="8"/>
        <v>0</v>
      </c>
      <c r="O30" s="65">
        <f>IF(D30="PEPCO",$J$10*'1st IA Load Pricing Results'!K48/'1st IA Load Pricing Results'!$K$50,0)</f>
        <v>0</v>
      </c>
      <c r="P30" s="66">
        <f t="shared" si="2"/>
        <v>0</v>
      </c>
      <c r="Q30" s="63">
        <f t="shared" si="4"/>
        <v>1195.7713934499793</v>
      </c>
      <c r="R30" s="67">
        <f t="shared" si="5"/>
        <v>-5.306676052370903</v>
      </c>
      <c r="S30" s="67">
        <f>R30/'1st IA Load Pricing Results'!K48</f>
        <v>-0.0005343983677738604</v>
      </c>
      <c r="T30" s="56">
        <f t="shared" si="6"/>
        <v>-0.004437868376379492</v>
      </c>
    </row>
    <row r="31" spans="1:20" ht="12.75">
      <c r="A31" s="169" t="s">
        <v>14</v>
      </c>
      <c r="B31" s="98" t="s">
        <v>30</v>
      </c>
      <c r="C31" s="98"/>
      <c r="D31" s="98"/>
      <c r="E31" s="65">
        <f>IF(B31="MAAC",$J$5*'1st IA Load Pricing Results'!K49/'1st IA Load Pricing Results'!$B$16,0)</f>
        <v>19.514956123391762</v>
      </c>
      <c r="F31" s="66">
        <f t="shared" si="3"/>
        <v>-1.7742013919181387</v>
      </c>
      <c r="G31" s="65">
        <f>IF(C31="EMAAC",$J$6*'1st IA Load Pricing Results'!K49/'1st IA Load Pricing Results'!$B$17,0)</f>
        <v>0</v>
      </c>
      <c r="H31" s="66">
        <f t="shared" si="7"/>
        <v>0</v>
      </c>
      <c r="I31" s="65">
        <f>IF(C31="SWMAAC",$J$7*'1st IA Load Pricing Results'!K49/'1st IA Load Pricing Results'!$B$18,0)</f>
        <v>0</v>
      </c>
      <c r="J31" s="66">
        <f t="shared" si="9"/>
        <v>0</v>
      </c>
      <c r="K31" s="65">
        <f>IF(D31="PS",$J$8*'1st IA Load Pricing Results'!K49/'1st IA Load Pricing Results'!$K$52,0)</f>
        <v>0</v>
      </c>
      <c r="L31" s="66">
        <f t="shared" si="1"/>
        <v>0</v>
      </c>
      <c r="M31" s="65">
        <f>IF(D31="DPL",$J$9*'1st IA Load Pricing Results'!K49/'1st IA Load Pricing Results'!$K$45,0)</f>
        <v>0</v>
      </c>
      <c r="N31" s="66">
        <f t="shared" si="8"/>
        <v>0</v>
      </c>
      <c r="O31" s="65">
        <f>IF(D31="PEPCO",$J$10*'1st IA Load Pricing Results'!K49/'1st IA Load Pricing Results'!$K$50,0)</f>
        <v>0</v>
      </c>
      <c r="P31" s="66">
        <f t="shared" si="2"/>
        <v>0</v>
      </c>
      <c r="Q31" s="63">
        <f t="shared" si="4"/>
        <v>19.514956123391762</v>
      </c>
      <c r="R31" s="67">
        <f t="shared" si="5"/>
        <v>-1.7742013919181387</v>
      </c>
      <c r="S31" s="67">
        <f>R31/'1st IA Load Pricing Results'!K49</f>
        <v>-0.0005343983677738604</v>
      </c>
      <c r="T31" s="56">
        <f t="shared" si="6"/>
        <v>-0.09091495674906887</v>
      </c>
    </row>
    <row r="32" spans="1:20" ht="12.75">
      <c r="A32" s="169" t="s">
        <v>15</v>
      </c>
      <c r="B32" s="98" t="s">
        <v>30</v>
      </c>
      <c r="C32" s="98" t="s">
        <v>5</v>
      </c>
      <c r="D32" s="98" t="s">
        <v>15</v>
      </c>
      <c r="E32" s="65">
        <f>IF(B32="MAAC",$J$5*'1st IA Load Pricing Results'!K50/'1st IA Load Pricing Results'!$B$16,0)</f>
        <v>44.952759091649405</v>
      </c>
      <c r="F32" s="66">
        <f t="shared" si="3"/>
        <v>-4.086878148568618</v>
      </c>
      <c r="G32" s="65">
        <f>IF(C32="EMAAC",$J$6*'1st IA Load Pricing Results'!K50/'1st IA Load Pricing Results'!$B$17,0)</f>
        <v>0</v>
      </c>
      <c r="H32" s="66">
        <f t="shared" si="7"/>
        <v>0</v>
      </c>
      <c r="I32" s="65">
        <f>IF(C32="SWMAAC",$J$7*'1st IA Load Pricing Results'!K50/'1st IA Load Pricing Results'!$B$18,0)</f>
        <v>1803.408453342946</v>
      </c>
      <c r="J32" s="66">
        <f t="shared" si="9"/>
        <v>0</v>
      </c>
      <c r="K32" s="65">
        <f>IF(D32="PS",$J$8*'1st IA Load Pricing Results'!K50/'1st IA Load Pricing Results'!$K$52,0)</f>
        <v>0</v>
      </c>
      <c r="L32" s="66">
        <f t="shared" si="1"/>
        <v>0</v>
      </c>
      <c r="M32" s="65">
        <f>IF(D32="DPL",$J$9*'1st IA Load Pricing Results'!K50/'1st IA Load Pricing Results'!$K$45,0)</f>
        <v>0</v>
      </c>
      <c r="N32" s="66">
        <f>M32*N15</f>
        <v>0</v>
      </c>
      <c r="O32" s="65">
        <f>IF(D32="PEPCO",$J$10*'1st IA Load Pricing Results'!K50/'1st IA Load Pricing Results'!$K$50,0)</f>
        <v>2017.1841841427727</v>
      </c>
      <c r="P32" s="66">
        <f>O32*$P$15</f>
        <v>0</v>
      </c>
      <c r="Q32" s="63">
        <f t="shared" si="4"/>
        <v>2017.1841841427727</v>
      </c>
      <c r="R32" s="67">
        <f t="shared" si="5"/>
        <v>-4.086878148568618</v>
      </c>
      <c r="S32" s="67">
        <f>R32/'1st IA Load Pricing Results'!K50</f>
        <v>-0.0005343983677738605</v>
      </c>
      <c r="T32" s="56">
        <f t="shared" si="6"/>
        <v>-0.0020260312274386523</v>
      </c>
    </row>
    <row r="33" spans="1:20" ht="12.75">
      <c r="A33" s="169" t="s">
        <v>10</v>
      </c>
      <c r="B33" s="98" t="s">
        <v>30</v>
      </c>
      <c r="C33" s="98"/>
      <c r="D33" s="98"/>
      <c r="E33" s="65">
        <f>IF(B33="MAAC",$J$5*'1st IA Load Pricing Results'!K51/'1st IA Load Pricing Results'!$B$16,0)</f>
        <v>49.355749657527504</v>
      </c>
      <c r="F33" s="66">
        <f t="shared" si="3"/>
        <v>-4.487175845431984</v>
      </c>
      <c r="G33" s="65">
        <f>IF(C33="EMAAC",$J$6*'1st IA Load Pricing Results'!K51/'1st IA Load Pricing Results'!$B$17,0)</f>
        <v>0</v>
      </c>
      <c r="H33" s="66">
        <f t="shared" si="7"/>
        <v>0</v>
      </c>
      <c r="I33" s="65">
        <f>IF(C33="SWMAAC",$J$7*'1st IA Load Pricing Results'!K51/'1st IA Load Pricing Results'!$B$18,0)</f>
        <v>0</v>
      </c>
      <c r="J33" s="66">
        <f t="shared" si="9"/>
        <v>0</v>
      </c>
      <c r="K33" s="65">
        <f>IF(D33="PS",$J$8*'1st IA Load Pricing Results'!K51/'1st IA Load Pricing Results'!$K$52,0)</f>
        <v>0</v>
      </c>
      <c r="L33" s="66">
        <f t="shared" si="1"/>
        <v>0</v>
      </c>
      <c r="M33" s="65">
        <f>IF(D33="DPL",$J$9*'1st IA Load Pricing Results'!K51/'1st IA Load Pricing Results'!$K$45,0)</f>
        <v>0</v>
      </c>
      <c r="N33" s="66">
        <f>M33*$N$15</f>
        <v>0</v>
      </c>
      <c r="O33" s="65">
        <f>IF(D33="PEPCO",$J$10*'1st IA Load Pricing Results'!K51/'1st IA Load Pricing Results'!$K$50,0)</f>
        <v>0</v>
      </c>
      <c r="P33" s="66">
        <f>O33*$P$15</f>
        <v>0</v>
      </c>
      <c r="Q33" s="63">
        <f t="shared" si="4"/>
        <v>49.355749657527504</v>
      </c>
      <c r="R33" s="67">
        <f t="shared" si="5"/>
        <v>-4.487175845431984</v>
      </c>
      <c r="S33" s="67">
        <f>R33/'1st IA Load Pricing Results'!K51</f>
        <v>-0.0005343983677738604</v>
      </c>
      <c r="T33" s="56">
        <f t="shared" si="6"/>
        <v>-0.09091495674906887</v>
      </c>
    </row>
    <row r="34" spans="1:20" ht="12.75">
      <c r="A34" s="169" t="s">
        <v>8</v>
      </c>
      <c r="B34" s="98" t="s">
        <v>30</v>
      </c>
      <c r="C34" s="98" t="s">
        <v>41</v>
      </c>
      <c r="D34" s="98" t="s">
        <v>8</v>
      </c>
      <c r="E34" s="65">
        <f>IF(B34="MAAC",$J$5*'1st IA Load Pricing Results'!K52/'1st IA Load Pricing Results'!$B$16,0)</f>
        <v>69.55712581091639</v>
      </c>
      <c r="F34" s="66">
        <f t="shared" si="3"/>
        <v>-6.323783084689006</v>
      </c>
      <c r="G34" s="65">
        <f>IF(C34="EMAAC",$J$6*'1st IA Load Pricing Results'!K52/'1st IA Load Pricing Results'!$B$17,0)</f>
        <v>1424.9595860812985</v>
      </c>
      <c r="H34" s="66">
        <f>G34*$H$15</f>
        <v>0</v>
      </c>
      <c r="I34" s="65">
        <f>IF(C34="SWMAAC",$J$7*'1st IA Load Pricing Results'!K52/'1st IA Load Pricing Results'!$B$18,0)</f>
        <v>0</v>
      </c>
      <c r="J34" s="66">
        <f t="shared" si="9"/>
        <v>0</v>
      </c>
      <c r="K34" s="65">
        <f>IF(D34="PS",$J$8*'1st IA Load Pricing Results'!K52/'1st IA Load Pricing Results'!$K$52,0)</f>
        <v>4080.814106404018</v>
      </c>
      <c r="L34" s="66">
        <f t="shared" si="1"/>
        <v>203242.6930860396</v>
      </c>
      <c r="M34" s="65">
        <f>IF(D34="DPL",$J$9*'1st IA Load Pricing Results'!K52/'1st IA Load Pricing Results'!$K$45,0)</f>
        <v>0</v>
      </c>
      <c r="N34" s="66">
        <f>M34*$N$15</f>
        <v>0</v>
      </c>
      <c r="O34" s="65">
        <f>IF(D34="PEPCO",$J$10*'1st IA Load Pricing Results'!K52/'1st IA Load Pricing Results'!$K$50,0)</f>
        <v>0</v>
      </c>
      <c r="P34" s="66">
        <f>O34*$P$15</f>
        <v>0</v>
      </c>
      <c r="Q34" s="63">
        <f t="shared" si="4"/>
        <v>4080.814106404018</v>
      </c>
      <c r="R34" s="67">
        <f t="shared" si="5"/>
        <v>203236.3693029549</v>
      </c>
      <c r="S34" s="67">
        <f>R34/'1st IA Load Pricing Results'!K52</f>
        <v>17.174716870151126</v>
      </c>
      <c r="T34" s="56">
        <f t="shared" si="6"/>
        <v>49.802898148194565</v>
      </c>
    </row>
    <row r="35" spans="1:20" ht="13.5" thickBot="1">
      <c r="A35" s="509" t="s">
        <v>18</v>
      </c>
      <c r="B35" s="510" t="s">
        <v>30</v>
      </c>
      <c r="C35" s="510" t="s">
        <v>41</v>
      </c>
      <c r="D35" s="510"/>
      <c r="E35" s="511">
        <f>IF(B35="MAAC",$J$5*'1st IA Load Pricing Results'!K53/'1st IA Load Pricing Results'!$B$16,0)</f>
        <v>2.756124360339053</v>
      </c>
      <c r="F35" s="512">
        <f t="shared" si="3"/>
        <v>-0.2505729270152801</v>
      </c>
      <c r="G35" s="511">
        <f>IF(C35="EMAAC",$J$6*'1st IA Load Pricing Results'!K53/'1st IA Load Pricing Results'!$B$17,0)</f>
        <v>56.46245128606153</v>
      </c>
      <c r="H35" s="512">
        <f>G35*$H$15</f>
        <v>0</v>
      </c>
      <c r="I35" s="511">
        <f>IF(C35="SWMAAC",$J$7*'1st IA Load Pricing Results'!K53/'1st IA Load Pricing Results'!$B$18,0)</f>
        <v>0</v>
      </c>
      <c r="J35" s="512">
        <f t="shared" si="9"/>
        <v>0</v>
      </c>
      <c r="K35" s="511">
        <f>IF(D35="PS",$J$8*'1st IA Load Pricing Results'!K53/'1st IA Load Pricing Results'!$K$52,0)</f>
        <v>0</v>
      </c>
      <c r="L35" s="512">
        <f t="shared" si="1"/>
        <v>0</v>
      </c>
      <c r="M35" s="511">
        <f>IF(D35="DPL",$J$9*'1st IA Load Pricing Results'!K53/'1st IA Load Pricing Results'!$K$45,0)</f>
        <v>0</v>
      </c>
      <c r="N35" s="512">
        <f>M35*$N$15</f>
        <v>0</v>
      </c>
      <c r="O35" s="511">
        <f>IF(D35="PEPCO",$J$10*'1st IA Load Pricing Results'!K53/'1st IA Load Pricing Results'!$K$50,0)</f>
        <v>0</v>
      </c>
      <c r="P35" s="512">
        <f>O35*$P$15</f>
        <v>0</v>
      </c>
      <c r="Q35" s="513">
        <f t="shared" si="4"/>
        <v>56.46245128606153</v>
      </c>
      <c r="R35" s="514">
        <f>F35+H35+J35+L35+N35+P35</f>
        <v>-0.2505729270152801</v>
      </c>
      <c r="S35" s="514">
        <f>R35/'1st IA Load Pricing Results'!K53</f>
        <v>-0.0005343983677738605</v>
      </c>
      <c r="T35" s="515">
        <f t="shared" si="6"/>
        <v>-0.004437868376379493</v>
      </c>
    </row>
    <row r="36" spans="1:20" ht="13.5" thickBot="1">
      <c r="A36" s="857" t="s">
        <v>109</v>
      </c>
      <c r="B36" s="858"/>
      <c r="C36" s="858"/>
      <c r="D36" s="859"/>
      <c r="E36" s="516">
        <f aca="true" t="shared" si="10" ref="E36:P36">SUM(E17:E35)</f>
        <v>398.2570017163971</v>
      </c>
      <c r="F36" s="517">
        <f t="shared" si="10"/>
        <v>-36.20751808606009</v>
      </c>
      <c r="G36" s="516">
        <f t="shared" si="10"/>
        <v>4445.822756086635</v>
      </c>
      <c r="H36" s="517">
        <f t="shared" si="10"/>
        <v>0</v>
      </c>
      <c r="I36" s="516">
        <f t="shared" si="10"/>
        <v>3712.564309364522</v>
      </c>
      <c r="J36" s="517">
        <f t="shared" si="10"/>
        <v>0</v>
      </c>
      <c r="K36" s="516">
        <f t="shared" si="10"/>
        <v>4080.814106404018</v>
      </c>
      <c r="L36" s="517">
        <f t="shared" si="10"/>
        <v>203242.6930860396</v>
      </c>
      <c r="M36" s="516">
        <f t="shared" si="10"/>
        <v>308.18582015257493</v>
      </c>
      <c r="N36" s="517">
        <f t="shared" si="10"/>
        <v>0</v>
      </c>
      <c r="O36" s="516">
        <f t="shared" si="10"/>
        <v>2017.1841841427727</v>
      </c>
      <c r="P36" s="517">
        <f t="shared" si="10"/>
        <v>0</v>
      </c>
      <c r="Q36" s="518"/>
      <c r="R36" s="517">
        <f>SUM(R17:R35)</f>
        <v>203206.48556795355</v>
      </c>
      <c r="S36" s="519"/>
      <c r="T36" s="520"/>
    </row>
    <row r="37" spans="1:18" ht="12.75">
      <c r="A37" s="12" t="s">
        <v>110</v>
      </c>
      <c r="R37" s="155"/>
    </row>
    <row r="38" ht="12.75">
      <c r="A38" s="12" t="s">
        <v>249</v>
      </c>
    </row>
    <row r="39" ht="12.75">
      <c r="A39" s="12" t="s">
        <v>113</v>
      </c>
    </row>
    <row r="40" ht="12.75">
      <c r="A40" s="12" t="s">
        <v>250</v>
      </c>
    </row>
  </sheetData>
  <sheetProtection/>
  <mergeCells count="8">
    <mergeCell ref="O14:P14"/>
    <mergeCell ref="A36:D36"/>
    <mergeCell ref="A13:D15"/>
    <mergeCell ref="E14:F14"/>
    <mergeCell ref="G14:H14"/>
    <mergeCell ref="I14:J14"/>
    <mergeCell ref="K14:L14"/>
    <mergeCell ref="M14:N14"/>
  </mergeCells>
  <printOptions/>
  <pageMargins left="0.45" right="0.45" top="0.5" bottom="0.5" header="0" footer="0"/>
  <pageSetup fitToHeight="1" fitToWidth="1" horizontalDpi="600" verticalDpi="600" orientation="landscape" paperSize="5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Murty Bhavaraju</cp:lastModifiedBy>
  <cp:lastPrinted>2014-03-06T23:27:42Z</cp:lastPrinted>
  <dcterms:created xsi:type="dcterms:W3CDTF">2007-03-21T19:37:11Z</dcterms:created>
  <dcterms:modified xsi:type="dcterms:W3CDTF">2014-03-07T17:54:30Z</dcterms:modified>
  <cp:category/>
  <cp:version/>
  <cp:contentType/>
  <cp:contentStatus/>
</cp:coreProperties>
</file>