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8" yWindow="240" windowWidth="12240" windowHeight="9120" activeTab="0"/>
  </bookViews>
  <sheets>
    <sheet name="UCAP Oblig-ZCP" sheetId="1" r:id="rId1"/>
    <sheet name="Summary" sheetId="2" r:id="rId2"/>
    <sheet name="CP TIA Load Pricing Results" sheetId="3" r:id="rId3"/>
    <sheet name="BRA Resource Clearing Results" sheetId="4" r:id="rId4"/>
    <sheet name="BRA Load Pricing Results" sheetId="5" r:id="rId5"/>
    <sheet name="BRA CTRs" sheetId="6" r:id="rId6"/>
    <sheet name="BRA ICTRs" sheetId="7" r:id="rId7"/>
  </sheets>
  <definedNames>
    <definedName name="_xlnm.Print_Area" localSheetId="5">'BRA CTRs'!$A$1:$AB$41</definedName>
    <definedName name="_xlnm.Print_Area" localSheetId="6">'BRA ICTRs'!$A$1:$T$102</definedName>
    <definedName name="_xlnm.Print_Area" localSheetId="4">'BRA Load Pricing Results'!$A$1:$M$60</definedName>
    <definedName name="_xlnm.Print_Area" localSheetId="3">'BRA Resource Clearing Results'!$A$2:$J$107</definedName>
    <definedName name="_xlnm.Print_Area" localSheetId="2">'CP TIA Load Pricing Results'!$A$1:$D$30</definedName>
    <definedName name="_xlnm.Print_Area" localSheetId="1">'Summary'!$A$1:$H$49</definedName>
    <definedName name="_xlnm.Print_Area" localSheetId="0">'UCAP Oblig-ZCP'!$A$1:$G$27</definedName>
  </definedNames>
  <calcPr fullCalcOnLoad="1"/>
</workbook>
</file>

<file path=xl/sharedStrings.xml><?xml version="1.0" encoding="utf-8"?>
<sst xmlns="http://schemas.openxmlformats.org/spreadsheetml/2006/main" count="898" uniqueCount="255">
  <si>
    <t>RPM Parameters</t>
  </si>
  <si>
    <t>IRM</t>
  </si>
  <si>
    <t>Pool Average EFORd</t>
  </si>
  <si>
    <t>LDA</t>
  </si>
  <si>
    <t>FPR</t>
  </si>
  <si>
    <t>SWMAAC</t>
  </si>
  <si>
    <t>RTO</t>
  </si>
  <si>
    <t>Zone</t>
  </si>
  <si>
    <t>PS</t>
  </si>
  <si>
    <t>PECO</t>
  </si>
  <si>
    <t>PL</t>
  </si>
  <si>
    <t>BGE</t>
  </si>
  <si>
    <t>JCPL</t>
  </si>
  <si>
    <t>METED</t>
  </si>
  <si>
    <t>PENLC</t>
  </si>
  <si>
    <t>PEPCO</t>
  </si>
  <si>
    <t>AE</t>
  </si>
  <si>
    <t>DPL</t>
  </si>
  <si>
    <t>RECO</t>
  </si>
  <si>
    <t>APS</t>
  </si>
  <si>
    <t>COMED</t>
  </si>
  <si>
    <t>DAYTON</t>
  </si>
  <si>
    <t>Zonal Forecast Peak Load Scaling Factor</t>
  </si>
  <si>
    <t>Obligation Peak Load Scaling Factor</t>
  </si>
  <si>
    <t xml:space="preserve"> </t>
  </si>
  <si>
    <t>Base Zonal RPM Scaling Factor</t>
  </si>
  <si>
    <t>Base Zonal UCAP Obligation    [MW]</t>
  </si>
  <si>
    <t>LDA2</t>
  </si>
  <si>
    <t>LDA1</t>
  </si>
  <si>
    <t>MAAC</t>
  </si>
  <si>
    <t>Short-Term Resource Procurement Target [MW]</t>
  </si>
  <si>
    <t>AEP</t>
  </si>
  <si>
    <t>DOM</t>
  </si>
  <si>
    <t xml:space="preserve">  </t>
  </si>
  <si>
    <t>LDA3</t>
  </si>
  <si>
    <t>Preliminary Zonal Capacity Price           [$/MW-day]</t>
  </si>
  <si>
    <t>RTO Reliability Requirement [MW]</t>
  </si>
  <si>
    <t>Short-Term Resource Target [%]</t>
  </si>
  <si>
    <t>Short-Term Resource Target [MW]</t>
  </si>
  <si>
    <t>EMAAC</t>
  </si>
  <si>
    <t>PSNORTH</t>
  </si>
  <si>
    <t>DPLSOUTH</t>
  </si>
  <si>
    <t>Rest of DPL</t>
  </si>
  <si>
    <t>Rest of PS</t>
  </si>
  <si>
    <t>DPL Equivalent</t>
  </si>
  <si>
    <t>Preliminary Zonal Results</t>
  </si>
  <si>
    <t>PS Equivalent</t>
  </si>
  <si>
    <t>Locational Price Adder</t>
  </si>
  <si>
    <t>DLCO</t>
  </si>
  <si>
    <t>ATSI</t>
  </si>
  <si>
    <t>Rest of RTO</t>
  </si>
  <si>
    <t>Rest of SWMAAC</t>
  </si>
  <si>
    <t>Rest of EMAAC</t>
  </si>
  <si>
    <t>Rest of MAAC</t>
  </si>
  <si>
    <t>Total</t>
  </si>
  <si>
    <t>AEP **</t>
  </si>
  <si>
    <t>Base Zonal CTR Credit Rate [$/MW UCAP Obligation per Day]</t>
  </si>
  <si>
    <t>Annual Resource Clearing Price [$/MW-day]</t>
  </si>
  <si>
    <t>Annual Resources Cleared [MW]</t>
  </si>
  <si>
    <t>Limited Resource Clearing Price [$/MW-day]</t>
  </si>
  <si>
    <t>Extended Summer Resources Cleared [MW]</t>
  </si>
  <si>
    <t>Total Resources Cleared        [MW]</t>
  </si>
  <si>
    <t>DEOK **</t>
  </si>
  <si>
    <t>DEOK</t>
  </si>
  <si>
    <t>Total Resource Credits [$/day]</t>
  </si>
  <si>
    <t>Resource Credits</t>
  </si>
  <si>
    <t>Resource Clearing Prices</t>
  </si>
  <si>
    <t>Cleared &amp; Make-Whole MWs</t>
  </si>
  <si>
    <t>Sub-Zone/Zone</t>
  </si>
  <si>
    <t>LDA Base UCAP Obligation [MW]</t>
  </si>
  <si>
    <t>Make-whole Credits for Extended Summer Resources [$/day]</t>
  </si>
  <si>
    <t>Zone/Responsible Customer</t>
  </si>
  <si>
    <t>Total ICTRs [MW]</t>
  </si>
  <si>
    <t>Incremental Capacity Transfer Rights (ICTRs)</t>
  </si>
  <si>
    <t>ICTR Credits</t>
  </si>
  <si>
    <t>Sink LDA</t>
  </si>
  <si>
    <t>QTU Credits [$/day]</t>
  </si>
  <si>
    <t>LDA CTRs</t>
  </si>
  <si>
    <t>Base UCAP Obligation [MW]</t>
  </si>
  <si>
    <t>Internal  Resources Cleared in LDA</t>
  </si>
  <si>
    <t>QTU Equivalents [MW]</t>
  </si>
  <si>
    <t>Totals</t>
  </si>
  <si>
    <t>Notes:</t>
  </si>
  <si>
    <t>Locational Price Adder is respect to immediate higher level LDA.</t>
  </si>
  <si>
    <t>Economic Value of CTRs = CTRs Allocated * Locational Price Adder</t>
  </si>
  <si>
    <t>CTRs Allocated, Economic Value of CTRs, CTR Credit Rates, and CTR Settlement Rates are not final and may change to due Incremental Auction results.</t>
  </si>
  <si>
    <t>Economic Value of ICTRs [$/day]</t>
  </si>
  <si>
    <t>Economic Value of ICTRs = Total ICTRs * Locational Price Adder.</t>
  </si>
  <si>
    <t>Customer-Funded Upgrades ICTRs [MW]</t>
  </si>
  <si>
    <t>Customer-Funded Upgrades</t>
  </si>
  <si>
    <t>ICTRs allocated and  Economic Value of CTRs are not final and are subject to change due to Incremental Auction results.</t>
  </si>
  <si>
    <t>Customer-Funded ICTR Credits [$/day]</t>
  </si>
  <si>
    <t xml:space="preserve">The load charges for Base Zonal UCAP Obligations at the Preliminary Zonal Capacity Prices exceed the sum of Resource Credits, Make-Whole Payments, QTU Credits and CTR/ICTR Credits as the Base Zonal UCAP Obligations include uncleared Short-Term Resource Procurement Target with no Resource Credits.  </t>
  </si>
  <si>
    <t>Cleared Capacity     [MW]</t>
  </si>
  <si>
    <t>CTRs Allocated to LSEs           [MW]</t>
  </si>
  <si>
    <t>CTRs Allocated to LSEs                 [MW]</t>
  </si>
  <si>
    <t>CTRs Allocated to LSEs        [MW]</t>
  </si>
  <si>
    <t>CTRs Allocated to LSEs            [MW]</t>
  </si>
  <si>
    <t>Extended Summer Resources Make-whole [MW]</t>
  </si>
  <si>
    <t>Annual Resources Make-whole [MW]</t>
  </si>
  <si>
    <t>Total Make-whole [MW]</t>
  </si>
  <si>
    <t>Extended Summer Resource Make-whole [MW]</t>
  </si>
  <si>
    <t>Preliminary CTRs Allocated = Max of the LDA CTRs Allocated to LSEs [MW]</t>
  </si>
  <si>
    <t>Preliminary Zonal CTR Settlement Rate [$/MW CTR per day]</t>
  </si>
  <si>
    <t>ICTRs for Customer-Funded Upgrades [MW]</t>
  </si>
  <si>
    <t>Total ICTRs into Sink LDA [MW]</t>
  </si>
  <si>
    <t>Allocation of LSE CTRs, Economic Value of LSE CTRs, Zonal CTR Credit Rates, &amp; Zonal CTR Settlement Rates</t>
  </si>
  <si>
    <t>Economic Value of LSE CTRs [$/day]</t>
  </si>
  <si>
    <t>Total Preliminary Economic Value of LSE CTRs [$/day]</t>
  </si>
  <si>
    <t>LDA Capacity Price [$/MW-day]</t>
  </si>
  <si>
    <t>*Locational Price Adder with respect to RTO</t>
  </si>
  <si>
    <t>Resource Credits for Limited Resources [$/day]</t>
  </si>
  <si>
    <t>Resource Credits for Extended Summer Resources [$/day]</t>
  </si>
  <si>
    <t>Resource Credits for Annual Resources [$/day]</t>
  </si>
  <si>
    <t>Limited Resources Cleared [MW]</t>
  </si>
  <si>
    <t>Limited Resources Make-whole [MW]</t>
  </si>
  <si>
    <t>QTU Clearing Price **      [$/MW-Day]</t>
  </si>
  <si>
    <t>** Locational Price Adder with respect to the immediate higher level LDA.</t>
  </si>
  <si>
    <t>Total CTRs * [MW]</t>
  </si>
  <si>
    <t>* CTRs are reduced to allow for certain grandfathered congestion credits.</t>
  </si>
  <si>
    <t>b0457: Dooms-Lexington circuit wave traps (effective 2012/2013)</t>
  </si>
  <si>
    <t>b0559: Capacitor at Meadow Brook substation (effective 2012/2013</t>
  </si>
  <si>
    <t>b0497: Install Second Conastone-Graceton 230 kV circuit; Replace Conastone 230 kV breaker 2323/2302 (effective 2014/2015)</t>
  </si>
  <si>
    <t>b1398: Build two new parallel underground circuits from Gloucester to Camden (effective 2015/2016)</t>
  </si>
  <si>
    <t>M05:  Replace Wave Traps at Bedington and Black Oak 500 KV (effective 2009/2010)</t>
  </si>
  <si>
    <t>b1507: Rebuild Mt Storm - Doubs 500 kV (effective 2015/2016)</t>
  </si>
  <si>
    <t>b0487, b0489: Build new 500 kV transmission facilities from Susquehanna to Roseland (effective 2015/2016)</t>
  </si>
  <si>
    <t>East Coast Power (ECP)</t>
  </si>
  <si>
    <t>Hudson Transmission Partners (HTP)</t>
  </si>
  <si>
    <t>Incremental Rights-Eligible Required Transmission Enhancements</t>
  </si>
  <si>
    <t>Regional Facilities and Necessary Lower Voltage Facilities</t>
  </si>
  <si>
    <t>ICTRs [MW] for Regional Facilities and Necessary Lower Voltage Facilities</t>
  </si>
  <si>
    <t>ICTRs [MW] for Lower Voltage Facilities</t>
  </si>
  <si>
    <t>Cost Allocation Percentages for Incremental Rights-Eligible Required Transmission Enhancements</t>
  </si>
  <si>
    <t>Lower Voltage Facility: b0497</t>
  </si>
  <si>
    <t>Lower Voltage Facility: b1304.1 - b1304.4</t>
  </si>
  <si>
    <t>Lower Voltage Facility: b1398</t>
  </si>
  <si>
    <t>ICTRs for Regional Facilities and Necessary Lower Voltage Facilities [MW]</t>
  </si>
  <si>
    <t>ICTRs for Lower Voltage Facility: b0497 [MW]</t>
  </si>
  <si>
    <t>ICTRs for Lower Voltage Facility: b1304.1-b1304.4  [MW]</t>
  </si>
  <si>
    <t>ICTRs for Lower Voltage Facility: b1398 [MW]</t>
  </si>
  <si>
    <t>Incremental Rights-Eligible Required Transmission Enhancements ICTR Credits [$/day]</t>
  </si>
  <si>
    <t>Certified ICTR * [MW]</t>
  </si>
  <si>
    <t>Remaining CTRs for Incremental Rights-Eligible Required Transmission Enhancements, Customer-Funded Upgrades, &amp; LSEs [MW]</t>
  </si>
  <si>
    <t>Incremental Rights-Eligible Required Transmission Enhancements ICTRs [MW]</t>
  </si>
  <si>
    <t>* Certified ICTRs are adjusted if the Remaining CTRs for Incremental Rights-Eligible Required Transmission Enhancements, Customer Funded-Upgrades, and LSEs into LDA are less than the Total Certified ICTRs into the LDA.</t>
  </si>
  <si>
    <t>ConEd</t>
  </si>
  <si>
    <t>Neptune</t>
  </si>
  <si>
    <t>Remaining CTRs for LSEs [MW]</t>
  </si>
  <si>
    <t>Capacity Cleared &amp; Resource Clearing Prices</t>
  </si>
  <si>
    <t>Base Residual Auction</t>
  </si>
  <si>
    <t>Zonal UCAP Obligations, Zonal Capacity Prices, &amp; Zonal CTR Credit Rates</t>
  </si>
  <si>
    <t>Base Zonal CTR Credit Rate ($/MW-UCAP Obligation-day)</t>
  </si>
  <si>
    <t>Total Resources Cleared for PJM LSEs (MW)</t>
  </si>
  <si>
    <t>Annual Resource Clearing Price ($/MW-day)</t>
  </si>
  <si>
    <t>** Obligation affected by FRR quantities.</t>
  </si>
  <si>
    <t>Base Zonal UCAP Obligation      (MW)</t>
  </si>
  <si>
    <t>Preliminary Zonal Capacity Price          ($/MW-day)</t>
  </si>
  <si>
    <t>b1304.1, b1304.2, b1304.3, b1304.4: Various upgrades in PS (effective 2015/2016)</t>
  </si>
  <si>
    <t>ATSI-CLEVELAND</t>
  </si>
  <si>
    <t>Rest of ATSI</t>
  </si>
  <si>
    <t>ATSI Equivalent</t>
  </si>
  <si>
    <t>EKPC **</t>
  </si>
  <si>
    <t>EKPC</t>
  </si>
  <si>
    <t>Y1-082:  Uprate bus equipment at Wye Mills 69 kV substation</t>
  </si>
  <si>
    <t>b1694: Rebuild Loudoun - Brambleton 500 kV (effective 2016/2017)</t>
  </si>
  <si>
    <t>Calculation of Zonal Capacity Prices for PS, DPL, and ATSI</t>
  </si>
  <si>
    <t>Additional Locational Price Adder with respect to Reference LDA [$/MW-day]</t>
  </si>
  <si>
    <t>Additional Make-whole Costs with respect to  Reference LDA [$/day]</t>
  </si>
  <si>
    <t>AEP ***</t>
  </si>
  <si>
    <t>DEOK ***</t>
  </si>
  <si>
    <t>EKPC ***</t>
  </si>
  <si>
    <t>*** Obligation affected by FRR quantities</t>
  </si>
  <si>
    <t>ADJUSTED</t>
  </si>
  <si>
    <t>Adjusted ICTR * [MW]</t>
  </si>
  <si>
    <t>No ICTRs for Regional Facilities/ Necessary Lower Voltage Facilities and no ICTRs for Lower Voltage Facilities.</t>
  </si>
  <si>
    <t>Annual Resource Make-whole [MW]</t>
  </si>
  <si>
    <t>Make-whole Credits for Limited Resources [$/day]</t>
  </si>
  <si>
    <t>2017/2018 Delivery Year Summary of Auction Results</t>
  </si>
  <si>
    <t>NORTH</t>
  </si>
  <si>
    <t>WEST 1</t>
  </si>
  <si>
    <t>WEST 2</t>
  </si>
  <si>
    <t>SOUTH 1</t>
  </si>
  <si>
    <t>SOUTH 2</t>
  </si>
  <si>
    <t>NA</t>
  </si>
  <si>
    <t>COMED **</t>
  </si>
  <si>
    <t>2017/2018 DY BRA Load Pricing Results</t>
  </si>
  <si>
    <t>2017/2018 DY BRA CTRs</t>
  </si>
  <si>
    <t xml:space="preserve">2017/2018 DY BRA ICTRs </t>
  </si>
  <si>
    <t>Certified ICTR [MW]</t>
  </si>
  <si>
    <t xml:space="preserve">b1251.1, b1251: Re-build the existing and build a second Raphael-Bagley 230 kV </t>
  </si>
  <si>
    <t>Y3-082:  Upgrade Easton-Trappe Tap 69 kV circuit to 136/174 MVA SN/SE</t>
  </si>
  <si>
    <t>Lower Voltage Facility: b1251, b1251.1</t>
  </si>
  <si>
    <t>ICTRs for Lower Voltage Facility: b1251, b1251.1 [MW]</t>
  </si>
  <si>
    <t>2013 W/N Coincident Peak Load          [MW]</t>
  </si>
  <si>
    <t>2017/2018 Prelim. Zonal Peak Load Forecast              [MW]</t>
  </si>
  <si>
    <t>COMED ***</t>
  </si>
  <si>
    <t>LDA/External Source Zone</t>
  </si>
  <si>
    <t>System Marginal Price [$/MW-day]</t>
  </si>
  <si>
    <t>Make-Whole MW &amp; Credits</t>
  </si>
  <si>
    <t>Qualifying Transmission Upgrade (QTU) MWs &amp; Credits</t>
  </si>
  <si>
    <t>QTU Import Capability Cleared into Sink LDA  [MW]</t>
  </si>
  <si>
    <t>System Marginal Price*
 [$/MW-day]</t>
  </si>
  <si>
    <t>Extended Summer Resource Clearing Price
 [$/MW-day]</t>
  </si>
  <si>
    <t>*System Marginal Price is the clearing price for Annual Resources in unconstrained area of RTO.</t>
  </si>
  <si>
    <t>** Locational Price Adder (positive number) is with respect to the immediate higher level LDA.  Locational Price Decrement (negative number) is with respect to the unconstrained area of RTO.</t>
  </si>
  <si>
    <t>Sub-Annual Resource Price Decrement in LDA
 [$/MW-day]</t>
  </si>
  <si>
    <t>Limited Resource Price Decrement in LDA [$/MW-day]</t>
  </si>
  <si>
    <t>Locational Price Adder (Decrement)**
  [$/MW-day]</t>
  </si>
  <si>
    <t>Limited Resource Make-whole  [MW]</t>
  </si>
  <si>
    <t>Make-whole Credits for Annual Resources [$/day]</t>
  </si>
  <si>
    <t>Additional Make-whole Adjustments due to NEPA [$/day)</t>
  </si>
  <si>
    <t>Total Make-Whole Credits [$/day]</t>
  </si>
  <si>
    <t>Locational Price Adder* applicable to LDA [$/MW-day]</t>
  </si>
  <si>
    <t>Preliminary Zonal Capacity Price
[$/MW-day]</t>
  </si>
  <si>
    <t>Adjustment due to Sub-Annual Resource Price Decrement in constrained LDA [$/day]</t>
  </si>
  <si>
    <t>Adjustment due to Limited Resource Price Decrement in constrained LDA [$/day]</t>
  </si>
  <si>
    <t>Adjustment due to Price Decrements for External Resources [$/day]</t>
  </si>
  <si>
    <t>Adjustment due to Price Decrements for External Resources [$/MW-day]</t>
  </si>
  <si>
    <t>Adjustment due to Make-Whole [$/MW-day]</t>
  </si>
  <si>
    <t>Adjustment due to Sub-Annual Resource Price Decrement in constrained LDA [$/MW-day]</t>
  </si>
  <si>
    <t>Adjustment due to Limited Resource Price Decrement in constrained LDA [$/MW-day]</t>
  </si>
  <si>
    <t>Additional Adjustment due to Sub-Annual  Resource Price Decrement with respect to Reference LDA [$/MW-day]</t>
  </si>
  <si>
    <t>Additional Adjustment due to Limited Resource Price Decrement with respect to Reference LDA [$/day]</t>
  </si>
  <si>
    <t>Additional Adjustment due to Limited Resource Price Decrement with respect to Reference LDA [$/MW-day]</t>
  </si>
  <si>
    <t>LDA Capacity Price</t>
  </si>
  <si>
    <t>Reference LDA** Capacity Price [MW]</t>
  </si>
  <si>
    <t>**Reference LDA is EMAAC LDA for PS and DPL zones and RTO for ATSI zone.</t>
  </si>
  <si>
    <t>A Weighted Locational Price Adder is used in the case of PS, DPL, or ATSI Equivalent.</t>
  </si>
  <si>
    <t>2017/2018 DY BRA Resource Clearing Results</t>
  </si>
  <si>
    <t>RTO ***</t>
  </si>
  <si>
    <t>*** RTO resources do not include resources modeled in External Source Zones.</t>
  </si>
  <si>
    <t xml:space="preserve">Note:  Cost Allocation Percentages are based on 2014 cost responsibility assignments from the tariff (from 1-1-14 update).  The cost allocation percentages may change during actual Delivery Year. </t>
  </si>
  <si>
    <t>Additional Adjustment due to Sub-Annual Resource Price Decrement with respect to Reference LDA [$/day]</t>
  </si>
  <si>
    <t>Additional Adjustment due to Make-whole with respect to Reference LDA
 [$/MW-day]</t>
  </si>
  <si>
    <t>Allocation of Required Transmission Enhancement ICTRs to Zone/Responsible Customer</t>
  </si>
  <si>
    <t>Lower Voltage Facilities</t>
  </si>
  <si>
    <t>RTO *</t>
  </si>
  <si>
    <t>* RTO resources do not include resources modeled in External Source Zones.</t>
  </si>
  <si>
    <t>CP Transition IA Cost Component* ($/MW-day)</t>
  </si>
  <si>
    <t>Total RTO Obligation, MW</t>
  </si>
  <si>
    <t>Additional Auction Credits due to CP Transition IA ($/day)</t>
  </si>
  <si>
    <t>CP  Transition IA Cost Component*, ($/MW-day)</t>
  </si>
  <si>
    <t>2017/2018 Capacity Performance Transition Incremental Auction Load Pricing Results</t>
  </si>
  <si>
    <t>* CP Transition IA  Cost Component detemined as of 9/9/2015.  CP Transition IA Cost Component is subject to change since Total RTO Obligation is not finalized until after final Incremental Auction for Delivery Year.</t>
  </si>
  <si>
    <t>Adjusted Zonal Capacity Price with CP Transition IA Cost Component ($/MW-day)</t>
  </si>
  <si>
    <t xml:space="preserve">CP Transition IA Cost Component as of 9/9/2015 ($/MW-day) </t>
  </si>
  <si>
    <t>Base Zonal UCAP Obligation (MW)</t>
  </si>
  <si>
    <t>Preliminary Zonal Capacity Price ($/MW-day)</t>
  </si>
  <si>
    <t>2017/2018 BRA, CP TIA:  Zonal UCAP Obligations, Zonal Capacity Prices, Zonal CTR Credit Rate, and Zonal Net Load Prices</t>
  </si>
  <si>
    <t>#5252670</t>
  </si>
  <si>
    <t>Adjusted Zonal Net Load Price         ($/MW-day)</t>
  </si>
  <si>
    <t>Adjusted Zonal Net Load Price ($/MW-day)</t>
  </si>
  <si>
    <t>Base Residual Auction Adjusted Zonal Capacity Price with CP Transition IA Cost Component is equal to the Preliminary Zonal Capacity Price plus CP Transition IA Cost Component determined as of 9/9/2015.</t>
  </si>
  <si>
    <t>Preliminary Zonal Capacity Prices and Base Zonal CTR Credit Rates are determined based on the results of the Base Residual Auction.</t>
  </si>
</sst>
</file>

<file path=xl/styles.xml><?xml version="1.0" encoding="utf-8"?>
<styleSheet xmlns="http://schemas.openxmlformats.org/spreadsheetml/2006/main">
  <numFmts count="6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0.0%"/>
    <numFmt numFmtId="167" formatCode="&quot;$&quot;#,##0.0"/>
    <numFmt numFmtId="168" formatCode="#,##0.000000"/>
    <numFmt numFmtId="169" formatCode="0.000%"/>
    <numFmt numFmtId="170" formatCode="0.00000"/>
    <numFmt numFmtId="171" formatCode="&quot;$&quot;#,##0.000000"/>
    <numFmt numFmtId="172" formatCode="0.0000%"/>
    <numFmt numFmtId="173" formatCode="0.0000"/>
    <numFmt numFmtId="174" formatCode="#,##0.0"/>
    <numFmt numFmtId="175" formatCode="#,##0.00000"/>
    <numFmt numFmtId="176" formatCode="_([$$-409]* #,##0.00_);_([$$-409]* \(#,##0.00\);_([$$-409]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&quot;$&quot;#,##0.00000"/>
    <numFmt numFmtId="182" formatCode="#,##0.0000000"/>
    <numFmt numFmtId="183" formatCode="&quot;$&quot;#,##0.0000000000000"/>
    <numFmt numFmtId="184" formatCode="&quot;$&quot;#,##0.000000000"/>
    <numFmt numFmtId="185" formatCode="&quot;$&quot;#,##0.0000000"/>
    <numFmt numFmtId="186" formatCode="&quot;$&quot;#,##0.00000000"/>
    <numFmt numFmtId="187" formatCode="0.0000000"/>
    <numFmt numFmtId="188" formatCode="0.000000"/>
    <numFmt numFmtId="189" formatCode="0.000"/>
    <numFmt numFmtId="190" formatCode="[$-409]dddd\,\ mmmm\ dd\,\ yyyy"/>
    <numFmt numFmtId="191" formatCode="[$-409]h:mm:ss\ AM/PM"/>
    <numFmt numFmtId="192" formatCode="_(* #,##0.0_);_(* \(#,##0.0\);_(* &quot;-&quot;??_);_(@_)"/>
    <numFmt numFmtId="193" formatCode="_(* #,##0.00000_);_(* \(#,##0.00000\);_(* &quot;-&quot;?????_);_(@_)"/>
    <numFmt numFmtId="194" formatCode="&quot;$&quot;#,##0.000"/>
    <numFmt numFmtId="195" formatCode="&quot;$&quot;#,##0.0000"/>
    <numFmt numFmtId="196" formatCode="&quot;$&quot;#,##0.0000000000"/>
    <numFmt numFmtId="197" formatCode="_(* #,##0.0_);_(* \(#,##0.0\);_(* &quot;-&quot;?_);_(@_)"/>
    <numFmt numFmtId="198" formatCode="_(* #,##0.0000_);_(* \(#,##0.0000\);_(* &quot;-&quot;????_);_(@_)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0.00000000"/>
    <numFmt numFmtId="203" formatCode="&quot;$&quot;#,##0"/>
    <numFmt numFmtId="204" formatCode="_(* #,##0.000_);_(* \(#,##0.000\);_(* &quot;-&quot;???_);_(@_)"/>
    <numFmt numFmtId="205" formatCode="_(&quot;$&quot;* #,##0.000_);_(&quot;$&quot;* \(#,##0.000\);_(&quot;$&quot;* &quot;-&quot;??_);_(@_)"/>
    <numFmt numFmtId="206" formatCode="_(&quot;$&quot;* #,##0.0000_);_(&quot;$&quot;* \(#,##0.0000\);_(&quot;$&quot;* &quot;-&quot;??_);_(@_)"/>
    <numFmt numFmtId="207" formatCode="_(&quot;$&quot;* #,##0.00000_);_(&quot;$&quot;* \(#,##0.00000\);_(&quot;$&quot;* &quot;-&quot;??_);_(@_)"/>
    <numFmt numFmtId="208" formatCode="_(&quot;$&quot;* #,##0.000000_);_(&quot;$&quot;* \(#,##0.000000\);_(&quot;$&quot;* &quot;-&quot;??_);_(@_)"/>
    <numFmt numFmtId="209" formatCode="_(* #,##0.0000000_);_(* \(#,##0.0000000\);_(* &quot;-&quot;???????_);_(@_)"/>
    <numFmt numFmtId="210" formatCode="_(* #,##0_);_(* \(#,##0\);_(* &quot;-&quot;??_);_(@_)"/>
    <numFmt numFmtId="211" formatCode="_(* #,##0.000000_);_(* \(#,##0.000000\);_(* &quot;-&quot;??_);_(@_)"/>
    <numFmt numFmtId="212" formatCode="0.000000000"/>
    <numFmt numFmtId="213" formatCode="0.0000000000"/>
    <numFmt numFmtId="214" formatCode="0.00000000000"/>
    <numFmt numFmtId="215" formatCode="_(* #,##0.000000000_);_(* \(#,##0.000000000\);_(* &quot;-&quot;??_);_(@_)"/>
  </numFmts>
  <fonts count="63">
    <font>
      <sz val="10"/>
      <name val="Arial"/>
      <family val="0"/>
    </font>
    <font>
      <b/>
      <i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b/>
      <i/>
      <sz val="14"/>
      <name val="Calibri"/>
      <family val="2"/>
    </font>
    <font>
      <b/>
      <sz val="14"/>
      <name val="Calibri"/>
      <family val="2"/>
    </font>
    <font>
      <b/>
      <i/>
      <sz val="12"/>
      <name val="Calibri"/>
      <family val="2"/>
    </font>
    <font>
      <sz val="10"/>
      <color indexed="10"/>
      <name val="Calibri"/>
      <family val="2"/>
    </font>
    <font>
      <i/>
      <sz val="10"/>
      <name val="Calibri"/>
      <family val="2"/>
    </font>
    <font>
      <b/>
      <i/>
      <sz val="10"/>
      <name val="Calibri"/>
      <family val="2"/>
    </font>
    <font>
      <i/>
      <sz val="10"/>
      <color indexed="10"/>
      <name val="Calibri"/>
      <family val="2"/>
    </font>
    <font>
      <i/>
      <sz val="12"/>
      <name val="Calibri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10"/>
      <color rgb="FFFF0000"/>
      <name val="Calibri"/>
      <family val="2"/>
    </font>
    <font>
      <sz val="10"/>
      <color rgb="FFFF0000"/>
      <name val="Calibri"/>
      <family val="2"/>
    </font>
    <font>
      <i/>
      <sz val="10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37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/>
    </xf>
    <xf numFmtId="170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 wrapText="1"/>
    </xf>
    <xf numFmtId="0" fontId="58" fillId="0" borderId="0" xfId="0" applyFont="1" applyAlignment="1">
      <alignment/>
    </xf>
    <xf numFmtId="174" fontId="0" fillId="0" borderId="0" xfId="0" applyNumberFormat="1" applyFont="1" applyAlignment="1">
      <alignment/>
    </xf>
    <xf numFmtId="44" fontId="3" fillId="0" borderId="0" xfId="45" applyFont="1" applyBorder="1" applyAlignment="1">
      <alignment horizontal="center"/>
    </xf>
    <xf numFmtId="43" fontId="0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Alignment="1">
      <alignment/>
    </xf>
    <xf numFmtId="0" fontId="59" fillId="0" borderId="0" xfId="0" applyFont="1" applyFill="1" applyBorder="1" applyAlignment="1">
      <alignment horizontal="left"/>
    </xf>
    <xf numFmtId="0" fontId="57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165" fontId="57" fillId="0" borderId="0" xfId="0" applyNumberFormat="1" applyFont="1" applyFill="1" applyAlignment="1">
      <alignment/>
    </xf>
    <xf numFmtId="0" fontId="57" fillId="0" borderId="0" xfId="0" applyFont="1" applyFill="1" applyAlignment="1">
      <alignment/>
    </xf>
    <xf numFmtId="0" fontId="30" fillId="0" borderId="0" xfId="0" applyFont="1" applyAlignment="1">
      <alignment/>
    </xf>
    <xf numFmtId="0" fontId="30" fillId="0" borderId="10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31" fillId="0" borderId="10" xfId="0" applyFont="1" applyFill="1" applyBorder="1" applyAlignment="1">
      <alignment horizontal="center" wrapText="1"/>
    </xf>
    <xf numFmtId="0" fontId="31" fillId="0" borderId="10" xfId="0" applyFont="1" applyBorder="1" applyAlignment="1">
      <alignment horizontal="center" wrapText="1"/>
    </xf>
    <xf numFmtId="0" fontId="30" fillId="0" borderId="0" xfId="0" applyFont="1" applyBorder="1" applyAlignment="1">
      <alignment wrapText="1"/>
    </xf>
    <xf numFmtId="0" fontId="31" fillId="0" borderId="0" xfId="0" applyFont="1" applyBorder="1" applyAlignment="1">
      <alignment horizontal="center" wrapText="1"/>
    </xf>
    <xf numFmtId="0" fontId="30" fillId="0" borderId="0" xfId="0" applyFont="1" applyAlignment="1">
      <alignment wrapText="1"/>
    </xf>
    <xf numFmtId="0" fontId="30" fillId="0" borderId="10" xfId="0" applyFont="1" applyBorder="1" applyAlignment="1">
      <alignment/>
    </xf>
    <xf numFmtId="165" fontId="30" fillId="0" borderId="10" xfId="0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165" fontId="30" fillId="0" borderId="0" xfId="0" applyNumberFormat="1" applyFont="1" applyFill="1" applyBorder="1" applyAlignment="1">
      <alignment horizontal="right"/>
    </xf>
    <xf numFmtId="165" fontId="30" fillId="0" borderId="0" xfId="0" applyNumberFormat="1" applyFont="1" applyBorder="1" applyAlignment="1">
      <alignment horizontal="right"/>
    </xf>
    <xf numFmtId="165" fontId="30" fillId="0" borderId="10" xfId="0" applyNumberFormat="1" applyFont="1" applyFill="1" applyBorder="1" applyAlignment="1">
      <alignment horizontal="right"/>
    </xf>
    <xf numFmtId="165" fontId="30" fillId="0" borderId="0" xfId="0" applyNumberFormat="1" applyFont="1" applyBorder="1" applyAlignment="1">
      <alignment/>
    </xf>
    <xf numFmtId="165" fontId="60" fillId="0" borderId="0" xfId="0" applyNumberFormat="1" applyFont="1" applyBorder="1" applyAlignment="1">
      <alignment horizontal="left"/>
    </xf>
    <xf numFmtId="0" fontId="30" fillId="0" borderId="0" xfId="0" applyFont="1" applyBorder="1" applyAlignment="1">
      <alignment horizontal="right"/>
    </xf>
    <xf numFmtId="164" fontId="30" fillId="0" borderId="0" xfId="0" applyNumberFormat="1" applyFont="1" applyBorder="1" applyAlignment="1">
      <alignment horizontal="right"/>
    </xf>
    <xf numFmtId="165" fontId="31" fillId="0" borderId="0" xfId="0" applyNumberFormat="1" applyFont="1" applyBorder="1" applyAlignment="1">
      <alignment horizontal="right"/>
    </xf>
    <xf numFmtId="165" fontId="31" fillId="0" borderId="0" xfId="0" applyNumberFormat="1" applyFont="1" applyBorder="1" applyAlignment="1">
      <alignment horizontal="center"/>
    </xf>
    <xf numFmtId="165" fontId="31" fillId="0" borderId="10" xfId="0" applyNumberFormat="1" applyFont="1" applyBorder="1" applyAlignment="1">
      <alignment horizontal="right"/>
    </xf>
    <xf numFmtId="0" fontId="31" fillId="0" borderId="0" xfId="0" applyFont="1" applyFill="1" applyBorder="1" applyAlignment="1">
      <alignment horizontal="center" wrapText="1"/>
    </xf>
    <xf numFmtId="192" fontId="30" fillId="0" borderId="10" xfId="42" applyNumberFormat="1" applyFont="1" applyBorder="1" applyAlignment="1">
      <alignment/>
    </xf>
    <xf numFmtId="174" fontId="30" fillId="0" borderId="10" xfId="0" applyNumberFormat="1" applyFont="1" applyFill="1" applyBorder="1" applyAlignment="1">
      <alignment horizontal="right"/>
    </xf>
    <xf numFmtId="192" fontId="30" fillId="0" borderId="10" xfId="42" applyNumberFormat="1" applyFont="1" applyFill="1" applyBorder="1" applyAlignment="1">
      <alignment horizontal="right"/>
    </xf>
    <xf numFmtId="1" fontId="30" fillId="0" borderId="10" xfId="42" applyNumberFormat="1" applyFont="1" applyBorder="1" applyAlignment="1">
      <alignment/>
    </xf>
    <xf numFmtId="1" fontId="30" fillId="0" borderId="10" xfId="42" applyNumberFormat="1" applyFont="1" applyFill="1" applyBorder="1" applyAlignment="1">
      <alignment horizontal="right"/>
    </xf>
    <xf numFmtId="192" fontId="30" fillId="0" borderId="0" xfId="0" applyNumberFormat="1" applyFont="1" applyBorder="1" applyAlignment="1">
      <alignment/>
    </xf>
    <xf numFmtId="0" fontId="30" fillId="0" borderId="11" xfId="0" applyFont="1" applyBorder="1" applyAlignment="1">
      <alignment/>
    </xf>
    <xf numFmtId="174" fontId="30" fillId="0" borderId="10" xfId="0" applyNumberFormat="1" applyFont="1" applyBorder="1" applyAlignment="1">
      <alignment horizontal="right"/>
    </xf>
    <xf numFmtId="174" fontId="30" fillId="0" borderId="10" xfId="0" applyNumberFormat="1" applyFont="1" applyBorder="1" applyAlignment="1">
      <alignment/>
    </xf>
    <xf numFmtId="165" fontId="30" fillId="0" borderId="10" xfId="0" applyNumberFormat="1" applyFont="1" applyBorder="1" applyAlignment="1">
      <alignment/>
    </xf>
    <xf numFmtId="165" fontId="30" fillId="0" borderId="12" xfId="0" applyNumberFormat="1" applyFont="1" applyBorder="1" applyAlignment="1">
      <alignment/>
    </xf>
    <xf numFmtId="165" fontId="30" fillId="0" borderId="0" xfId="0" applyNumberFormat="1" applyFont="1" applyAlignment="1">
      <alignment/>
    </xf>
    <xf numFmtId="0" fontId="30" fillId="0" borderId="11" xfId="0" applyFont="1" applyFill="1" applyBorder="1" applyAlignment="1">
      <alignment/>
    </xf>
    <xf numFmtId="174" fontId="31" fillId="0" borderId="10" xfId="0" applyNumberFormat="1" applyFont="1" applyBorder="1" applyAlignment="1">
      <alignment horizontal="right"/>
    </xf>
    <xf numFmtId="174" fontId="30" fillId="0" borderId="0" xfId="0" applyNumberFormat="1" applyFont="1" applyBorder="1" applyAlignment="1">
      <alignment horizontal="right"/>
    </xf>
    <xf numFmtId="174" fontId="30" fillId="0" borderId="0" xfId="0" applyNumberFormat="1" applyFont="1" applyBorder="1" applyAlignment="1">
      <alignment horizontal="left"/>
    </xf>
    <xf numFmtId="174" fontId="30" fillId="0" borderId="0" xfId="0" applyNumberFormat="1" applyFont="1" applyBorder="1" applyAlignment="1">
      <alignment/>
    </xf>
    <xf numFmtId="165" fontId="31" fillId="0" borderId="13" xfId="0" applyNumberFormat="1" applyFont="1" applyBorder="1" applyAlignment="1">
      <alignment/>
    </xf>
    <xf numFmtId="0" fontId="33" fillId="0" borderId="0" xfId="0" applyFont="1" applyFill="1" applyBorder="1" applyAlignment="1">
      <alignment/>
    </xf>
    <xf numFmtId="0" fontId="31" fillId="0" borderId="0" xfId="0" applyFont="1" applyAlignment="1">
      <alignment/>
    </xf>
    <xf numFmtId="0" fontId="34" fillId="0" borderId="0" xfId="0" applyFont="1" applyAlignment="1">
      <alignment/>
    </xf>
    <xf numFmtId="165" fontId="30" fillId="0" borderId="0" xfId="0" applyNumberFormat="1" applyFont="1" applyFill="1" applyBorder="1" applyAlignment="1">
      <alignment horizontal="left"/>
    </xf>
    <xf numFmtId="0" fontId="30" fillId="0" borderId="0" xfId="0" applyFont="1" applyFill="1" applyBorder="1" applyAlignment="1">
      <alignment horizontal="right"/>
    </xf>
    <xf numFmtId="164" fontId="30" fillId="0" borderId="0" xfId="0" applyNumberFormat="1" applyFont="1" applyFill="1" applyBorder="1" applyAlignment="1">
      <alignment horizontal="right"/>
    </xf>
    <xf numFmtId="165" fontId="31" fillId="0" borderId="0" xfId="0" applyNumberFormat="1" applyFont="1" applyFill="1" applyBorder="1" applyAlignment="1">
      <alignment horizontal="right"/>
    </xf>
    <xf numFmtId="0" fontId="30" fillId="0" borderId="0" xfId="0" applyNumberFormat="1" applyFont="1" applyFill="1" applyBorder="1" applyAlignment="1">
      <alignment horizontal="right"/>
    </xf>
    <xf numFmtId="7" fontId="30" fillId="0" borderId="10" xfId="0" applyNumberFormat="1" applyFont="1" applyBorder="1" applyAlignment="1">
      <alignment horizontal="right"/>
    </xf>
    <xf numFmtId="0" fontId="35" fillId="0" borderId="0" xfId="0" applyFont="1" applyFill="1" applyBorder="1" applyAlignment="1">
      <alignment horizontal="left" vertical="center"/>
    </xf>
    <xf numFmtId="165" fontId="30" fillId="0" borderId="0" xfId="0" applyNumberFormat="1" applyFont="1" applyBorder="1" applyAlignment="1">
      <alignment horizontal="center"/>
    </xf>
    <xf numFmtId="0" fontId="31" fillId="0" borderId="10" xfId="0" applyFont="1" applyBorder="1" applyAlignment="1">
      <alignment/>
    </xf>
    <xf numFmtId="44" fontId="31" fillId="0" borderId="10" xfId="45" applyFont="1" applyBorder="1" applyAlignment="1">
      <alignment horizontal="center" wrapText="1"/>
    </xf>
    <xf numFmtId="44" fontId="31" fillId="0" borderId="10" xfId="45" applyFont="1" applyFill="1" applyBorder="1" applyAlignment="1">
      <alignment horizontal="center" wrapText="1"/>
    </xf>
    <xf numFmtId="174" fontId="31" fillId="0" borderId="10" xfId="0" applyNumberFormat="1" applyFont="1" applyBorder="1" applyAlignment="1">
      <alignment/>
    </xf>
    <xf numFmtId="165" fontId="31" fillId="0" borderId="10" xfId="0" applyNumberFormat="1" applyFont="1" applyBorder="1" applyAlignment="1">
      <alignment/>
    </xf>
    <xf numFmtId="174" fontId="30" fillId="0" borderId="0" xfId="0" applyNumberFormat="1" applyFont="1" applyBorder="1" applyAlignment="1">
      <alignment horizontal="center"/>
    </xf>
    <xf numFmtId="0" fontId="31" fillId="0" borderId="0" xfId="0" applyFont="1" applyBorder="1" applyAlignment="1">
      <alignment/>
    </xf>
    <xf numFmtId="10" fontId="30" fillId="0" borderId="12" xfId="61" applyNumberFormat="1" applyFont="1" applyFill="1" applyBorder="1" applyAlignment="1">
      <alignment horizontal="right"/>
    </xf>
    <xf numFmtId="165" fontId="30" fillId="0" borderId="0" xfId="0" applyNumberFormat="1" applyFont="1" applyBorder="1" applyAlignment="1">
      <alignment horizontal="center" wrapText="1"/>
    </xf>
    <xf numFmtId="164" fontId="61" fillId="0" borderId="0" xfId="0" applyNumberFormat="1" applyFont="1" applyBorder="1" applyAlignment="1">
      <alignment horizontal="center"/>
    </xf>
    <xf numFmtId="165" fontId="30" fillId="0" borderId="0" xfId="42" applyNumberFormat="1" applyFont="1" applyBorder="1" applyAlignment="1">
      <alignment horizontal="center"/>
    </xf>
    <xf numFmtId="192" fontId="30" fillId="0" borderId="0" xfId="42" applyNumberFormat="1" applyFont="1" applyBorder="1" applyAlignment="1">
      <alignment horizontal="center"/>
    </xf>
    <xf numFmtId="192" fontId="60" fillId="0" borderId="0" xfId="42" applyNumberFormat="1" applyFont="1" applyBorder="1" applyAlignment="1">
      <alignment horizontal="left"/>
    </xf>
    <xf numFmtId="164" fontId="30" fillId="0" borderId="0" xfId="0" applyNumberFormat="1" applyFont="1" applyBorder="1" applyAlignment="1">
      <alignment horizontal="center"/>
    </xf>
    <xf numFmtId="165" fontId="30" fillId="0" borderId="0" xfId="45" applyNumberFormat="1" applyFont="1" applyBorder="1" applyAlignment="1">
      <alignment horizontal="center"/>
    </xf>
    <xf numFmtId="164" fontId="30" fillId="0" borderId="0" xfId="0" applyNumberFormat="1" applyFont="1" applyBorder="1" applyAlignment="1">
      <alignment/>
    </xf>
    <xf numFmtId="164" fontId="30" fillId="0" borderId="0" xfId="0" applyNumberFormat="1" applyFont="1" applyAlignment="1">
      <alignment/>
    </xf>
    <xf numFmtId="174" fontId="30" fillId="0" borderId="0" xfId="0" applyNumberFormat="1" applyFont="1" applyAlignment="1">
      <alignment/>
    </xf>
    <xf numFmtId="4" fontId="30" fillId="0" borderId="0" xfId="0" applyNumberFormat="1" applyFont="1" applyBorder="1" applyAlignment="1">
      <alignment horizontal="right"/>
    </xf>
    <xf numFmtId="0" fontId="61" fillId="0" borderId="0" xfId="0" applyFont="1" applyAlignment="1">
      <alignment/>
    </xf>
    <xf numFmtId="193" fontId="30" fillId="0" borderId="0" xfId="0" applyNumberFormat="1" applyFont="1" applyAlignment="1">
      <alignment/>
    </xf>
    <xf numFmtId="165" fontId="30" fillId="0" borderId="10" xfId="42" applyNumberFormat="1" applyFont="1" applyBorder="1" applyAlignment="1">
      <alignment horizontal="right"/>
    </xf>
    <xf numFmtId="0" fontId="61" fillId="0" borderId="10" xfId="0" applyFont="1" applyBorder="1" applyAlignment="1">
      <alignment/>
    </xf>
    <xf numFmtId="165" fontId="30" fillId="0" borderId="10" xfId="0" applyNumberFormat="1" applyFont="1" applyBorder="1" applyAlignment="1">
      <alignment horizontal="right" wrapText="1"/>
    </xf>
    <xf numFmtId="0" fontId="30" fillId="0" borderId="0" xfId="0" applyFont="1" applyFill="1" applyBorder="1" applyAlignment="1">
      <alignment horizontal="left" wrapText="1"/>
    </xf>
    <xf numFmtId="188" fontId="37" fillId="0" borderId="0" xfId="0" applyNumberFormat="1" applyFont="1" applyBorder="1" applyAlignment="1">
      <alignment/>
    </xf>
    <xf numFmtId="165" fontId="32" fillId="0" borderId="0" xfId="0" applyNumberFormat="1" applyFont="1" applyBorder="1" applyAlignment="1">
      <alignment/>
    </xf>
    <xf numFmtId="0" fontId="61" fillId="0" borderId="0" xfId="0" applyNumberFormat="1" applyFont="1" applyBorder="1" applyAlignment="1">
      <alignment horizontal="center" wrapText="1"/>
    </xf>
    <xf numFmtId="0" fontId="31" fillId="0" borderId="14" xfId="0" applyNumberFormat="1" applyFont="1" applyFill="1" applyBorder="1" applyAlignment="1">
      <alignment horizontal="center" wrapText="1"/>
    </xf>
    <xf numFmtId="0" fontId="31" fillId="0" borderId="15" xfId="0" applyNumberFormat="1" applyFont="1" applyFill="1" applyBorder="1" applyAlignment="1">
      <alignment horizontal="center" wrapText="1"/>
    </xf>
    <xf numFmtId="0" fontId="31" fillId="0" borderId="16" xfId="0" applyNumberFormat="1" applyFont="1" applyFill="1" applyBorder="1" applyAlignment="1">
      <alignment horizontal="center" wrapText="1"/>
    </xf>
    <xf numFmtId="0" fontId="30" fillId="0" borderId="10" xfId="0" applyFont="1" applyFill="1" applyBorder="1" applyAlignment="1">
      <alignment horizontal="center"/>
    </xf>
    <xf numFmtId="0" fontId="30" fillId="0" borderId="12" xfId="0" applyFont="1" applyFill="1" applyBorder="1" applyAlignment="1">
      <alignment horizontal="center"/>
    </xf>
    <xf numFmtId="170" fontId="30" fillId="0" borderId="10" xfId="0" applyNumberFormat="1" applyFont="1" applyBorder="1" applyAlignment="1">
      <alignment/>
    </xf>
    <xf numFmtId="192" fontId="30" fillId="0" borderId="10" xfId="42" applyNumberFormat="1" applyFont="1" applyFill="1" applyBorder="1" applyAlignment="1">
      <alignment/>
    </xf>
    <xf numFmtId="174" fontId="30" fillId="0" borderId="10" xfId="0" applyNumberFormat="1" applyFont="1" applyFill="1" applyBorder="1" applyAlignment="1">
      <alignment/>
    </xf>
    <xf numFmtId="0" fontId="30" fillId="0" borderId="17" xfId="0" applyFont="1" applyFill="1" applyBorder="1" applyAlignment="1">
      <alignment horizontal="center"/>
    </xf>
    <xf numFmtId="0" fontId="30" fillId="0" borderId="13" xfId="0" applyFont="1" applyFill="1" applyBorder="1" applyAlignment="1">
      <alignment horizontal="center"/>
    </xf>
    <xf numFmtId="0" fontId="37" fillId="0" borderId="0" xfId="0" applyFont="1" applyFill="1" applyBorder="1" applyAlignment="1">
      <alignment/>
    </xf>
    <xf numFmtId="0" fontId="37" fillId="0" borderId="10" xfId="0" applyFont="1" applyFill="1" applyBorder="1" applyAlignment="1">
      <alignment/>
    </xf>
    <xf numFmtId="0" fontId="38" fillId="0" borderId="0" xfId="0" applyFont="1" applyAlignment="1">
      <alignment/>
    </xf>
    <xf numFmtId="0" fontId="38" fillId="0" borderId="0" xfId="0" applyFont="1" applyFill="1" applyBorder="1" applyAlignment="1">
      <alignment/>
    </xf>
    <xf numFmtId="0" fontId="30" fillId="0" borderId="0" xfId="0" applyFont="1" applyBorder="1" applyAlignment="1">
      <alignment/>
    </xf>
    <xf numFmtId="0" fontId="34" fillId="0" borderId="0" xfId="0" applyFont="1" applyFill="1" applyBorder="1" applyAlignment="1">
      <alignment/>
    </xf>
    <xf numFmtId="7" fontId="30" fillId="0" borderId="10" xfId="0" applyNumberFormat="1" applyFont="1" applyFill="1" applyBorder="1" applyAlignment="1">
      <alignment horizontal="right"/>
    </xf>
    <xf numFmtId="192" fontId="0" fillId="0" borderId="0" xfId="0" applyNumberFormat="1" applyFont="1" applyAlignment="1">
      <alignment/>
    </xf>
    <xf numFmtId="7" fontId="30" fillId="0" borderId="0" xfId="0" applyNumberFormat="1" applyFont="1" applyBorder="1" applyAlignment="1">
      <alignment/>
    </xf>
    <xf numFmtId="7" fontId="30" fillId="0" borderId="0" xfId="0" applyNumberFormat="1" applyFont="1" applyFill="1" applyBorder="1" applyAlignment="1">
      <alignment horizontal="left" wrapText="1"/>
    </xf>
    <xf numFmtId="43" fontId="30" fillId="0" borderId="0" xfId="0" applyNumberFormat="1" applyFont="1" applyBorder="1" applyAlignment="1">
      <alignment/>
    </xf>
    <xf numFmtId="0" fontId="30" fillId="0" borderId="0" xfId="0" applyFont="1" applyFill="1" applyBorder="1" applyAlignment="1">
      <alignment/>
    </xf>
    <xf numFmtId="192" fontId="30" fillId="0" borderId="10" xfId="42" applyNumberFormat="1" applyFont="1" applyBorder="1" applyAlignment="1">
      <alignment horizontal="right"/>
    </xf>
    <xf numFmtId="0" fontId="34" fillId="0" borderId="0" xfId="0" applyFont="1" applyFill="1" applyAlignment="1">
      <alignment/>
    </xf>
    <xf numFmtId="0" fontId="60" fillId="0" borderId="0" xfId="0" applyFont="1" applyAlignment="1">
      <alignment/>
    </xf>
    <xf numFmtId="0" fontId="60" fillId="0" borderId="0" xfId="0" applyFont="1" applyAlignment="1">
      <alignment horizontal="right"/>
    </xf>
    <xf numFmtId="0" fontId="31" fillId="0" borderId="14" xfId="0" applyFont="1" applyBorder="1" applyAlignment="1">
      <alignment horizontal="center" wrapText="1"/>
    </xf>
    <xf numFmtId="0" fontId="31" fillId="0" borderId="15" xfId="0" applyFont="1" applyFill="1" applyBorder="1" applyAlignment="1">
      <alignment horizontal="center" wrapText="1"/>
    </xf>
    <xf numFmtId="0" fontId="31" fillId="0" borderId="15" xfId="0" applyFont="1" applyBorder="1" applyAlignment="1">
      <alignment horizontal="center" wrapText="1"/>
    </xf>
    <xf numFmtId="0" fontId="31" fillId="0" borderId="15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wrapText="1"/>
    </xf>
    <xf numFmtId="0" fontId="30" fillId="0" borderId="11" xfId="0" applyFont="1" applyBorder="1" applyAlignment="1">
      <alignment horizontal="left"/>
    </xf>
    <xf numFmtId="164" fontId="30" fillId="0" borderId="10" xfId="0" applyNumberFormat="1" applyFont="1" applyFill="1" applyBorder="1" applyAlignment="1">
      <alignment/>
    </xf>
    <xf numFmtId="3" fontId="30" fillId="0" borderId="10" xfId="0" applyNumberFormat="1" applyFont="1" applyBorder="1" applyAlignment="1">
      <alignment horizontal="right"/>
    </xf>
    <xf numFmtId="0" fontId="30" fillId="0" borderId="10" xfId="0" applyNumberFormat="1" applyFont="1" applyBorder="1" applyAlignment="1">
      <alignment horizontal="right"/>
    </xf>
    <xf numFmtId="0" fontId="30" fillId="0" borderId="11" xfId="0" applyFont="1" applyFill="1" applyBorder="1" applyAlignment="1">
      <alignment horizontal="left"/>
    </xf>
    <xf numFmtId="164" fontId="30" fillId="0" borderId="10" xfId="42" applyNumberFormat="1" applyFont="1" applyBorder="1" applyAlignment="1">
      <alignment/>
    </xf>
    <xf numFmtId="0" fontId="30" fillId="0" borderId="18" xfId="0" applyFont="1" applyFill="1" applyBorder="1" applyAlignment="1">
      <alignment horizontal="left"/>
    </xf>
    <xf numFmtId="192" fontId="30" fillId="0" borderId="17" xfId="42" applyNumberFormat="1" applyFont="1" applyBorder="1" applyAlignment="1">
      <alignment/>
    </xf>
    <xf numFmtId="164" fontId="30" fillId="0" borderId="17" xfId="42" applyNumberFormat="1" applyFont="1" applyBorder="1" applyAlignment="1">
      <alignment/>
    </xf>
    <xf numFmtId="174" fontId="30" fillId="0" borderId="17" xfId="0" applyNumberFormat="1" applyFont="1" applyBorder="1" applyAlignment="1">
      <alignment horizontal="right"/>
    </xf>
    <xf numFmtId="3" fontId="30" fillId="0" borderId="17" xfId="0" applyNumberFormat="1" applyFont="1" applyBorder="1" applyAlignment="1">
      <alignment horizontal="right"/>
    </xf>
    <xf numFmtId="0" fontId="30" fillId="0" borderId="0" xfId="0" applyFont="1" applyFill="1" applyBorder="1" applyAlignment="1">
      <alignment horizontal="left"/>
    </xf>
    <xf numFmtId="165" fontId="31" fillId="0" borderId="0" xfId="0" applyNumberFormat="1" applyFont="1" applyBorder="1" applyAlignment="1">
      <alignment/>
    </xf>
    <xf numFmtId="0" fontId="61" fillId="0" borderId="0" xfId="0" applyFont="1" applyBorder="1" applyAlignment="1">
      <alignment/>
    </xf>
    <xf numFmtId="164" fontId="30" fillId="0" borderId="0" xfId="0" applyNumberFormat="1" applyFont="1" applyAlignment="1">
      <alignment horizontal="left"/>
    </xf>
    <xf numFmtId="165" fontId="30" fillId="0" borderId="13" xfId="0" applyNumberFormat="1" applyFont="1" applyBorder="1" applyAlignment="1">
      <alignment horizontal="center" vertical="center"/>
    </xf>
    <xf numFmtId="164" fontId="30" fillId="0" borderId="11" xfId="0" applyNumberFormat="1" applyFont="1" applyBorder="1" applyAlignment="1">
      <alignment horizontal="right"/>
    </xf>
    <xf numFmtId="165" fontId="30" fillId="0" borderId="12" xfId="45" applyNumberFormat="1" applyFont="1" applyBorder="1" applyAlignment="1">
      <alignment horizontal="right"/>
    </xf>
    <xf numFmtId="174" fontId="30" fillId="0" borderId="11" xfId="0" applyNumberFormat="1" applyFont="1" applyBorder="1" applyAlignment="1">
      <alignment horizontal="right"/>
    </xf>
    <xf numFmtId="165" fontId="30" fillId="0" borderId="12" xfId="0" applyNumberFormat="1" applyFont="1" applyBorder="1" applyAlignment="1">
      <alignment horizontal="right"/>
    </xf>
    <xf numFmtId="192" fontId="30" fillId="0" borderId="11" xfId="42" applyNumberFormat="1" applyFont="1" applyBorder="1" applyAlignment="1">
      <alignment horizontal="right"/>
    </xf>
    <xf numFmtId="0" fontId="30" fillId="0" borderId="18" xfId="0" applyFont="1" applyFill="1" applyBorder="1" applyAlignment="1">
      <alignment/>
    </xf>
    <xf numFmtId="164" fontId="30" fillId="0" borderId="19" xfId="0" applyNumberFormat="1" applyFont="1" applyBorder="1" applyAlignment="1">
      <alignment horizontal="right"/>
    </xf>
    <xf numFmtId="165" fontId="30" fillId="0" borderId="20" xfId="45" applyNumberFormat="1" applyFont="1" applyBorder="1" applyAlignment="1">
      <alignment horizontal="right"/>
    </xf>
    <xf numFmtId="164" fontId="31" fillId="0" borderId="21" xfId="0" applyNumberFormat="1" applyFont="1" applyBorder="1" applyAlignment="1">
      <alignment horizontal="right"/>
    </xf>
    <xf numFmtId="165" fontId="31" fillId="0" borderId="22" xfId="45" applyNumberFormat="1" applyFont="1" applyBorder="1" applyAlignment="1">
      <alignment horizontal="right"/>
    </xf>
    <xf numFmtId="174" fontId="30" fillId="0" borderId="21" xfId="0" applyNumberFormat="1" applyFont="1" applyBorder="1" applyAlignment="1">
      <alignment horizontal="right"/>
    </xf>
    <xf numFmtId="165" fontId="31" fillId="0" borderId="23" xfId="45" applyNumberFormat="1" applyFont="1" applyBorder="1" applyAlignment="1">
      <alignment horizontal="right"/>
    </xf>
    <xf numFmtId="44" fontId="31" fillId="0" borderId="23" xfId="45" applyFont="1" applyBorder="1" applyAlignment="1">
      <alignment horizontal="right"/>
    </xf>
    <xf numFmtId="44" fontId="31" fillId="0" borderId="22" xfId="45" applyFont="1" applyBorder="1" applyAlignment="1">
      <alignment horizontal="right"/>
    </xf>
    <xf numFmtId="165" fontId="30" fillId="0" borderId="18" xfId="0" applyNumberFormat="1" applyFont="1" applyBorder="1" applyAlignment="1">
      <alignment horizontal="center" wrapText="1"/>
    </xf>
    <xf numFmtId="165" fontId="30" fillId="0" borderId="13" xfId="45" applyNumberFormat="1" applyFont="1" applyBorder="1" applyAlignment="1">
      <alignment horizontal="center" vertical="center"/>
    </xf>
    <xf numFmtId="0" fontId="31" fillId="0" borderId="24" xfId="0" applyFont="1" applyBorder="1" applyAlignment="1">
      <alignment horizontal="center"/>
    </xf>
    <xf numFmtId="0" fontId="31" fillId="0" borderId="14" xfId="0" applyFont="1" applyFill="1" applyBorder="1" applyAlignment="1">
      <alignment horizontal="center" vertical="center"/>
    </xf>
    <xf numFmtId="0" fontId="31" fillId="0" borderId="25" xfId="0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center" wrapText="1"/>
    </xf>
    <xf numFmtId="0" fontId="31" fillId="0" borderId="26" xfId="0" applyFont="1" applyFill="1" applyBorder="1" applyAlignment="1">
      <alignment horizontal="center" wrapText="1"/>
    </xf>
    <xf numFmtId="0" fontId="31" fillId="0" borderId="27" xfId="0" applyFont="1" applyFill="1" applyBorder="1" applyAlignment="1">
      <alignment horizontal="left" wrapText="1"/>
    </xf>
    <xf numFmtId="0" fontId="30" fillId="0" borderId="11" xfId="0" applyFont="1" applyBorder="1" applyAlignment="1">
      <alignment/>
    </xf>
    <xf numFmtId="0" fontId="30" fillId="0" borderId="26" xfId="0" applyFont="1" applyBorder="1" applyAlignment="1">
      <alignment/>
    </xf>
    <xf numFmtId="0" fontId="30" fillId="0" borderId="27" xfId="0" applyFont="1" applyFill="1" applyBorder="1" applyAlignment="1">
      <alignment horizontal="left" vertical="top" wrapText="1"/>
    </xf>
    <xf numFmtId="164" fontId="30" fillId="0" borderId="11" xfId="0" applyNumberFormat="1" applyFont="1" applyFill="1" applyBorder="1" applyAlignment="1">
      <alignment horizontal="right"/>
    </xf>
    <xf numFmtId="164" fontId="30" fillId="0" borderId="26" xfId="0" applyNumberFormat="1" applyFont="1" applyFill="1" applyBorder="1" applyAlignment="1">
      <alignment horizontal="right"/>
    </xf>
    <xf numFmtId="0" fontId="30" fillId="0" borderId="27" xfId="0" applyFont="1" applyFill="1" applyBorder="1" applyAlignment="1">
      <alignment horizontal="left" wrapText="1"/>
    </xf>
    <xf numFmtId="0" fontId="31" fillId="0" borderId="27" xfId="0" applyFont="1" applyFill="1" applyBorder="1" applyAlignment="1">
      <alignment horizontal="center" wrapText="1"/>
    </xf>
    <xf numFmtId="164" fontId="31" fillId="0" borderId="11" xfId="0" applyNumberFormat="1" applyFont="1" applyFill="1" applyBorder="1" applyAlignment="1">
      <alignment horizontal="right"/>
    </xf>
    <xf numFmtId="0" fontId="31" fillId="0" borderId="26" xfId="0" applyFont="1" applyFill="1" applyBorder="1" applyAlignment="1">
      <alignment/>
    </xf>
    <xf numFmtId="0" fontId="30" fillId="0" borderId="27" xfId="0" applyFont="1" applyFill="1" applyBorder="1" applyAlignment="1">
      <alignment horizontal="left" vertical="center" wrapText="1"/>
    </xf>
    <xf numFmtId="164" fontId="30" fillId="0" borderId="28" xfId="0" applyNumberFormat="1" applyFont="1" applyFill="1" applyBorder="1" applyAlignment="1">
      <alignment horizontal="right"/>
    </xf>
    <xf numFmtId="0" fontId="31" fillId="0" borderId="27" xfId="0" applyFont="1" applyBorder="1" applyAlignment="1">
      <alignment horizontal="left" wrapText="1"/>
    </xf>
    <xf numFmtId="0" fontId="31" fillId="0" borderId="14" xfId="0" applyNumberFormat="1" applyFont="1" applyFill="1" applyBorder="1" applyAlignment="1">
      <alignment horizontal="center" vertical="center" wrapText="1"/>
    </xf>
    <xf numFmtId="164" fontId="31" fillId="0" borderId="10" xfId="0" applyNumberFormat="1" applyFont="1" applyBorder="1" applyAlignment="1">
      <alignment horizontal="center" vertical="center" wrapText="1"/>
    </xf>
    <xf numFmtId="10" fontId="30" fillId="0" borderId="10" xfId="61" applyNumberFormat="1" applyFont="1" applyFill="1" applyBorder="1" applyAlignment="1">
      <alignment horizontal="right"/>
    </xf>
    <xf numFmtId="10" fontId="31" fillId="0" borderId="0" xfId="0" applyNumberFormat="1" applyFont="1" applyBorder="1" applyAlignment="1">
      <alignment horizontal="right"/>
    </xf>
    <xf numFmtId="165" fontId="31" fillId="0" borderId="12" xfId="0" applyNumberFormat="1" applyFont="1" applyBorder="1" applyAlignment="1">
      <alignment horizontal="center" vertical="center"/>
    </xf>
    <xf numFmtId="0" fontId="30" fillId="0" borderId="29" xfId="0" applyFont="1" applyBorder="1" applyAlignment="1">
      <alignment horizontal="right" vertical="center" wrapText="1"/>
    </xf>
    <xf numFmtId="0" fontId="31" fillId="0" borderId="30" xfId="0" applyNumberFormat="1" applyFont="1" applyFill="1" applyBorder="1" applyAlignment="1">
      <alignment horizontal="center" vertical="center" wrapText="1"/>
    </xf>
    <xf numFmtId="0" fontId="31" fillId="0" borderId="28" xfId="0" applyFont="1" applyFill="1" applyBorder="1" applyAlignment="1">
      <alignment horizontal="center" vertical="center" wrapText="1"/>
    </xf>
    <xf numFmtId="165" fontId="31" fillId="0" borderId="15" xfId="0" applyNumberFormat="1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164" fontId="31" fillId="0" borderId="11" xfId="0" applyNumberFormat="1" applyFont="1" applyBorder="1" applyAlignment="1">
      <alignment horizontal="center" vertical="center" wrapText="1"/>
    </xf>
    <xf numFmtId="164" fontId="30" fillId="0" borderId="10" xfId="0" applyNumberFormat="1" applyFont="1" applyBorder="1" applyAlignment="1">
      <alignment horizontal="right"/>
    </xf>
    <xf numFmtId="164" fontId="31" fillId="0" borderId="18" xfId="0" applyNumberFormat="1" applyFont="1" applyBorder="1" applyAlignment="1">
      <alignment horizontal="right"/>
    </xf>
    <xf numFmtId="164" fontId="31" fillId="0" borderId="17" xfId="0" applyNumberFormat="1" applyFont="1" applyBorder="1" applyAlignment="1">
      <alignment horizontal="right"/>
    </xf>
    <xf numFmtId="165" fontId="31" fillId="0" borderId="13" xfId="0" applyNumberFormat="1" applyFont="1" applyBorder="1" applyAlignment="1">
      <alignment horizontal="right"/>
    </xf>
    <xf numFmtId="0" fontId="30" fillId="0" borderId="0" xfId="0" applyFont="1" applyBorder="1" applyAlignment="1">
      <alignment horizontal="left"/>
    </xf>
    <xf numFmtId="0" fontId="31" fillId="0" borderId="14" xfId="0" applyFont="1" applyBorder="1" applyAlignment="1">
      <alignment horizontal="center" vertical="center"/>
    </xf>
    <xf numFmtId="0" fontId="30" fillId="0" borderId="19" xfId="0" applyFont="1" applyBorder="1" applyAlignment="1">
      <alignment/>
    </xf>
    <xf numFmtId="165" fontId="30" fillId="0" borderId="31" xfId="0" applyNumberFormat="1" applyFont="1" applyBorder="1" applyAlignment="1">
      <alignment/>
    </xf>
    <xf numFmtId="165" fontId="30" fillId="0" borderId="20" xfId="0" applyNumberFormat="1" applyFont="1" applyBorder="1" applyAlignment="1">
      <alignment/>
    </xf>
    <xf numFmtId="165" fontId="31" fillId="0" borderId="17" xfId="0" applyNumberFormat="1" applyFont="1" applyBorder="1" applyAlignment="1">
      <alignment/>
    </xf>
    <xf numFmtId="0" fontId="31" fillId="0" borderId="0" xfId="0" applyFont="1" applyFill="1" applyBorder="1" applyAlignment="1">
      <alignment horizontal="center"/>
    </xf>
    <xf numFmtId="0" fontId="31" fillId="0" borderId="32" xfId="0" applyFont="1" applyFill="1" applyBorder="1" applyAlignment="1">
      <alignment horizontal="center" wrapText="1"/>
    </xf>
    <xf numFmtId="164" fontId="31" fillId="0" borderId="0" xfId="0" applyNumberFormat="1" applyFont="1" applyFill="1" applyBorder="1" applyAlignment="1">
      <alignment horizontal="right"/>
    </xf>
    <xf numFmtId="164" fontId="31" fillId="0" borderId="0" xfId="0" applyNumberFormat="1" applyFont="1" applyBorder="1" applyAlignment="1">
      <alignment horizontal="right"/>
    </xf>
    <xf numFmtId="164" fontId="30" fillId="0" borderId="0" xfId="0" applyNumberFormat="1" applyFont="1" applyBorder="1" applyAlignment="1">
      <alignment horizontal="right" wrapText="1"/>
    </xf>
    <xf numFmtId="165" fontId="30" fillId="0" borderId="0" xfId="0" applyNumberFormat="1" applyFont="1" applyBorder="1" applyAlignment="1">
      <alignment horizontal="right" wrapText="1"/>
    </xf>
    <xf numFmtId="0" fontId="31" fillId="0" borderId="0" xfId="0" applyFont="1" applyBorder="1" applyAlignment="1">
      <alignment horizontal="center"/>
    </xf>
    <xf numFmtId="164" fontId="60" fillId="0" borderId="0" xfId="0" applyNumberFormat="1" applyFont="1" applyBorder="1" applyAlignment="1">
      <alignment horizontal="center" vertical="center" wrapText="1"/>
    </xf>
    <xf numFmtId="0" fontId="31" fillId="3" borderId="10" xfId="0" applyFont="1" applyFill="1" applyBorder="1" applyAlignment="1">
      <alignment horizontal="center" wrapText="1"/>
    </xf>
    <xf numFmtId="165" fontId="30" fillId="3" borderId="10" xfId="0" applyNumberFormat="1" applyFont="1" applyFill="1" applyBorder="1" applyAlignment="1">
      <alignment horizontal="right"/>
    </xf>
    <xf numFmtId="165" fontId="30" fillId="12" borderId="10" xfId="0" applyNumberFormat="1" applyFont="1" applyFill="1" applyBorder="1" applyAlignment="1">
      <alignment/>
    </xf>
    <xf numFmtId="165" fontId="30" fillId="12" borderId="10" xfId="0" applyNumberFormat="1" applyFont="1" applyFill="1" applyBorder="1" applyAlignment="1">
      <alignment horizontal="right"/>
    </xf>
    <xf numFmtId="7" fontId="30" fillId="12" borderId="10" xfId="0" applyNumberFormat="1" applyFont="1" applyFill="1" applyBorder="1" applyAlignment="1">
      <alignment horizontal="right"/>
    </xf>
    <xf numFmtId="165" fontId="31" fillId="12" borderId="10" xfId="0" applyNumberFormat="1" applyFont="1" applyFill="1" applyBorder="1" applyAlignment="1">
      <alignment horizontal="right"/>
    </xf>
    <xf numFmtId="165" fontId="30" fillId="12" borderId="10" xfId="45" applyNumberFormat="1" applyFont="1" applyFill="1" applyBorder="1" applyAlignment="1">
      <alignment horizontal="right"/>
    </xf>
    <xf numFmtId="165" fontId="30" fillId="12" borderId="10" xfId="42" applyNumberFormat="1" applyFont="1" applyFill="1" applyBorder="1" applyAlignment="1">
      <alignment horizontal="right"/>
    </xf>
    <xf numFmtId="165" fontId="31" fillId="12" borderId="10" xfId="45" applyNumberFormat="1" applyFont="1" applyFill="1" applyBorder="1" applyAlignment="1">
      <alignment/>
    </xf>
    <xf numFmtId="0" fontId="31" fillId="9" borderId="16" xfId="0" applyFont="1" applyFill="1" applyBorder="1" applyAlignment="1">
      <alignment horizontal="center" wrapText="1"/>
    </xf>
    <xf numFmtId="192" fontId="30" fillId="9" borderId="12" xfId="42" applyNumberFormat="1" applyFont="1" applyFill="1" applyBorder="1" applyAlignment="1">
      <alignment horizontal="right"/>
    </xf>
    <xf numFmtId="1" fontId="30" fillId="9" borderId="12" xfId="42" applyNumberFormat="1" applyFont="1" applyFill="1" applyBorder="1" applyAlignment="1">
      <alignment horizontal="right"/>
    </xf>
    <xf numFmtId="1" fontId="30" fillId="9" borderId="13" xfId="42" applyNumberFormat="1" applyFont="1" applyFill="1" applyBorder="1" applyAlignment="1">
      <alignment/>
    </xf>
    <xf numFmtId="0" fontId="31" fillId="12" borderId="15" xfId="0" applyNumberFormat="1" applyFont="1" applyFill="1" applyBorder="1" applyAlignment="1">
      <alignment horizontal="center" wrapText="1"/>
    </xf>
    <xf numFmtId="0" fontId="31" fillId="12" borderId="16" xfId="0" applyNumberFormat="1" applyFont="1" applyFill="1" applyBorder="1" applyAlignment="1">
      <alignment horizontal="center" wrapText="1"/>
    </xf>
    <xf numFmtId="165" fontId="30" fillId="12" borderId="12" xfId="0" applyNumberFormat="1" applyFont="1" applyFill="1" applyBorder="1" applyAlignment="1">
      <alignment horizontal="right"/>
    </xf>
    <xf numFmtId="165" fontId="30" fillId="12" borderId="31" xfId="0" applyNumberFormat="1" applyFont="1" applyFill="1" applyBorder="1" applyAlignment="1">
      <alignment horizontal="right"/>
    </xf>
    <xf numFmtId="165" fontId="30" fillId="12" borderId="20" xfId="0" applyNumberFormat="1" applyFont="1" applyFill="1" applyBorder="1" applyAlignment="1">
      <alignment horizontal="right"/>
    </xf>
    <xf numFmtId="0" fontId="31" fillId="9" borderId="27" xfId="0" applyFont="1" applyFill="1" applyBorder="1" applyAlignment="1">
      <alignment horizontal="right" wrapText="1"/>
    </xf>
    <xf numFmtId="164" fontId="31" fillId="9" borderId="11" xfId="0" applyNumberFormat="1" applyFont="1" applyFill="1" applyBorder="1" applyAlignment="1">
      <alignment horizontal="right"/>
    </xf>
    <xf numFmtId="164" fontId="31" fillId="9" borderId="26" xfId="0" applyNumberFormat="1" applyFont="1" applyFill="1" applyBorder="1" applyAlignment="1">
      <alignment/>
    </xf>
    <xf numFmtId="164" fontId="31" fillId="9" borderId="26" xfId="0" applyNumberFormat="1" applyFont="1" applyFill="1" applyBorder="1" applyAlignment="1">
      <alignment horizontal="right"/>
    </xf>
    <xf numFmtId="0" fontId="31" fillId="9" borderId="33" xfId="0" applyFont="1" applyFill="1" applyBorder="1" applyAlignment="1">
      <alignment horizontal="right" wrapText="1"/>
    </xf>
    <xf numFmtId="164" fontId="31" fillId="9" borderId="19" xfId="0" applyNumberFormat="1" applyFont="1" applyFill="1" applyBorder="1" applyAlignment="1">
      <alignment horizontal="right"/>
    </xf>
    <xf numFmtId="164" fontId="31" fillId="9" borderId="34" xfId="0" applyNumberFormat="1" applyFont="1" applyFill="1" applyBorder="1" applyAlignment="1">
      <alignment horizontal="right"/>
    </xf>
    <xf numFmtId="164" fontId="31" fillId="9" borderId="35" xfId="0" applyNumberFormat="1" applyFont="1" applyFill="1" applyBorder="1" applyAlignment="1">
      <alignment horizontal="right"/>
    </xf>
    <xf numFmtId="0" fontId="30" fillId="0" borderId="36" xfId="0" applyFont="1" applyBorder="1" applyAlignment="1">
      <alignment horizontal="right" vertical="center"/>
    </xf>
    <xf numFmtId="165" fontId="31" fillId="0" borderId="20" xfId="0" applyNumberFormat="1" applyFont="1" applyBorder="1" applyAlignment="1">
      <alignment horizontal="center" vertical="center"/>
    </xf>
    <xf numFmtId="0" fontId="35" fillId="16" borderId="24" xfId="0" applyFont="1" applyFill="1" applyBorder="1" applyAlignment="1">
      <alignment horizontal="center"/>
    </xf>
    <xf numFmtId="0" fontId="35" fillId="18" borderId="31" xfId="0" applyFont="1" applyFill="1" applyBorder="1" applyAlignment="1">
      <alignment horizontal="center"/>
    </xf>
    <xf numFmtId="0" fontId="35" fillId="15" borderId="37" xfId="0" applyFont="1" applyFill="1" applyBorder="1" applyAlignment="1">
      <alignment horizontal="center"/>
    </xf>
    <xf numFmtId="0" fontId="31" fillId="0" borderId="10" xfId="0" applyNumberFormat="1" applyFont="1" applyFill="1" applyBorder="1" applyAlignment="1">
      <alignment horizontal="center" wrapText="1"/>
    </xf>
    <xf numFmtId="0" fontId="31" fillId="0" borderId="10" xfId="0" applyFont="1" applyBorder="1" applyAlignment="1">
      <alignment horizontal="center"/>
    </xf>
    <xf numFmtId="2" fontId="30" fillId="0" borderId="0" xfId="0" applyNumberFormat="1" applyFont="1" applyBorder="1" applyAlignment="1">
      <alignment/>
    </xf>
    <xf numFmtId="167" fontId="30" fillId="0" borderId="10" xfId="0" applyNumberFormat="1" applyFont="1" applyBorder="1" applyAlignment="1">
      <alignment horizontal="right"/>
    </xf>
    <xf numFmtId="0" fontId="30" fillId="0" borderId="10" xfId="0" applyFont="1" applyBorder="1" applyAlignment="1">
      <alignment/>
    </xf>
    <xf numFmtId="0" fontId="31" fillId="0" borderId="10" xfId="0" applyFont="1" applyFill="1" applyBorder="1" applyAlignment="1">
      <alignment horizontal="right"/>
    </xf>
    <xf numFmtId="0" fontId="35" fillId="15" borderId="10" xfId="0" applyFont="1" applyFill="1" applyBorder="1" applyAlignment="1">
      <alignment horizontal="center"/>
    </xf>
    <xf numFmtId="0" fontId="30" fillId="0" borderId="10" xfId="0" applyFont="1" applyBorder="1" applyAlignment="1">
      <alignment wrapText="1"/>
    </xf>
    <xf numFmtId="166" fontId="30" fillId="0" borderId="10" xfId="61" applyNumberFormat="1" applyFont="1" applyFill="1" applyBorder="1" applyAlignment="1">
      <alignment horizontal="right"/>
    </xf>
    <xf numFmtId="173" fontId="30" fillId="0" borderId="10" xfId="61" applyNumberFormat="1" applyFont="1" applyFill="1" applyBorder="1" applyAlignment="1">
      <alignment horizontal="right"/>
    </xf>
    <xf numFmtId="164" fontId="30" fillId="0" borderId="10" xfId="61" applyNumberFormat="1" applyFont="1" applyFill="1" applyBorder="1" applyAlignment="1">
      <alignment horizontal="right"/>
    </xf>
    <xf numFmtId="170" fontId="30" fillId="0" borderId="10" xfId="61" applyNumberFormat="1" applyFont="1" applyBorder="1" applyAlignment="1">
      <alignment horizontal="right"/>
    </xf>
    <xf numFmtId="0" fontId="35" fillId="18" borderId="37" xfId="0" applyFont="1" applyFill="1" applyBorder="1" applyAlignment="1">
      <alignment horizontal="center" wrapText="1"/>
    </xf>
    <xf numFmtId="0" fontId="35" fillId="18" borderId="31" xfId="0" applyFont="1" applyFill="1" applyBorder="1" applyAlignment="1">
      <alignment horizontal="center" wrapText="1"/>
    </xf>
    <xf numFmtId="0" fontId="31" fillId="0" borderId="10" xfId="0" applyNumberFormat="1" applyFont="1" applyBorder="1" applyAlignment="1">
      <alignment horizontal="center" wrapText="1"/>
    </xf>
    <xf numFmtId="0" fontId="31" fillId="11" borderId="10" xfId="0" applyNumberFormat="1" applyFont="1" applyFill="1" applyBorder="1" applyAlignment="1">
      <alignment horizontal="center" wrapText="1"/>
    </xf>
    <xf numFmtId="192" fontId="30" fillId="0" borderId="10" xfId="42" applyNumberFormat="1" applyFont="1" applyFill="1" applyBorder="1" applyAlignment="1">
      <alignment/>
    </xf>
    <xf numFmtId="165" fontId="30" fillId="11" borderId="10" xfId="0" applyNumberFormat="1" applyFont="1" applyFill="1" applyBorder="1" applyAlignment="1">
      <alignment horizontal="right"/>
    </xf>
    <xf numFmtId="192" fontId="31" fillId="0" borderId="10" xfId="42" applyNumberFormat="1" applyFont="1" applyFill="1" applyBorder="1" applyAlignment="1">
      <alignment/>
    </xf>
    <xf numFmtId="0" fontId="31" fillId="0" borderId="10" xfId="0" applyFont="1" applyFill="1" applyBorder="1" applyAlignment="1">
      <alignment/>
    </xf>
    <xf numFmtId="192" fontId="31" fillId="0" borderId="10" xfId="42" applyNumberFormat="1" applyFont="1" applyFill="1" applyBorder="1" applyAlignment="1">
      <alignment/>
    </xf>
    <xf numFmtId="192" fontId="31" fillId="0" borderId="10" xfId="42" applyNumberFormat="1" applyFont="1" applyBorder="1" applyAlignment="1">
      <alignment horizontal="left" indent="2"/>
    </xf>
    <xf numFmtId="164" fontId="31" fillId="0" borderId="10" xfId="0" applyNumberFormat="1" applyFont="1" applyBorder="1" applyAlignment="1">
      <alignment horizontal="center"/>
    </xf>
    <xf numFmtId="0" fontId="35" fillId="17" borderId="10" xfId="0" applyFont="1" applyFill="1" applyBorder="1" applyAlignment="1">
      <alignment horizontal="center"/>
    </xf>
    <xf numFmtId="0" fontId="31" fillId="0" borderId="38" xfId="0" applyFont="1" applyFill="1" applyBorder="1" applyAlignment="1">
      <alignment horizontal="center" vertical="center" wrapText="1"/>
    </xf>
    <xf numFmtId="164" fontId="31" fillId="0" borderId="15" xfId="0" applyNumberFormat="1" applyFont="1" applyBorder="1" applyAlignment="1">
      <alignment horizontal="center" vertical="center" wrapText="1"/>
    </xf>
    <xf numFmtId="164" fontId="31" fillId="0" borderId="16" xfId="0" applyNumberFormat="1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/>
    </xf>
    <xf numFmtId="10" fontId="31" fillId="0" borderId="17" xfId="0" applyNumberFormat="1" applyFont="1" applyBorder="1" applyAlignment="1">
      <alignment horizontal="right"/>
    </xf>
    <xf numFmtId="10" fontId="31" fillId="0" borderId="13" xfId="0" applyNumberFormat="1" applyFont="1" applyBorder="1" applyAlignment="1">
      <alignment horizontal="right"/>
    </xf>
    <xf numFmtId="1" fontId="30" fillId="0" borderId="10" xfId="0" applyNumberFormat="1" applyFont="1" applyFill="1" applyBorder="1" applyAlignment="1">
      <alignment/>
    </xf>
    <xf numFmtId="1" fontId="30" fillId="0" borderId="17" xfId="0" applyNumberFormat="1" applyFont="1" applyFill="1" applyBorder="1" applyAlignment="1">
      <alignment/>
    </xf>
    <xf numFmtId="0" fontId="61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6" fillId="0" borderId="0" xfId="0" applyFont="1" applyAlignment="1">
      <alignment/>
    </xf>
    <xf numFmtId="0" fontId="3" fillId="7" borderId="10" xfId="0" applyNumberFormat="1" applyFont="1" applyFill="1" applyBorder="1" applyAlignment="1">
      <alignment horizontal="center" vertical="center" wrapText="1"/>
    </xf>
    <xf numFmtId="0" fontId="0" fillId="7" borderId="10" xfId="0" applyFont="1" applyFill="1" applyBorder="1" applyAlignment="1">
      <alignment vertical="center"/>
    </xf>
    <xf numFmtId="0" fontId="3" fillId="5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92" fontId="0" fillId="0" borderId="10" xfId="42" applyNumberFormat="1" applyFont="1" applyBorder="1" applyAlignment="1">
      <alignment vertical="center"/>
    </xf>
    <xf numFmtId="7" fontId="0" fillId="5" borderId="10" xfId="45" applyNumberFormat="1" applyFont="1" applyFill="1" applyBorder="1" applyAlignment="1">
      <alignment vertical="center"/>
    </xf>
    <xf numFmtId="7" fontId="0" fillId="0" borderId="10" xfId="45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7" fontId="3" fillId="0" borderId="10" xfId="45" applyNumberFormat="1" applyFont="1" applyBorder="1" applyAlignment="1">
      <alignment vertical="center"/>
    </xf>
    <xf numFmtId="0" fontId="0" fillId="7" borderId="10" xfId="0" applyFont="1" applyFill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0" fontId="0" fillId="0" borderId="39" xfId="0" applyFont="1" applyBorder="1" applyAlignment="1">
      <alignment horizontal="right" vertical="center"/>
    </xf>
    <xf numFmtId="0" fontId="0" fillId="7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0" fontId="3" fillId="7" borderId="10" xfId="0" applyFont="1" applyFill="1" applyBorder="1" applyAlignment="1">
      <alignment horizontal="center" vertical="center" wrapText="1"/>
    </xf>
    <xf numFmtId="0" fontId="0" fillId="7" borderId="10" xfId="0" applyFont="1" applyFill="1" applyBorder="1" applyAlignment="1">
      <alignment/>
    </xf>
    <xf numFmtId="0" fontId="0" fillId="0" borderId="4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3" fillId="0" borderId="10" xfId="0" applyFont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3" fillId="0" borderId="0" xfId="0" applyFont="1" applyAlignment="1">
      <alignment/>
    </xf>
    <xf numFmtId="0" fontId="0" fillId="0" borderId="0" xfId="0" applyAlignment="1">
      <alignment vertical="center"/>
    </xf>
    <xf numFmtId="0" fontId="3" fillId="6" borderId="10" xfId="0" applyFont="1" applyFill="1" applyBorder="1" applyAlignment="1">
      <alignment horizontal="center" vertical="center" wrapText="1"/>
    </xf>
    <xf numFmtId="192" fontId="0" fillId="6" borderId="10" xfId="42" applyNumberFormat="1" applyFont="1" applyFill="1" applyBorder="1" applyAlignment="1">
      <alignment vertical="center"/>
    </xf>
    <xf numFmtId="165" fontId="0" fillId="6" borderId="10" xfId="42" applyNumberFormat="1" applyFont="1" applyFill="1" applyBorder="1" applyAlignment="1">
      <alignment vertical="center"/>
    </xf>
    <xf numFmtId="192" fontId="3" fillId="6" borderId="39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165" fontId="0" fillId="0" borderId="0" xfId="0" applyNumberFormat="1" applyAlignment="1">
      <alignment/>
    </xf>
    <xf numFmtId="165" fontId="0" fillId="6" borderId="10" xfId="42" applyNumberFormat="1" applyFont="1" applyFill="1" applyBorder="1" applyAlignment="1">
      <alignment/>
    </xf>
    <xf numFmtId="165" fontId="0" fillId="6" borderId="10" xfId="45" applyNumberFormat="1" applyFont="1" applyFill="1" applyBorder="1" applyAlignment="1">
      <alignment vertical="center"/>
    </xf>
    <xf numFmtId="165" fontId="0" fillId="6" borderId="10" xfId="0" applyNumberFormat="1" applyFont="1" applyFill="1" applyBorder="1" applyAlignment="1">
      <alignment vertical="center"/>
    </xf>
    <xf numFmtId="192" fontId="3" fillId="6" borderId="10" xfId="0" applyNumberFormat="1" applyFont="1" applyFill="1" applyBorder="1" applyAlignment="1">
      <alignment vertical="center"/>
    </xf>
    <xf numFmtId="192" fontId="0" fillId="6" borderId="10" xfId="42" applyNumberFormat="1" applyFont="1" applyFill="1" applyBorder="1" applyAlignment="1">
      <alignment/>
    </xf>
    <xf numFmtId="164" fontId="0" fillId="6" borderId="10" xfId="42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165" fontId="0" fillId="0" borderId="0" xfId="45" applyNumberFormat="1" applyFont="1" applyFill="1" applyBorder="1" applyAlignment="1">
      <alignment vertical="center"/>
    </xf>
    <xf numFmtId="7" fontId="0" fillId="0" borderId="0" xfId="0" applyNumberFormat="1" applyAlignment="1">
      <alignment/>
    </xf>
    <xf numFmtId="43" fontId="0" fillId="0" borderId="0" xfId="0" applyNumberFormat="1" applyAlignment="1">
      <alignment/>
    </xf>
    <xf numFmtId="0" fontId="3" fillId="6" borderId="27" xfId="0" applyFont="1" applyFill="1" applyBorder="1" applyAlignment="1">
      <alignment horizontal="center" vertical="center"/>
    </xf>
    <xf numFmtId="0" fontId="3" fillId="6" borderId="41" xfId="0" applyFont="1" applyFill="1" applyBorder="1" applyAlignment="1">
      <alignment horizontal="center" vertical="center"/>
    </xf>
    <xf numFmtId="0" fontId="3" fillId="6" borderId="42" xfId="0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10" fillId="0" borderId="43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10" fillId="0" borderId="43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57" fillId="0" borderId="0" xfId="0" applyFont="1" applyFill="1" applyBorder="1" applyAlignment="1">
      <alignment horizontal="left" vertical="center" wrapText="1"/>
    </xf>
    <xf numFmtId="0" fontId="30" fillId="0" borderId="0" xfId="0" applyNumberFormat="1" applyFont="1" applyFill="1" applyBorder="1" applyAlignment="1">
      <alignment horizontal="left" wrapText="1"/>
    </xf>
    <xf numFmtId="0" fontId="35" fillId="15" borderId="31" xfId="0" applyFont="1" applyFill="1" applyBorder="1" applyAlignment="1">
      <alignment horizontal="center" vertical="center"/>
    </xf>
    <xf numFmtId="0" fontId="35" fillId="18" borderId="10" xfId="0" applyFont="1" applyFill="1" applyBorder="1" applyAlignment="1">
      <alignment horizontal="center"/>
    </xf>
    <xf numFmtId="0" fontId="35" fillId="17" borderId="27" xfId="0" applyFont="1" applyFill="1" applyBorder="1" applyAlignment="1">
      <alignment horizontal="center"/>
    </xf>
    <xf numFmtId="0" fontId="35" fillId="17" borderId="42" xfId="0" applyFont="1" applyFill="1" applyBorder="1" applyAlignment="1">
      <alignment horizontal="center"/>
    </xf>
    <xf numFmtId="0" fontId="35" fillId="16" borderId="27" xfId="0" applyFont="1" applyFill="1" applyBorder="1" applyAlignment="1">
      <alignment horizontal="center"/>
    </xf>
    <xf numFmtId="0" fontId="35" fillId="16" borderId="42" xfId="0" applyFont="1" applyFill="1" applyBorder="1" applyAlignment="1">
      <alignment horizontal="center"/>
    </xf>
    <xf numFmtId="0" fontId="35" fillId="19" borderId="10" xfId="0" applyFont="1" applyFill="1" applyBorder="1" applyAlignment="1">
      <alignment horizontal="center"/>
    </xf>
    <xf numFmtId="0" fontId="30" fillId="0" borderId="40" xfId="0" applyFont="1" applyFill="1" applyBorder="1" applyAlignment="1">
      <alignment horizontal="left"/>
    </xf>
    <xf numFmtId="0" fontId="62" fillId="0" borderId="10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horizontal="center"/>
    </xf>
    <xf numFmtId="0" fontId="31" fillId="0" borderId="14" xfId="0" applyFont="1" applyBorder="1" applyAlignment="1">
      <alignment horizontal="center"/>
    </xf>
    <xf numFmtId="0" fontId="31" fillId="0" borderId="16" xfId="0" applyFont="1" applyBorder="1" applyAlignment="1">
      <alignment horizontal="center"/>
    </xf>
    <xf numFmtId="0" fontId="35" fillId="18" borderId="36" xfId="0" applyFont="1" applyFill="1" applyBorder="1" applyAlignment="1">
      <alignment horizontal="center" vertical="center" wrapText="1"/>
    </xf>
    <xf numFmtId="0" fontId="35" fillId="18" borderId="44" xfId="0" applyFont="1" applyFill="1" applyBorder="1" applyAlignment="1">
      <alignment horizontal="center" vertical="center" wrapText="1"/>
    </xf>
    <xf numFmtId="0" fontId="35" fillId="18" borderId="45" xfId="0" applyFont="1" applyFill="1" applyBorder="1" applyAlignment="1">
      <alignment horizontal="center" vertical="center" wrapText="1"/>
    </xf>
    <xf numFmtId="0" fontId="35" fillId="18" borderId="46" xfId="0" applyFont="1" applyFill="1" applyBorder="1" applyAlignment="1">
      <alignment horizontal="center" vertical="center" wrapText="1"/>
    </xf>
    <xf numFmtId="0" fontId="35" fillId="18" borderId="0" xfId="0" applyFont="1" applyFill="1" applyBorder="1" applyAlignment="1">
      <alignment horizontal="center" vertical="center" wrapText="1"/>
    </xf>
    <xf numFmtId="0" fontId="35" fillId="18" borderId="47" xfId="0" applyFont="1" applyFill="1" applyBorder="1" applyAlignment="1">
      <alignment horizontal="center" vertical="center" wrapText="1"/>
    </xf>
    <xf numFmtId="0" fontId="35" fillId="18" borderId="48" xfId="0" applyFont="1" applyFill="1" applyBorder="1" applyAlignment="1">
      <alignment horizontal="center" vertical="center" wrapText="1"/>
    </xf>
    <xf numFmtId="0" fontId="35" fillId="18" borderId="49" xfId="0" applyFont="1" applyFill="1" applyBorder="1" applyAlignment="1">
      <alignment horizontal="center" vertical="center" wrapText="1"/>
    </xf>
    <xf numFmtId="0" fontId="35" fillId="18" borderId="50" xfId="0" applyFont="1" applyFill="1" applyBorder="1" applyAlignment="1">
      <alignment horizontal="center" vertical="center" wrapText="1"/>
    </xf>
    <xf numFmtId="0" fontId="31" fillId="0" borderId="29" xfId="0" applyFont="1" applyFill="1" applyBorder="1" applyAlignment="1">
      <alignment horizontal="right"/>
    </xf>
    <xf numFmtId="0" fontId="31" fillId="0" borderId="51" xfId="0" applyFont="1" applyFill="1" applyBorder="1" applyAlignment="1">
      <alignment horizontal="right"/>
    </xf>
    <xf numFmtId="0" fontId="31" fillId="0" borderId="52" xfId="0" applyFont="1" applyFill="1" applyBorder="1" applyAlignment="1">
      <alignment horizontal="right"/>
    </xf>
    <xf numFmtId="0" fontId="31" fillId="0" borderId="29" xfId="0" applyFont="1" applyFill="1" applyBorder="1" applyAlignment="1">
      <alignment horizontal="center" vertical="center" wrapText="1"/>
    </xf>
    <xf numFmtId="0" fontId="31" fillId="0" borderId="51" xfId="0" applyFont="1" applyFill="1" applyBorder="1" applyAlignment="1">
      <alignment horizontal="center" vertical="center" wrapText="1"/>
    </xf>
    <xf numFmtId="0" fontId="31" fillId="0" borderId="52" xfId="0" applyFont="1" applyFill="1" applyBorder="1" applyAlignment="1">
      <alignment horizontal="center" vertical="center" wrapText="1"/>
    </xf>
    <xf numFmtId="165" fontId="31" fillId="0" borderId="29" xfId="0" applyNumberFormat="1" applyFont="1" applyBorder="1" applyAlignment="1">
      <alignment horizontal="center" vertical="center" wrapText="1"/>
    </xf>
    <xf numFmtId="165" fontId="31" fillId="0" borderId="52" xfId="0" applyNumberFormat="1" applyFont="1" applyBorder="1" applyAlignment="1">
      <alignment horizontal="center" vertical="center" wrapText="1"/>
    </xf>
    <xf numFmtId="0" fontId="35" fillId="15" borderId="37" xfId="0" applyFont="1" applyFill="1" applyBorder="1" applyAlignment="1">
      <alignment horizontal="center" vertical="center" wrapText="1"/>
    </xf>
    <xf numFmtId="0" fontId="40" fillId="15" borderId="53" xfId="0" applyFont="1" applyFill="1" applyBorder="1" applyAlignment="1">
      <alignment/>
    </xf>
    <xf numFmtId="165" fontId="31" fillId="0" borderId="51" xfId="0" applyNumberFormat="1" applyFont="1" applyBorder="1" applyAlignment="1">
      <alignment horizontal="center" vertical="center" wrapText="1"/>
    </xf>
    <xf numFmtId="0" fontId="30" fillId="0" borderId="29" xfId="0" applyFont="1" applyBorder="1" applyAlignment="1">
      <alignment horizontal="right" vertical="center"/>
    </xf>
    <xf numFmtId="0" fontId="30" fillId="0" borderId="51" xfId="0" applyFont="1" applyBorder="1" applyAlignment="1">
      <alignment horizontal="right" vertical="center"/>
    </xf>
    <xf numFmtId="0" fontId="30" fillId="0" borderId="54" xfId="0" applyFont="1" applyBorder="1" applyAlignment="1">
      <alignment horizontal="right" vertical="center"/>
    </xf>
    <xf numFmtId="0" fontId="35" fillId="17" borderId="37" xfId="0" applyFont="1" applyFill="1" applyBorder="1" applyAlignment="1">
      <alignment horizontal="center" vertical="center" wrapText="1"/>
    </xf>
    <xf numFmtId="0" fontId="35" fillId="17" borderId="46" xfId="0" applyFont="1" applyFill="1" applyBorder="1" applyAlignment="1">
      <alignment horizontal="center" vertical="center" wrapText="1"/>
    </xf>
    <xf numFmtId="0" fontId="35" fillId="17" borderId="48" xfId="0" applyFont="1" applyFill="1" applyBorder="1" applyAlignment="1">
      <alignment horizontal="center" vertical="center" wrapText="1"/>
    </xf>
    <xf numFmtId="165" fontId="31" fillId="0" borderId="29" xfId="0" applyNumberFormat="1" applyFont="1" applyBorder="1" applyAlignment="1">
      <alignment horizontal="center" vertical="top" wrapText="1"/>
    </xf>
    <xf numFmtId="165" fontId="31" fillId="0" borderId="52" xfId="0" applyNumberFormat="1" applyFont="1" applyBorder="1" applyAlignment="1">
      <alignment horizontal="center" vertical="top" wrapText="1"/>
    </xf>
    <xf numFmtId="0" fontId="37" fillId="0" borderId="43" xfId="0" applyFont="1" applyFill="1" applyBorder="1" applyAlignment="1">
      <alignment horizontal="left" vertical="center" wrapText="1"/>
    </xf>
    <xf numFmtId="0" fontId="37" fillId="0" borderId="0" xfId="0" applyFont="1" applyFill="1" applyBorder="1" applyAlignment="1">
      <alignment horizontal="left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Percent 2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8" width="16.7109375" style="0" customWidth="1"/>
  </cols>
  <sheetData>
    <row r="1" spans="1:7" ht="15" customHeight="1">
      <c r="A1" s="306" t="s">
        <v>249</v>
      </c>
      <c r="B1" s="298"/>
      <c r="C1" s="298"/>
      <c r="D1" s="298"/>
      <c r="E1" s="298"/>
      <c r="F1" s="298"/>
      <c r="G1" s="298"/>
    </row>
    <row r="2" spans="1:7" ht="15" customHeight="1">
      <c r="A2" s="298" t="s">
        <v>250</v>
      </c>
      <c r="B2" s="298"/>
      <c r="C2" s="298"/>
      <c r="D2" s="298"/>
      <c r="E2" s="298"/>
      <c r="F2" s="298"/>
      <c r="G2" s="298"/>
    </row>
    <row r="3" spans="1:7" ht="15" customHeight="1">
      <c r="A3" s="299" t="s">
        <v>24</v>
      </c>
      <c r="B3" s="297"/>
      <c r="C3" s="297"/>
      <c r="D3" s="297"/>
      <c r="E3" s="297"/>
      <c r="F3" s="297"/>
      <c r="G3" s="297"/>
    </row>
    <row r="4" spans="1:7" ht="15" customHeight="1">
      <c r="A4" s="290"/>
      <c r="B4" s="320" t="s">
        <v>150</v>
      </c>
      <c r="C4" s="321"/>
      <c r="D4" s="321"/>
      <c r="E4" s="321"/>
      <c r="F4" s="321"/>
      <c r="G4" s="322"/>
    </row>
    <row r="5" spans="1:8" ht="77.25" customHeight="1">
      <c r="A5" s="277" t="s">
        <v>7</v>
      </c>
      <c r="B5" s="301" t="s">
        <v>247</v>
      </c>
      <c r="C5" s="301" t="s">
        <v>248</v>
      </c>
      <c r="D5" s="301" t="s">
        <v>246</v>
      </c>
      <c r="E5" s="301" t="s">
        <v>245</v>
      </c>
      <c r="F5" s="301" t="s">
        <v>152</v>
      </c>
      <c r="G5" s="301" t="s">
        <v>252</v>
      </c>
      <c r="H5" s="277" t="s">
        <v>7</v>
      </c>
    </row>
    <row r="6" spans="1:11" ht="15" customHeight="1">
      <c r="A6" s="278" t="s">
        <v>16</v>
      </c>
      <c r="B6" s="302">
        <f>Summary!B29</f>
        <v>3113.272525156919</v>
      </c>
      <c r="C6" s="303">
        <f>Summary!C29</f>
        <v>119.92389950467435</v>
      </c>
      <c r="D6" s="303">
        <f>Summary!D29</f>
        <v>27.69000445293052</v>
      </c>
      <c r="E6" s="303">
        <f>Summary!E29</f>
        <v>147.61390395760486</v>
      </c>
      <c r="F6" s="303">
        <f>Summary!F29</f>
        <v>0</v>
      </c>
      <c r="G6" s="303">
        <f>Summary!G29</f>
        <v>147.61390395760486</v>
      </c>
      <c r="H6" s="278" t="s">
        <v>16</v>
      </c>
      <c r="J6" s="308"/>
      <c r="K6" s="308"/>
    </row>
    <row r="7" spans="1:11" ht="15" customHeight="1">
      <c r="A7" s="278" t="s">
        <v>55</v>
      </c>
      <c r="B7" s="302">
        <f>Summary!B30</f>
        <v>12798.867957732304</v>
      </c>
      <c r="C7" s="303">
        <f>Summary!C30</f>
        <v>119.81030111063517</v>
      </c>
      <c r="D7" s="303">
        <f>Summary!D30</f>
        <v>27.69000445293052</v>
      </c>
      <c r="E7" s="303">
        <f>Summary!E30</f>
        <v>147.5003055635657</v>
      </c>
      <c r="F7" s="303">
        <f>Summary!F30</f>
        <v>0</v>
      </c>
      <c r="G7" s="303">
        <f>Summary!G30</f>
        <v>147.5003055635657</v>
      </c>
      <c r="H7" s="278" t="s">
        <v>55</v>
      </c>
      <c r="J7" s="308"/>
      <c r="K7" s="308"/>
    </row>
    <row r="8" spans="1:11" ht="15" customHeight="1">
      <c r="A8" s="278" t="s">
        <v>19</v>
      </c>
      <c r="B8" s="302">
        <f>Summary!B31</f>
        <v>10008.888143604483</v>
      </c>
      <c r="C8" s="303">
        <f>Summary!C31</f>
        <v>119.81030111063517</v>
      </c>
      <c r="D8" s="303">
        <f>Summary!D31</f>
        <v>27.69000445293052</v>
      </c>
      <c r="E8" s="303">
        <f>Summary!E31</f>
        <v>147.5003055635657</v>
      </c>
      <c r="F8" s="303">
        <f>Summary!F31</f>
        <v>0</v>
      </c>
      <c r="G8" s="303">
        <f>Summary!G31</f>
        <v>147.5003055635657</v>
      </c>
      <c r="H8" s="278" t="s">
        <v>19</v>
      </c>
      <c r="J8" s="308"/>
      <c r="K8" s="308"/>
    </row>
    <row r="9" spans="1:11" ht="15" customHeight="1">
      <c r="A9" s="278" t="s">
        <v>49</v>
      </c>
      <c r="B9" s="302">
        <f>Summary!B32</f>
        <v>14811.252526046535</v>
      </c>
      <c r="C9" s="303">
        <f>Summary!C32</f>
        <v>119.81030111063517</v>
      </c>
      <c r="D9" s="303">
        <f>Summary!D32</f>
        <v>27.69000445293052</v>
      </c>
      <c r="E9" s="303">
        <f>Summary!E32</f>
        <v>147.5003055635657</v>
      </c>
      <c r="F9" s="303">
        <f>Summary!F32</f>
        <v>0</v>
      </c>
      <c r="G9" s="303">
        <f>Summary!G32</f>
        <v>147.5003055635657</v>
      </c>
      <c r="H9" s="278" t="s">
        <v>49</v>
      </c>
      <c r="J9" s="308"/>
      <c r="K9" s="308"/>
    </row>
    <row r="10" spans="1:11" ht="15" customHeight="1">
      <c r="A10" s="278" t="s">
        <v>11</v>
      </c>
      <c r="B10" s="302">
        <f>Summary!B33</f>
        <v>8209.98267361381</v>
      </c>
      <c r="C10" s="303">
        <f>Summary!C33</f>
        <v>119.92389950467435</v>
      </c>
      <c r="D10" s="303">
        <f>Summary!D33</f>
        <v>27.69000445293052</v>
      </c>
      <c r="E10" s="303">
        <f>Summary!E33</f>
        <v>147.61390395760486</v>
      </c>
      <c r="F10" s="303">
        <f>Summary!F33</f>
        <v>0</v>
      </c>
      <c r="G10" s="303">
        <f>Summary!G33</f>
        <v>147.61390395760486</v>
      </c>
      <c r="H10" s="278" t="s">
        <v>11</v>
      </c>
      <c r="J10" s="308"/>
      <c r="K10" s="308"/>
    </row>
    <row r="11" spans="1:11" ht="15" customHeight="1">
      <c r="A11" s="278" t="s">
        <v>20</v>
      </c>
      <c r="B11" s="302">
        <f>Summary!B34</f>
        <v>26115.82457357292</v>
      </c>
      <c r="C11" s="303">
        <f>Summary!C34</f>
        <v>119.81030111063517</v>
      </c>
      <c r="D11" s="303">
        <f>Summary!D34</f>
        <v>27.69000445293052</v>
      </c>
      <c r="E11" s="303">
        <f>Summary!E34</f>
        <v>147.5003055635657</v>
      </c>
      <c r="F11" s="303">
        <f>Summary!F34</f>
        <v>0</v>
      </c>
      <c r="G11" s="303">
        <f>Summary!G34</f>
        <v>147.5003055635657</v>
      </c>
      <c r="H11" s="278" t="s">
        <v>20</v>
      </c>
      <c r="J11" s="308"/>
      <c r="K11" s="308"/>
    </row>
    <row r="12" spans="1:11" ht="15" customHeight="1">
      <c r="A12" s="278" t="s">
        <v>21</v>
      </c>
      <c r="B12" s="302">
        <f>Summary!B35</f>
        <v>3965.743147499886</v>
      </c>
      <c r="C12" s="303">
        <f>Summary!C35</f>
        <v>119.81030111063517</v>
      </c>
      <c r="D12" s="303">
        <f>Summary!D35</f>
        <v>27.69000445293052</v>
      </c>
      <c r="E12" s="303">
        <f>Summary!E35</f>
        <v>147.5003055635657</v>
      </c>
      <c r="F12" s="303">
        <f>Summary!F35</f>
        <v>0</v>
      </c>
      <c r="G12" s="303">
        <f>Summary!G35</f>
        <v>147.5003055635657</v>
      </c>
      <c r="H12" s="278" t="s">
        <v>21</v>
      </c>
      <c r="J12" s="308"/>
      <c r="K12" s="308"/>
    </row>
    <row r="13" spans="1:11" ht="15" customHeight="1">
      <c r="A13" s="278" t="s">
        <v>62</v>
      </c>
      <c r="B13" s="302">
        <f>Summary!B36</f>
        <v>5241.711205676533</v>
      </c>
      <c r="C13" s="303">
        <f>Summary!C36</f>
        <v>119.81030111063517</v>
      </c>
      <c r="D13" s="303">
        <f>Summary!D36</f>
        <v>27.69000445293052</v>
      </c>
      <c r="E13" s="303">
        <f>Summary!E36</f>
        <v>147.5003055635657</v>
      </c>
      <c r="F13" s="303">
        <f>Summary!F36</f>
        <v>0</v>
      </c>
      <c r="G13" s="303">
        <f>Summary!G36</f>
        <v>147.5003055635657</v>
      </c>
      <c r="H13" s="278" t="s">
        <v>62</v>
      </c>
      <c r="J13" s="308"/>
      <c r="K13" s="308"/>
    </row>
    <row r="14" spans="1:11" ht="15" customHeight="1">
      <c r="A14" s="278" t="s">
        <v>48</v>
      </c>
      <c r="B14" s="302">
        <f>Summary!B37</f>
        <v>3369.1269217698155</v>
      </c>
      <c r="C14" s="303">
        <f>Summary!C37</f>
        <v>119.81030111063517</v>
      </c>
      <c r="D14" s="303">
        <f>Summary!D37</f>
        <v>27.69000445293052</v>
      </c>
      <c r="E14" s="303">
        <f>Summary!E37</f>
        <v>147.5003055635657</v>
      </c>
      <c r="F14" s="303">
        <f>Summary!F37</f>
        <v>0</v>
      </c>
      <c r="G14" s="303">
        <f>Summary!G37</f>
        <v>147.5003055635657</v>
      </c>
      <c r="H14" s="278" t="s">
        <v>48</v>
      </c>
      <c r="J14" s="308"/>
      <c r="K14" s="308"/>
    </row>
    <row r="15" spans="1:11" ht="15" customHeight="1">
      <c r="A15" s="278" t="s">
        <v>32</v>
      </c>
      <c r="B15" s="302">
        <f>Summary!B38</f>
        <v>23749.174920997037</v>
      </c>
      <c r="C15" s="303">
        <f>Summary!C38</f>
        <v>119.81030111063517</v>
      </c>
      <c r="D15" s="303">
        <f>Summary!D38</f>
        <v>27.69000445293052</v>
      </c>
      <c r="E15" s="303">
        <f>Summary!E38</f>
        <v>147.5003055635657</v>
      </c>
      <c r="F15" s="303">
        <f>Summary!F38</f>
        <v>0</v>
      </c>
      <c r="G15" s="303">
        <f>Summary!G38</f>
        <v>147.5003055635657</v>
      </c>
      <c r="H15" s="278" t="s">
        <v>32</v>
      </c>
      <c r="J15" s="308"/>
      <c r="K15" s="308"/>
    </row>
    <row r="16" spans="1:11" ht="15" customHeight="1">
      <c r="A16" s="278" t="s">
        <v>17</v>
      </c>
      <c r="B16" s="302">
        <f>Summary!B39</f>
        <v>4736.702634638746</v>
      </c>
      <c r="C16" s="303">
        <f>Summary!C39</f>
        <v>119.92389950467435</v>
      </c>
      <c r="D16" s="303">
        <f>Summary!D39</f>
        <v>27.69000445293052</v>
      </c>
      <c r="E16" s="303">
        <f>Summary!E39</f>
        <v>147.61390395760486</v>
      </c>
      <c r="F16" s="303">
        <f>Summary!F39</f>
        <v>0</v>
      </c>
      <c r="G16" s="303">
        <f>Summary!G39</f>
        <v>147.61390395760486</v>
      </c>
      <c r="H16" s="278" t="s">
        <v>17</v>
      </c>
      <c r="J16" s="308"/>
      <c r="K16" s="308"/>
    </row>
    <row r="17" spans="1:11" ht="15" customHeight="1">
      <c r="A17" s="278" t="s">
        <v>162</v>
      </c>
      <c r="B17" s="302">
        <f>Summary!B40</f>
        <v>2405.3455855396014</v>
      </c>
      <c r="C17" s="303">
        <f>Summary!C40</f>
        <v>119.81030111063517</v>
      </c>
      <c r="D17" s="303">
        <f>Summary!D40</f>
        <v>27.69000445293052</v>
      </c>
      <c r="E17" s="303">
        <f>Summary!E40</f>
        <v>147.5003055635657</v>
      </c>
      <c r="F17" s="303">
        <f>Summary!F40</f>
        <v>0</v>
      </c>
      <c r="G17" s="303">
        <f>Summary!G40</f>
        <v>147.5003055635657</v>
      </c>
      <c r="H17" s="278" t="s">
        <v>162</v>
      </c>
      <c r="J17" s="308"/>
      <c r="K17" s="308"/>
    </row>
    <row r="18" spans="1:11" ht="15" customHeight="1">
      <c r="A18" s="278" t="s">
        <v>12</v>
      </c>
      <c r="B18" s="302">
        <f>Summary!B41</f>
        <v>7210.339168263425</v>
      </c>
      <c r="C18" s="303">
        <f>Summary!C41</f>
        <v>119.92389950467435</v>
      </c>
      <c r="D18" s="303">
        <f>Summary!D41</f>
        <v>27.69000445293052</v>
      </c>
      <c r="E18" s="303">
        <f>Summary!E41</f>
        <v>147.61390395760486</v>
      </c>
      <c r="F18" s="303">
        <f>Summary!F41</f>
        <v>0</v>
      </c>
      <c r="G18" s="303">
        <f>Summary!G41</f>
        <v>147.61390395760486</v>
      </c>
      <c r="H18" s="278" t="s">
        <v>12</v>
      </c>
      <c r="J18" s="308"/>
      <c r="K18" s="308"/>
    </row>
    <row r="19" spans="1:11" ht="15" customHeight="1">
      <c r="A19" s="278" t="s">
        <v>13</v>
      </c>
      <c r="B19" s="302">
        <f>Summary!B42</f>
        <v>3465.3553452746646</v>
      </c>
      <c r="C19" s="303">
        <f>Summary!C42</f>
        <v>119.92389950467435</v>
      </c>
      <c r="D19" s="303">
        <f>Summary!D42</f>
        <v>27.69000445293052</v>
      </c>
      <c r="E19" s="303">
        <f>Summary!E42</f>
        <v>147.61390395760486</v>
      </c>
      <c r="F19" s="303">
        <f>Summary!F42</f>
        <v>0</v>
      </c>
      <c r="G19" s="303">
        <f>Summary!G42</f>
        <v>147.61390395760486</v>
      </c>
      <c r="H19" s="278" t="s">
        <v>13</v>
      </c>
      <c r="J19" s="308"/>
      <c r="K19" s="308"/>
    </row>
    <row r="20" spans="1:11" ht="15" customHeight="1">
      <c r="A20" s="278" t="s">
        <v>9</v>
      </c>
      <c r="B20" s="302">
        <f>Summary!B43</f>
        <v>10054.17210760676</v>
      </c>
      <c r="C20" s="303">
        <f>Summary!C43</f>
        <v>119.92389950467435</v>
      </c>
      <c r="D20" s="303">
        <f>Summary!D43</f>
        <v>27.69000445293052</v>
      </c>
      <c r="E20" s="303">
        <f>Summary!E43</f>
        <v>147.61390395760486</v>
      </c>
      <c r="F20" s="303">
        <f>Summary!F43</f>
        <v>0</v>
      </c>
      <c r="G20" s="303">
        <f>Summary!G43</f>
        <v>147.61390395760486</v>
      </c>
      <c r="H20" s="278" t="s">
        <v>9</v>
      </c>
      <c r="J20" s="308"/>
      <c r="K20" s="308"/>
    </row>
    <row r="21" spans="1:11" ht="15" customHeight="1">
      <c r="A21" s="278" t="s">
        <v>14</v>
      </c>
      <c r="B21" s="302">
        <f>Summary!B44</f>
        <v>3424.599777672611</v>
      </c>
      <c r="C21" s="303">
        <f>Summary!C44</f>
        <v>119.92389950467435</v>
      </c>
      <c r="D21" s="303">
        <f>Summary!D44</f>
        <v>27.69000445293052</v>
      </c>
      <c r="E21" s="303">
        <f>Summary!E44</f>
        <v>147.61390395760486</v>
      </c>
      <c r="F21" s="303">
        <f>Summary!F44</f>
        <v>0</v>
      </c>
      <c r="G21" s="303">
        <f>Summary!G44</f>
        <v>147.61390395760486</v>
      </c>
      <c r="H21" s="278" t="s">
        <v>14</v>
      </c>
      <c r="J21" s="308"/>
      <c r="K21" s="308"/>
    </row>
    <row r="22" spans="1:11" ht="15" customHeight="1">
      <c r="A22" s="278" t="s">
        <v>15</v>
      </c>
      <c r="B22" s="302">
        <f>Summary!B45</f>
        <v>7617.8948442839655</v>
      </c>
      <c r="C22" s="303">
        <f>Summary!C45</f>
        <v>119.92389950467435</v>
      </c>
      <c r="D22" s="303">
        <f>Summary!D45</f>
        <v>27.69000445293052</v>
      </c>
      <c r="E22" s="303">
        <f>Summary!E45</f>
        <v>147.61390395760486</v>
      </c>
      <c r="F22" s="303">
        <f>Summary!F45</f>
        <v>0</v>
      </c>
      <c r="G22" s="303">
        <f>Summary!G45</f>
        <v>147.61390395760486</v>
      </c>
      <c r="H22" s="278" t="s">
        <v>15</v>
      </c>
      <c r="J22" s="308"/>
      <c r="K22" s="308"/>
    </row>
    <row r="23" spans="1:11" ht="15" customHeight="1">
      <c r="A23" s="278" t="s">
        <v>10</v>
      </c>
      <c r="B23" s="302">
        <f>Summary!B46</f>
        <v>8509.98893512893</v>
      </c>
      <c r="C23" s="303">
        <f>Summary!C46</f>
        <v>118.17930264172026</v>
      </c>
      <c r="D23" s="303">
        <f>Summary!D46</f>
        <v>27.69000445293052</v>
      </c>
      <c r="E23" s="303">
        <f>Summary!E46</f>
        <v>145.86930709465076</v>
      </c>
      <c r="F23" s="303">
        <f>Summary!F46</f>
        <v>0</v>
      </c>
      <c r="G23" s="303">
        <f>Summary!G46</f>
        <v>145.86930709465076</v>
      </c>
      <c r="H23" s="278" t="s">
        <v>10</v>
      </c>
      <c r="J23" s="308"/>
      <c r="K23" s="308"/>
    </row>
    <row r="24" spans="1:12" ht="15" customHeight="1">
      <c r="A24" s="278" t="s">
        <v>8</v>
      </c>
      <c r="B24" s="302">
        <f>Summary!B47</f>
        <v>11853.077577597434</v>
      </c>
      <c r="C24" s="303">
        <f>Summary!C47</f>
        <v>214.92389950467435</v>
      </c>
      <c r="D24" s="303">
        <f>Summary!D47</f>
        <v>27.69000445293052</v>
      </c>
      <c r="E24" s="303">
        <f>Summary!E47</f>
        <v>242.61390395760486</v>
      </c>
      <c r="F24" s="303">
        <f>Summary!F47</f>
        <v>39.71532733003149</v>
      </c>
      <c r="G24" s="303">
        <f>Summary!G47</f>
        <v>202.89857662757336</v>
      </c>
      <c r="H24" s="278" t="s">
        <v>8</v>
      </c>
      <c r="J24" s="308"/>
      <c r="K24" s="308"/>
      <c r="L24" s="308"/>
    </row>
    <row r="25" spans="1:11" ht="15" customHeight="1">
      <c r="A25" s="278" t="s">
        <v>18</v>
      </c>
      <c r="B25" s="302">
        <f>Summary!B48</f>
        <v>467.55692832356635</v>
      </c>
      <c r="C25" s="303">
        <f>Summary!C48</f>
        <v>119.92389950467435</v>
      </c>
      <c r="D25" s="303">
        <f>Summary!D48</f>
        <v>27.69000445293052</v>
      </c>
      <c r="E25" s="303">
        <f>Summary!E48</f>
        <v>147.61390395760486</v>
      </c>
      <c r="F25" s="303">
        <f>Summary!F48</f>
        <v>0</v>
      </c>
      <c r="G25" s="303">
        <f>Summary!G48</f>
        <v>147.61390395760486</v>
      </c>
      <c r="H25" s="278" t="s">
        <v>18</v>
      </c>
      <c r="J25" s="308"/>
      <c r="K25" s="308"/>
    </row>
    <row r="26" spans="1:7" ht="15" customHeight="1">
      <c r="A26" s="300"/>
      <c r="B26" s="304">
        <f>SUM(B6:B25)</f>
        <v>171128.87749999994</v>
      </c>
      <c r="C26" s="305"/>
      <c r="D26" s="305"/>
      <c r="E26" s="305"/>
      <c r="F26" s="305"/>
      <c r="G26" s="305"/>
    </row>
    <row r="27" ht="12.75">
      <c r="A27" s="296" t="s">
        <v>155</v>
      </c>
    </row>
  </sheetData>
  <sheetProtection/>
  <mergeCells count="1">
    <mergeCell ref="B4:G4"/>
  </mergeCells>
  <printOptions/>
  <pageMargins left="0.45" right="0.45" top="0.5" bottom="0.5" header="0.3" footer="0.3"/>
  <pageSetup fitToHeight="1" fitToWidth="1" horizontalDpi="600" verticalDpi="600" orientation="landscape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2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A1" sqref="A1:G1"/>
    </sheetView>
  </sheetViews>
  <sheetFormatPr defaultColWidth="9.140625" defaultRowHeight="12.75"/>
  <cols>
    <col min="1" max="8" width="15.7109375" style="0" customWidth="1"/>
  </cols>
  <sheetData>
    <row r="1" spans="1:8" ht="15" customHeight="1">
      <c r="A1" s="324" t="s">
        <v>178</v>
      </c>
      <c r="B1" s="324"/>
      <c r="C1" s="324"/>
      <c r="D1" s="324"/>
      <c r="E1" s="324"/>
      <c r="F1" s="324"/>
      <c r="G1" s="324"/>
      <c r="H1" s="4"/>
    </row>
    <row r="2" spans="1:8" s="22" customFormat="1" ht="15" customHeight="1">
      <c r="A2" s="4"/>
      <c r="B2" s="4"/>
      <c r="C2" s="4"/>
      <c r="D2" s="4"/>
      <c r="E2" s="4"/>
      <c r="F2" s="4"/>
      <c r="G2" s="4"/>
      <c r="H2" s="4"/>
    </row>
    <row r="3" spans="1:8" ht="15" customHeight="1">
      <c r="A3" s="307" t="s">
        <v>149</v>
      </c>
      <c r="B3" s="297"/>
      <c r="C3" s="297"/>
      <c r="D3" s="297"/>
      <c r="E3" s="297"/>
      <c r="F3" s="19"/>
      <c r="G3" s="19"/>
      <c r="H3" s="4"/>
    </row>
    <row r="4" spans="1:8" ht="15" customHeight="1">
      <c r="A4" s="290"/>
      <c r="B4" s="323" t="s">
        <v>150</v>
      </c>
      <c r="C4" s="323"/>
      <c r="D4" s="315"/>
      <c r="E4" s="315"/>
      <c r="F4" s="4"/>
      <c r="G4" s="4"/>
      <c r="H4" s="4"/>
    </row>
    <row r="5" spans="1:8" ht="49.5" customHeight="1">
      <c r="A5" s="291" t="s">
        <v>197</v>
      </c>
      <c r="B5" s="301" t="s">
        <v>153</v>
      </c>
      <c r="C5" s="301" t="s">
        <v>154</v>
      </c>
      <c r="D5" s="316"/>
      <c r="E5" s="316"/>
      <c r="F5" s="4"/>
      <c r="G5" s="4"/>
      <c r="H5" s="4"/>
    </row>
    <row r="6" spans="1:8" ht="15" customHeight="1">
      <c r="A6" s="278" t="s">
        <v>237</v>
      </c>
      <c r="B6" s="302">
        <f>'BRA Resource Clearing Results'!E28</f>
        <v>166749.69999999998</v>
      </c>
      <c r="C6" s="310">
        <f>'BRA Resource Clearing Results'!D5</f>
        <v>120</v>
      </c>
      <c r="D6" s="317"/>
      <c r="E6" s="317"/>
      <c r="F6" s="4"/>
      <c r="G6" s="14" t="s">
        <v>24</v>
      </c>
      <c r="H6" s="4"/>
    </row>
    <row r="7" spans="1:8" ht="15" customHeight="1">
      <c r="A7" s="278" t="s">
        <v>29</v>
      </c>
      <c r="B7" s="302">
        <f>'BRA Resource Clearing Results'!E29</f>
        <v>68363.9</v>
      </c>
      <c r="C7" s="310">
        <f>'BRA Resource Clearing Results'!D6</f>
        <v>120</v>
      </c>
      <c r="D7" s="317"/>
      <c r="E7" s="317"/>
      <c r="F7" s="4"/>
      <c r="G7" s="4"/>
      <c r="H7" s="4"/>
    </row>
    <row r="8" spans="1:8" ht="15" customHeight="1">
      <c r="A8" s="278" t="s">
        <v>39</v>
      </c>
      <c r="B8" s="302">
        <f>'BRA Resource Clearing Results'!E30</f>
        <v>32210.9</v>
      </c>
      <c r="C8" s="310">
        <f>'BRA Resource Clearing Results'!D7</f>
        <v>120</v>
      </c>
      <c r="D8" s="317"/>
      <c r="E8" s="317"/>
      <c r="F8" s="4"/>
      <c r="G8" s="4"/>
      <c r="H8" s="4"/>
    </row>
    <row r="9" spans="1:8" ht="15" customHeight="1">
      <c r="A9" s="278" t="s">
        <v>5</v>
      </c>
      <c r="B9" s="302">
        <f>'BRA Resource Clearing Results'!E31</f>
        <v>11693.400000000001</v>
      </c>
      <c r="C9" s="310">
        <f>'BRA Resource Clearing Results'!D8</f>
        <v>120</v>
      </c>
      <c r="D9" s="317"/>
      <c r="E9" s="317"/>
      <c r="F9" s="4"/>
      <c r="G9" s="4"/>
      <c r="H9" s="4"/>
    </row>
    <row r="10" spans="1:8" ht="15" customHeight="1">
      <c r="A10" s="278" t="s">
        <v>8</v>
      </c>
      <c r="B10" s="302">
        <f>'BRA Resource Clearing Results'!E32</f>
        <v>6110.7</v>
      </c>
      <c r="C10" s="310">
        <f>'BRA Resource Clearing Results'!D9</f>
        <v>215</v>
      </c>
      <c r="D10" s="317"/>
      <c r="E10" s="317"/>
      <c r="F10" s="4"/>
      <c r="G10" s="4"/>
      <c r="H10" s="4"/>
    </row>
    <row r="11" spans="1:8" ht="15" customHeight="1">
      <c r="A11" s="278" t="s">
        <v>40</v>
      </c>
      <c r="B11" s="302">
        <f>'BRA Resource Clearing Results'!E33</f>
        <v>3893.2000000000003</v>
      </c>
      <c r="C11" s="310">
        <f>'BRA Resource Clearing Results'!D10</f>
        <v>215</v>
      </c>
      <c r="D11" s="317"/>
      <c r="E11" s="317"/>
      <c r="F11" s="4"/>
      <c r="G11" s="4"/>
      <c r="H11" s="4"/>
    </row>
    <row r="12" spans="1:8" ht="15" customHeight="1">
      <c r="A12" s="278" t="s">
        <v>41</v>
      </c>
      <c r="B12" s="302">
        <f>'BRA Resource Clearing Results'!E34</f>
        <v>1682.2999999999993</v>
      </c>
      <c r="C12" s="310">
        <f>'BRA Resource Clearing Results'!D11</f>
        <v>120</v>
      </c>
      <c r="D12" s="317"/>
      <c r="E12" s="317"/>
      <c r="F12" s="4"/>
      <c r="G12" s="4"/>
      <c r="H12" s="4"/>
    </row>
    <row r="13" spans="1:8" ht="15" customHeight="1">
      <c r="A13" s="278" t="s">
        <v>15</v>
      </c>
      <c r="B13" s="302">
        <f>'BRA Resource Clearing Results'!E35</f>
        <v>5937.8</v>
      </c>
      <c r="C13" s="310">
        <f>'BRA Resource Clearing Results'!D12</f>
        <v>120</v>
      </c>
      <c r="D13" s="317"/>
      <c r="E13" s="317"/>
      <c r="F13" s="4"/>
      <c r="G13" s="4"/>
      <c r="H13" s="4"/>
    </row>
    <row r="14" spans="1:8" ht="15" customHeight="1">
      <c r="A14" s="292" t="s">
        <v>49</v>
      </c>
      <c r="B14" s="313">
        <f>'BRA Resource Clearing Results'!E36</f>
        <v>8977.300000000003</v>
      </c>
      <c r="C14" s="310">
        <f>'BRA Resource Clearing Results'!D13</f>
        <v>120</v>
      </c>
      <c r="D14" s="317"/>
      <c r="E14" s="317"/>
      <c r="F14" s="4"/>
      <c r="G14" s="4"/>
      <c r="H14" s="4"/>
    </row>
    <row r="15" spans="1:8" ht="15" customHeight="1">
      <c r="A15" s="292" t="s">
        <v>159</v>
      </c>
      <c r="B15" s="313">
        <f>'BRA Resource Clearing Results'!E37</f>
        <v>2548.6</v>
      </c>
      <c r="C15" s="310">
        <f>'BRA Resource Clearing Results'!D14</f>
        <v>120</v>
      </c>
      <c r="D15" s="317"/>
      <c r="E15" s="317"/>
      <c r="F15" s="4"/>
      <c r="G15" s="4"/>
      <c r="H15" s="4"/>
    </row>
    <row r="16" spans="1:8" ht="15" customHeight="1">
      <c r="A16" s="292" t="s">
        <v>20</v>
      </c>
      <c r="B16" s="314">
        <f>'BRA Resource Clearing Results'!E38</f>
        <v>22551.000000000007</v>
      </c>
      <c r="C16" s="310">
        <f>'BRA Resource Clearing Results'!D15</f>
        <v>120</v>
      </c>
      <c r="D16" s="317"/>
      <c r="E16" s="317"/>
      <c r="F16" s="4"/>
      <c r="G16" s="4"/>
      <c r="H16" s="4"/>
    </row>
    <row r="17" spans="1:8" ht="15" customHeight="1">
      <c r="A17" s="292" t="s">
        <v>11</v>
      </c>
      <c r="B17" s="314">
        <f>'BRA Resource Clearing Results'!E39</f>
        <v>3351.2999999999997</v>
      </c>
      <c r="C17" s="310">
        <f>'BRA Resource Clearing Results'!D16</f>
        <v>120</v>
      </c>
      <c r="D17" s="317"/>
      <c r="E17" s="317"/>
      <c r="F17" s="4"/>
      <c r="G17" s="4"/>
      <c r="H17" s="4"/>
    </row>
    <row r="18" spans="1:8" ht="15" customHeight="1">
      <c r="A18" s="292" t="s">
        <v>10</v>
      </c>
      <c r="B18" s="314">
        <f>'BRA Resource Clearing Results'!E40</f>
        <v>9348.499999999998</v>
      </c>
      <c r="C18" s="310">
        <f>'BRA Resource Clearing Results'!D17</f>
        <v>120</v>
      </c>
      <c r="D18" s="317"/>
      <c r="E18" s="317"/>
      <c r="F18" s="4"/>
      <c r="G18" s="4"/>
      <c r="H18" s="4"/>
    </row>
    <row r="19" spans="1:8" ht="15" customHeight="1">
      <c r="A19" s="292" t="s">
        <v>179</v>
      </c>
      <c r="B19" s="314">
        <f>'BRA Resource Clearing Results'!E41</f>
        <v>26.9</v>
      </c>
      <c r="C19" s="310">
        <f>'BRA Resource Clearing Results'!D18</f>
        <v>120</v>
      </c>
      <c r="D19" s="317"/>
      <c r="E19" s="317"/>
      <c r="F19" s="4"/>
      <c r="G19" s="4"/>
      <c r="H19" s="4"/>
    </row>
    <row r="20" spans="1:8" ht="15" customHeight="1">
      <c r="A20" s="292" t="s">
        <v>180</v>
      </c>
      <c r="B20" s="314">
        <f>'BRA Resource Clearing Results'!E42</f>
        <v>0</v>
      </c>
      <c r="C20" s="310">
        <f>'BRA Resource Clearing Results'!D19</f>
        <v>120</v>
      </c>
      <c r="D20" s="317"/>
      <c r="E20" s="317"/>
      <c r="F20" s="4"/>
      <c r="G20" s="4"/>
      <c r="H20" s="4"/>
    </row>
    <row r="21" spans="1:8" ht="15" customHeight="1">
      <c r="A21" s="292" t="s">
        <v>181</v>
      </c>
      <c r="B21" s="314">
        <f>'BRA Resource Clearing Results'!E43</f>
        <v>87.5</v>
      </c>
      <c r="C21" s="310">
        <f>'BRA Resource Clearing Results'!D20</f>
        <v>120</v>
      </c>
      <c r="D21" s="317"/>
      <c r="E21" s="317"/>
      <c r="F21" s="4"/>
      <c r="G21" s="4"/>
      <c r="H21" s="4"/>
    </row>
    <row r="22" spans="1:8" ht="15" customHeight="1">
      <c r="A22" s="292" t="s">
        <v>182</v>
      </c>
      <c r="B22" s="314">
        <f>'BRA Resource Clearing Results'!E44</f>
        <v>139.60000000000005</v>
      </c>
      <c r="C22" s="310">
        <f>'BRA Resource Clearing Results'!D21</f>
        <v>120</v>
      </c>
      <c r="D22" s="317"/>
      <c r="E22" s="317"/>
      <c r="F22" s="4"/>
      <c r="G22" s="4"/>
      <c r="H22" s="4"/>
    </row>
    <row r="23" spans="1:8" ht="15" customHeight="1">
      <c r="A23" s="292" t="s">
        <v>183</v>
      </c>
      <c r="B23" s="314">
        <f>'BRA Resource Clearing Results'!E45</f>
        <v>0</v>
      </c>
      <c r="C23" s="310">
        <f>'BRA Resource Clearing Results'!D22</f>
        <v>120</v>
      </c>
      <c r="D23" s="317"/>
      <c r="E23" s="317"/>
      <c r="F23" s="4"/>
      <c r="G23" s="4"/>
      <c r="H23" s="4"/>
    </row>
    <row r="24" spans="1:8" ht="15" customHeight="1">
      <c r="A24" s="293" t="s">
        <v>238</v>
      </c>
      <c r="B24" s="293"/>
      <c r="C24" s="293"/>
      <c r="D24" s="294"/>
      <c r="E24" s="294"/>
      <c r="F24" s="294"/>
      <c r="G24" s="294"/>
      <c r="H24" s="4"/>
    </row>
    <row r="25" spans="1:8" ht="15" customHeight="1">
      <c r="A25" s="294"/>
      <c r="B25" s="294"/>
      <c r="C25" s="294"/>
      <c r="D25" s="294"/>
      <c r="E25" s="294"/>
      <c r="F25" s="294"/>
      <c r="G25" s="294"/>
      <c r="H25" s="4"/>
    </row>
    <row r="26" spans="1:8" s="2" customFormat="1" ht="15" customHeight="1">
      <c r="A26" s="307" t="s">
        <v>151</v>
      </c>
      <c r="B26" s="297"/>
      <c r="C26" s="297"/>
      <c r="D26" s="297"/>
      <c r="E26" s="297"/>
      <c r="F26" s="297"/>
      <c r="G26" s="297"/>
      <c r="H26" s="4"/>
    </row>
    <row r="27" spans="1:8" ht="15" customHeight="1">
      <c r="A27" s="290"/>
      <c r="B27" s="320" t="s">
        <v>150</v>
      </c>
      <c r="C27" s="321"/>
      <c r="D27" s="321"/>
      <c r="E27" s="321"/>
      <c r="F27" s="321"/>
      <c r="G27" s="322"/>
      <c r="H27" s="4"/>
    </row>
    <row r="28" spans="1:8" ht="75" customHeight="1">
      <c r="A28" s="277" t="s">
        <v>7</v>
      </c>
      <c r="B28" s="301" t="s">
        <v>156</v>
      </c>
      <c r="C28" s="301" t="s">
        <v>157</v>
      </c>
      <c r="D28" s="301" t="s">
        <v>246</v>
      </c>
      <c r="E28" s="301" t="s">
        <v>245</v>
      </c>
      <c r="F28" s="301" t="s">
        <v>152</v>
      </c>
      <c r="G28" s="301" t="s">
        <v>251</v>
      </c>
      <c r="H28" s="277" t="s">
        <v>7</v>
      </c>
    </row>
    <row r="29" spans="1:10" ht="15" customHeight="1">
      <c r="A29" s="278" t="s">
        <v>16</v>
      </c>
      <c r="B29" s="302">
        <f>'BRA Load Pricing Results'!K40</f>
        <v>3113.272525156919</v>
      </c>
      <c r="C29" s="303">
        <f>'BRA Load Pricing Results'!L40</f>
        <v>119.92389950467435</v>
      </c>
      <c r="D29" s="309">
        <f>'CP TIA Load Pricing Results'!C5</f>
        <v>27.69000445293052</v>
      </c>
      <c r="E29" s="309">
        <f>C29+D29</f>
        <v>147.61390395760486</v>
      </c>
      <c r="F29" s="310">
        <f>'BRA CTRs'!AA21</f>
        <v>0</v>
      </c>
      <c r="G29" s="311">
        <f aca="true" t="shared" si="0" ref="G29:G48">E29-F29</f>
        <v>147.61390395760486</v>
      </c>
      <c r="H29" s="289" t="s">
        <v>16</v>
      </c>
      <c r="J29" s="308" t="s">
        <v>24</v>
      </c>
    </row>
    <row r="30" spans="1:10" ht="15" customHeight="1">
      <c r="A30" s="278" t="s">
        <v>55</v>
      </c>
      <c r="B30" s="302">
        <f>'BRA Load Pricing Results'!K41</f>
        <v>12798.867957732304</v>
      </c>
      <c r="C30" s="303">
        <f>'BRA Load Pricing Results'!L41</f>
        <v>119.81030111063517</v>
      </c>
      <c r="D30" s="309">
        <f>'CP TIA Load Pricing Results'!C6</f>
        <v>27.69000445293052</v>
      </c>
      <c r="E30" s="309">
        <f>C30+D30</f>
        <v>147.5003055635657</v>
      </c>
      <c r="F30" s="310">
        <f>'BRA CTRs'!AA22</f>
        <v>0</v>
      </c>
      <c r="G30" s="311">
        <f t="shared" si="0"/>
        <v>147.5003055635657</v>
      </c>
      <c r="H30" s="289" t="s">
        <v>55</v>
      </c>
      <c r="J30" s="308" t="s">
        <v>24</v>
      </c>
    </row>
    <row r="31" spans="1:10" ht="15" customHeight="1">
      <c r="A31" s="278" t="s">
        <v>19</v>
      </c>
      <c r="B31" s="302">
        <f>'BRA Load Pricing Results'!K42</f>
        <v>10008.888143604483</v>
      </c>
      <c r="C31" s="303">
        <f>'BRA Load Pricing Results'!L42</f>
        <v>119.81030111063517</v>
      </c>
      <c r="D31" s="309">
        <f>'CP TIA Load Pricing Results'!C7</f>
        <v>27.69000445293052</v>
      </c>
      <c r="E31" s="309">
        <f>C31+D31</f>
        <v>147.5003055635657</v>
      </c>
      <c r="F31" s="310">
        <f>'BRA CTRs'!AA23</f>
        <v>0</v>
      </c>
      <c r="G31" s="311">
        <f t="shared" si="0"/>
        <v>147.5003055635657</v>
      </c>
      <c r="H31" s="289" t="s">
        <v>19</v>
      </c>
      <c r="J31" s="308" t="s">
        <v>24</v>
      </c>
    </row>
    <row r="32" spans="1:10" ht="15" customHeight="1">
      <c r="A32" s="278" t="s">
        <v>49</v>
      </c>
      <c r="B32" s="302">
        <f>'BRA Load Pricing Results'!K43</f>
        <v>14811.252526046535</v>
      </c>
      <c r="C32" s="303">
        <f>'BRA Load Pricing Results'!L43</f>
        <v>119.81030111063517</v>
      </c>
      <c r="D32" s="309">
        <f>'CP TIA Load Pricing Results'!C8</f>
        <v>27.69000445293052</v>
      </c>
      <c r="E32" s="309">
        <f>C32+D32</f>
        <v>147.5003055635657</v>
      </c>
      <c r="F32" s="310">
        <f>'BRA CTRs'!AA24</f>
        <v>0</v>
      </c>
      <c r="G32" s="311">
        <f t="shared" si="0"/>
        <v>147.5003055635657</v>
      </c>
      <c r="H32" s="289" t="s">
        <v>49</v>
      </c>
      <c r="J32" s="308" t="s">
        <v>24</v>
      </c>
    </row>
    <row r="33" spans="1:10" ht="15" customHeight="1">
      <c r="A33" s="278" t="s">
        <v>11</v>
      </c>
      <c r="B33" s="302">
        <f>'BRA Load Pricing Results'!K44</f>
        <v>8209.98267361381</v>
      </c>
      <c r="C33" s="303">
        <f>'BRA Load Pricing Results'!L44</f>
        <v>119.92389950467435</v>
      </c>
      <c r="D33" s="309">
        <f>'CP TIA Load Pricing Results'!C9</f>
        <v>27.69000445293052</v>
      </c>
      <c r="E33" s="309">
        <f>C33+D33</f>
        <v>147.61390395760486</v>
      </c>
      <c r="F33" s="310">
        <f>'BRA CTRs'!AA25</f>
        <v>0</v>
      </c>
      <c r="G33" s="311">
        <f t="shared" si="0"/>
        <v>147.61390395760486</v>
      </c>
      <c r="H33" s="289" t="s">
        <v>11</v>
      </c>
      <c r="J33" s="308" t="s">
        <v>24</v>
      </c>
    </row>
    <row r="34" spans="1:10" ht="15" customHeight="1">
      <c r="A34" s="278" t="s">
        <v>185</v>
      </c>
      <c r="B34" s="302">
        <f>'BRA Load Pricing Results'!K45</f>
        <v>26115.82457357292</v>
      </c>
      <c r="C34" s="303">
        <f>'BRA Load Pricing Results'!L45</f>
        <v>119.81030111063517</v>
      </c>
      <c r="D34" s="309">
        <f>'CP TIA Load Pricing Results'!C10</f>
        <v>27.69000445293052</v>
      </c>
      <c r="E34" s="309">
        <f aca="true" t="shared" si="1" ref="E34:E47">C34+D34</f>
        <v>147.5003055635657</v>
      </c>
      <c r="F34" s="310">
        <f>'BRA CTRs'!AA26</f>
        <v>0</v>
      </c>
      <c r="G34" s="311">
        <f t="shared" si="0"/>
        <v>147.5003055635657</v>
      </c>
      <c r="H34" s="289" t="s">
        <v>20</v>
      </c>
      <c r="J34" s="308" t="s">
        <v>24</v>
      </c>
    </row>
    <row r="35" spans="1:10" ht="15" customHeight="1">
      <c r="A35" s="278" t="s">
        <v>21</v>
      </c>
      <c r="B35" s="302">
        <f>'BRA Load Pricing Results'!K46</f>
        <v>3965.743147499886</v>
      </c>
      <c r="C35" s="303">
        <f>'BRA Load Pricing Results'!L46</f>
        <v>119.81030111063517</v>
      </c>
      <c r="D35" s="309">
        <f>'CP TIA Load Pricing Results'!C11</f>
        <v>27.69000445293052</v>
      </c>
      <c r="E35" s="309">
        <f t="shared" si="1"/>
        <v>147.5003055635657</v>
      </c>
      <c r="F35" s="310">
        <f>'BRA CTRs'!AA27</f>
        <v>0</v>
      </c>
      <c r="G35" s="311">
        <f t="shared" si="0"/>
        <v>147.5003055635657</v>
      </c>
      <c r="H35" s="289" t="s">
        <v>21</v>
      </c>
      <c r="J35" s="308" t="s">
        <v>24</v>
      </c>
    </row>
    <row r="36" spans="1:10" ht="15" customHeight="1">
      <c r="A36" s="278" t="s">
        <v>62</v>
      </c>
      <c r="B36" s="302">
        <f>'BRA Load Pricing Results'!K47</f>
        <v>5241.711205676533</v>
      </c>
      <c r="C36" s="303">
        <f>'BRA Load Pricing Results'!L47</f>
        <v>119.81030111063517</v>
      </c>
      <c r="D36" s="309">
        <f>'CP TIA Load Pricing Results'!C12</f>
        <v>27.69000445293052</v>
      </c>
      <c r="E36" s="309">
        <f t="shared" si="1"/>
        <v>147.5003055635657</v>
      </c>
      <c r="F36" s="310">
        <f>'BRA CTRs'!AA28</f>
        <v>0</v>
      </c>
      <c r="G36" s="311">
        <f t="shared" si="0"/>
        <v>147.5003055635657</v>
      </c>
      <c r="H36" s="289" t="s">
        <v>62</v>
      </c>
      <c r="J36" s="308" t="s">
        <v>24</v>
      </c>
    </row>
    <row r="37" spans="1:10" ht="15" customHeight="1">
      <c r="A37" s="278" t="s">
        <v>48</v>
      </c>
      <c r="B37" s="302">
        <f>'BRA Load Pricing Results'!K48</f>
        <v>3369.1269217698155</v>
      </c>
      <c r="C37" s="303">
        <f>'BRA Load Pricing Results'!L48</f>
        <v>119.81030111063517</v>
      </c>
      <c r="D37" s="309">
        <f>'CP TIA Load Pricing Results'!C13</f>
        <v>27.69000445293052</v>
      </c>
      <c r="E37" s="309">
        <f t="shared" si="1"/>
        <v>147.5003055635657</v>
      </c>
      <c r="F37" s="310">
        <f>'BRA CTRs'!AA29</f>
        <v>0</v>
      </c>
      <c r="G37" s="311">
        <f t="shared" si="0"/>
        <v>147.5003055635657</v>
      </c>
      <c r="H37" s="289" t="s">
        <v>48</v>
      </c>
      <c r="J37" s="308" t="s">
        <v>24</v>
      </c>
    </row>
    <row r="38" spans="1:10" ht="15" customHeight="1">
      <c r="A38" s="278" t="s">
        <v>32</v>
      </c>
      <c r="B38" s="302">
        <f>'BRA Load Pricing Results'!K49</f>
        <v>23749.174920997037</v>
      </c>
      <c r="C38" s="303">
        <f>'BRA Load Pricing Results'!L49</f>
        <v>119.81030111063517</v>
      </c>
      <c r="D38" s="309">
        <f>'CP TIA Load Pricing Results'!C14</f>
        <v>27.69000445293052</v>
      </c>
      <c r="E38" s="309">
        <f t="shared" si="1"/>
        <v>147.5003055635657</v>
      </c>
      <c r="F38" s="310">
        <f>'BRA CTRs'!AA30</f>
        <v>0</v>
      </c>
      <c r="G38" s="311">
        <f t="shared" si="0"/>
        <v>147.5003055635657</v>
      </c>
      <c r="H38" s="289" t="s">
        <v>32</v>
      </c>
      <c r="J38" s="308" t="s">
        <v>24</v>
      </c>
    </row>
    <row r="39" spans="1:10" ht="15" customHeight="1">
      <c r="A39" s="278" t="s">
        <v>17</v>
      </c>
      <c r="B39" s="302">
        <f>'BRA Load Pricing Results'!K50</f>
        <v>4736.702634638746</v>
      </c>
      <c r="C39" s="303">
        <f>'BRA Load Pricing Results'!L50</f>
        <v>119.92389950467435</v>
      </c>
      <c r="D39" s="309">
        <f>'CP TIA Load Pricing Results'!C15</f>
        <v>27.69000445293052</v>
      </c>
      <c r="E39" s="309">
        <f t="shared" si="1"/>
        <v>147.61390395760486</v>
      </c>
      <c r="F39" s="310">
        <f>'BRA CTRs'!AA31</f>
        <v>0</v>
      </c>
      <c r="G39" s="311">
        <f t="shared" si="0"/>
        <v>147.61390395760486</v>
      </c>
      <c r="H39" s="289" t="s">
        <v>17</v>
      </c>
      <c r="J39" s="308" t="s">
        <v>24</v>
      </c>
    </row>
    <row r="40" spans="1:10" ht="15" customHeight="1">
      <c r="A40" s="278" t="s">
        <v>162</v>
      </c>
      <c r="B40" s="302">
        <f>'BRA Load Pricing Results'!K51</f>
        <v>2405.3455855396014</v>
      </c>
      <c r="C40" s="303">
        <f>'BRA Load Pricing Results'!L51</f>
        <v>119.81030111063517</v>
      </c>
      <c r="D40" s="309">
        <f>'CP TIA Load Pricing Results'!C16</f>
        <v>27.69000445293052</v>
      </c>
      <c r="E40" s="309">
        <f t="shared" si="1"/>
        <v>147.5003055635657</v>
      </c>
      <c r="F40" s="310">
        <f>'BRA CTRs'!AA32</f>
        <v>0</v>
      </c>
      <c r="G40" s="311">
        <f t="shared" si="0"/>
        <v>147.5003055635657</v>
      </c>
      <c r="H40" s="289" t="s">
        <v>162</v>
      </c>
      <c r="J40" s="308" t="s">
        <v>24</v>
      </c>
    </row>
    <row r="41" spans="1:10" ht="15" customHeight="1">
      <c r="A41" s="278" t="s">
        <v>12</v>
      </c>
      <c r="B41" s="302">
        <f>'BRA Load Pricing Results'!K52</f>
        <v>7210.339168263425</v>
      </c>
      <c r="C41" s="303">
        <f>'BRA Load Pricing Results'!L52</f>
        <v>119.92389950467435</v>
      </c>
      <c r="D41" s="309">
        <f>'CP TIA Load Pricing Results'!C17</f>
        <v>27.69000445293052</v>
      </c>
      <c r="E41" s="309">
        <f t="shared" si="1"/>
        <v>147.61390395760486</v>
      </c>
      <c r="F41" s="310">
        <f>'BRA CTRs'!AA33</f>
        <v>0</v>
      </c>
      <c r="G41" s="311">
        <f t="shared" si="0"/>
        <v>147.61390395760486</v>
      </c>
      <c r="H41" s="289" t="s">
        <v>12</v>
      </c>
      <c r="J41" s="308" t="s">
        <v>24</v>
      </c>
    </row>
    <row r="42" spans="1:10" ht="15" customHeight="1">
      <c r="A42" s="278" t="s">
        <v>13</v>
      </c>
      <c r="B42" s="302">
        <f>'BRA Load Pricing Results'!K53</f>
        <v>3465.3553452746646</v>
      </c>
      <c r="C42" s="303">
        <f>'BRA Load Pricing Results'!L53</f>
        <v>119.92389950467435</v>
      </c>
      <c r="D42" s="309">
        <f>'CP TIA Load Pricing Results'!C18</f>
        <v>27.69000445293052</v>
      </c>
      <c r="E42" s="309">
        <f t="shared" si="1"/>
        <v>147.61390395760486</v>
      </c>
      <c r="F42" s="310">
        <f>'BRA CTRs'!AA34</f>
        <v>0</v>
      </c>
      <c r="G42" s="311">
        <f t="shared" si="0"/>
        <v>147.61390395760486</v>
      </c>
      <c r="H42" s="289" t="s">
        <v>13</v>
      </c>
      <c r="J42" s="308" t="s">
        <v>24</v>
      </c>
    </row>
    <row r="43" spans="1:10" ht="15" customHeight="1">
      <c r="A43" s="278" t="s">
        <v>9</v>
      </c>
      <c r="B43" s="302">
        <f>'BRA Load Pricing Results'!K54</f>
        <v>10054.17210760676</v>
      </c>
      <c r="C43" s="303">
        <f>'BRA Load Pricing Results'!L54</f>
        <v>119.92389950467435</v>
      </c>
      <c r="D43" s="309">
        <f>'CP TIA Load Pricing Results'!C19</f>
        <v>27.69000445293052</v>
      </c>
      <c r="E43" s="309">
        <f t="shared" si="1"/>
        <v>147.61390395760486</v>
      </c>
      <c r="F43" s="310">
        <f>'BRA CTRs'!AA35</f>
        <v>0</v>
      </c>
      <c r="G43" s="311">
        <f t="shared" si="0"/>
        <v>147.61390395760486</v>
      </c>
      <c r="H43" s="289" t="s">
        <v>9</v>
      </c>
      <c r="J43" s="308" t="s">
        <v>24</v>
      </c>
    </row>
    <row r="44" spans="1:10" ht="15" customHeight="1">
      <c r="A44" s="278" t="s">
        <v>14</v>
      </c>
      <c r="B44" s="302">
        <f>'BRA Load Pricing Results'!K55</f>
        <v>3424.599777672611</v>
      </c>
      <c r="C44" s="303">
        <f>'BRA Load Pricing Results'!L55</f>
        <v>119.92389950467435</v>
      </c>
      <c r="D44" s="309">
        <f>'CP TIA Load Pricing Results'!C20</f>
        <v>27.69000445293052</v>
      </c>
      <c r="E44" s="309">
        <f t="shared" si="1"/>
        <v>147.61390395760486</v>
      </c>
      <c r="F44" s="310">
        <f>'BRA CTRs'!AA36</f>
        <v>0</v>
      </c>
      <c r="G44" s="311">
        <f t="shared" si="0"/>
        <v>147.61390395760486</v>
      </c>
      <c r="H44" s="289" t="s">
        <v>14</v>
      </c>
      <c r="J44" s="308" t="s">
        <v>24</v>
      </c>
    </row>
    <row r="45" spans="1:10" ht="15" customHeight="1">
      <c r="A45" s="278" t="s">
        <v>15</v>
      </c>
      <c r="B45" s="302">
        <f>'BRA Load Pricing Results'!K56</f>
        <v>7617.8948442839655</v>
      </c>
      <c r="C45" s="303">
        <f>'BRA Load Pricing Results'!L56</f>
        <v>119.92389950467435</v>
      </c>
      <c r="D45" s="309">
        <f>'CP TIA Load Pricing Results'!C21</f>
        <v>27.69000445293052</v>
      </c>
      <c r="E45" s="309">
        <f t="shared" si="1"/>
        <v>147.61390395760486</v>
      </c>
      <c r="F45" s="310">
        <f>'BRA CTRs'!AA37</f>
        <v>0</v>
      </c>
      <c r="G45" s="311">
        <f t="shared" si="0"/>
        <v>147.61390395760486</v>
      </c>
      <c r="H45" s="289" t="s">
        <v>15</v>
      </c>
      <c r="J45" s="308" t="s">
        <v>24</v>
      </c>
    </row>
    <row r="46" spans="1:10" ht="15" customHeight="1">
      <c r="A46" s="278" t="s">
        <v>10</v>
      </c>
      <c r="B46" s="302">
        <f>'BRA Load Pricing Results'!K57</f>
        <v>8509.98893512893</v>
      </c>
      <c r="C46" s="303">
        <f>'BRA Load Pricing Results'!L57</f>
        <v>118.17930264172026</v>
      </c>
      <c r="D46" s="309">
        <f>'CP TIA Load Pricing Results'!C22</f>
        <v>27.69000445293052</v>
      </c>
      <c r="E46" s="309">
        <f t="shared" si="1"/>
        <v>145.86930709465076</v>
      </c>
      <c r="F46" s="310">
        <f>'BRA CTRs'!AA38</f>
        <v>0</v>
      </c>
      <c r="G46" s="311">
        <f t="shared" si="0"/>
        <v>145.86930709465076</v>
      </c>
      <c r="H46" s="289" t="s">
        <v>10</v>
      </c>
      <c r="J46" s="308" t="s">
        <v>24</v>
      </c>
    </row>
    <row r="47" spans="1:10" ht="15" customHeight="1">
      <c r="A47" s="278" t="s">
        <v>8</v>
      </c>
      <c r="B47" s="302">
        <f>'BRA Load Pricing Results'!K58</f>
        <v>11853.077577597434</v>
      </c>
      <c r="C47" s="303">
        <f>'BRA Load Pricing Results'!L58</f>
        <v>214.92389950467435</v>
      </c>
      <c r="D47" s="309">
        <f>'CP TIA Load Pricing Results'!C23</f>
        <v>27.69000445293052</v>
      </c>
      <c r="E47" s="309">
        <f t="shared" si="1"/>
        <v>242.61390395760486</v>
      </c>
      <c r="F47" s="310">
        <f>'BRA CTRs'!AA39</f>
        <v>39.71532733003149</v>
      </c>
      <c r="G47" s="311">
        <f t="shared" si="0"/>
        <v>202.89857662757336</v>
      </c>
      <c r="H47" s="289" t="s">
        <v>8</v>
      </c>
      <c r="J47" s="308" t="s">
        <v>24</v>
      </c>
    </row>
    <row r="48" spans="1:10" ht="15" customHeight="1">
      <c r="A48" s="278" t="s">
        <v>18</v>
      </c>
      <c r="B48" s="302">
        <f>'BRA Load Pricing Results'!K59</f>
        <v>467.55692832356635</v>
      </c>
      <c r="C48" s="303">
        <f>'BRA Load Pricing Results'!L59</f>
        <v>119.92389950467435</v>
      </c>
      <c r="D48" s="309">
        <f>'CP TIA Load Pricing Results'!C24</f>
        <v>27.69000445293052</v>
      </c>
      <c r="E48" s="309">
        <f>C48+D48</f>
        <v>147.61390395760486</v>
      </c>
      <c r="F48" s="310">
        <f>'BRA CTRs'!AA40</f>
        <v>0</v>
      </c>
      <c r="G48" s="311">
        <f t="shared" si="0"/>
        <v>147.61390395760486</v>
      </c>
      <c r="H48" s="289" t="s">
        <v>18</v>
      </c>
      <c r="J48" s="308" t="s">
        <v>24</v>
      </c>
    </row>
    <row r="49" spans="1:8" ht="15" customHeight="1">
      <c r="A49" s="295" t="s">
        <v>54</v>
      </c>
      <c r="B49" s="312">
        <f>SUM(B29:B48)</f>
        <v>171128.87749999994</v>
      </c>
      <c r="C49" s="284"/>
      <c r="D49" s="284"/>
      <c r="E49" s="284"/>
      <c r="F49" s="284"/>
      <c r="G49" s="284"/>
      <c r="H49" s="4"/>
    </row>
    <row r="50" spans="1:14" ht="15" customHeight="1">
      <c r="A50" s="327" t="s">
        <v>254</v>
      </c>
      <c r="B50" s="328"/>
      <c r="C50" s="328"/>
      <c r="D50" s="328"/>
      <c r="E50" s="328"/>
      <c r="F50" s="328"/>
      <c r="G50" s="328"/>
      <c r="H50" s="328"/>
      <c r="I50" s="328"/>
      <c r="J50" s="328"/>
      <c r="K50" s="328"/>
      <c r="L50" s="328"/>
      <c r="M50" s="328"/>
      <c r="N50" s="328"/>
    </row>
    <row r="51" spans="1:14" ht="12.75">
      <c r="A51" s="327" t="s">
        <v>253</v>
      </c>
      <c r="B51" s="328"/>
      <c r="C51" s="328"/>
      <c r="D51" s="328"/>
      <c r="E51" s="328"/>
      <c r="F51" s="328"/>
      <c r="G51" s="328"/>
      <c r="H51" s="328"/>
      <c r="I51" s="328"/>
      <c r="J51" s="328"/>
      <c r="K51" s="328"/>
      <c r="L51" s="328"/>
      <c r="M51" s="328"/>
      <c r="N51" s="328"/>
    </row>
    <row r="52" spans="1:14" ht="12.75">
      <c r="A52" s="325" t="s">
        <v>155</v>
      </c>
      <c r="B52" s="326"/>
      <c r="C52" s="326"/>
      <c r="D52" s="326"/>
      <c r="E52" s="326"/>
      <c r="F52" s="326"/>
      <c r="G52" s="326"/>
      <c r="H52" s="326"/>
      <c r="I52" s="326"/>
      <c r="J52" s="326"/>
      <c r="K52" s="326"/>
      <c r="L52" s="326"/>
      <c r="M52" s="326"/>
      <c r="N52" s="326"/>
    </row>
  </sheetData>
  <sheetProtection/>
  <mergeCells count="6">
    <mergeCell ref="B4:C4"/>
    <mergeCell ref="A1:G1"/>
    <mergeCell ref="B27:G27"/>
    <mergeCell ref="A52:N52"/>
    <mergeCell ref="A51:N51"/>
    <mergeCell ref="A50:N50"/>
  </mergeCells>
  <printOptions/>
  <pageMargins left="0.7" right="0.7" top="0.75" bottom="0.75" header="0.3" footer="0.3"/>
  <pageSetup fitToHeight="1" fitToWidth="1" horizontalDpi="600" verticalDpi="600" orientation="landscape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0.7109375" style="0" customWidth="1"/>
    <col min="2" max="2" width="25.7109375" style="0" customWidth="1"/>
    <col min="3" max="3" width="32.7109375" style="0" customWidth="1"/>
  </cols>
  <sheetData>
    <row r="1" spans="1:3" ht="17.25">
      <c r="A1" s="1" t="s">
        <v>243</v>
      </c>
      <c r="B1" s="276"/>
      <c r="C1" s="4"/>
    </row>
    <row r="2" spans="1:3" ht="13.5">
      <c r="A2" s="276"/>
      <c r="B2" s="276"/>
      <c r="C2" s="4"/>
    </row>
    <row r="3" spans="1:3" ht="13.5">
      <c r="A3" s="276"/>
      <c r="B3" s="276"/>
      <c r="C3" s="4"/>
    </row>
    <row r="4" spans="1:4" ht="45" customHeight="1">
      <c r="A4" s="277" t="s">
        <v>7</v>
      </c>
      <c r="B4" s="280" t="s">
        <v>247</v>
      </c>
      <c r="C4" s="279" t="s">
        <v>239</v>
      </c>
      <c r="D4" s="6"/>
    </row>
    <row r="5" spans="1:4" ht="15" customHeight="1">
      <c r="A5" s="286" t="s">
        <v>16</v>
      </c>
      <c r="B5" s="281">
        <f>Summary!B29</f>
        <v>3113.272525156919</v>
      </c>
      <c r="C5" s="282">
        <f>$B$27</f>
        <v>27.69000445293052</v>
      </c>
      <c r="D5" s="4"/>
    </row>
    <row r="6" spans="1:4" ht="15" customHeight="1">
      <c r="A6" s="286" t="s">
        <v>31</v>
      </c>
      <c r="B6" s="281">
        <f>Summary!B30</f>
        <v>12798.867957732304</v>
      </c>
      <c r="C6" s="282">
        <f aca="true" t="shared" si="0" ref="C6:C26">$B$27</f>
        <v>27.69000445293052</v>
      </c>
      <c r="D6" s="4"/>
    </row>
    <row r="7" spans="1:4" ht="15" customHeight="1">
      <c r="A7" s="286" t="s">
        <v>19</v>
      </c>
      <c r="B7" s="281">
        <f>Summary!B31</f>
        <v>10008.888143604483</v>
      </c>
      <c r="C7" s="282">
        <f t="shared" si="0"/>
        <v>27.69000445293052</v>
      </c>
      <c r="D7" s="4"/>
    </row>
    <row r="8" spans="1:4" ht="15" customHeight="1">
      <c r="A8" s="286" t="s">
        <v>49</v>
      </c>
      <c r="B8" s="281">
        <f>Summary!B32</f>
        <v>14811.252526046535</v>
      </c>
      <c r="C8" s="282">
        <f t="shared" si="0"/>
        <v>27.69000445293052</v>
      </c>
      <c r="D8" s="4"/>
    </row>
    <row r="9" spans="1:4" ht="15" customHeight="1">
      <c r="A9" s="286" t="s">
        <v>11</v>
      </c>
      <c r="B9" s="281">
        <f>Summary!B33</f>
        <v>8209.98267361381</v>
      </c>
      <c r="C9" s="282">
        <f t="shared" si="0"/>
        <v>27.69000445293052</v>
      </c>
      <c r="D9" s="4"/>
    </row>
    <row r="10" spans="1:4" ht="15" customHeight="1">
      <c r="A10" s="286" t="s">
        <v>20</v>
      </c>
      <c r="B10" s="281">
        <f>Summary!B34</f>
        <v>26115.82457357292</v>
      </c>
      <c r="C10" s="282">
        <f t="shared" si="0"/>
        <v>27.69000445293052</v>
      </c>
      <c r="D10" s="4"/>
    </row>
    <row r="11" spans="1:4" ht="15" customHeight="1">
      <c r="A11" s="286" t="s">
        <v>21</v>
      </c>
      <c r="B11" s="281">
        <f>Summary!B35</f>
        <v>3965.743147499886</v>
      </c>
      <c r="C11" s="282">
        <f t="shared" si="0"/>
        <v>27.69000445293052</v>
      </c>
      <c r="D11" s="4"/>
    </row>
    <row r="12" spans="1:4" ht="15" customHeight="1">
      <c r="A12" s="286" t="s">
        <v>63</v>
      </c>
      <c r="B12" s="281">
        <f>Summary!B36</f>
        <v>5241.711205676533</v>
      </c>
      <c r="C12" s="282">
        <f t="shared" si="0"/>
        <v>27.69000445293052</v>
      </c>
      <c r="D12" s="4"/>
    </row>
    <row r="13" spans="1:4" ht="15" customHeight="1">
      <c r="A13" s="286" t="s">
        <v>48</v>
      </c>
      <c r="B13" s="281">
        <f>Summary!B37</f>
        <v>3369.1269217698155</v>
      </c>
      <c r="C13" s="282">
        <f t="shared" si="0"/>
        <v>27.69000445293052</v>
      </c>
      <c r="D13" s="4"/>
    </row>
    <row r="14" spans="1:4" ht="15" customHeight="1">
      <c r="A14" s="286" t="s">
        <v>32</v>
      </c>
      <c r="B14" s="281">
        <f>Summary!B38</f>
        <v>23749.174920997037</v>
      </c>
      <c r="C14" s="282">
        <f t="shared" si="0"/>
        <v>27.69000445293052</v>
      </c>
      <c r="D14" s="4"/>
    </row>
    <row r="15" spans="1:4" ht="15" customHeight="1">
      <c r="A15" s="286" t="s">
        <v>17</v>
      </c>
      <c r="B15" s="281">
        <f>Summary!B39</f>
        <v>4736.702634638746</v>
      </c>
      <c r="C15" s="282">
        <f t="shared" si="0"/>
        <v>27.69000445293052</v>
      </c>
      <c r="D15" s="4"/>
    </row>
    <row r="16" spans="1:4" ht="15" customHeight="1">
      <c r="A16" s="286" t="s">
        <v>163</v>
      </c>
      <c r="B16" s="281">
        <f>Summary!B40</f>
        <v>2405.3455855396014</v>
      </c>
      <c r="C16" s="282">
        <f t="shared" si="0"/>
        <v>27.69000445293052</v>
      </c>
      <c r="D16" s="4"/>
    </row>
    <row r="17" spans="1:4" ht="15" customHeight="1">
      <c r="A17" s="286" t="s">
        <v>12</v>
      </c>
      <c r="B17" s="281">
        <f>Summary!B41</f>
        <v>7210.339168263425</v>
      </c>
      <c r="C17" s="282">
        <f t="shared" si="0"/>
        <v>27.69000445293052</v>
      </c>
      <c r="D17" s="4"/>
    </row>
    <row r="18" spans="1:4" ht="15" customHeight="1">
      <c r="A18" s="286" t="s">
        <v>13</v>
      </c>
      <c r="B18" s="281">
        <f>Summary!B42</f>
        <v>3465.3553452746646</v>
      </c>
      <c r="C18" s="282">
        <f t="shared" si="0"/>
        <v>27.69000445293052</v>
      </c>
      <c r="D18" s="4"/>
    </row>
    <row r="19" spans="1:4" ht="15" customHeight="1">
      <c r="A19" s="286" t="s">
        <v>9</v>
      </c>
      <c r="B19" s="281">
        <f>Summary!B43</f>
        <v>10054.17210760676</v>
      </c>
      <c r="C19" s="282">
        <f t="shared" si="0"/>
        <v>27.69000445293052</v>
      </c>
      <c r="D19" s="4"/>
    </row>
    <row r="20" spans="1:4" ht="15" customHeight="1">
      <c r="A20" s="286" t="s">
        <v>14</v>
      </c>
      <c r="B20" s="281">
        <f>Summary!B44</f>
        <v>3424.599777672611</v>
      </c>
      <c r="C20" s="282">
        <f t="shared" si="0"/>
        <v>27.69000445293052</v>
      </c>
      <c r="D20" s="4"/>
    </row>
    <row r="21" spans="1:4" ht="15" customHeight="1">
      <c r="A21" s="286" t="s">
        <v>15</v>
      </c>
      <c r="B21" s="281">
        <f>Summary!B45</f>
        <v>7617.8948442839655</v>
      </c>
      <c r="C21" s="282">
        <f t="shared" si="0"/>
        <v>27.69000445293052</v>
      </c>
      <c r="D21" s="4"/>
    </row>
    <row r="22" spans="1:4" ht="15" customHeight="1">
      <c r="A22" s="286" t="s">
        <v>10</v>
      </c>
      <c r="B22" s="281">
        <f>Summary!B46</f>
        <v>8509.98893512893</v>
      </c>
      <c r="C22" s="282">
        <f t="shared" si="0"/>
        <v>27.69000445293052</v>
      </c>
      <c r="D22" s="4"/>
    </row>
    <row r="23" spans="1:4" ht="15" customHeight="1">
      <c r="A23" s="286" t="s">
        <v>8</v>
      </c>
      <c r="B23" s="281">
        <f>Summary!B47</f>
        <v>11853.077577597434</v>
      </c>
      <c r="C23" s="282">
        <f t="shared" si="0"/>
        <v>27.69000445293052</v>
      </c>
      <c r="D23" s="4"/>
    </row>
    <row r="24" spans="1:4" ht="15" customHeight="1">
      <c r="A24" s="286" t="s">
        <v>18</v>
      </c>
      <c r="B24" s="281">
        <f>Summary!B48</f>
        <v>467.55692832356635</v>
      </c>
      <c r="C24" s="282">
        <f t="shared" si="0"/>
        <v>27.69000445293052</v>
      </c>
      <c r="D24" s="4"/>
    </row>
    <row r="25" spans="1:4" ht="15" customHeight="1">
      <c r="A25" s="287" t="s">
        <v>240</v>
      </c>
      <c r="B25" s="281">
        <f>SUM(B5:B24)</f>
        <v>171128.87749999994</v>
      </c>
      <c r="C25" s="282">
        <f t="shared" si="0"/>
        <v>27.69000445293052</v>
      </c>
      <c r="D25" s="4"/>
    </row>
    <row r="26" spans="1:4" ht="15" customHeight="1">
      <c r="A26" s="287" t="s">
        <v>241</v>
      </c>
      <c r="B26" s="283">
        <v>4738559.38</v>
      </c>
      <c r="C26" s="282">
        <f t="shared" si="0"/>
        <v>27.69000445293052</v>
      </c>
      <c r="D26" s="4"/>
    </row>
    <row r="27" spans="1:4" ht="15" customHeight="1">
      <c r="A27" s="288" t="s">
        <v>242</v>
      </c>
      <c r="B27" s="285">
        <f>B26/B25</f>
        <v>27.69000445293052</v>
      </c>
      <c r="C27" s="284"/>
      <c r="D27" s="4"/>
    </row>
    <row r="28" spans="1:4" ht="15" customHeight="1">
      <c r="A28" s="284"/>
      <c r="B28" s="284"/>
      <c r="C28" s="284"/>
      <c r="D28" s="4"/>
    </row>
    <row r="29" spans="1:4" ht="15" customHeight="1">
      <c r="A29" s="329" t="s">
        <v>244</v>
      </c>
      <c r="B29" s="329"/>
      <c r="C29" s="329"/>
      <c r="D29" s="4"/>
    </row>
    <row r="30" spans="1:4" ht="15" customHeight="1">
      <c r="A30" s="329"/>
      <c r="B30" s="329"/>
      <c r="C30" s="329"/>
      <c r="D30" s="4"/>
    </row>
    <row r="33" ht="12.75">
      <c r="B33" s="318"/>
    </row>
    <row r="34" ht="12.75">
      <c r="B34" s="319"/>
    </row>
  </sheetData>
  <sheetProtection/>
  <mergeCells count="1">
    <mergeCell ref="A29:C30"/>
  </mergeCells>
  <printOptions/>
  <pageMargins left="0.45" right="0.45" top="0.5" bottom="0.5" header="0.3" footer="0.3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10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14.57421875" style="4" customWidth="1"/>
    <col min="2" max="2" width="16.00390625" style="4" customWidth="1"/>
    <col min="3" max="3" width="15.00390625" style="4" customWidth="1"/>
    <col min="4" max="4" width="15.421875" style="4" bestFit="1" customWidth="1"/>
    <col min="5" max="5" width="14.28125" style="4" customWidth="1"/>
    <col min="6" max="6" width="17.8515625" style="4" customWidth="1"/>
    <col min="7" max="7" width="16.421875" style="4" customWidth="1"/>
    <col min="8" max="8" width="16.00390625" style="4" customWidth="1"/>
    <col min="9" max="9" width="18.28125" style="4" customWidth="1"/>
    <col min="10" max="10" width="19.140625" style="4" customWidth="1"/>
    <col min="11" max="11" width="17.00390625" style="4" customWidth="1"/>
    <col min="12" max="14" width="15.7109375" style="4" customWidth="1"/>
    <col min="15" max="15" width="12.7109375" style="4" customWidth="1"/>
    <col min="16" max="16" width="9.140625" style="4" customWidth="1"/>
    <col min="17" max="17" width="11.28125" style="4" bestFit="1" customWidth="1"/>
    <col min="18" max="19" width="9.140625" style="4" customWidth="1"/>
    <col min="20" max="16384" width="9.140625" style="4" customWidth="1"/>
  </cols>
  <sheetData>
    <row r="1" ht="18">
      <c r="A1" s="64" t="s">
        <v>229</v>
      </c>
    </row>
    <row r="2" spans="1:7" ht="18">
      <c r="A2" s="62"/>
      <c r="B2" s="7"/>
      <c r="E2" s="21"/>
      <c r="F2" s="20"/>
      <c r="G2" s="16"/>
    </row>
    <row r="3" spans="1:15" ht="15">
      <c r="A3" s="331" t="s">
        <v>66</v>
      </c>
      <c r="B3" s="331"/>
      <c r="C3" s="71"/>
      <c r="D3" s="71"/>
      <c r="E3" s="71"/>
      <c r="F3" s="71"/>
      <c r="G3" s="71"/>
      <c r="H3" s="71"/>
      <c r="K3" s="7"/>
      <c r="L3" s="7"/>
      <c r="M3" s="7"/>
      <c r="N3" s="7"/>
      <c r="O3" s="7"/>
    </row>
    <row r="4" spans="1:14" s="6" customFormat="1" ht="69">
      <c r="A4" s="25" t="s">
        <v>197</v>
      </c>
      <c r="B4" s="26" t="s">
        <v>202</v>
      </c>
      <c r="C4" s="26" t="s">
        <v>208</v>
      </c>
      <c r="D4" s="211" t="s">
        <v>57</v>
      </c>
      <c r="E4" s="26" t="s">
        <v>206</v>
      </c>
      <c r="F4" s="211" t="s">
        <v>203</v>
      </c>
      <c r="G4" s="26" t="s">
        <v>207</v>
      </c>
      <c r="H4" s="211" t="s">
        <v>59</v>
      </c>
      <c r="I4" s="27"/>
      <c r="J4" s="27"/>
      <c r="K4" s="28"/>
      <c r="L4" s="27"/>
      <c r="M4" s="29"/>
      <c r="N4" s="27"/>
    </row>
    <row r="5" spans="1:14" ht="13.5">
      <c r="A5" s="30" t="s">
        <v>6</v>
      </c>
      <c r="B5" s="31">
        <v>120</v>
      </c>
      <c r="C5" s="31">
        <v>0</v>
      </c>
      <c r="D5" s="212">
        <f>B5+C5</f>
        <v>120</v>
      </c>
      <c r="E5" s="31">
        <v>0</v>
      </c>
      <c r="F5" s="212">
        <f>D5+E5</f>
        <v>120</v>
      </c>
      <c r="G5" s="70">
        <v>-13.98</v>
      </c>
      <c r="H5" s="212">
        <f>F5+G5</f>
        <v>106.02</v>
      </c>
      <c r="I5" s="32"/>
      <c r="J5" s="121" t="s">
        <v>24</v>
      </c>
      <c r="K5" s="33" t="s">
        <v>24</v>
      </c>
      <c r="L5" s="32"/>
      <c r="M5" s="22"/>
      <c r="N5" s="32"/>
    </row>
    <row r="6" spans="1:14" ht="13.5">
      <c r="A6" s="30" t="s">
        <v>29</v>
      </c>
      <c r="B6" s="31">
        <f>$B$5</f>
        <v>120</v>
      </c>
      <c r="C6" s="31">
        <v>0</v>
      </c>
      <c r="D6" s="212">
        <f>B6+C6</f>
        <v>120</v>
      </c>
      <c r="E6" s="31">
        <v>0</v>
      </c>
      <c r="F6" s="212">
        <f aca="true" t="shared" si="0" ref="F6:F17">D6+E6</f>
        <v>120</v>
      </c>
      <c r="G6" s="70">
        <v>-13.98</v>
      </c>
      <c r="H6" s="212">
        <f aca="true" t="shared" si="1" ref="H6:H17">F6+G6</f>
        <v>106.02</v>
      </c>
      <c r="I6" s="32"/>
      <c r="J6" s="119" t="s">
        <v>24</v>
      </c>
      <c r="K6" s="33" t="s">
        <v>24</v>
      </c>
      <c r="L6" s="32"/>
      <c r="M6" s="22"/>
      <c r="N6" s="32"/>
    </row>
    <row r="7" spans="1:14" ht="13.5">
      <c r="A7" s="30" t="s">
        <v>39</v>
      </c>
      <c r="B7" s="31">
        <f aca="true" t="shared" si="2" ref="B7:B22">$B$5</f>
        <v>120</v>
      </c>
      <c r="C7" s="31">
        <v>0</v>
      </c>
      <c r="D7" s="212">
        <f>B7+C6+C7</f>
        <v>120</v>
      </c>
      <c r="E7" s="31">
        <v>0</v>
      </c>
      <c r="F7" s="212">
        <f t="shared" si="0"/>
        <v>120</v>
      </c>
      <c r="G7" s="70">
        <v>-13.98</v>
      </c>
      <c r="H7" s="212">
        <f t="shared" si="1"/>
        <v>106.02</v>
      </c>
      <c r="I7" s="32"/>
      <c r="J7" s="121"/>
      <c r="K7" s="33"/>
      <c r="L7" s="32"/>
      <c r="M7" s="22"/>
      <c r="N7" s="32"/>
    </row>
    <row r="8" spans="1:14" ht="13.5">
      <c r="A8" s="30" t="s">
        <v>5</v>
      </c>
      <c r="B8" s="31">
        <f t="shared" si="2"/>
        <v>120</v>
      </c>
      <c r="C8" s="31">
        <v>0</v>
      </c>
      <c r="D8" s="212">
        <f>B8+C6+C8</f>
        <v>120</v>
      </c>
      <c r="E8" s="31">
        <v>0</v>
      </c>
      <c r="F8" s="212">
        <f t="shared" si="0"/>
        <v>120</v>
      </c>
      <c r="G8" s="70">
        <v>-13.98</v>
      </c>
      <c r="H8" s="212">
        <f t="shared" si="1"/>
        <v>106.02</v>
      </c>
      <c r="I8" s="32"/>
      <c r="J8" s="32"/>
      <c r="K8" s="33"/>
      <c r="L8" s="32"/>
      <c r="M8" s="22"/>
      <c r="N8" s="32"/>
    </row>
    <row r="9" spans="1:14" ht="13.5">
      <c r="A9" s="30" t="s">
        <v>8</v>
      </c>
      <c r="B9" s="31">
        <f t="shared" si="2"/>
        <v>120</v>
      </c>
      <c r="C9" s="31">
        <v>95</v>
      </c>
      <c r="D9" s="212">
        <f>B9+C6+C7+C9</f>
        <v>215</v>
      </c>
      <c r="E9" s="31">
        <v>0</v>
      </c>
      <c r="F9" s="212">
        <f t="shared" si="0"/>
        <v>215</v>
      </c>
      <c r="G9" s="70">
        <v>-13.98</v>
      </c>
      <c r="H9" s="212">
        <f t="shared" si="1"/>
        <v>201.02</v>
      </c>
      <c r="I9" s="32"/>
      <c r="J9" s="32"/>
      <c r="K9" s="34"/>
      <c r="L9" s="32"/>
      <c r="M9" s="22"/>
      <c r="N9" s="32"/>
    </row>
    <row r="10" spans="1:14" ht="13.5">
      <c r="A10" s="30" t="s">
        <v>40</v>
      </c>
      <c r="B10" s="31">
        <f t="shared" si="2"/>
        <v>120</v>
      </c>
      <c r="C10" s="31">
        <v>0</v>
      </c>
      <c r="D10" s="212">
        <f>B10+C6+C7+C9+C10</f>
        <v>215</v>
      </c>
      <c r="E10" s="31">
        <v>0</v>
      </c>
      <c r="F10" s="212">
        <f t="shared" si="0"/>
        <v>215</v>
      </c>
      <c r="G10" s="70">
        <v>-13.98</v>
      </c>
      <c r="H10" s="212">
        <f t="shared" si="1"/>
        <v>201.02</v>
      </c>
      <c r="I10" s="32"/>
      <c r="J10" s="32"/>
      <c r="K10" s="34"/>
      <c r="L10" s="32"/>
      <c r="M10" s="22"/>
      <c r="N10" s="32"/>
    </row>
    <row r="11" spans="1:14" ht="13.5">
      <c r="A11" s="30" t="s">
        <v>41</v>
      </c>
      <c r="B11" s="31">
        <f t="shared" si="2"/>
        <v>120</v>
      </c>
      <c r="C11" s="31">
        <v>0</v>
      </c>
      <c r="D11" s="212">
        <f>B11+C6+C7+C11</f>
        <v>120</v>
      </c>
      <c r="E11" s="31">
        <v>0</v>
      </c>
      <c r="F11" s="212">
        <f t="shared" si="0"/>
        <v>120</v>
      </c>
      <c r="G11" s="70">
        <v>-13.98</v>
      </c>
      <c r="H11" s="212">
        <f t="shared" si="1"/>
        <v>106.02</v>
      </c>
      <c r="I11" s="32" t="s">
        <v>24</v>
      </c>
      <c r="J11" s="32"/>
      <c r="K11" s="34"/>
      <c r="L11" s="32"/>
      <c r="M11" s="22"/>
      <c r="N11" s="32"/>
    </row>
    <row r="12" spans="1:14" ht="13.5">
      <c r="A12" s="23" t="s">
        <v>15</v>
      </c>
      <c r="B12" s="31">
        <f t="shared" si="2"/>
        <v>120</v>
      </c>
      <c r="C12" s="35">
        <v>0</v>
      </c>
      <c r="D12" s="212">
        <f>B12+C6+C8+C12</f>
        <v>120</v>
      </c>
      <c r="E12" s="31">
        <v>0</v>
      </c>
      <c r="F12" s="212">
        <f t="shared" si="0"/>
        <v>120</v>
      </c>
      <c r="G12" s="70">
        <v>-13.98</v>
      </c>
      <c r="H12" s="212">
        <f t="shared" si="1"/>
        <v>106.02</v>
      </c>
      <c r="I12" s="32"/>
      <c r="J12" s="32"/>
      <c r="K12" s="33"/>
      <c r="L12" s="32"/>
      <c r="M12" s="22"/>
      <c r="N12" s="32"/>
    </row>
    <row r="13" spans="1:14" ht="13.5">
      <c r="A13" s="23" t="s">
        <v>49</v>
      </c>
      <c r="B13" s="31">
        <f t="shared" si="2"/>
        <v>120</v>
      </c>
      <c r="C13" s="35">
        <v>0</v>
      </c>
      <c r="D13" s="212">
        <f>B13+C13</f>
        <v>120</v>
      </c>
      <c r="E13" s="31">
        <v>0</v>
      </c>
      <c r="F13" s="212">
        <f t="shared" si="0"/>
        <v>120</v>
      </c>
      <c r="G13" s="70">
        <v>-13.98</v>
      </c>
      <c r="H13" s="212">
        <f t="shared" si="1"/>
        <v>106.02</v>
      </c>
      <c r="I13" s="32"/>
      <c r="J13" s="36" t="s">
        <v>24</v>
      </c>
      <c r="K13" s="33"/>
      <c r="L13" s="32"/>
      <c r="M13" s="22"/>
      <c r="N13" s="32"/>
    </row>
    <row r="14" spans="1:14" ht="13.5">
      <c r="A14" s="23" t="s">
        <v>159</v>
      </c>
      <c r="B14" s="31">
        <f t="shared" si="2"/>
        <v>120</v>
      </c>
      <c r="C14" s="35">
        <v>0</v>
      </c>
      <c r="D14" s="212">
        <f>B14+C13+C14</f>
        <v>120</v>
      </c>
      <c r="E14" s="31">
        <v>0</v>
      </c>
      <c r="F14" s="212">
        <f t="shared" si="0"/>
        <v>120</v>
      </c>
      <c r="G14" s="70">
        <v>-13.98</v>
      </c>
      <c r="H14" s="212">
        <f t="shared" si="1"/>
        <v>106.02</v>
      </c>
      <c r="I14" s="32"/>
      <c r="J14" s="32" t="s">
        <v>24</v>
      </c>
      <c r="K14" s="33"/>
      <c r="L14" s="32"/>
      <c r="M14" s="22"/>
      <c r="N14" s="32"/>
    </row>
    <row r="15" spans="1:14" ht="13.5">
      <c r="A15" s="23" t="s">
        <v>20</v>
      </c>
      <c r="B15" s="31">
        <f t="shared" si="2"/>
        <v>120</v>
      </c>
      <c r="C15" s="35">
        <v>0</v>
      </c>
      <c r="D15" s="212">
        <f>B15+C15</f>
        <v>120</v>
      </c>
      <c r="E15" s="31">
        <v>0</v>
      </c>
      <c r="F15" s="212">
        <f t="shared" si="0"/>
        <v>120</v>
      </c>
      <c r="G15" s="70">
        <v>-13.98</v>
      </c>
      <c r="H15" s="212">
        <f t="shared" si="1"/>
        <v>106.02</v>
      </c>
      <c r="I15" s="32"/>
      <c r="J15" s="36" t="s">
        <v>24</v>
      </c>
      <c r="K15" s="33"/>
      <c r="L15" s="32"/>
      <c r="M15" s="22"/>
      <c r="N15" s="32"/>
    </row>
    <row r="16" spans="1:14" ht="13.5">
      <c r="A16" s="23" t="s">
        <v>11</v>
      </c>
      <c r="B16" s="31">
        <f t="shared" si="2"/>
        <v>120</v>
      </c>
      <c r="C16" s="35">
        <v>0</v>
      </c>
      <c r="D16" s="212">
        <f>B16+C6+C8+C16</f>
        <v>120</v>
      </c>
      <c r="E16" s="31">
        <v>0</v>
      </c>
      <c r="F16" s="212">
        <f t="shared" si="0"/>
        <v>120</v>
      </c>
      <c r="G16" s="70">
        <v>-13.98</v>
      </c>
      <c r="H16" s="212">
        <f t="shared" si="1"/>
        <v>106.02</v>
      </c>
      <c r="I16" s="32"/>
      <c r="J16" s="32"/>
      <c r="K16" s="33"/>
      <c r="L16" s="32"/>
      <c r="M16" s="22"/>
      <c r="N16" s="32"/>
    </row>
    <row r="17" spans="1:14" ht="13.5">
      <c r="A17" s="23" t="s">
        <v>10</v>
      </c>
      <c r="B17" s="31">
        <f t="shared" si="2"/>
        <v>120</v>
      </c>
      <c r="C17" s="35">
        <v>0</v>
      </c>
      <c r="D17" s="212">
        <f>B17+C6+C17</f>
        <v>120</v>
      </c>
      <c r="E17" s="70">
        <v>-66.02</v>
      </c>
      <c r="F17" s="212">
        <f t="shared" si="0"/>
        <v>53.980000000000004</v>
      </c>
      <c r="G17" s="70">
        <v>-13.98</v>
      </c>
      <c r="H17" s="212">
        <f t="shared" si="1"/>
        <v>40</v>
      </c>
      <c r="I17" s="32"/>
      <c r="J17" s="32"/>
      <c r="K17" s="37" t="s">
        <v>24</v>
      </c>
      <c r="L17" s="32"/>
      <c r="M17" s="22"/>
      <c r="N17" s="32"/>
    </row>
    <row r="18" spans="1:15" ht="13.5">
      <c r="A18" s="23" t="s">
        <v>179</v>
      </c>
      <c r="B18" s="31">
        <f t="shared" si="2"/>
        <v>120</v>
      </c>
      <c r="C18" s="35">
        <v>0</v>
      </c>
      <c r="D18" s="212">
        <f>B18+C18</f>
        <v>120</v>
      </c>
      <c r="E18" s="31" t="s">
        <v>184</v>
      </c>
      <c r="F18" s="212" t="s">
        <v>184</v>
      </c>
      <c r="G18" s="31" t="s">
        <v>184</v>
      </c>
      <c r="H18" s="212" t="s">
        <v>184</v>
      </c>
      <c r="I18" s="32"/>
      <c r="J18" s="32"/>
      <c r="K18"/>
      <c r="L18"/>
      <c r="M18"/>
      <c r="N18"/>
      <c r="O18"/>
    </row>
    <row r="19" spans="1:15" ht="13.5">
      <c r="A19" s="23" t="s">
        <v>180</v>
      </c>
      <c r="B19" s="31">
        <f t="shared" si="2"/>
        <v>120</v>
      </c>
      <c r="C19" s="35">
        <v>0</v>
      </c>
      <c r="D19" s="212">
        <f>B19+C19</f>
        <v>120</v>
      </c>
      <c r="E19" s="31" t="s">
        <v>184</v>
      </c>
      <c r="F19" s="212" t="s">
        <v>184</v>
      </c>
      <c r="G19" s="31" t="s">
        <v>184</v>
      </c>
      <c r="H19" s="212" t="s">
        <v>184</v>
      </c>
      <c r="I19" s="32"/>
      <c r="J19" s="32"/>
      <c r="K19"/>
      <c r="L19"/>
      <c r="M19"/>
      <c r="N19"/>
      <c r="O19"/>
    </row>
    <row r="20" spans="1:15" ht="13.5">
      <c r="A20" s="23" t="s">
        <v>181</v>
      </c>
      <c r="B20" s="31">
        <f t="shared" si="2"/>
        <v>120</v>
      </c>
      <c r="C20" s="35">
        <v>0</v>
      </c>
      <c r="D20" s="212">
        <f>B20+C20</f>
        <v>120</v>
      </c>
      <c r="E20" s="31" t="s">
        <v>184</v>
      </c>
      <c r="F20" s="212" t="s">
        <v>184</v>
      </c>
      <c r="G20" s="31" t="s">
        <v>184</v>
      </c>
      <c r="H20" s="212" t="s">
        <v>184</v>
      </c>
      <c r="I20" s="32"/>
      <c r="J20" s="32"/>
      <c r="K20"/>
      <c r="L20"/>
      <c r="M20"/>
      <c r="N20"/>
      <c r="O20"/>
    </row>
    <row r="21" spans="1:15" ht="13.5">
      <c r="A21" s="23" t="s">
        <v>182</v>
      </c>
      <c r="B21" s="31">
        <f t="shared" si="2"/>
        <v>120</v>
      </c>
      <c r="C21" s="35">
        <v>0</v>
      </c>
      <c r="D21" s="212">
        <f>B21+C21</f>
        <v>120</v>
      </c>
      <c r="E21" s="31" t="s">
        <v>184</v>
      </c>
      <c r="F21" s="212" t="s">
        <v>184</v>
      </c>
      <c r="G21" s="31" t="s">
        <v>184</v>
      </c>
      <c r="H21" s="212" t="s">
        <v>184</v>
      </c>
      <c r="I21" s="32"/>
      <c r="J21" s="32"/>
      <c r="K21"/>
      <c r="L21"/>
      <c r="M21"/>
      <c r="N21"/>
      <c r="O21"/>
    </row>
    <row r="22" spans="1:15" ht="13.5">
      <c r="A22" s="23" t="s">
        <v>183</v>
      </c>
      <c r="B22" s="31">
        <f t="shared" si="2"/>
        <v>120</v>
      </c>
      <c r="C22" s="35">
        <v>0</v>
      </c>
      <c r="D22" s="212">
        <f>B22+C22</f>
        <v>120</v>
      </c>
      <c r="E22" s="31" t="s">
        <v>184</v>
      </c>
      <c r="F22" s="212" t="s">
        <v>184</v>
      </c>
      <c r="G22" s="31" t="s">
        <v>184</v>
      </c>
      <c r="H22" s="212" t="s">
        <v>184</v>
      </c>
      <c r="I22" s="32"/>
      <c r="J22" s="32"/>
      <c r="K22"/>
      <c r="L22"/>
      <c r="M22"/>
      <c r="N22"/>
      <c r="O22"/>
    </row>
    <row r="23" spans="1:15" ht="13.5">
      <c r="A23" s="24" t="s">
        <v>204</v>
      </c>
      <c r="B23" s="34"/>
      <c r="C23" s="33"/>
      <c r="D23" s="33"/>
      <c r="E23" s="33"/>
      <c r="F23" s="33"/>
      <c r="G23" s="33"/>
      <c r="H23" s="33"/>
      <c r="I23" s="32"/>
      <c r="J23" s="32"/>
      <c r="K23"/>
      <c r="L23"/>
      <c r="M23"/>
      <c r="N23"/>
      <c r="O23"/>
    </row>
    <row r="24" spans="1:15" ht="23.25" customHeight="1">
      <c r="A24" s="330" t="s">
        <v>205</v>
      </c>
      <c r="B24" s="330"/>
      <c r="C24" s="330"/>
      <c r="D24" s="330"/>
      <c r="E24" s="330"/>
      <c r="F24" s="330"/>
      <c r="G24" s="330"/>
      <c r="H24" s="330"/>
      <c r="I24" s="69" t="s">
        <v>24</v>
      </c>
      <c r="J24" s="40"/>
      <c r="K24"/>
      <c r="L24"/>
      <c r="M24"/>
      <c r="N24"/>
      <c r="O24"/>
    </row>
    <row r="25" spans="1:15" ht="13.5">
      <c r="A25" s="24"/>
      <c r="B25" s="34"/>
      <c r="C25" s="34"/>
      <c r="D25" s="34"/>
      <c r="E25" s="38"/>
      <c r="F25" s="39"/>
      <c r="G25" s="39"/>
      <c r="H25" s="39"/>
      <c r="I25" s="40"/>
      <c r="J25" s="40"/>
      <c r="K25"/>
      <c r="L25"/>
      <c r="M25"/>
      <c r="N25"/>
      <c r="O25"/>
    </row>
    <row r="26" spans="1:15" ht="15">
      <c r="A26" s="332" t="s">
        <v>67</v>
      </c>
      <c r="B26" s="332"/>
      <c r="C26" s="65" t="s">
        <v>24</v>
      </c>
      <c r="D26" s="33"/>
      <c r="E26" s="66"/>
      <c r="F26" s="67"/>
      <c r="G26" s="39"/>
      <c r="H26" s="39"/>
      <c r="I26" s="40"/>
      <c r="J26" s="40"/>
      <c r="K26"/>
      <c r="L26"/>
      <c r="M26"/>
      <c r="N26"/>
      <c r="O26"/>
    </row>
    <row r="27" spans="1:15" ht="69" customHeight="1">
      <c r="A27" s="25" t="s">
        <v>197</v>
      </c>
      <c r="B27" s="26" t="s">
        <v>58</v>
      </c>
      <c r="C27" s="26" t="s">
        <v>60</v>
      </c>
      <c r="D27" s="26" t="s">
        <v>114</v>
      </c>
      <c r="E27" s="26" t="s">
        <v>61</v>
      </c>
      <c r="F27" s="26" t="s">
        <v>99</v>
      </c>
      <c r="G27" s="26" t="s">
        <v>98</v>
      </c>
      <c r="H27" s="26" t="s">
        <v>115</v>
      </c>
      <c r="I27" s="26" t="s">
        <v>100</v>
      </c>
      <c r="J27" s="43"/>
      <c r="K27"/>
      <c r="L27"/>
      <c r="M27"/>
      <c r="N27"/>
      <c r="O27"/>
    </row>
    <row r="28" spans="1:17" ht="13.5">
      <c r="A28" s="30" t="s">
        <v>230</v>
      </c>
      <c r="B28" s="44">
        <v>157264.3</v>
      </c>
      <c r="C28" s="44">
        <v>7163.3</v>
      </c>
      <c r="D28" s="44">
        <v>2322.1</v>
      </c>
      <c r="E28" s="45">
        <f aca="true" t="shared" si="3" ref="E28:E36">B28+C28+D28</f>
        <v>166749.69999999998</v>
      </c>
      <c r="F28" s="30">
        <v>65</v>
      </c>
      <c r="G28" s="30">
        <v>0</v>
      </c>
      <c r="H28" s="30">
        <v>0.2</v>
      </c>
      <c r="I28" s="30">
        <f aca="true" t="shared" si="4" ref="I28:I35">F28+G28+H28</f>
        <v>65.2</v>
      </c>
      <c r="J28" s="32"/>
      <c r="K28"/>
      <c r="L28"/>
      <c r="M28"/>
      <c r="N28"/>
      <c r="O28"/>
      <c r="Q28" s="14">
        <f>L28-SUM(L42:L45)</f>
        <v>0</v>
      </c>
    </row>
    <row r="29" spans="1:15" ht="13.5">
      <c r="A29" s="30" t="s">
        <v>29</v>
      </c>
      <c r="B29" s="44">
        <v>64900.6</v>
      </c>
      <c r="C29" s="44">
        <v>2577.9000000000005</v>
      </c>
      <c r="D29" s="44">
        <v>885.4000000000001</v>
      </c>
      <c r="E29" s="45">
        <f t="shared" si="3"/>
        <v>68363.9</v>
      </c>
      <c r="F29" s="30">
        <v>65</v>
      </c>
      <c r="G29" s="30">
        <v>0</v>
      </c>
      <c r="H29" s="30">
        <v>0.2</v>
      </c>
      <c r="I29" s="30">
        <f t="shared" si="4"/>
        <v>65.2</v>
      </c>
      <c r="J29" s="32"/>
      <c r="K29"/>
      <c r="L29"/>
      <c r="M29"/>
      <c r="N29"/>
      <c r="O29"/>
    </row>
    <row r="30" spans="1:15" ht="13.5">
      <c r="A30" s="30" t="s">
        <v>39</v>
      </c>
      <c r="B30" s="44">
        <v>30840.4</v>
      </c>
      <c r="C30" s="44">
        <v>873.5000000000001</v>
      </c>
      <c r="D30" s="44">
        <v>497</v>
      </c>
      <c r="E30" s="45">
        <f t="shared" si="3"/>
        <v>32210.9</v>
      </c>
      <c r="F30" s="30">
        <v>0</v>
      </c>
      <c r="G30" s="30">
        <v>0</v>
      </c>
      <c r="H30" s="30">
        <v>0</v>
      </c>
      <c r="I30" s="30">
        <f t="shared" si="4"/>
        <v>0</v>
      </c>
      <c r="J30" s="32"/>
      <c r="K30"/>
      <c r="L30"/>
      <c r="M30"/>
      <c r="N30"/>
      <c r="O30"/>
    </row>
    <row r="31" spans="1:15" ht="13.5">
      <c r="A31" s="30" t="s">
        <v>5</v>
      </c>
      <c r="B31" s="44">
        <v>10374</v>
      </c>
      <c r="C31" s="44">
        <v>1164.2</v>
      </c>
      <c r="D31" s="44">
        <v>155.2</v>
      </c>
      <c r="E31" s="45">
        <f t="shared" si="3"/>
        <v>11693.400000000001</v>
      </c>
      <c r="F31" s="30">
        <v>0</v>
      </c>
      <c r="G31" s="30">
        <v>0</v>
      </c>
      <c r="H31" s="30">
        <v>0</v>
      </c>
      <c r="I31" s="30">
        <f t="shared" si="4"/>
        <v>0</v>
      </c>
      <c r="J31" s="32"/>
      <c r="K31"/>
      <c r="L31"/>
      <c r="M31"/>
      <c r="N31"/>
      <c r="O31"/>
    </row>
    <row r="32" spans="1:15" ht="13.5">
      <c r="A32" s="30" t="s">
        <v>8</v>
      </c>
      <c r="B32" s="44">
        <v>5778.4</v>
      </c>
      <c r="C32" s="44">
        <v>154.8</v>
      </c>
      <c r="D32" s="44">
        <v>177.5</v>
      </c>
      <c r="E32" s="45">
        <f t="shared" si="3"/>
        <v>6110.7</v>
      </c>
      <c r="F32" s="30">
        <v>0</v>
      </c>
      <c r="G32" s="30">
        <v>0</v>
      </c>
      <c r="H32" s="30">
        <v>0</v>
      </c>
      <c r="I32" s="30">
        <f t="shared" si="4"/>
        <v>0</v>
      </c>
      <c r="J32" s="32"/>
      <c r="K32"/>
      <c r="L32"/>
      <c r="M32"/>
      <c r="N32"/>
      <c r="O32"/>
    </row>
    <row r="33" spans="1:15" ht="13.5">
      <c r="A33" s="30" t="s">
        <v>40</v>
      </c>
      <c r="B33" s="44">
        <v>3765.8</v>
      </c>
      <c r="C33" s="44">
        <v>62.5</v>
      </c>
      <c r="D33" s="44">
        <v>64.9</v>
      </c>
      <c r="E33" s="45">
        <f>B33+C33+D33</f>
        <v>3893.2000000000003</v>
      </c>
      <c r="F33" s="30">
        <v>0</v>
      </c>
      <c r="G33" s="30">
        <v>0</v>
      </c>
      <c r="H33" s="30">
        <v>0</v>
      </c>
      <c r="I33" s="30">
        <f t="shared" si="4"/>
        <v>0</v>
      </c>
      <c r="J33" s="32"/>
      <c r="K33"/>
      <c r="L33"/>
      <c r="M33"/>
      <c r="N33"/>
      <c r="O33"/>
    </row>
    <row r="34" spans="1:19" ht="13.5">
      <c r="A34" s="30" t="s">
        <v>41</v>
      </c>
      <c r="B34" s="44">
        <v>1605.3999999999994</v>
      </c>
      <c r="C34" s="44">
        <v>52.599999999999994</v>
      </c>
      <c r="D34" s="44">
        <v>24.3</v>
      </c>
      <c r="E34" s="45">
        <f t="shared" si="3"/>
        <v>1682.2999999999993</v>
      </c>
      <c r="F34" s="30">
        <v>0</v>
      </c>
      <c r="G34" s="30">
        <v>0</v>
      </c>
      <c r="H34" s="30">
        <v>0</v>
      </c>
      <c r="I34" s="30">
        <f t="shared" si="4"/>
        <v>0</v>
      </c>
      <c r="J34" s="24" t="s">
        <v>24</v>
      </c>
      <c r="K34"/>
      <c r="L34"/>
      <c r="M34"/>
      <c r="N34"/>
      <c r="O34"/>
      <c r="Q34" s="4" t="s">
        <v>24</v>
      </c>
      <c r="R34" s="118" t="s">
        <v>24</v>
      </c>
      <c r="S34" s="118" t="s">
        <v>24</v>
      </c>
    </row>
    <row r="35" spans="1:19" ht="13.5">
      <c r="A35" s="23" t="s">
        <v>15</v>
      </c>
      <c r="B35" s="44">
        <v>5375.2</v>
      </c>
      <c r="C35" s="44">
        <v>472.59999999999997</v>
      </c>
      <c r="D35" s="44">
        <v>89.99999999999999</v>
      </c>
      <c r="E35" s="45">
        <f t="shared" si="3"/>
        <v>5937.8</v>
      </c>
      <c r="F35" s="30">
        <v>0</v>
      </c>
      <c r="G35" s="30">
        <v>0</v>
      </c>
      <c r="H35" s="30">
        <v>0</v>
      </c>
      <c r="I35" s="30">
        <f t="shared" si="4"/>
        <v>0</v>
      </c>
      <c r="J35" s="32"/>
      <c r="K35"/>
      <c r="L35"/>
      <c r="M35"/>
      <c r="N35"/>
      <c r="O35"/>
      <c r="S35" s="4">
        <f>N34*G11</f>
        <v>0</v>
      </c>
    </row>
    <row r="36" spans="1:15" ht="13.5">
      <c r="A36" s="23" t="s">
        <v>49</v>
      </c>
      <c r="B36" s="44">
        <v>8068.200000000002</v>
      </c>
      <c r="C36" s="44">
        <v>735.8999999999999</v>
      </c>
      <c r="D36" s="44">
        <v>173.2</v>
      </c>
      <c r="E36" s="45">
        <f t="shared" si="3"/>
        <v>8977.300000000003</v>
      </c>
      <c r="F36" s="30">
        <v>0</v>
      </c>
      <c r="G36" s="30">
        <v>0</v>
      </c>
      <c r="H36" s="30">
        <v>0</v>
      </c>
      <c r="I36" s="30">
        <f>F36+G36+H36</f>
        <v>0</v>
      </c>
      <c r="J36" s="32"/>
      <c r="K36"/>
      <c r="L36"/>
      <c r="M36"/>
      <c r="N36"/>
      <c r="O36"/>
    </row>
    <row r="37" spans="1:15" ht="13.5">
      <c r="A37" s="23" t="s">
        <v>159</v>
      </c>
      <c r="B37" s="44">
        <v>2286.5</v>
      </c>
      <c r="C37" s="44">
        <v>235.89999999999998</v>
      </c>
      <c r="D37" s="44">
        <v>26.2</v>
      </c>
      <c r="E37" s="45">
        <f aca="true" t="shared" si="5" ref="E37:E45">B37+C37+D37</f>
        <v>2548.6</v>
      </c>
      <c r="F37" s="30">
        <v>0</v>
      </c>
      <c r="G37" s="30">
        <v>0</v>
      </c>
      <c r="H37" s="30">
        <v>0</v>
      </c>
      <c r="I37" s="30">
        <f>F37+G37+H37</f>
        <v>0</v>
      </c>
      <c r="J37" s="32"/>
      <c r="K37"/>
      <c r="L37"/>
      <c r="M37"/>
      <c r="N37"/>
      <c r="O37"/>
    </row>
    <row r="38" spans="1:15" ht="13.5">
      <c r="A38" s="23" t="s">
        <v>20</v>
      </c>
      <c r="B38" s="44">
        <v>21125.300000000007</v>
      </c>
      <c r="C38" s="44">
        <v>1169.6000000000004</v>
      </c>
      <c r="D38" s="44">
        <v>256.09999999999997</v>
      </c>
      <c r="E38" s="46">
        <f t="shared" si="5"/>
        <v>22551.000000000007</v>
      </c>
      <c r="F38" s="30">
        <v>0</v>
      </c>
      <c r="G38" s="30">
        <v>0</v>
      </c>
      <c r="H38" s="30">
        <v>0</v>
      </c>
      <c r="I38" s="30">
        <f>F38+G38+H38</f>
        <v>0</v>
      </c>
      <c r="J38" s="32"/>
      <c r="K38"/>
      <c r="L38"/>
      <c r="M38"/>
      <c r="N38"/>
      <c r="O38"/>
    </row>
    <row r="39" spans="1:15" ht="13.5">
      <c r="A39" s="23" t="s">
        <v>11</v>
      </c>
      <c r="B39" s="44">
        <v>2594.5</v>
      </c>
      <c r="C39" s="44">
        <v>691.6</v>
      </c>
      <c r="D39" s="44">
        <v>65.20000000000002</v>
      </c>
      <c r="E39" s="46">
        <f t="shared" si="5"/>
        <v>3351.2999999999997</v>
      </c>
      <c r="F39" s="30">
        <v>0</v>
      </c>
      <c r="G39" s="30">
        <v>0</v>
      </c>
      <c r="H39" s="30">
        <v>0</v>
      </c>
      <c r="I39" s="30">
        <f>F39+G39+H39</f>
        <v>0</v>
      </c>
      <c r="J39" s="32"/>
      <c r="K39"/>
      <c r="L39"/>
      <c r="M39"/>
      <c r="N39"/>
      <c r="O39"/>
    </row>
    <row r="40" spans="1:15" ht="13.5">
      <c r="A40" s="23" t="s">
        <v>10</v>
      </c>
      <c r="B40" s="44">
        <v>9123.499999999998</v>
      </c>
      <c r="C40" s="44">
        <v>183.3</v>
      </c>
      <c r="D40" s="44">
        <v>41.7</v>
      </c>
      <c r="E40" s="46">
        <f>B40+C40+D40</f>
        <v>9348.499999999998</v>
      </c>
      <c r="F40" s="30">
        <v>0</v>
      </c>
      <c r="G40" s="30">
        <v>0</v>
      </c>
      <c r="H40" s="30">
        <v>0.2</v>
      </c>
      <c r="I40" s="30">
        <f>F40+G40+H40</f>
        <v>0.2</v>
      </c>
      <c r="J40" s="32"/>
      <c r="K40"/>
      <c r="L40"/>
      <c r="M40"/>
      <c r="N40"/>
      <c r="O40"/>
    </row>
    <row r="41" spans="1:15" ht="13.5">
      <c r="A41" s="23" t="s">
        <v>179</v>
      </c>
      <c r="B41" s="44">
        <v>26.9</v>
      </c>
      <c r="C41" s="47">
        <v>0</v>
      </c>
      <c r="D41" s="47">
        <v>0</v>
      </c>
      <c r="E41" s="46">
        <f>B41+C41+D41</f>
        <v>26.9</v>
      </c>
      <c r="F41" s="48">
        <v>0</v>
      </c>
      <c r="G41" s="48">
        <v>0</v>
      </c>
      <c r="H41" s="48">
        <v>0</v>
      </c>
      <c r="I41" s="48">
        <f>F41</f>
        <v>0</v>
      </c>
      <c r="J41" s="32"/>
      <c r="K41"/>
      <c r="L41"/>
      <c r="M41"/>
      <c r="N41"/>
      <c r="O41"/>
    </row>
    <row r="42" spans="1:15" ht="13.5">
      <c r="A42" s="23" t="s">
        <v>180</v>
      </c>
      <c r="B42" s="47">
        <v>0</v>
      </c>
      <c r="C42" s="47">
        <v>0</v>
      </c>
      <c r="D42" s="47">
        <v>0</v>
      </c>
      <c r="E42" s="48">
        <f>B42+C42+D42</f>
        <v>0</v>
      </c>
      <c r="F42" s="48">
        <v>0</v>
      </c>
      <c r="G42" s="48">
        <v>0</v>
      </c>
      <c r="H42" s="48">
        <v>0</v>
      </c>
      <c r="I42" s="48">
        <f>F42</f>
        <v>0</v>
      </c>
      <c r="J42" s="32"/>
      <c r="K42"/>
      <c r="L42"/>
      <c r="M42"/>
      <c r="N42"/>
      <c r="O42"/>
    </row>
    <row r="43" spans="1:15" ht="13.5">
      <c r="A43" s="23" t="s">
        <v>181</v>
      </c>
      <c r="B43" s="44">
        <v>87.5</v>
      </c>
      <c r="C43" s="47">
        <v>0</v>
      </c>
      <c r="D43" s="47">
        <v>0</v>
      </c>
      <c r="E43" s="46">
        <f>B43+C43+D43</f>
        <v>87.5</v>
      </c>
      <c r="F43" s="48">
        <v>0</v>
      </c>
      <c r="G43" s="48">
        <v>0</v>
      </c>
      <c r="H43" s="48">
        <v>0</v>
      </c>
      <c r="I43" s="48">
        <f>F43</f>
        <v>0</v>
      </c>
      <c r="J43" s="32"/>
      <c r="K43"/>
      <c r="L43"/>
      <c r="M43"/>
      <c r="N43"/>
      <c r="O43"/>
    </row>
    <row r="44" spans="1:15" ht="13.5">
      <c r="A44" s="23" t="s">
        <v>182</v>
      </c>
      <c r="B44" s="44">
        <v>139.60000000000005</v>
      </c>
      <c r="C44" s="47">
        <v>0</v>
      </c>
      <c r="D44" s="47">
        <v>0</v>
      </c>
      <c r="E44" s="46">
        <f>B44+C44+D44</f>
        <v>139.60000000000005</v>
      </c>
      <c r="F44" s="48">
        <v>0</v>
      </c>
      <c r="G44" s="48">
        <v>0</v>
      </c>
      <c r="H44" s="48">
        <v>0</v>
      </c>
      <c r="I44" s="48">
        <f>F44</f>
        <v>0</v>
      </c>
      <c r="J44" s="49" t="s">
        <v>24</v>
      </c>
      <c r="K44"/>
      <c r="L44"/>
      <c r="M44"/>
      <c r="N44"/>
      <c r="O44"/>
    </row>
    <row r="45" spans="1:15" ht="13.5">
      <c r="A45" s="23" t="s">
        <v>183</v>
      </c>
      <c r="B45" s="47">
        <v>0</v>
      </c>
      <c r="C45" s="47">
        <v>0</v>
      </c>
      <c r="D45" s="47">
        <v>0</v>
      </c>
      <c r="E45" s="48">
        <f t="shared" si="5"/>
        <v>0</v>
      </c>
      <c r="F45" s="48">
        <v>0</v>
      </c>
      <c r="G45" s="48">
        <v>0</v>
      </c>
      <c r="H45" s="48">
        <v>0</v>
      </c>
      <c r="I45" s="48">
        <f>F45</f>
        <v>0</v>
      </c>
      <c r="J45" s="32"/>
      <c r="K45"/>
      <c r="L45"/>
      <c r="M45"/>
      <c r="N45"/>
      <c r="O45"/>
    </row>
    <row r="46" spans="1:15" ht="13.5">
      <c r="A46" s="338" t="s">
        <v>231</v>
      </c>
      <c r="B46" s="338"/>
      <c r="C46" s="338"/>
      <c r="D46" s="338"/>
      <c r="E46" s="338"/>
      <c r="F46" s="338"/>
      <c r="G46" s="338"/>
      <c r="H46" s="338"/>
      <c r="I46" s="338"/>
      <c r="J46" s="32"/>
      <c r="K46"/>
      <c r="L46"/>
      <c r="M46"/>
      <c r="N46"/>
      <c r="O46"/>
    </row>
    <row r="47" spans="1:15" ht="13.5">
      <c r="A47" s="24"/>
      <c r="B47" s="34"/>
      <c r="C47" s="34"/>
      <c r="D47" s="34"/>
      <c r="E47" s="38"/>
      <c r="F47" s="39"/>
      <c r="G47" s="39"/>
      <c r="H47" s="39"/>
      <c r="I47" s="40"/>
      <c r="J47" s="40"/>
      <c r="K47"/>
      <c r="L47"/>
      <c r="M47"/>
      <c r="N47"/>
      <c r="O47"/>
    </row>
    <row r="48" spans="1:15" ht="15">
      <c r="A48" s="333" t="s">
        <v>65</v>
      </c>
      <c r="B48" s="334"/>
      <c r="C48" s="34"/>
      <c r="D48" s="34"/>
      <c r="E48" s="38"/>
      <c r="F48" s="39"/>
      <c r="G48" s="39"/>
      <c r="H48" s="39"/>
      <c r="I48" s="40"/>
      <c r="J48" s="40"/>
      <c r="K48"/>
      <c r="L48"/>
      <c r="M48"/>
      <c r="N48"/>
      <c r="O48"/>
    </row>
    <row r="49" spans="1:15" ht="84.75" customHeight="1">
      <c r="A49" s="25" t="s">
        <v>197</v>
      </c>
      <c r="B49" s="26" t="s">
        <v>58</v>
      </c>
      <c r="C49" s="26" t="s">
        <v>60</v>
      </c>
      <c r="D49" s="26" t="s">
        <v>114</v>
      </c>
      <c r="E49" s="26" t="s">
        <v>61</v>
      </c>
      <c r="F49" s="25" t="s">
        <v>113</v>
      </c>
      <c r="G49" s="25" t="s">
        <v>112</v>
      </c>
      <c r="H49" s="25" t="s">
        <v>111</v>
      </c>
      <c r="I49" s="25" t="s">
        <v>64</v>
      </c>
      <c r="J49" s="22"/>
      <c r="K49"/>
      <c r="L49"/>
      <c r="M49"/>
      <c r="N49"/>
      <c r="O49"/>
    </row>
    <row r="50" spans="1:15" ht="13.5">
      <c r="A50" s="30" t="s">
        <v>50</v>
      </c>
      <c r="B50" s="51">
        <f>B28-B29-B36-B38</f>
        <v>63170.19999999998</v>
      </c>
      <c r="C50" s="51">
        <f>C28-C29-C36-C38</f>
        <v>2679.8999999999996</v>
      </c>
      <c r="D50" s="51">
        <f>D28-D29-D36-D38</f>
        <v>1007.3999999999999</v>
      </c>
      <c r="E50" s="52">
        <f>B50+C50+D50</f>
        <v>66857.49999999997</v>
      </c>
      <c r="F50" s="53">
        <f aca="true" t="shared" si="6" ref="F50:F67">B50*D5</f>
        <v>7580423.999999998</v>
      </c>
      <c r="G50" s="53">
        <f aca="true" t="shared" si="7" ref="G50:G62">C50*F5</f>
        <v>321587.99999999994</v>
      </c>
      <c r="H50" s="53">
        <f aca="true" t="shared" si="8" ref="H50:H62">D50*H5</f>
        <v>106804.54799999998</v>
      </c>
      <c r="I50" s="53">
        <f aca="true" t="shared" si="9" ref="I50:I62">F50+G50+H50</f>
        <v>8008816.547999999</v>
      </c>
      <c r="J50" s="22"/>
      <c r="K50"/>
      <c r="L50"/>
      <c r="M50"/>
      <c r="N50"/>
      <c r="O50"/>
    </row>
    <row r="51" spans="1:15" ht="13.5">
      <c r="A51" s="30" t="s">
        <v>53</v>
      </c>
      <c r="B51" s="51">
        <f>B29-B30-B31-B40</f>
        <v>14562.699999999999</v>
      </c>
      <c r="C51" s="51">
        <f>C29-C30-C31-C40</f>
        <v>356.9000000000005</v>
      </c>
      <c r="D51" s="51">
        <f>D29-D30-D31-D40</f>
        <v>191.5000000000001</v>
      </c>
      <c r="E51" s="52">
        <f>B51+C51+D51</f>
        <v>15111.099999999999</v>
      </c>
      <c r="F51" s="53">
        <f t="shared" si="6"/>
        <v>1747523.9999999998</v>
      </c>
      <c r="G51" s="53">
        <f t="shared" si="7"/>
        <v>42828.00000000006</v>
      </c>
      <c r="H51" s="53">
        <f t="shared" si="8"/>
        <v>20302.830000000013</v>
      </c>
      <c r="I51" s="53">
        <f t="shared" si="9"/>
        <v>1810654.8299999998</v>
      </c>
      <c r="J51" s="22"/>
      <c r="K51"/>
      <c r="L51"/>
      <c r="M51"/>
      <c r="N51"/>
      <c r="O51"/>
    </row>
    <row r="52" spans="1:15" ht="13.5">
      <c r="A52" s="30" t="s">
        <v>52</v>
      </c>
      <c r="B52" s="51">
        <f>B30-B32-B34</f>
        <v>23456.600000000002</v>
      </c>
      <c r="C52" s="51">
        <f>C30-C32-C34</f>
        <v>666.1</v>
      </c>
      <c r="D52" s="51">
        <f>D30-D32-D34</f>
        <v>295.2</v>
      </c>
      <c r="E52" s="52">
        <f>B52+C52+D52</f>
        <v>24417.9</v>
      </c>
      <c r="F52" s="53">
        <f t="shared" si="6"/>
        <v>2814792.0000000005</v>
      </c>
      <c r="G52" s="53">
        <f t="shared" si="7"/>
        <v>79932</v>
      </c>
      <c r="H52" s="53">
        <f t="shared" si="8"/>
        <v>31297.104</v>
      </c>
      <c r="I52" s="53">
        <f t="shared" si="9"/>
        <v>2926021.1040000003</v>
      </c>
      <c r="J52" s="22"/>
      <c r="K52"/>
      <c r="L52"/>
      <c r="M52"/>
      <c r="N52"/>
      <c r="O52"/>
    </row>
    <row r="53" spans="1:15" ht="13.5">
      <c r="A53" s="30" t="s">
        <v>51</v>
      </c>
      <c r="B53" s="51">
        <f>B31-B35-B39</f>
        <v>2404.3</v>
      </c>
      <c r="C53" s="51">
        <f>C31-C35-C39</f>
        <v>0</v>
      </c>
      <c r="D53" s="51">
        <f>D31-D35-D39</f>
        <v>0</v>
      </c>
      <c r="E53" s="52">
        <f>B53+C53+D53</f>
        <v>2404.3</v>
      </c>
      <c r="F53" s="53">
        <f t="shared" si="6"/>
        <v>288516</v>
      </c>
      <c r="G53" s="53">
        <f t="shared" si="7"/>
        <v>0</v>
      </c>
      <c r="H53" s="53">
        <f t="shared" si="8"/>
        <v>0</v>
      </c>
      <c r="I53" s="53">
        <f t="shared" si="9"/>
        <v>288516</v>
      </c>
      <c r="J53" s="22"/>
      <c r="K53"/>
      <c r="L53"/>
      <c r="M53"/>
      <c r="N53"/>
      <c r="O53"/>
    </row>
    <row r="54" spans="1:15" ht="13.5">
      <c r="A54" s="30" t="s">
        <v>43</v>
      </c>
      <c r="B54" s="51">
        <f>B32-B33</f>
        <v>2012.5999999999995</v>
      </c>
      <c r="C54" s="51">
        <f>C32-C33</f>
        <v>92.30000000000001</v>
      </c>
      <c r="D54" s="51">
        <f>D32-D33</f>
        <v>112.6</v>
      </c>
      <c r="E54" s="52">
        <f>B54+C54+D54</f>
        <v>2217.4999999999995</v>
      </c>
      <c r="F54" s="53">
        <f t="shared" si="6"/>
        <v>432708.9999999999</v>
      </c>
      <c r="G54" s="53">
        <f t="shared" si="7"/>
        <v>19844.500000000004</v>
      </c>
      <c r="H54" s="53">
        <f t="shared" si="8"/>
        <v>22634.852</v>
      </c>
      <c r="I54" s="53">
        <f t="shared" si="9"/>
        <v>475188.3519999999</v>
      </c>
      <c r="J54" s="22"/>
      <c r="K54"/>
      <c r="L54"/>
      <c r="M54"/>
      <c r="N54"/>
      <c r="O54"/>
    </row>
    <row r="55" spans="1:15" ht="13.5">
      <c r="A55" s="30" t="s">
        <v>40</v>
      </c>
      <c r="B55" s="51">
        <f aca="true" t="shared" si="10" ref="B55:D57">B33</f>
        <v>3765.8</v>
      </c>
      <c r="C55" s="51">
        <f t="shared" si="10"/>
        <v>62.5</v>
      </c>
      <c r="D55" s="51">
        <f t="shared" si="10"/>
        <v>64.9</v>
      </c>
      <c r="E55" s="52">
        <f aca="true" t="shared" si="11" ref="E55:E67">B55+C55+D55</f>
        <v>3893.2000000000003</v>
      </c>
      <c r="F55" s="53">
        <f t="shared" si="6"/>
        <v>809647</v>
      </c>
      <c r="G55" s="53">
        <f t="shared" si="7"/>
        <v>13437.5</v>
      </c>
      <c r="H55" s="53">
        <f t="shared" si="8"/>
        <v>13046.198000000002</v>
      </c>
      <c r="I55" s="53">
        <f t="shared" si="9"/>
        <v>836130.698</v>
      </c>
      <c r="J55" s="22"/>
      <c r="K55"/>
      <c r="L55"/>
      <c r="M55"/>
      <c r="N55"/>
      <c r="O55"/>
    </row>
    <row r="56" spans="1:15" ht="13.5">
      <c r="A56" s="30" t="s">
        <v>41</v>
      </c>
      <c r="B56" s="51">
        <f t="shared" si="10"/>
        <v>1605.3999999999994</v>
      </c>
      <c r="C56" s="51">
        <f t="shared" si="10"/>
        <v>52.599999999999994</v>
      </c>
      <c r="D56" s="51">
        <f t="shared" si="10"/>
        <v>24.3</v>
      </c>
      <c r="E56" s="52">
        <f t="shared" si="11"/>
        <v>1682.2999999999993</v>
      </c>
      <c r="F56" s="53">
        <f t="shared" si="6"/>
        <v>192647.99999999994</v>
      </c>
      <c r="G56" s="53">
        <f t="shared" si="7"/>
        <v>6311.999999999999</v>
      </c>
      <c r="H56" s="53">
        <f t="shared" si="8"/>
        <v>2576.286</v>
      </c>
      <c r="I56" s="53">
        <f t="shared" si="9"/>
        <v>201536.28599999993</v>
      </c>
      <c r="J56" s="22"/>
      <c r="K56"/>
      <c r="L56"/>
      <c r="M56"/>
      <c r="N56"/>
      <c r="O56"/>
    </row>
    <row r="57" spans="1:15" ht="13.5">
      <c r="A57" s="30" t="s">
        <v>15</v>
      </c>
      <c r="B57" s="51">
        <f t="shared" si="10"/>
        <v>5375.2</v>
      </c>
      <c r="C57" s="51">
        <f t="shared" si="10"/>
        <v>472.59999999999997</v>
      </c>
      <c r="D57" s="51">
        <f t="shared" si="10"/>
        <v>89.99999999999999</v>
      </c>
      <c r="E57" s="52">
        <f t="shared" si="11"/>
        <v>5937.8</v>
      </c>
      <c r="F57" s="53">
        <f t="shared" si="6"/>
        <v>645024</v>
      </c>
      <c r="G57" s="53">
        <f t="shared" si="7"/>
        <v>56711.99999999999</v>
      </c>
      <c r="H57" s="53">
        <f t="shared" si="8"/>
        <v>9541.799999999997</v>
      </c>
      <c r="I57" s="53">
        <f t="shared" si="9"/>
        <v>711277.8</v>
      </c>
      <c r="J57" s="22"/>
      <c r="K57"/>
      <c r="L57"/>
      <c r="M57"/>
      <c r="N57"/>
      <c r="O57"/>
    </row>
    <row r="58" spans="1:15" ht="13.5">
      <c r="A58" s="30" t="s">
        <v>160</v>
      </c>
      <c r="B58" s="51">
        <f>B36-B37</f>
        <v>5781.700000000002</v>
      </c>
      <c r="C58" s="51">
        <f>C36-C37</f>
        <v>499.9999999999999</v>
      </c>
      <c r="D58" s="51">
        <f>D36-D37</f>
        <v>147</v>
      </c>
      <c r="E58" s="52">
        <f t="shared" si="11"/>
        <v>6428.700000000002</v>
      </c>
      <c r="F58" s="53">
        <f t="shared" si="6"/>
        <v>693804.0000000002</v>
      </c>
      <c r="G58" s="53">
        <f t="shared" si="7"/>
        <v>59999.999999999985</v>
      </c>
      <c r="H58" s="53">
        <f t="shared" si="8"/>
        <v>15584.939999999999</v>
      </c>
      <c r="I58" s="53">
        <f t="shared" si="9"/>
        <v>769388.9400000002</v>
      </c>
      <c r="J58" s="55" t="s">
        <v>24</v>
      </c>
      <c r="K58"/>
      <c r="L58"/>
      <c r="M58"/>
      <c r="N58"/>
      <c r="O58"/>
    </row>
    <row r="59" spans="1:15" ht="13.5">
      <c r="A59" s="23" t="s">
        <v>159</v>
      </c>
      <c r="B59" s="51">
        <f aca="true" t="shared" si="12" ref="B59:D67">B37</f>
        <v>2286.5</v>
      </c>
      <c r="C59" s="51">
        <f t="shared" si="12"/>
        <v>235.89999999999998</v>
      </c>
      <c r="D59" s="51">
        <f t="shared" si="12"/>
        <v>26.2</v>
      </c>
      <c r="E59" s="52">
        <f t="shared" si="11"/>
        <v>2548.6</v>
      </c>
      <c r="F59" s="53">
        <f t="shared" si="6"/>
        <v>274380</v>
      </c>
      <c r="G59" s="53">
        <f t="shared" si="7"/>
        <v>28307.999999999996</v>
      </c>
      <c r="H59" s="53">
        <f t="shared" si="8"/>
        <v>2777.7239999999997</v>
      </c>
      <c r="I59" s="53">
        <f t="shared" si="9"/>
        <v>305465.724</v>
      </c>
      <c r="J59" s="22"/>
      <c r="K59"/>
      <c r="L59"/>
      <c r="M59"/>
      <c r="N59"/>
      <c r="O59"/>
    </row>
    <row r="60" spans="1:15" ht="13.5">
      <c r="A60" s="23" t="s">
        <v>20</v>
      </c>
      <c r="B60" s="51">
        <f t="shared" si="12"/>
        <v>21125.300000000007</v>
      </c>
      <c r="C60" s="51">
        <f t="shared" si="12"/>
        <v>1169.6000000000004</v>
      </c>
      <c r="D60" s="51">
        <f t="shared" si="12"/>
        <v>256.09999999999997</v>
      </c>
      <c r="E60" s="52">
        <f t="shared" si="11"/>
        <v>22551.000000000007</v>
      </c>
      <c r="F60" s="53">
        <f t="shared" si="6"/>
        <v>2535036.000000001</v>
      </c>
      <c r="G60" s="53">
        <f t="shared" si="7"/>
        <v>140352.00000000006</v>
      </c>
      <c r="H60" s="53">
        <f t="shared" si="8"/>
        <v>27151.721999999994</v>
      </c>
      <c r="I60" s="53">
        <f t="shared" si="9"/>
        <v>2702539.722000001</v>
      </c>
      <c r="J60" s="22"/>
      <c r="K60"/>
      <c r="L60"/>
      <c r="M60"/>
      <c r="N60"/>
      <c r="O60"/>
    </row>
    <row r="61" spans="1:15" ht="13.5">
      <c r="A61" s="23" t="s">
        <v>11</v>
      </c>
      <c r="B61" s="51">
        <f t="shared" si="12"/>
        <v>2594.5</v>
      </c>
      <c r="C61" s="51">
        <f t="shared" si="12"/>
        <v>691.6</v>
      </c>
      <c r="D61" s="51">
        <f t="shared" si="12"/>
        <v>65.20000000000002</v>
      </c>
      <c r="E61" s="52">
        <f t="shared" si="11"/>
        <v>3351.2999999999997</v>
      </c>
      <c r="F61" s="53">
        <f t="shared" si="6"/>
        <v>311340</v>
      </c>
      <c r="G61" s="53">
        <f t="shared" si="7"/>
        <v>82992</v>
      </c>
      <c r="H61" s="53">
        <f t="shared" si="8"/>
        <v>6912.504000000002</v>
      </c>
      <c r="I61" s="53">
        <f t="shared" si="9"/>
        <v>401244.504</v>
      </c>
      <c r="J61" s="22"/>
      <c r="K61"/>
      <c r="L61"/>
      <c r="M61"/>
      <c r="N61"/>
      <c r="O61"/>
    </row>
    <row r="62" spans="1:15" ht="13.5">
      <c r="A62" s="23" t="s">
        <v>10</v>
      </c>
      <c r="B62" s="51">
        <f t="shared" si="12"/>
        <v>9123.499999999998</v>
      </c>
      <c r="C62" s="51">
        <f t="shared" si="12"/>
        <v>183.3</v>
      </c>
      <c r="D62" s="51">
        <f t="shared" si="12"/>
        <v>41.7</v>
      </c>
      <c r="E62" s="52">
        <f t="shared" si="11"/>
        <v>9348.499999999998</v>
      </c>
      <c r="F62" s="53">
        <f t="shared" si="6"/>
        <v>1094819.9999999998</v>
      </c>
      <c r="G62" s="53">
        <f t="shared" si="7"/>
        <v>9894.534000000001</v>
      </c>
      <c r="H62" s="53">
        <f t="shared" si="8"/>
        <v>1668</v>
      </c>
      <c r="I62" s="53">
        <f t="shared" si="9"/>
        <v>1106382.5339999998</v>
      </c>
      <c r="J62" s="22"/>
      <c r="K62"/>
      <c r="L62"/>
      <c r="M62"/>
      <c r="N62"/>
      <c r="O62"/>
    </row>
    <row r="63" spans="1:15" ht="13.5">
      <c r="A63" s="23" t="s">
        <v>179</v>
      </c>
      <c r="B63" s="51">
        <f t="shared" si="12"/>
        <v>26.9</v>
      </c>
      <c r="C63" s="51">
        <f t="shared" si="12"/>
        <v>0</v>
      </c>
      <c r="D63" s="51">
        <f t="shared" si="12"/>
        <v>0</v>
      </c>
      <c r="E63" s="52">
        <f t="shared" si="11"/>
        <v>26.9</v>
      </c>
      <c r="F63" s="53">
        <f t="shared" si="6"/>
        <v>3228</v>
      </c>
      <c r="G63" s="245" t="s">
        <v>184</v>
      </c>
      <c r="H63" s="245" t="s">
        <v>184</v>
      </c>
      <c r="I63" s="53">
        <f>F63</f>
        <v>3228</v>
      </c>
      <c r="J63" s="22"/>
      <c r="K63"/>
      <c r="L63"/>
      <c r="M63"/>
      <c r="N63"/>
      <c r="O63"/>
    </row>
    <row r="64" spans="1:15" ht="13.5">
      <c r="A64" s="23" t="s">
        <v>180</v>
      </c>
      <c r="B64" s="51">
        <f t="shared" si="12"/>
        <v>0</v>
      </c>
      <c r="C64" s="51">
        <f t="shared" si="12"/>
        <v>0</v>
      </c>
      <c r="D64" s="51">
        <f t="shared" si="12"/>
        <v>0</v>
      </c>
      <c r="E64" s="52">
        <f t="shared" si="11"/>
        <v>0</v>
      </c>
      <c r="F64" s="53">
        <f t="shared" si="6"/>
        <v>0</v>
      </c>
      <c r="G64" s="245" t="s">
        <v>184</v>
      </c>
      <c r="H64" s="245" t="s">
        <v>184</v>
      </c>
      <c r="I64" s="53">
        <f>F64</f>
        <v>0</v>
      </c>
      <c r="J64" s="22"/>
      <c r="K64"/>
      <c r="L64"/>
      <c r="M64"/>
      <c r="N64"/>
      <c r="O64"/>
    </row>
    <row r="65" spans="1:15" ht="13.5">
      <c r="A65" s="23" t="s">
        <v>181</v>
      </c>
      <c r="B65" s="51">
        <f t="shared" si="12"/>
        <v>87.5</v>
      </c>
      <c r="C65" s="51">
        <f t="shared" si="12"/>
        <v>0</v>
      </c>
      <c r="D65" s="51">
        <f t="shared" si="12"/>
        <v>0</v>
      </c>
      <c r="E65" s="52">
        <f t="shared" si="11"/>
        <v>87.5</v>
      </c>
      <c r="F65" s="53">
        <f t="shared" si="6"/>
        <v>10500</v>
      </c>
      <c r="G65" s="245" t="s">
        <v>184</v>
      </c>
      <c r="H65" s="245" t="s">
        <v>184</v>
      </c>
      <c r="I65" s="53">
        <f>F65</f>
        <v>10500</v>
      </c>
      <c r="J65" s="22"/>
      <c r="K65"/>
      <c r="L65"/>
      <c r="M65"/>
      <c r="N65"/>
      <c r="O65"/>
    </row>
    <row r="66" spans="1:15" ht="13.5">
      <c r="A66" s="23" t="s">
        <v>182</v>
      </c>
      <c r="B66" s="51">
        <f t="shared" si="12"/>
        <v>139.60000000000005</v>
      </c>
      <c r="C66" s="51">
        <f t="shared" si="12"/>
        <v>0</v>
      </c>
      <c r="D66" s="51">
        <f t="shared" si="12"/>
        <v>0</v>
      </c>
      <c r="E66" s="52">
        <f t="shared" si="11"/>
        <v>139.60000000000005</v>
      </c>
      <c r="F66" s="53">
        <f t="shared" si="6"/>
        <v>16752.000000000007</v>
      </c>
      <c r="G66" s="245" t="s">
        <v>184</v>
      </c>
      <c r="H66" s="245" t="s">
        <v>184</v>
      </c>
      <c r="I66" s="53">
        <f>F66</f>
        <v>16752.000000000007</v>
      </c>
      <c r="J66" s="22"/>
      <c r="K66"/>
      <c r="L66"/>
      <c r="M66"/>
      <c r="N66"/>
      <c r="O66"/>
    </row>
    <row r="67" spans="1:15" ht="13.5">
      <c r="A67" s="23" t="s">
        <v>183</v>
      </c>
      <c r="B67" s="51">
        <f t="shared" si="12"/>
        <v>0</v>
      </c>
      <c r="C67" s="51">
        <f t="shared" si="12"/>
        <v>0</v>
      </c>
      <c r="D67" s="51">
        <f t="shared" si="12"/>
        <v>0</v>
      </c>
      <c r="E67" s="52">
        <f t="shared" si="11"/>
        <v>0</v>
      </c>
      <c r="F67" s="53">
        <f t="shared" si="6"/>
        <v>0</v>
      </c>
      <c r="G67" s="245" t="s">
        <v>184</v>
      </c>
      <c r="H67" s="245" t="s">
        <v>184</v>
      </c>
      <c r="I67" s="53">
        <f>F67</f>
        <v>0</v>
      </c>
      <c r="J67" s="22"/>
      <c r="K67"/>
      <c r="L67"/>
      <c r="M67"/>
      <c r="N67"/>
      <c r="O67"/>
    </row>
    <row r="68" spans="1:14" ht="13.5">
      <c r="A68" s="73" t="s">
        <v>54</v>
      </c>
      <c r="B68" s="57">
        <f>SUM(B50:B67)</f>
        <v>157518.3</v>
      </c>
      <c r="C68" s="57">
        <f aca="true" t="shared" si="13" ref="C68:I68">SUM(C50:C67)</f>
        <v>7163.300000000001</v>
      </c>
      <c r="D68" s="57">
        <f t="shared" si="13"/>
        <v>2322.1</v>
      </c>
      <c r="E68" s="57">
        <f t="shared" si="13"/>
        <v>167003.69999999995</v>
      </c>
      <c r="F68" s="42">
        <f>SUM(F50:F67)</f>
        <v>19451144</v>
      </c>
      <c r="G68" s="42">
        <f t="shared" si="13"/>
        <v>862200.534</v>
      </c>
      <c r="H68" s="42">
        <f t="shared" si="13"/>
        <v>260298.50799999997</v>
      </c>
      <c r="I68" s="42">
        <f t="shared" si="13"/>
        <v>20573643.042</v>
      </c>
      <c r="J68" s="55" t="s">
        <v>24</v>
      </c>
      <c r="K68" s="22"/>
      <c r="L68" s="22"/>
      <c r="M68" s="22"/>
      <c r="N68" s="32"/>
    </row>
    <row r="69" spans="1:14" ht="13.5">
      <c r="A69" s="32"/>
      <c r="B69" s="58"/>
      <c r="C69" s="58"/>
      <c r="D69" s="58"/>
      <c r="E69" s="59"/>
      <c r="F69" s="37" t="s">
        <v>24</v>
      </c>
      <c r="G69" s="34"/>
      <c r="H69" s="34"/>
      <c r="I69" s="36"/>
      <c r="J69" s="58"/>
      <c r="K69" s="22"/>
      <c r="L69" s="22"/>
      <c r="M69" s="22"/>
      <c r="N69" s="32"/>
    </row>
    <row r="70" spans="1:14" ht="15">
      <c r="A70" s="335" t="s">
        <v>199</v>
      </c>
      <c r="B70" s="336"/>
      <c r="C70" s="58"/>
      <c r="D70" s="58"/>
      <c r="E70" s="60"/>
      <c r="F70" s="34"/>
      <c r="G70" s="34"/>
      <c r="H70" s="34"/>
      <c r="I70" s="36"/>
      <c r="J70" s="58"/>
      <c r="K70" s="22"/>
      <c r="L70" s="22"/>
      <c r="M70" s="22"/>
      <c r="N70" s="32"/>
    </row>
    <row r="71" spans="1:14" ht="54.75">
      <c r="A71" s="25" t="s">
        <v>197</v>
      </c>
      <c r="B71" s="26" t="s">
        <v>176</v>
      </c>
      <c r="C71" s="26" t="s">
        <v>101</v>
      </c>
      <c r="D71" s="74" t="s">
        <v>209</v>
      </c>
      <c r="E71" s="74" t="s">
        <v>100</v>
      </c>
      <c r="F71" s="74" t="s">
        <v>210</v>
      </c>
      <c r="G71" s="74" t="s">
        <v>70</v>
      </c>
      <c r="H71" s="74" t="s">
        <v>177</v>
      </c>
      <c r="I71" s="75" t="s">
        <v>211</v>
      </c>
      <c r="J71" s="74" t="s">
        <v>212</v>
      </c>
      <c r="K71" s="22"/>
      <c r="L71" s="22"/>
      <c r="M71" s="22"/>
      <c r="N71" s="32"/>
    </row>
    <row r="72" spans="1:14" ht="13.5">
      <c r="A72" s="30" t="s">
        <v>50</v>
      </c>
      <c r="B72" s="51">
        <f>F28-F29-F36-F38-F41-F42-F43-F44-F45</f>
        <v>0</v>
      </c>
      <c r="C72" s="51">
        <f>G28-G29-G36-G38-G41-G42-G43-G44-G45</f>
        <v>0</v>
      </c>
      <c r="D72" s="51">
        <f>H28-H29-H36-H38-H41-H42-H43-H44-H45</f>
        <v>0</v>
      </c>
      <c r="E72" s="52">
        <f aca="true" t="shared" si="14" ref="E72:E78">B72+C72+D72</f>
        <v>0</v>
      </c>
      <c r="F72" s="31">
        <f aca="true" t="shared" si="15" ref="F72:F89">B72*D5</f>
        <v>0</v>
      </c>
      <c r="G72" s="31">
        <f aca="true" t="shared" si="16" ref="G72:G84">C72*F5</f>
        <v>0</v>
      </c>
      <c r="H72" s="31">
        <f aca="true" t="shared" si="17" ref="H72:H84">D72*H5</f>
        <v>0</v>
      </c>
      <c r="I72" s="31">
        <v>0</v>
      </c>
      <c r="J72" s="53">
        <f aca="true" t="shared" si="18" ref="J72:J79">F72+G72+H72+I72</f>
        <v>0</v>
      </c>
      <c r="K72" s="22"/>
      <c r="L72" s="22"/>
      <c r="M72" s="22"/>
      <c r="N72" s="32"/>
    </row>
    <row r="73" spans="1:14" ht="13.5">
      <c r="A73" s="30" t="s">
        <v>53</v>
      </c>
      <c r="B73" s="51">
        <f>F29-F30-F31-F40</f>
        <v>65</v>
      </c>
      <c r="C73" s="51">
        <f>G29-G30-G31-G40</f>
        <v>0</v>
      </c>
      <c r="D73" s="51">
        <f>H29-H30-H31-H40</f>
        <v>0</v>
      </c>
      <c r="E73" s="52">
        <f t="shared" si="14"/>
        <v>65</v>
      </c>
      <c r="F73" s="31">
        <f t="shared" si="15"/>
        <v>7800</v>
      </c>
      <c r="G73" s="31">
        <f t="shared" si="16"/>
        <v>0</v>
      </c>
      <c r="H73" s="31">
        <f t="shared" si="17"/>
        <v>0</v>
      </c>
      <c r="I73" s="31">
        <v>0</v>
      </c>
      <c r="J73" s="53">
        <f t="shared" si="18"/>
        <v>7800</v>
      </c>
      <c r="K73" s="22"/>
      <c r="L73" s="22"/>
      <c r="M73" s="22"/>
      <c r="N73" s="32"/>
    </row>
    <row r="74" spans="1:14" ht="13.5">
      <c r="A74" s="30" t="s">
        <v>52</v>
      </c>
      <c r="B74" s="51">
        <f>F30-F32-F34</f>
        <v>0</v>
      </c>
      <c r="C74" s="51">
        <f>G30-G32-G34</f>
        <v>0</v>
      </c>
      <c r="D74" s="51">
        <f>H30-H32-H34</f>
        <v>0</v>
      </c>
      <c r="E74" s="52">
        <f t="shared" si="14"/>
        <v>0</v>
      </c>
      <c r="F74" s="31">
        <f t="shared" si="15"/>
        <v>0</v>
      </c>
      <c r="G74" s="31">
        <f t="shared" si="16"/>
        <v>0</v>
      </c>
      <c r="H74" s="31">
        <f t="shared" si="17"/>
        <v>0</v>
      </c>
      <c r="I74" s="31">
        <v>0</v>
      </c>
      <c r="J74" s="53">
        <f t="shared" si="18"/>
        <v>0</v>
      </c>
      <c r="K74" s="22"/>
      <c r="L74" s="22"/>
      <c r="M74" s="22"/>
      <c r="N74" s="32"/>
    </row>
    <row r="75" spans="1:14" ht="13.5">
      <c r="A75" s="30" t="s">
        <v>51</v>
      </c>
      <c r="B75" s="51">
        <f>F31-F35-F39</f>
        <v>0</v>
      </c>
      <c r="C75" s="51">
        <f>G31-G35-G39</f>
        <v>0</v>
      </c>
      <c r="D75" s="51">
        <f>H31-H35-H39</f>
        <v>0</v>
      </c>
      <c r="E75" s="52">
        <f t="shared" si="14"/>
        <v>0</v>
      </c>
      <c r="F75" s="31">
        <f t="shared" si="15"/>
        <v>0</v>
      </c>
      <c r="G75" s="31">
        <f t="shared" si="16"/>
        <v>0</v>
      </c>
      <c r="H75" s="31">
        <f t="shared" si="17"/>
        <v>0</v>
      </c>
      <c r="I75" s="31">
        <v>0</v>
      </c>
      <c r="J75" s="53">
        <f t="shared" si="18"/>
        <v>0</v>
      </c>
      <c r="K75" s="22"/>
      <c r="L75" s="22"/>
      <c r="M75" s="22"/>
      <c r="N75" s="32"/>
    </row>
    <row r="76" spans="1:14" ht="13.5">
      <c r="A76" s="30" t="s">
        <v>43</v>
      </c>
      <c r="B76" s="51">
        <f>F32-F33</f>
        <v>0</v>
      </c>
      <c r="C76" s="51">
        <f>G32-G33</f>
        <v>0</v>
      </c>
      <c r="D76" s="51">
        <f>H32-H33</f>
        <v>0</v>
      </c>
      <c r="E76" s="52">
        <f t="shared" si="14"/>
        <v>0</v>
      </c>
      <c r="F76" s="31">
        <f t="shared" si="15"/>
        <v>0</v>
      </c>
      <c r="G76" s="31">
        <f t="shared" si="16"/>
        <v>0</v>
      </c>
      <c r="H76" s="31">
        <f t="shared" si="17"/>
        <v>0</v>
      </c>
      <c r="I76" s="31">
        <v>0</v>
      </c>
      <c r="J76" s="53">
        <f t="shared" si="18"/>
        <v>0</v>
      </c>
      <c r="K76" s="22"/>
      <c r="L76" s="22"/>
      <c r="M76" s="22"/>
      <c r="N76" s="32"/>
    </row>
    <row r="77" spans="1:14" ht="13.5">
      <c r="A77" s="30" t="s">
        <v>40</v>
      </c>
      <c r="B77" s="51">
        <f aca="true" t="shared" si="19" ref="B77:D79">F33</f>
        <v>0</v>
      </c>
      <c r="C77" s="51">
        <f t="shared" si="19"/>
        <v>0</v>
      </c>
      <c r="D77" s="51">
        <f t="shared" si="19"/>
        <v>0</v>
      </c>
      <c r="E77" s="52">
        <f t="shared" si="14"/>
        <v>0</v>
      </c>
      <c r="F77" s="31">
        <f t="shared" si="15"/>
        <v>0</v>
      </c>
      <c r="G77" s="31">
        <f t="shared" si="16"/>
        <v>0</v>
      </c>
      <c r="H77" s="31">
        <f t="shared" si="17"/>
        <v>0</v>
      </c>
      <c r="I77" s="31">
        <v>0</v>
      </c>
      <c r="J77" s="53">
        <f t="shared" si="18"/>
        <v>0</v>
      </c>
      <c r="K77" s="22"/>
      <c r="L77" s="22"/>
      <c r="M77" s="22"/>
      <c r="N77" s="32"/>
    </row>
    <row r="78" spans="1:14" ht="13.5">
      <c r="A78" s="30" t="s">
        <v>41</v>
      </c>
      <c r="B78" s="51">
        <f t="shared" si="19"/>
        <v>0</v>
      </c>
      <c r="C78" s="51">
        <f t="shared" si="19"/>
        <v>0</v>
      </c>
      <c r="D78" s="51">
        <f t="shared" si="19"/>
        <v>0</v>
      </c>
      <c r="E78" s="52">
        <f t="shared" si="14"/>
        <v>0</v>
      </c>
      <c r="F78" s="31">
        <f t="shared" si="15"/>
        <v>0</v>
      </c>
      <c r="G78" s="31">
        <f t="shared" si="16"/>
        <v>0</v>
      </c>
      <c r="H78" s="31">
        <f t="shared" si="17"/>
        <v>0</v>
      </c>
      <c r="I78" s="31">
        <v>0</v>
      </c>
      <c r="J78" s="53">
        <f t="shared" si="18"/>
        <v>0</v>
      </c>
      <c r="K78" s="22"/>
      <c r="L78" s="22"/>
      <c r="M78" s="22"/>
      <c r="N78" s="32"/>
    </row>
    <row r="79" spans="1:14" ht="13.5">
      <c r="A79" s="30" t="s">
        <v>15</v>
      </c>
      <c r="B79" s="51">
        <f t="shared" si="19"/>
        <v>0</v>
      </c>
      <c r="C79" s="51">
        <f t="shared" si="19"/>
        <v>0</v>
      </c>
      <c r="D79" s="51">
        <f t="shared" si="19"/>
        <v>0</v>
      </c>
      <c r="E79" s="52">
        <f aca="true" t="shared" si="20" ref="E79:E84">B79+C79+D79</f>
        <v>0</v>
      </c>
      <c r="F79" s="31">
        <f t="shared" si="15"/>
        <v>0</v>
      </c>
      <c r="G79" s="31">
        <f t="shared" si="16"/>
        <v>0</v>
      </c>
      <c r="H79" s="31">
        <f t="shared" si="17"/>
        <v>0</v>
      </c>
      <c r="I79" s="31">
        <v>0</v>
      </c>
      <c r="J79" s="53">
        <f t="shared" si="18"/>
        <v>0</v>
      </c>
      <c r="K79" s="22"/>
      <c r="L79" s="22"/>
      <c r="M79" s="22"/>
      <c r="N79" s="32"/>
    </row>
    <row r="80" spans="1:14" ht="13.5">
      <c r="A80" s="30" t="s">
        <v>160</v>
      </c>
      <c r="B80" s="51">
        <f>F36-F37</f>
        <v>0</v>
      </c>
      <c r="C80" s="51">
        <f>G36-G37</f>
        <v>0</v>
      </c>
      <c r="D80" s="51">
        <f>H36-H37</f>
        <v>0</v>
      </c>
      <c r="E80" s="52">
        <f t="shared" si="20"/>
        <v>0</v>
      </c>
      <c r="F80" s="31">
        <f t="shared" si="15"/>
        <v>0</v>
      </c>
      <c r="G80" s="31">
        <f t="shared" si="16"/>
        <v>0</v>
      </c>
      <c r="H80" s="31">
        <f t="shared" si="17"/>
        <v>0</v>
      </c>
      <c r="I80" s="31">
        <v>0</v>
      </c>
      <c r="J80" s="53">
        <f>F80+G80+H80+I80</f>
        <v>0</v>
      </c>
      <c r="K80" s="22"/>
      <c r="L80" s="22"/>
      <c r="M80" s="22"/>
      <c r="N80" s="32"/>
    </row>
    <row r="81" spans="1:14" ht="13.5">
      <c r="A81" s="30" t="s">
        <v>159</v>
      </c>
      <c r="B81" s="51">
        <f aca="true" t="shared" si="21" ref="B81:B89">F37</f>
        <v>0</v>
      </c>
      <c r="C81" s="51">
        <f aca="true" t="shared" si="22" ref="C81:C89">G37</f>
        <v>0</v>
      </c>
      <c r="D81" s="51">
        <f aca="true" t="shared" si="23" ref="D81:D89">H37</f>
        <v>0</v>
      </c>
      <c r="E81" s="52">
        <f t="shared" si="20"/>
        <v>0</v>
      </c>
      <c r="F81" s="31">
        <f t="shared" si="15"/>
        <v>0</v>
      </c>
      <c r="G81" s="31">
        <f t="shared" si="16"/>
        <v>0</v>
      </c>
      <c r="H81" s="31">
        <f t="shared" si="17"/>
        <v>0</v>
      </c>
      <c r="I81" s="31">
        <v>0</v>
      </c>
      <c r="J81" s="53">
        <f>F81+G81+H81+I81</f>
        <v>0</v>
      </c>
      <c r="K81" s="22"/>
      <c r="L81" s="22"/>
      <c r="M81" s="22"/>
      <c r="N81" s="32"/>
    </row>
    <row r="82" spans="1:14" ht="13.5">
      <c r="A82" s="23" t="s">
        <v>20</v>
      </c>
      <c r="B82" s="51">
        <f t="shared" si="21"/>
        <v>0</v>
      </c>
      <c r="C82" s="51">
        <f t="shared" si="22"/>
        <v>0</v>
      </c>
      <c r="D82" s="51">
        <f t="shared" si="23"/>
        <v>0</v>
      </c>
      <c r="E82" s="52">
        <f t="shared" si="20"/>
        <v>0</v>
      </c>
      <c r="F82" s="31">
        <f t="shared" si="15"/>
        <v>0</v>
      </c>
      <c r="G82" s="31">
        <f t="shared" si="16"/>
        <v>0</v>
      </c>
      <c r="H82" s="31">
        <f t="shared" si="17"/>
        <v>0</v>
      </c>
      <c r="I82" s="31">
        <v>0</v>
      </c>
      <c r="J82" s="53">
        <f>F82+G82+H82+I82</f>
        <v>0</v>
      </c>
      <c r="K82" s="22"/>
      <c r="L82" s="22"/>
      <c r="M82" s="22"/>
      <c r="N82" s="32"/>
    </row>
    <row r="83" spans="1:14" ht="13.5">
      <c r="A83" s="23" t="s">
        <v>11</v>
      </c>
      <c r="B83" s="51">
        <f t="shared" si="21"/>
        <v>0</v>
      </c>
      <c r="C83" s="51">
        <f t="shared" si="22"/>
        <v>0</v>
      </c>
      <c r="D83" s="51">
        <f t="shared" si="23"/>
        <v>0</v>
      </c>
      <c r="E83" s="52">
        <f t="shared" si="20"/>
        <v>0</v>
      </c>
      <c r="F83" s="31">
        <f t="shared" si="15"/>
        <v>0</v>
      </c>
      <c r="G83" s="31">
        <f t="shared" si="16"/>
        <v>0</v>
      </c>
      <c r="H83" s="31">
        <f t="shared" si="17"/>
        <v>0</v>
      </c>
      <c r="I83" s="31">
        <v>0</v>
      </c>
      <c r="J83" s="53">
        <f>F83+G83+H83+I83</f>
        <v>0</v>
      </c>
      <c r="K83" s="22"/>
      <c r="L83" s="22"/>
      <c r="M83" s="22"/>
      <c r="N83" s="32"/>
    </row>
    <row r="84" spans="1:14" ht="13.5">
      <c r="A84" s="23" t="s">
        <v>10</v>
      </c>
      <c r="B84" s="51">
        <f t="shared" si="21"/>
        <v>0</v>
      </c>
      <c r="C84" s="51">
        <f t="shared" si="22"/>
        <v>0</v>
      </c>
      <c r="D84" s="51">
        <f t="shared" si="23"/>
        <v>0.2</v>
      </c>
      <c r="E84" s="52">
        <f t="shared" si="20"/>
        <v>0.2</v>
      </c>
      <c r="F84" s="31">
        <f t="shared" si="15"/>
        <v>0</v>
      </c>
      <c r="G84" s="31">
        <f t="shared" si="16"/>
        <v>0</v>
      </c>
      <c r="H84" s="31">
        <f t="shared" si="17"/>
        <v>8</v>
      </c>
      <c r="I84" s="31">
        <v>0</v>
      </c>
      <c r="J84" s="53">
        <f>F84+G84+H84+I84</f>
        <v>8</v>
      </c>
      <c r="K84" s="22"/>
      <c r="L84" s="22"/>
      <c r="M84" s="22"/>
      <c r="N84" s="32"/>
    </row>
    <row r="85" spans="1:14" ht="13.5">
      <c r="A85" s="23" t="s">
        <v>179</v>
      </c>
      <c r="B85" s="51">
        <f t="shared" si="21"/>
        <v>0</v>
      </c>
      <c r="C85" s="51">
        <f t="shared" si="22"/>
        <v>0</v>
      </c>
      <c r="D85" s="51">
        <f t="shared" si="23"/>
        <v>0</v>
      </c>
      <c r="E85" s="52">
        <f>B85</f>
        <v>0</v>
      </c>
      <c r="F85" s="31">
        <f t="shared" si="15"/>
        <v>0</v>
      </c>
      <c r="G85" s="31" t="s">
        <v>184</v>
      </c>
      <c r="H85" s="31" t="s">
        <v>184</v>
      </c>
      <c r="I85" s="31">
        <v>0</v>
      </c>
      <c r="J85" s="53">
        <f>F85+I85</f>
        <v>0</v>
      </c>
      <c r="K85" s="22"/>
      <c r="L85" s="22"/>
      <c r="M85" s="22"/>
      <c r="N85" s="32"/>
    </row>
    <row r="86" spans="1:14" ht="13.5">
      <c r="A86" s="23" t="s">
        <v>180</v>
      </c>
      <c r="B86" s="51">
        <f t="shared" si="21"/>
        <v>0</v>
      </c>
      <c r="C86" s="51">
        <f t="shared" si="22"/>
        <v>0</v>
      </c>
      <c r="D86" s="51">
        <f t="shared" si="23"/>
        <v>0</v>
      </c>
      <c r="E86" s="52">
        <f>B86</f>
        <v>0</v>
      </c>
      <c r="F86" s="31">
        <f t="shared" si="15"/>
        <v>0</v>
      </c>
      <c r="G86" s="31" t="s">
        <v>184</v>
      </c>
      <c r="H86" s="31" t="s">
        <v>184</v>
      </c>
      <c r="I86" s="31">
        <v>0</v>
      </c>
      <c r="J86" s="53">
        <f>F86+I86</f>
        <v>0</v>
      </c>
      <c r="K86" s="22"/>
      <c r="L86" s="22"/>
      <c r="M86" s="22"/>
      <c r="N86" s="32"/>
    </row>
    <row r="87" spans="1:14" ht="13.5">
      <c r="A87" s="23" t="s">
        <v>181</v>
      </c>
      <c r="B87" s="51">
        <f t="shared" si="21"/>
        <v>0</v>
      </c>
      <c r="C87" s="51">
        <f t="shared" si="22"/>
        <v>0</v>
      </c>
      <c r="D87" s="51">
        <f t="shared" si="23"/>
        <v>0</v>
      </c>
      <c r="E87" s="52">
        <f>B87</f>
        <v>0</v>
      </c>
      <c r="F87" s="31">
        <f t="shared" si="15"/>
        <v>0</v>
      </c>
      <c r="G87" s="31" t="s">
        <v>184</v>
      </c>
      <c r="H87" s="31" t="s">
        <v>184</v>
      </c>
      <c r="I87" s="31">
        <v>0</v>
      </c>
      <c r="J87" s="53">
        <f>F87+I87</f>
        <v>0</v>
      </c>
      <c r="K87" s="22"/>
      <c r="L87" s="22"/>
      <c r="M87" s="22"/>
      <c r="N87" s="32"/>
    </row>
    <row r="88" spans="1:14" ht="13.5">
      <c r="A88" s="23" t="s">
        <v>182</v>
      </c>
      <c r="B88" s="51">
        <f t="shared" si="21"/>
        <v>0</v>
      </c>
      <c r="C88" s="51">
        <f t="shared" si="22"/>
        <v>0</v>
      </c>
      <c r="D88" s="51">
        <f t="shared" si="23"/>
        <v>0</v>
      </c>
      <c r="E88" s="52">
        <f>B88</f>
        <v>0</v>
      </c>
      <c r="F88" s="31">
        <f t="shared" si="15"/>
        <v>0</v>
      </c>
      <c r="G88" s="31" t="s">
        <v>184</v>
      </c>
      <c r="H88" s="31" t="s">
        <v>184</v>
      </c>
      <c r="I88" s="31">
        <v>0</v>
      </c>
      <c r="J88" s="53">
        <f>F88+I88</f>
        <v>0</v>
      </c>
      <c r="K88" s="22"/>
      <c r="L88" s="22"/>
      <c r="M88" s="22"/>
      <c r="N88" s="32"/>
    </row>
    <row r="89" spans="1:14" ht="13.5">
      <c r="A89" s="23" t="s">
        <v>183</v>
      </c>
      <c r="B89" s="51">
        <f t="shared" si="21"/>
        <v>0</v>
      </c>
      <c r="C89" s="51">
        <f t="shared" si="22"/>
        <v>0</v>
      </c>
      <c r="D89" s="51">
        <f t="shared" si="23"/>
        <v>0</v>
      </c>
      <c r="E89" s="52">
        <f>B89</f>
        <v>0</v>
      </c>
      <c r="F89" s="31">
        <f t="shared" si="15"/>
        <v>0</v>
      </c>
      <c r="G89" s="31" t="s">
        <v>184</v>
      </c>
      <c r="H89" s="31" t="s">
        <v>184</v>
      </c>
      <c r="I89" s="31">
        <v>0</v>
      </c>
      <c r="J89" s="53">
        <f>F89+I89</f>
        <v>0</v>
      </c>
      <c r="K89" s="22"/>
      <c r="L89" s="22"/>
      <c r="M89" s="22"/>
      <c r="N89" s="32"/>
    </row>
    <row r="90" spans="1:14" ht="13.5">
      <c r="A90" s="73" t="s">
        <v>54</v>
      </c>
      <c r="B90" s="57">
        <f>SUM(B72:B89)</f>
        <v>65</v>
      </c>
      <c r="C90" s="57">
        <f>SUM(C72:C89)</f>
        <v>0</v>
      </c>
      <c r="D90" s="57">
        <f>SUM(D72:D89)</f>
        <v>0.2</v>
      </c>
      <c r="E90" s="76">
        <f>B90+C90+D90</f>
        <v>65.2</v>
      </c>
      <c r="F90" s="42">
        <f>SUM(F72:F89)</f>
        <v>7800</v>
      </c>
      <c r="G90" s="42">
        <f>SUM(G72:G89)</f>
        <v>0</v>
      </c>
      <c r="H90" s="42">
        <f>SUM(H72:H89)</f>
        <v>8</v>
      </c>
      <c r="I90" s="42">
        <f>SUM(I72:I89)</f>
        <v>0</v>
      </c>
      <c r="J90" s="77">
        <f>SUM(J72:J89)</f>
        <v>7808</v>
      </c>
      <c r="K90" s="22"/>
      <c r="L90" s="22"/>
      <c r="M90" s="22"/>
      <c r="N90" s="32"/>
    </row>
    <row r="91" spans="1:14" ht="13.5">
      <c r="A91" s="32"/>
      <c r="B91" s="58"/>
      <c r="C91" s="58"/>
      <c r="D91" s="58"/>
      <c r="E91" s="60"/>
      <c r="F91" s="34"/>
      <c r="G91" s="34"/>
      <c r="H91" s="34"/>
      <c r="I91" s="36"/>
      <c r="J91" s="58"/>
      <c r="K91" s="22"/>
      <c r="L91" s="22"/>
      <c r="M91" s="22"/>
      <c r="N91" s="32"/>
    </row>
    <row r="92" spans="1:14" ht="15">
      <c r="A92" s="337" t="s">
        <v>200</v>
      </c>
      <c r="B92" s="337"/>
      <c r="C92" s="337"/>
      <c r="D92" s="337"/>
      <c r="E92" s="22"/>
      <c r="F92" s="22"/>
      <c r="G92" s="22"/>
      <c r="H92" s="22"/>
      <c r="I92" s="22"/>
      <c r="J92" s="22"/>
      <c r="K92" s="22"/>
      <c r="L92" s="22"/>
      <c r="M92" s="22"/>
      <c r="N92" s="22"/>
    </row>
    <row r="93" spans="1:14" ht="79.5" customHeight="1">
      <c r="A93" s="25" t="s">
        <v>75</v>
      </c>
      <c r="B93" s="25" t="s">
        <v>201</v>
      </c>
      <c r="C93" s="25" t="s">
        <v>116</v>
      </c>
      <c r="D93" s="25" t="s">
        <v>76</v>
      </c>
      <c r="E93" s="22"/>
      <c r="F93" s="22"/>
      <c r="G93" s="22"/>
      <c r="H93" s="22"/>
      <c r="I93" s="22"/>
      <c r="J93" s="22"/>
      <c r="K93" s="22"/>
      <c r="L93" s="22"/>
      <c r="M93" s="22"/>
      <c r="N93" s="22"/>
    </row>
    <row r="94" spans="1:14" ht="13.5">
      <c r="A94" s="246" t="s">
        <v>29</v>
      </c>
      <c r="B94" s="246">
        <v>0</v>
      </c>
      <c r="C94" s="53">
        <f aca="true" t="shared" si="24" ref="C94:C105">C6</f>
        <v>0</v>
      </c>
      <c r="D94" s="53">
        <f>B94*C94</f>
        <v>0</v>
      </c>
      <c r="E94" s="22"/>
      <c r="F94" s="22"/>
      <c r="G94" s="22"/>
      <c r="H94" s="22"/>
      <c r="I94" s="22"/>
      <c r="J94" s="22"/>
      <c r="K94" s="22"/>
      <c r="L94" s="22"/>
      <c r="M94" s="22"/>
      <c r="N94" s="22"/>
    </row>
    <row r="95" spans="1:14" ht="13.5">
      <c r="A95" s="246" t="s">
        <v>39</v>
      </c>
      <c r="B95" s="246">
        <v>0</v>
      </c>
      <c r="C95" s="53">
        <f t="shared" si="24"/>
        <v>0</v>
      </c>
      <c r="D95" s="53">
        <f aca="true" t="shared" si="25" ref="D95:D100">B95*C95</f>
        <v>0</v>
      </c>
      <c r="E95" s="22"/>
      <c r="F95" s="22"/>
      <c r="G95" s="22"/>
      <c r="H95" s="22"/>
      <c r="I95" s="22"/>
      <c r="J95" s="22"/>
      <c r="K95" s="22"/>
      <c r="L95" s="22"/>
      <c r="M95" s="22"/>
      <c r="N95" s="22"/>
    </row>
    <row r="96" spans="1:14" ht="13.5">
      <c r="A96" s="246" t="s">
        <v>5</v>
      </c>
      <c r="B96" s="246">
        <v>0</v>
      </c>
      <c r="C96" s="53">
        <f t="shared" si="24"/>
        <v>0</v>
      </c>
      <c r="D96" s="53">
        <f t="shared" si="25"/>
        <v>0</v>
      </c>
      <c r="E96" s="22"/>
      <c r="F96" s="22"/>
      <c r="G96" s="22"/>
      <c r="H96" s="22"/>
      <c r="I96" s="22"/>
      <c r="J96" s="22"/>
      <c r="K96" s="22"/>
      <c r="L96" s="22"/>
      <c r="M96" s="22"/>
      <c r="N96" s="22"/>
    </row>
    <row r="97" spans="1:14" ht="13.5">
      <c r="A97" s="246" t="s">
        <v>8</v>
      </c>
      <c r="B97" s="246">
        <v>0</v>
      </c>
      <c r="C97" s="53">
        <f t="shared" si="24"/>
        <v>95</v>
      </c>
      <c r="D97" s="53">
        <f t="shared" si="25"/>
        <v>0</v>
      </c>
      <c r="E97" s="22"/>
      <c r="F97" s="22" t="s">
        <v>24</v>
      </c>
      <c r="G97" s="22"/>
      <c r="H97" s="22"/>
      <c r="I97" s="22"/>
      <c r="J97" s="22"/>
      <c r="K97" s="22"/>
      <c r="L97" s="22"/>
      <c r="M97" s="22"/>
      <c r="N97" s="22"/>
    </row>
    <row r="98" spans="1:14" ht="13.5">
      <c r="A98" s="246" t="s">
        <v>40</v>
      </c>
      <c r="B98" s="246">
        <v>0</v>
      </c>
      <c r="C98" s="53">
        <f t="shared" si="24"/>
        <v>0</v>
      </c>
      <c r="D98" s="53">
        <f t="shared" si="25"/>
        <v>0</v>
      </c>
      <c r="E98" s="22"/>
      <c r="F98" s="22"/>
      <c r="G98" s="22"/>
      <c r="H98" s="22"/>
      <c r="I98" s="22"/>
      <c r="J98" s="22"/>
      <c r="K98" s="22"/>
      <c r="L98" s="22"/>
      <c r="M98" s="22"/>
      <c r="N98" s="22"/>
    </row>
    <row r="99" spans="1:14" ht="13.5">
      <c r="A99" s="246" t="s">
        <v>41</v>
      </c>
      <c r="B99" s="246">
        <v>0</v>
      </c>
      <c r="C99" s="53">
        <f t="shared" si="24"/>
        <v>0</v>
      </c>
      <c r="D99" s="53">
        <f t="shared" si="25"/>
        <v>0</v>
      </c>
      <c r="E99" s="22"/>
      <c r="F99" s="22"/>
      <c r="G99" s="22"/>
      <c r="H99" s="22"/>
      <c r="I99" s="22"/>
      <c r="J99" s="22"/>
      <c r="K99" s="22"/>
      <c r="L99" s="22"/>
      <c r="M99" s="22"/>
      <c r="N99" s="22"/>
    </row>
    <row r="100" spans="1:14" ht="13.5">
      <c r="A100" s="23" t="s">
        <v>15</v>
      </c>
      <c r="B100" s="246">
        <v>0</v>
      </c>
      <c r="C100" s="53">
        <f t="shared" si="24"/>
        <v>0</v>
      </c>
      <c r="D100" s="53">
        <f t="shared" si="25"/>
        <v>0</v>
      </c>
      <c r="E100" s="22"/>
      <c r="F100" s="22"/>
      <c r="G100" s="22"/>
      <c r="H100" s="22"/>
      <c r="I100" s="22"/>
      <c r="J100" s="22"/>
      <c r="K100" s="22"/>
      <c r="L100" s="22"/>
      <c r="M100" s="22"/>
      <c r="N100" s="22"/>
    </row>
    <row r="101" spans="1:14" ht="13.5">
      <c r="A101" s="23" t="s">
        <v>49</v>
      </c>
      <c r="B101" s="246">
        <v>0</v>
      </c>
      <c r="C101" s="53">
        <f t="shared" si="24"/>
        <v>0</v>
      </c>
      <c r="D101" s="53">
        <f>B101*C101</f>
        <v>0</v>
      </c>
      <c r="E101" s="22"/>
      <c r="F101" s="22"/>
      <c r="G101" s="22"/>
      <c r="H101" s="22"/>
      <c r="I101" s="22"/>
      <c r="J101" s="22"/>
      <c r="K101" s="22"/>
      <c r="L101" s="22"/>
      <c r="M101" s="22"/>
      <c r="N101" s="22"/>
    </row>
    <row r="102" spans="1:14" ht="13.5">
      <c r="A102" s="23" t="s">
        <v>159</v>
      </c>
      <c r="B102" s="246">
        <v>0</v>
      </c>
      <c r="C102" s="53">
        <f t="shared" si="24"/>
        <v>0</v>
      </c>
      <c r="D102" s="53">
        <f>B102*C102</f>
        <v>0</v>
      </c>
      <c r="E102" s="22"/>
      <c r="F102" s="22"/>
      <c r="G102" s="22"/>
      <c r="H102" s="22"/>
      <c r="I102" s="22"/>
      <c r="J102" s="22"/>
      <c r="K102" s="22"/>
      <c r="L102" s="22"/>
      <c r="M102" s="22"/>
      <c r="N102" s="22"/>
    </row>
    <row r="103" spans="1:14" ht="13.5">
      <c r="A103" s="23" t="s">
        <v>20</v>
      </c>
      <c r="B103" s="246">
        <v>0</v>
      </c>
      <c r="C103" s="53">
        <f t="shared" si="24"/>
        <v>0</v>
      </c>
      <c r="D103" s="53">
        <f>B103*C103</f>
        <v>0</v>
      </c>
      <c r="E103" s="22"/>
      <c r="F103" s="22"/>
      <c r="G103" s="22"/>
      <c r="H103" s="22"/>
      <c r="I103" s="22"/>
      <c r="J103" s="22"/>
      <c r="K103" s="22"/>
      <c r="L103" s="22"/>
      <c r="M103" s="22"/>
      <c r="N103" s="22"/>
    </row>
    <row r="104" spans="1:14" ht="13.5">
      <c r="A104" s="23" t="s">
        <v>11</v>
      </c>
      <c r="B104" s="246">
        <v>0</v>
      </c>
      <c r="C104" s="53">
        <f t="shared" si="24"/>
        <v>0</v>
      </c>
      <c r="D104" s="53">
        <f>B104*C104</f>
        <v>0</v>
      </c>
      <c r="E104" s="22"/>
      <c r="F104" s="22"/>
      <c r="G104" s="22"/>
      <c r="H104" s="22"/>
      <c r="I104" s="22"/>
      <c r="J104" s="22"/>
      <c r="K104" s="22"/>
      <c r="L104" s="22"/>
      <c r="M104" s="22"/>
      <c r="N104" s="22"/>
    </row>
    <row r="105" spans="1:14" ht="13.5">
      <c r="A105" s="23" t="s">
        <v>10</v>
      </c>
      <c r="B105" s="246">
        <v>0</v>
      </c>
      <c r="C105" s="53">
        <f t="shared" si="24"/>
        <v>0</v>
      </c>
      <c r="D105" s="53">
        <f>B105*C105</f>
        <v>0</v>
      </c>
      <c r="E105" s="22"/>
      <c r="F105" s="22"/>
      <c r="G105" s="22"/>
      <c r="H105" s="22"/>
      <c r="I105" s="22"/>
      <c r="J105" s="22"/>
      <c r="K105" s="22"/>
      <c r="L105" s="22"/>
      <c r="M105" s="22"/>
      <c r="N105" s="22"/>
    </row>
    <row r="106" spans="1:14" ht="13.5">
      <c r="A106" s="247" t="s">
        <v>54</v>
      </c>
      <c r="B106" s="246" t="s">
        <v>24</v>
      </c>
      <c r="C106" s="246"/>
      <c r="D106" s="77">
        <f>SUM(D94:D105)</f>
        <v>0</v>
      </c>
      <c r="E106" s="22"/>
      <c r="F106" s="22"/>
      <c r="G106" s="22"/>
      <c r="H106" s="22"/>
      <c r="I106" s="22"/>
      <c r="J106" s="22"/>
      <c r="K106" s="22"/>
      <c r="L106" s="22"/>
      <c r="M106" s="22"/>
      <c r="N106" s="22"/>
    </row>
    <row r="107" spans="1:14" ht="13.5">
      <c r="A107" s="24" t="s">
        <v>117</v>
      </c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</row>
    <row r="108" spans="1:14" ht="13.5">
      <c r="A108" s="22"/>
      <c r="B108" s="22" t="s">
        <v>24</v>
      </c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</row>
    <row r="109" ht="12.75">
      <c r="B109" s="4" t="s">
        <v>24</v>
      </c>
    </row>
    <row r="110" ht="12.75">
      <c r="B110" s="4" t="s">
        <v>24</v>
      </c>
    </row>
  </sheetData>
  <sheetProtection/>
  <mergeCells count="7">
    <mergeCell ref="A24:H24"/>
    <mergeCell ref="A3:B3"/>
    <mergeCell ref="A26:B26"/>
    <mergeCell ref="A48:B48"/>
    <mergeCell ref="A70:B70"/>
    <mergeCell ref="A92:D92"/>
    <mergeCell ref="A46:I46"/>
  </mergeCells>
  <printOptions/>
  <pageMargins left="0.45" right="0.45" top="0.5" bottom="0.5" header="0" footer="0"/>
  <pageSetup fitToHeight="1" fitToWidth="1" horizontalDpi="600" verticalDpi="600" orientation="portrait" scale="43" r:id="rId1"/>
  <rowBreaks count="1" manualBreakCount="1">
    <brk id="69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2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A1" sqref="A1"/>
    </sheetView>
  </sheetViews>
  <sheetFormatPr defaultColWidth="9.140625" defaultRowHeight="12.75"/>
  <cols>
    <col min="1" max="1" width="31.00390625" style="4" customWidth="1"/>
    <col min="2" max="2" width="12.8515625" style="4" customWidth="1"/>
    <col min="3" max="3" width="15.7109375" style="4" customWidth="1"/>
    <col min="4" max="4" width="16.421875" style="4" customWidth="1"/>
    <col min="5" max="5" width="18.57421875" style="4" customWidth="1"/>
    <col min="6" max="6" width="18.7109375" style="4" customWidth="1"/>
    <col min="7" max="7" width="20.00390625" style="4" customWidth="1"/>
    <col min="8" max="8" width="18.421875" style="4" customWidth="1"/>
    <col min="9" max="9" width="18.140625" style="4" customWidth="1"/>
    <col min="10" max="10" width="18.421875" style="4" customWidth="1"/>
    <col min="11" max="11" width="20.00390625" style="4" customWidth="1"/>
    <col min="12" max="12" width="15.7109375" style="4" customWidth="1"/>
    <col min="13" max="13" width="9.8515625" style="4" bestFit="1" customWidth="1"/>
    <col min="14" max="16384" width="9.140625" style="4" customWidth="1"/>
  </cols>
  <sheetData>
    <row r="1" spans="1:7" ht="18">
      <c r="A1" s="116" t="s">
        <v>186</v>
      </c>
      <c r="E1" s="16" t="s">
        <v>24</v>
      </c>
      <c r="F1" s="16" t="s">
        <v>24</v>
      </c>
      <c r="G1" s="16" t="s">
        <v>24</v>
      </c>
    </row>
    <row r="2" ht="12.75">
      <c r="A2" s="19"/>
    </row>
    <row r="3" spans="1:13" ht="15">
      <c r="A3" s="248" t="s">
        <v>0</v>
      </c>
      <c r="B3" s="22"/>
      <c r="C3" s="22"/>
      <c r="D3" s="113" t="s">
        <v>24</v>
      </c>
      <c r="E3" s="22"/>
      <c r="F3" s="22"/>
      <c r="G3" s="22"/>
      <c r="H3" s="22"/>
      <c r="I3" s="22"/>
      <c r="J3" s="22"/>
      <c r="K3" s="22"/>
      <c r="L3" s="22"/>
      <c r="M3" s="22"/>
    </row>
    <row r="4" spans="1:13" ht="12.75" customHeight="1">
      <c r="A4" s="246" t="s">
        <v>1</v>
      </c>
      <c r="B4" s="250">
        <v>0.157</v>
      </c>
      <c r="C4" s="22"/>
      <c r="D4" s="79" t="s">
        <v>24</v>
      </c>
      <c r="E4" s="28" t="s">
        <v>24</v>
      </c>
      <c r="F4" s="28" t="s">
        <v>24</v>
      </c>
      <c r="G4" s="28" t="s">
        <v>24</v>
      </c>
      <c r="H4" s="28" t="s">
        <v>24</v>
      </c>
      <c r="I4" s="28" t="s">
        <v>24</v>
      </c>
      <c r="J4" s="28" t="s">
        <v>24</v>
      </c>
      <c r="K4" s="22"/>
      <c r="L4" s="28" t="s">
        <v>24</v>
      </c>
      <c r="M4" s="22"/>
    </row>
    <row r="5" spans="1:13" ht="12.75" customHeight="1">
      <c r="A5" s="249" t="s">
        <v>2</v>
      </c>
      <c r="B5" s="184">
        <v>0.0565</v>
      </c>
      <c r="C5" s="22"/>
      <c r="D5" s="32" t="s">
        <v>24</v>
      </c>
      <c r="E5" s="78" t="s">
        <v>24</v>
      </c>
      <c r="F5" s="81" t="s">
        <v>24</v>
      </c>
      <c r="G5" s="81" t="s">
        <v>24</v>
      </c>
      <c r="H5" s="81" t="s">
        <v>24</v>
      </c>
      <c r="I5" s="81" t="s">
        <v>24</v>
      </c>
      <c r="J5" s="28" t="s">
        <v>24</v>
      </c>
      <c r="K5" s="28" t="s">
        <v>24</v>
      </c>
      <c r="L5" s="78" t="s">
        <v>24</v>
      </c>
      <c r="M5" s="22"/>
    </row>
    <row r="6" spans="1:13" ht="12.75" customHeight="1">
      <c r="A6" s="246" t="s">
        <v>4</v>
      </c>
      <c r="B6" s="251">
        <v>1.0916</v>
      </c>
      <c r="C6" s="22"/>
      <c r="D6" s="32" t="s">
        <v>24</v>
      </c>
      <c r="E6" s="82" t="s">
        <v>24</v>
      </c>
      <c r="F6" s="72" t="s">
        <v>24</v>
      </c>
      <c r="G6" s="83" t="s">
        <v>24</v>
      </c>
      <c r="H6" s="84" t="s">
        <v>24</v>
      </c>
      <c r="I6" s="84" t="s">
        <v>24</v>
      </c>
      <c r="J6" s="84" t="s">
        <v>24</v>
      </c>
      <c r="K6" s="85" t="s">
        <v>24</v>
      </c>
      <c r="L6" s="86" t="s">
        <v>24</v>
      </c>
      <c r="M6" s="22"/>
    </row>
    <row r="7" spans="1:13" ht="12.75" customHeight="1">
      <c r="A7" s="246" t="s">
        <v>36</v>
      </c>
      <c r="B7" s="46">
        <v>165007.1</v>
      </c>
      <c r="C7" s="22"/>
      <c r="D7" s="32" t="s">
        <v>24</v>
      </c>
      <c r="E7" s="78" t="s">
        <v>24</v>
      </c>
      <c r="F7" s="87" t="s">
        <v>24</v>
      </c>
      <c r="G7" s="72" t="s">
        <v>24</v>
      </c>
      <c r="H7" s="72" t="s">
        <v>24</v>
      </c>
      <c r="I7" s="72" t="s">
        <v>24</v>
      </c>
      <c r="J7" s="83" t="s">
        <v>24</v>
      </c>
      <c r="K7" s="84"/>
      <c r="L7" s="78" t="s">
        <v>24</v>
      </c>
      <c r="M7" s="22"/>
    </row>
    <row r="8" spans="1:13" ht="12.75" customHeight="1">
      <c r="A8" s="246" t="s">
        <v>37</v>
      </c>
      <c r="B8" s="250">
        <v>0.025</v>
      </c>
      <c r="C8" s="22"/>
      <c r="D8" s="88" t="s">
        <v>24</v>
      </c>
      <c r="E8" s="78" t="s">
        <v>24</v>
      </c>
      <c r="F8" s="72" t="s">
        <v>24</v>
      </c>
      <c r="G8" s="83" t="s">
        <v>24</v>
      </c>
      <c r="H8" s="83" t="s">
        <v>24</v>
      </c>
      <c r="I8" s="83" t="s">
        <v>24</v>
      </c>
      <c r="J8" s="84" t="s">
        <v>24</v>
      </c>
      <c r="K8" s="84"/>
      <c r="L8" s="78" t="s">
        <v>33</v>
      </c>
      <c r="M8" s="22"/>
    </row>
    <row r="9" spans="1:13" ht="12.75" customHeight="1">
      <c r="A9" s="246" t="s">
        <v>38</v>
      </c>
      <c r="B9" s="252">
        <f>B7*B8</f>
        <v>4125.177500000001</v>
      </c>
      <c r="C9" s="22"/>
      <c r="D9" s="88" t="s">
        <v>24</v>
      </c>
      <c r="E9" s="86" t="s">
        <v>24</v>
      </c>
      <c r="F9" s="72" t="s">
        <v>24</v>
      </c>
      <c r="G9" s="83" t="s">
        <v>24</v>
      </c>
      <c r="H9" s="83" t="s">
        <v>24</v>
      </c>
      <c r="I9" s="83" t="s">
        <v>24</v>
      </c>
      <c r="J9" s="84" t="s">
        <v>24</v>
      </c>
      <c r="K9" s="84"/>
      <c r="L9" s="86" t="s">
        <v>24</v>
      </c>
      <c r="M9" s="22"/>
    </row>
    <row r="10" spans="1:13" ht="12.75" customHeight="1">
      <c r="A10" s="246" t="s">
        <v>23</v>
      </c>
      <c r="B10" s="253">
        <f>'BRA Resource Clearing Results'!E68/('BRA Load Pricing Results'!G60*'BRA Load Pricing Results'!B6)</f>
        <v>1.0121006636720626</v>
      </c>
      <c r="C10" s="32" t="s">
        <v>24</v>
      </c>
      <c r="D10" s="88" t="s">
        <v>24</v>
      </c>
      <c r="E10" s="78" t="s">
        <v>24</v>
      </c>
      <c r="F10" s="87" t="s">
        <v>24</v>
      </c>
      <c r="G10" s="83" t="s">
        <v>24</v>
      </c>
      <c r="H10" s="83" t="s">
        <v>24</v>
      </c>
      <c r="I10" s="83" t="s">
        <v>24</v>
      </c>
      <c r="J10" s="83" t="s">
        <v>24</v>
      </c>
      <c r="K10" s="84" t="s">
        <v>24</v>
      </c>
      <c r="L10" s="78" t="s">
        <v>24</v>
      </c>
      <c r="M10" s="22"/>
    </row>
    <row r="11" spans="1:13" ht="13.5">
      <c r="A11" s="22"/>
      <c r="B11" s="22"/>
      <c r="C11" s="22"/>
      <c r="D11" s="24" t="s">
        <v>24</v>
      </c>
      <c r="E11" s="89"/>
      <c r="F11" s="63"/>
      <c r="G11" s="89"/>
      <c r="H11" s="90" t="s">
        <v>24</v>
      </c>
      <c r="I11" s="22"/>
      <c r="J11" s="22"/>
      <c r="K11" s="22"/>
      <c r="L11" s="22" t="s">
        <v>24</v>
      </c>
      <c r="M11" s="22"/>
    </row>
    <row r="12" spans="1:13" ht="13.5">
      <c r="A12" s="24"/>
      <c r="B12" s="34"/>
      <c r="C12" s="34"/>
      <c r="D12" s="34"/>
      <c r="E12" s="38"/>
      <c r="F12" s="39"/>
      <c r="G12" s="39"/>
      <c r="H12" s="39"/>
      <c r="I12" s="40"/>
      <c r="J12" s="40"/>
      <c r="K12" s="40"/>
      <c r="L12" s="41"/>
      <c r="M12" s="22"/>
    </row>
    <row r="13" spans="1:13" ht="15">
      <c r="A13" s="240" t="s">
        <v>225</v>
      </c>
      <c r="B13" s="34"/>
      <c r="C13" s="34"/>
      <c r="D13" s="34"/>
      <c r="E13" s="66"/>
      <c r="F13" s="67"/>
      <c r="G13" s="67"/>
      <c r="H13" s="67"/>
      <c r="I13" s="68"/>
      <c r="J13" s="68"/>
      <c r="K13" s="40"/>
      <c r="L13" s="41"/>
      <c r="M13" s="22"/>
    </row>
    <row r="14" spans="1:13" ht="69.75" customHeight="1">
      <c r="A14" s="25" t="s">
        <v>3</v>
      </c>
      <c r="B14" s="25" t="s">
        <v>69</v>
      </c>
      <c r="C14" s="25" t="s">
        <v>198</v>
      </c>
      <c r="D14" s="25" t="s">
        <v>213</v>
      </c>
      <c r="E14" s="25" t="s">
        <v>215</v>
      </c>
      <c r="F14" s="25" t="s">
        <v>220</v>
      </c>
      <c r="G14" s="25" t="s">
        <v>216</v>
      </c>
      <c r="H14" s="25" t="s">
        <v>221</v>
      </c>
      <c r="I14" s="25" t="s">
        <v>217</v>
      </c>
      <c r="J14" s="25" t="s">
        <v>218</v>
      </c>
      <c r="K14" s="25" t="s">
        <v>219</v>
      </c>
      <c r="L14" s="25" t="s">
        <v>109</v>
      </c>
      <c r="M14" s="22"/>
    </row>
    <row r="15" spans="1:13" ht="13.5">
      <c r="A15" s="30" t="s">
        <v>6</v>
      </c>
      <c r="B15" s="46">
        <f>K60</f>
        <v>171128.87749999994</v>
      </c>
      <c r="C15" s="214">
        <f>'BRA Resource Clearing Results'!B5</f>
        <v>120</v>
      </c>
      <c r="D15" s="214">
        <f>'BRA Resource Clearing Results'!C5</f>
        <v>0</v>
      </c>
      <c r="E15" s="35">
        <f>('BRA Resource Clearing Results'!C28+'BRA Resource Clearing Results'!D28)*'BRA Resource Clearing Results'!E5</f>
        <v>0</v>
      </c>
      <c r="F15" s="214">
        <f>E15/B15</f>
        <v>0</v>
      </c>
      <c r="G15" s="117">
        <f>('BRA Resource Clearing Results'!D28*'BRA Resource Clearing Results'!G5)</f>
        <v>-32462.958</v>
      </c>
      <c r="H15" s="215">
        <f>G15/B15</f>
        <v>-0.1896988893648298</v>
      </c>
      <c r="I15" s="35">
        <f>'BRA Resource Clearing Results'!B63*'BRA Resource Clearing Results'!C18+'BRA Resource Clearing Results'!B64*'BRA Resource Clearing Results'!C19+'BRA Resource Clearing Results'!B65*'BRA Resource Clearing Results'!C20+'BRA Resource Clearing Results'!B66*'BRA Resource Clearing Results'!C21+'BRA Resource Clearing Results'!B67*'BRA Resource Clearing Results'!C22</f>
        <v>0</v>
      </c>
      <c r="J15" s="214">
        <f>I15/B15</f>
        <v>0</v>
      </c>
      <c r="K15" s="214">
        <f>'BRA Resource Clearing Results'!J72/'BRA Load Pricing Results'!B15</f>
        <v>0</v>
      </c>
      <c r="L15" s="216">
        <f>C15+D15+F15+H15+J15+K15</f>
        <v>119.81030111063517</v>
      </c>
      <c r="M15" s="22"/>
    </row>
    <row r="16" spans="1:13" ht="13.5">
      <c r="A16" s="30" t="s">
        <v>29</v>
      </c>
      <c r="B16" s="46">
        <f>K40+K44+K50+(SUM(K52:K59))</f>
        <v>68662.94251756083</v>
      </c>
      <c r="C16" s="214">
        <f>'BRA Resource Clearing Results'!B6</f>
        <v>120</v>
      </c>
      <c r="D16" s="214">
        <f>'BRA Resource Clearing Results'!C6</f>
        <v>0</v>
      </c>
      <c r="E16" s="35">
        <f>('BRA Resource Clearing Results'!C29+'BRA Resource Clearing Results'!D29)*('BRA Resource Clearing Results'!E6-'BRA Resource Clearing Results'!E5)</f>
        <v>0</v>
      </c>
      <c r="F16" s="214">
        <f>F15+(E16/B16)</f>
        <v>0</v>
      </c>
      <c r="G16" s="117">
        <f>'BRA Resource Clearing Results'!D29*('BRA Resource Clearing Results'!G6-'BRA Resource Clearing Results'!G5)</f>
        <v>0</v>
      </c>
      <c r="H16" s="215">
        <f>H15+(G16/B16)</f>
        <v>-0.1896988893648298</v>
      </c>
      <c r="I16" s="35">
        <v>0</v>
      </c>
      <c r="J16" s="214">
        <f>J15</f>
        <v>0</v>
      </c>
      <c r="K16" s="214">
        <f>K15+'BRA Resource Clearing Results'!J73/'BRA Load Pricing Results'!B16</f>
        <v>0.11359839403918813</v>
      </c>
      <c r="L16" s="216">
        <f aca="true" t="shared" si="0" ref="L16:L22">C16+D16+F16+H16+J16+K16</f>
        <v>119.92389950467435</v>
      </c>
      <c r="M16" s="22"/>
    </row>
    <row r="17" spans="1:13" ht="13.5">
      <c r="A17" s="30" t="s">
        <v>39</v>
      </c>
      <c r="B17" s="46">
        <f>K40+K50+K52+K54+K58+K59</f>
        <v>37435.12094158685</v>
      </c>
      <c r="C17" s="214">
        <f>'BRA Resource Clearing Results'!B7</f>
        <v>120</v>
      </c>
      <c r="D17" s="214">
        <f>'BRA Resource Clearing Results'!C6+'BRA Resource Clearing Results'!C7</f>
        <v>0</v>
      </c>
      <c r="E17" s="35">
        <f>('BRA Resource Clearing Results'!C30+'BRA Resource Clearing Results'!D30)*('BRA Resource Clearing Results'!E7-'BRA Resource Clearing Results'!E6)</f>
        <v>0</v>
      </c>
      <c r="F17" s="214">
        <f>F16+(E17/B17)</f>
        <v>0</v>
      </c>
      <c r="G17" s="117">
        <f>'BRA Resource Clearing Results'!D30*('BRA Resource Clearing Results'!G7-'BRA Resource Clearing Results'!G6)</f>
        <v>0</v>
      </c>
      <c r="H17" s="215">
        <f>H16+(G17/B17)</f>
        <v>-0.1896988893648298</v>
      </c>
      <c r="I17" s="35">
        <v>0</v>
      </c>
      <c r="J17" s="214">
        <f aca="true" t="shared" si="1" ref="J17:J22">J16</f>
        <v>0</v>
      </c>
      <c r="K17" s="214">
        <f>K16+('BRA Resource Clearing Results'!J74/'BRA Load Pricing Results'!B17)</f>
        <v>0.11359839403918813</v>
      </c>
      <c r="L17" s="216">
        <f t="shared" si="0"/>
        <v>119.92389950467435</v>
      </c>
      <c r="M17" s="22"/>
    </row>
    <row r="18" spans="1:13" ht="13.5">
      <c r="A18" s="30" t="s">
        <v>5</v>
      </c>
      <c r="B18" s="46">
        <f>K44+K56</f>
        <v>15827.877517897774</v>
      </c>
      <c r="C18" s="214">
        <f>'BRA Resource Clearing Results'!B8</f>
        <v>120</v>
      </c>
      <c r="D18" s="214">
        <f>'BRA Resource Clearing Results'!C6+'BRA Resource Clearing Results'!C8</f>
        <v>0</v>
      </c>
      <c r="E18" s="35">
        <f>('BRA Resource Clearing Results'!C31+'BRA Resource Clearing Results'!D31)*('BRA Resource Clearing Results'!E8-'BRA Resource Clearing Results'!E6)</f>
        <v>0</v>
      </c>
      <c r="F18" s="214">
        <f>F16+(E18/B18)</f>
        <v>0</v>
      </c>
      <c r="G18" s="117">
        <f>'BRA Resource Clearing Results'!D31*('BRA Resource Clearing Results'!G8-'BRA Resource Clearing Results'!G6)</f>
        <v>0</v>
      </c>
      <c r="H18" s="215">
        <f>H16+(G18/B18)</f>
        <v>-0.1896988893648298</v>
      </c>
      <c r="I18" s="35">
        <v>0</v>
      </c>
      <c r="J18" s="214">
        <f t="shared" si="1"/>
        <v>0</v>
      </c>
      <c r="K18" s="214">
        <f>K16+('BRA Resource Clearing Results'!J75/'BRA Load Pricing Results'!B18)</f>
        <v>0.11359839403918813</v>
      </c>
      <c r="L18" s="216">
        <f t="shared" si="0"/>
        <v>119.92389950467435</v>
      </c>
      <c r="M18" s="22"/>
    </row>
    <row r="19" spans="1:13" ht="13.5">
      <c r="A19" s="30" t="s">
        <v>15</v>
      </c>
      <c r="B19" s="46">
        <f>K56</f>
        <v>7617.8948442839655</v>
      </c>
      <c r="C19" s="214">
        <f>'BRA Resource Clearing Results'!B12</f>
        <v>120</v>
      </c>
      <c r="D19" s="214">
        <f>'BRA Resource Clearing Results'!C6+'BRA Resource Clearing Results'!C8+'BRA Resource Clearing Results'!C12</f>
        <v>0</v>
      </c>
      <c r="E19" s="35">
        <f>('BRA Resource Clearing Results'!C35+'BRA Resource Clearing Results'!D35)*('BRA Resource Clearing Results'!E12-'BRA Resource Clearing Results'!E8)</f>
        <v>0</v>
      </c>
      <c r="F19" s="214">
        <f>F18+(E19/B19)</f>
        <v>0</v>
      </c>
      <c r="G19" s="117">
        <f>'BRA Resource Clearing Results'!D35*('BRA Resource Clearing Results'!G12-'BRA Resource Clearing Results'!G8)</f>
        <v>0</v>
      </c>
      <c r="H19" s="215">
        <f>H18+(G19/B19)</f>
        <v>-0.1896988893648298</v>
      </c>
      <c r="I19" s="35">
        <v>0</v>
      </c>
      <c r="J19" s="214">
        <f t="shared" si="1"/>
        <v>0</v>
      </c>
      <c r="K19" s="214">
        <f>K18+('BRA Resource Clearing Results'!J79/'BRA Load Pricing Results'!B19)</f>
        <v>0.11359839403918813</v>
      </c>
      <c r="L19" s="216">
        <f t="shared" si="0"/>
        <v>119.92389950467435</v>
      </c>
      <c r="M19" s="22"/>
    </row>
    <row r="20" spans="1:13" ht="13.5">
      <c r="A20" s="23" t="s">
        <v>20</v>
      </c>
      <c r="B20" s="46">
        <f>K45</f>
        <v>26115.82457357292</v>
      </c>
      <c r="C20" s="214">
        <f>'BRA Resource Clearing Results'!B15</f>
        <v>120</v>
      </c>
      <c r="D20" s="214">
        <f>'BRA Resource Clearing Results'!C15</f>
        <v>0</v>
      </c>
      <c r="E20" s="35">
        <f>('BRA Resource Clearing Results'!C38+'BRA Resource Clearing Results'!D38)*('BRA Resource Clearing Results'!E15-'BRA Resource Clearing Results'!E5)</f>
        <v>0</v>
      </c>
      <c r="F20" s="214">
        <f>F15+(E20/B20)</f>
        <v>0</v>
      </c>
      <c r="G20" s="117">
        <f>'BRA Resource Clearing Results'!D38*('BRA Resource Clearing Results'!G15-'BRA Resource Clearing Results'!G5)</f>
        <v>0</v>
      </c>
      <c r="H20" s="215">
        <f>H15+(G20/B20)</f>
        <v>-0.1896988893648298</v>
      </c>
      <c r="I20" s="35">
        <v>0</v>
      </c>
      <c r="J20" s="214">
        <f t="shared" si="1"/>
        <v>0</v>
      </c>
      <c r="K20" s="214">
        <f>K15+('BRA Resource Clearing Results'!J82/'BRA Load Pricing Results'!B20)</f>
        <v>0</v>
      </c>
      <c r="L20" s="216">
        <f t="shared" si="0"/>
        <v>119.81030111063517</v>
      </c>
      <c r="M20" s="22"/>
    </row>
    <row r="21" spans="1:13" ht="13.5">
      <c r="A21" s="23" t="s">
        <v>11</v>
      </c>
      <c r="B21" s="46">
        <f>K44</f>
        <v>8209.98267361381</v>
      </c>
      <c r="C21" s="214">
        <f>'BRA Resource Clearing Results'!B16</f>
        <v>120</v>
      </c>
      <c r="D21" s="214">
        <f>'BRA Resource Clearing Results'!C6+'BRA Resource Clearing Results'!C8+'BRA Resource Clearing Results'!C16</f>
        <v>0</v>
      </c>
      <c r="E21" s="35">
        <f>('BRA Resource Clearing Results'!C39+'BRA Resource Clearing Results'!D39)*('BRA Resource Clearing Results'!E16-'BRA Resource Clearing Results'!E8)</f>
        <v>0</v>
      </c>
      <c r="F21" s="214">
        <f>F18+(E21/B21)</f>
        <v>0</v>
      </c>
      <c r="G21" s="117">
        <f>'BRA Resource Clearing Results'!D39*('BRA Resource Clearing Results'!G16-'BRA Resource Clearing Results'!G8)</f>
        <v>0</v>
      </c>
      <c r="H21" s="215">
        <f>H18+(G21/B21)</f>
        <v>-0.1896988893648298</v>
      </c>
      <c r="I21" s="35">
        <v>0</v>
      </c>
      <c r="J21" s="214">
        <f t="shared" si="1"/>
        <v>0</v>
      </c>
      <c r="K21" s="214">
        <f>K18+('BRA Resource Clearing Results'!J83/'BRA Load Pricing Results'!B21)</f>
        <v>0.11359839403918813</v>
      </c>
      <c r="L21" s="216">
        <f t="shared" si="0"/>
        <v>119.92389950467435</v>
      </c>
      <c r="M21" s="22"/>
    </row>
    <row r="22" spans="1:13" ht="13.5">
      <c r="A22" s="23" t="s">
        <v>10</v>
      </c>
      <c r="B22" s="46">
        <f>K57</f>
        <v>8509.98893512893</v>
      </c>
      <c r="C22" s="214">
        <f>'BRA Resource Clearing Results'!B17</f>
        <v>120</v>
      </c>
      <c r="D22" s="214">
        <f>'BRA Resource Clearing Results'!C6+'BRA Resource Clearing Results'!C17</f>
        <v>0</v>
      </c>
      <c r="E22" s="117">
        <f>('BRA Resource Clearing Results'!C40+'BRA Resource Clearing Results'!D40)*('BRA Resource Clearing Results'!E17-'BRA Resource Clearing Results'!E6)</f>
        <v>-14854.5</v>
      </c>
      <c r="F22" s="215">
        <f>F16+(E22/B22)</f>
        <v>-1.745536934681684</v>
      </c>
      <c r="G22" s="117">
        <f>'BRA Resource Clearing Results'!D40*('BRA Resource Clearing Results'!G17-'BRA Resource Clearing Results'!G6)</f>
        <v>0</v>
      </c>
      <c r="H22" s="215">
        <f>H16+(G22/B22)</f>
        <v>-0.1896988893648298</v>
      </c>
      <c r="I22" s="35">
        <v>0</v>
      </c>
      <c r="J22" s="214">
        <f t="shared" si="1"/>
        <v>0</v>
      </c>
      <c r="K22" s="214">
        <f>K16+('BRA Resource Clearing Results'!J84/'BRA Load Pricing Results'!B22)</f>
        <v>0.11453846576677597</v>
      </c>
      <c r="L22" s="216">
        <f t="shared" si="0"/>
        <v>118.17930264172026</v>
      </c>
      <c r="M22" s="22"/>
    </row>
    <row r="23" spans="1:13" s="7" customFormat="1" ht="13.5">
      <c r="A23" s="24" t="s">
        <v>110</v>
      </c>
      <c r="B23" s="34"/>
      <c r="C23" s="58"/>
      <c r="D23" s="58"/>
      <c r="E23" s="58"/>
      <c r="F23" s="60"/>
      <c r="G23" s="119"/>
      <c r="H23" s="34"/>
      <c r="I23" s="34"/>
      <c r="J23" s="58"/>
      <c r="K23" s="34"/>
      <c r="L23" s="72"/>
      <c r="M23" s="32"/>
    </row>
    <row r="24" spans="1:13" s="7" customFormat="1" ht="13.5">
      <c r="A24" s="24"/>
      <c r="B24" s="34"/>
      <c r="C24" s="58"/>
      <c r="D24" s="91" t="s">
        <v>24</v>
      </c>
      <c r="E24" s="91" t="s">
        <v>24</v>
      </c>
      <c r="F24" s="60"/>
      <c r="G24" s="32"/>
      <c r="H24" s="34"/>
      <c r="I24" s="34"/>
      <c r="J24" s="58"/>
      <c r="K24" s="34"/>
      <c r="L24" s="72"/>
      <c r="M24" s="32"/>
    </row>
    <row r="25" spans="1:13" ht="30.75">
      <c r="A25" s="255" t="s">
        <v>166</v>
      </c>
      <c r="B25" s="22"/>
      <c r="C25" s="92" t="s">
        <v>24</v>
      </c>
      <c r="D25" s="22"/>
      <c r="E25" s="63" t="s">
        <v>24</v>
      </c>
      <c r="F25" s="340" t="s">
        <v>24</v>
      </c>
      <c r="G25" s="340"/>
      <c r="H25" s="340"/>
      <c r="I25" s="340"/>
      <c r="J25" s="340"/>
      <c r="K25" s="93" t="s">
        <v>24</v>
      </c>
      <c r="L25" s="22"/>
      <c r="M25" s="22"/>
    </row>
    <row r="26" spans="1:13" ht="79.5" customHeight="1">
      <c r="A26" s="243" t="s">
        <v>68</v>
      </c>
      <c r="B26" s="25" t="s">
        <v>226</v>
      </c>
      <c r="C26" s="26" t="s">
        <v>93</v>
      </c>
      <c r="D26" s="26" t="s">
        <v>167</v>
      </c>
      <c r="E26" s="25" t="s">
        <v>233</v>
      </c>
      <c r="F26" s="25" t="s">
        <v>222</v>
      </c>
      <c r="G26" s="25" t="s">
        <v>223</v>
      </c>
      <c r="H26" s="25" t="s">
        <v>224</v>
      </c>
      <c r="I26" s="26" t="s">
        <v>168</v>
      </c>
      <c r="J26" s="26" t="s">
        <v>234</v>
      </c>
      <c r="K26" s="26" t="s">
        <v>214</v>
      </c>
      <c r="L26" s="22"/>
      <c r="M26" s="22"/>
    </row>
    <row r="27" spans="1:13" ht="13.5">
      <c r="A27" s="246" t="s">
        <v>43</v>
      </c>
      <c r="B27" s="246"/>
      <c r="C27" s="123">
        <f>'BRA Resource Clearing Results'!E54</f>
        <v>2217.4999999999995</v>
      </c>
      <c r="D27" s="31">
        <f>'BRA Resource Clearing Results'!C9</f>
        <v>95</v>
      </c>
      <c r="E27" s="31">
        <f>('BRA Resource Clearing Results'!C32+'BRA Resource Clearing Results'!D32)*('BRA Resource Clearing Results'!E9-'BRA Resource Clearing Results'!E7)</f>
        <v>0</v>
      </c>
      <c r="F27" s="246"/>
      <c r="G27" s="117">
        <f>'BRA Resource Clearing Results'!D32*('BRA Resource Clearing Results'!G9-'BRA Resource Clearing Results'!G7)</f>
        <v>0</v>
      </c>
      <c r="H27" s="246"/>
      <c r="I27" s="94">
        <f>'BRA Resource Clearing Results'!J76</f>
        <v>0</v>
      </c>
      <c r="J27" s="246"/>
      <c r="K27" s="246"/>
      <c r="L27" s="22"/>
      <c r="M27" s="22"/>
    </row>
    <row r="28" spans="1:13" ht="13.5">
      <c r="A28" s="246" t="s">
        <v>40</v>
      </c>
      <c r="B28" s="246"/>
      <c r="C28" s="51">
        <f>'BRA Resource Clearing Results'!E55</f>
        <v>3893.2000000000003</v>
      </c>
      <c r="D28" s="31">
        <f>'BRA Resource Clearing Results'!C9+'BRA Resource Clearing Results'!C10</f>
        <v>95</v>
      </c>
      <c r="E28" s="31">
        <f>('BRA Resource Clearing Results'!C33+'BRA Resource Clearing Results'!D33)*('BRA Resource Clearing Results'!E10-'BRA Resource Clearing Results'!E7)</f>
        <v>0</v>
      </c>
      <c r="F28" s="246"/>
      <c r="G28" s="117">
        <f>'BRA Resource Clearing Results'!D33*('BRA Resource Clearing Results'!G10-'BRA Resource Clearing Results'!G7)</f>
        <v>0</v>
      </c>
      <c r="H28" s="246"/>
      <c r="I28" s="94">
        <f>'BRA Resource Clearing Results'!J77</f>
        <v>0</v>
      </c>
      <c r="J28" s="246"/>
      <c r="K28" s="246"/>
      <c r="L28" s="22"/>
      <c r="M28" s="22"/>
    </row>
    <row r="29" spans="1:13" ht="13.5">
      <c r="A29" s="73" t="s">
        <v>8</v>
      </c>
      <c r="B29" s="213">
        <f>L17</f>
        <v>119.92389950467435</v>
      </c>
      <c r="C29" s="51">
        <f>C28+C27</f>
        <v>6110.7</v>
      </c>
      <c r="D29" s="217">
        <f>(C28*D28+C27*D27)/C29</f>
        <v>95</v>
      </c>
      <c r="E29" s="53">
        <f>SUM(E27:E28)</f>
        <v>0</v>
      </c>
      <c r="F29" s="213">
        <f>E29/K58</f>
        <v>0</v>
      </c>
      <c r="G29" s="117">
        <f>SUM(G27:G28)</f>
        <v>0</v>
      </c>
      <c r="H29" s="213">
        <f>G29/K58</f>
        <v>0</v>
      </c>
      <c r="I29" s="94">
        <f>I27+I28</f>
        <v>0</v>
      </c>
      <c r="J29" s="218">
        <f>I29/K58</f>
        <v>0</v>
      </c>
      <c r="K29" s="219">
        <f>B29+D29+F29+H29+J29</f>
        <v>214.92389950467435</v>
      </c>
      <c r="L29" s="22"/>
      <c r="M29" s="22"/>
    </row>
    <row r="30" spans="1:13" ht="13.5">
      <c r="A30" s="246" t="s">
        <v>42</v>
      </c>
      <c r="B30" s="246"/>
      <c r="C30" s="45">
        <v>3930.7</v>
      </c>
      <c r="D30" s="31">
        <v>0</v>
      </c>
      <c r="E30" s="53">
        <v>0</v>
      </c>
      <c r="F30" s="53"/>
      <c r="G30" s="117">
        <v>0</v>
      </c>
      <c r="H30" s="95"/>
      <c r="I30" s="94">
        <v>0</v>
      </c>
      <c r="J30" s="246"/>
      <c r="K30" s="246"/>
      <c r="L30" s="22"/>
      <c r="M30" s="22"/>
    </row>
    <row r="31" spans="1:13" ht="13.5">
      <c r="A31" s="246" t="s">
        <v>41</v>
      </c>
      <c r="B31" s="246"/>
      <c r="C31" s="51">
        <f>'BRA Resource Clearing Results'!E34</f>
        <v>1682.2999999999993</v>
      </c>
      <c r="D31" s="96">
        <f>'BRA Resource Clearing Results'!C11</f>
        <v>0</v>
      </c>
      <c r="E31" s="53">
        <f>('BRA Resource Clearing Results'!C34+'BRA Resource Clearing Results'!D34)*('BRA Resource Clearing Results'!E11-'BRA Resource Clearing Results'!E7)</f>
        <v>0</v>
      </c>
      <c r="F31" s="246"/>
      <c r="G31" s="117">
        <f>'BRA Resource Clearing Results'!D34*('BRA Resource Clearing Results'!G11-'BRA Resource Clearing Results'!G7)</f>
        <v>0</v>
      </c>
      <c r="H31" s="246"/>
      <c r="I31" s="94">
        <f>'BRA Resource Clearing Results'!J78</f>
        <v>0</v>
      </c>
      <c r="J31" s="246"/>
      <c r="K31" s="246"/>
      <c r="L31" s="22"/>
      <c r="M31" s="22"/>
    </row>
    <row r="32" spans="1:13" ht="13.5">
      <c r="A32" s="73" t="s">
        <v>17</v>
      </c>
      <c r="B32" s="213">
        <f>L17</f>
        <v>119.92389950467435</v>
      </c>
      <c r="C32" s="45">
        <f>C30+C31</f>
        <v>5612.999999999999</v>
      </c>
      <c r="D32" s="217">
        <f>(C31*D31+C30*D30)/C32</f>
        <v>0</v>
      </c>
      <c r="E32" s="53">
        <f>SUM(E30:E31)</f>
        <v>0</v>
      </c>
      <c r="F32" s="213">
        <f>E32/K50</f>
        <v>0</v>
      </c>
      <c r="G32" s="117">
        <f>SUM(G30:G31)</f>
        <v>0</v>
      </c>
      <c r="H32" s="213">
        <f>G32/K50</f>
        <v>0</v>
      </c>
      <c r="I32" s="94">
        <f>I30+I31</f>
        <v>0</v>
      </c>
      <c r="J32" s="218">
        <f>I32/K50</f>
        <v>0</v>
      </c>
      <c r="K32" s="219">
        <f>B32+D32+F32+H32+J32</f>
        <v>119.92389950467435</v>
      </c>
      <c r="L32" s="22"/>
      <c r="M32" s="22"/>
    </row>
    <row r="33" spans="1:13" ht="13.5">
      <c r="A33" s="246" t="s">
        <v>160</v>
      </c>
      <c r="B33" s="246"/>
      <c r="C33" s="123">
        <f>'BRA Resource Clearing Results'!E58</f>
        <v>6428.700000000002</v>
      </c>
      <c r="D33" s="31">
        <f>'BRA Resource Clearing Results'!C13</f>
        <v>0</v>
      </c>
      <c r="E33" s="31">
        <f>('BRA Resource Clearing Results'!C36+'BRA Resource Clearing Results'!D36)*('BRA Resource Clearing Results'!E13-'BRA Resource Clearing Results'!E5)</f>
        <v>0</v>
      </c>
      <c r="F33" s="246"/>
      <c r="G33" s="117">
        <f>'BRA Resource Clearing Results'!D36*('BRA Resource Clearing Results'!G13-'BRA Resource Clearing Results'!G5)</f>
        <v>0</v>
      </c>
      <c r="H33" s="246"/>
      <c r="I33" s="94">
        <f>'BRA Resource Clearing Results'!J80</f>
        <v>0</v>
      </c>
      <c r="J33" s="246"/>
      <c r="K33" s="246"/>
      <c r="L33" s="22"/>
      <c r="M33" s="22"/>
    </row>
    <row r="34" spans="1:13" ht="13.5">
      <c r="A34" s="246" t="s">
        <v>159</v>
      </c>
      <c r="B34" s="246"/>
      <c r="C34" s="51">
        <f>'BRA Resource Clearing Results'!E59</f>
        <v>2548.6</v>
      </c>
      <c r="D34" s="31">
        <f>'BRA Resource Clearing Results'!C13+'BRA Resource Clearing Results'!C14</f>
        <v>0</v>
      </c>
      <c r="E34" s="31">
        <f>('BRA Resource Clearing Results'!C37+'BRA Resource Clearing Results'!D37)*('BRA Resource Clearing Results'!E14-'BRA Resource Clearing Results'!E5)</f>
        <v>0</v>
      </c>
      <c r="F34" s="246"/>
      <c r="G34" s="117">
        <f>'BRA Resource Clearing Results'!D37*('BRA Resource Clearing Results'!G14-'BRA Resource Clearing Results'!G5)</f>
        <v>0</v>
      </c>
      <c r="H34" s="246"/>
      <c r="I34" s="94">
        <f>'BRA Resource Clearing Results'!J81</f>
        <v>0</v>
      </c>
      <c r="J34" s="246"/>
      <c r="K34" s="246"/>
      <c r="L34" s="22"/>
      <c r="M34" s="22"/>
    </row>
    <row r="35" spans="1:13" ht="13.5">
      <c r="A35" s="73" t="s">
        <v>49</v>
      </c>
      <c r="B35" s="213">
        <f>L15</f>
        <v>119.81030111063517</v>
      </c>
      <c r="C35" s="51">
        <f>C34+C33</f>
        <v>8977.300000000001</v>
      </c>
      <c r="D35" s="217">
        <f>(C34*D34+C33*D33)/C35</f>
        <v>0</v>
      </c>
      <c r="E35" s="53">
        <f>SUM(E33:E34)</f>
        <v>0</v>
      </c>
      <c r="F35" s="213">
        <f>E35/K43</f>
        <v>0</v>
      </c>
      <c r="G35" s="117">
        <f>SUM(G33:G34)</f>
        <v>0</v>
      </c>
      <c r="H35" s="213">
        <f>G35/K43</f>
        <v>0</v>
      </c>
      <c r="I35" s="94">
        <f>I33+I34</f>
        <v>0</v>
      </c>
      <c r="J35" s="218">
        <f>I35/K43</f>
        <v>0</v>
      </c>
      <c r="K35" s="219">
        <f>B35+D35+F35+H35+J35</f>
        <v>119.81030111063517</v>
      </c>
      <c r="L35" s="22"/>
      <c r="M35" s="22"/>
    </row>
    <row r="36" spans="1:13" ht="12.75" customHeight="1">
      <c r="A36" s="122" t="s">
        <v>227</v>
      </c>
      <c r="B36" s="122"/>
      <c r="C36" s="97"/>
      <c r="D36" s="97"/>
      <c r="E36" s="97"/>
      <c r="F36" s="97"/>
      <c r="G36" s="120"/>
      <c r="H36" s="22"/>
      <c r="I36" s="22"/>
      <c r="J36" s="22"/>
      <c r="K36" s="22"/>
      <c r="L36" s="22"/>
      <c r="M36" s="22"/>
    </row>
    <row r="37" spans="1:13" ht="13.5">
      <c r="A37" s="32"/>
      <c r="B37" s="36"/>
      <c r="C37" s="36"/>
      <c r="D37" s="36" t="s">
        <v>24</v>
      </c>
      <c r="E37" s="49"/>
      <c r="F37" s="98" t="s">
        <v>24</v>
      </c>
      <c r="G37" s="88"/>
      <c r="H37" s="88"/>
      <c r="I37" s="88"/>
      <c r="J37" s="88"/>
      <c r="K37" s="88"/>
      <c r="L37" s="99"/>
      <c r="M37" s="22"/>
    </row>
    <row r="38" spans="1:13" s="2" customFormat="1" ht="17.25">
      <c r="A38" s="265" t="s">
        <v>45</v>
      </c>
      <c r="B38" s="114"/>
      <c r="C38" s="22"/>
      <c r="D38" s="22"/>
      <c r="E38" s="100"/>
      <c r="F38" s="100"/>
      <c r="G38" s="100"/>
      <c r="H38" s="100"/>
      <c r="I38" s="100"/>
      <c r="J38" s="100"/>
      <c r="K38" s="100"/>
      <c r="L38" s="115"/>
      <c r="M38" s="22"/>
    </row>
    <row r="39" spans="1:13" ht="54.75" customHeight="1">
      <c r="A39" s="242" t="s">
        <v>7</v>
      </c>
      <c r="B39" s="242" t="s">
        <v>28</v>
      </c>
      <c r="C39" s="242" t="s">
        <v>27</v>
      </c>
      <c r="D39" s="242" t="s">
        <v>34</v>
      </c>
      <c r="E39" s="242" t="s">
        <v>194</v>
      </c>
      <c r="F39" s="242" t="s">
        <v>22</v>
      </c>
      <c r="G39" s="242" t="s">
        <v>195</v>
      </c>
      <c r="H39" s="242" t="s">
        <v>30</v>
      </c>
      <c r="I39" s="256" t="s">
        <v>23</v>
      </c>
      <c r="J39" s="256" t="s">
        <v>25</v>
      </c>
      <c r="K39" s="256" t="s">
        <v>26</v>
      </c>
      <c r="L39" s="257" t="s">
        <v>35</v>
      </c>
      <c r="M39" s="242" t="s">
        <v>7</v>
      </c>
    </row>
    <row r="40" spans="1:13" ht="13.5">
      <c r="A40" s="246" t="s">
        <v>16</v>
      </c>
      <c r="B40" s="104" t="s">
        <v>29</v>
      </c>
      <c r="C40" s="104" t="s">
        <v>39</v>
      </c>
      <c r="D40" s="104"/>
      <c r="E40" s="258">
        <v>2590</v>
      </c>
      <c r="F40" s="106">
        <f>G40/E40</f>
        <v>1.0617760617760619</v>
      </c>
      <c r="G40" s="107">
        <v>2750</v>
      </c>
      <c r="H40" s="108">
        <f>$B$9*G40/$G$60</f>
        <v>75.04754287975453</v>
      </c>
      <c r="I40" s="106">
        <f>$B$10</f>
        <v>1.0121006636720626</v>
      </c>
      <c r="J40" s="106">
        <f>I40*F40</f>
        <v>1.0746242567946611</v>
      </c>
      <c r="K40" s="107">
        <f>E40*J40*$B$6+H40</f>
        <v>3113.272525156919</v>
      </c>
      <c r="L40" s="259">
        <f>L17</f>
        <v>119.92389950467435</v>
      </c>
      <c r="M40" s="246" t="s">
        <v>16</v>
      </c>
    </row>
    <row r="41" spans="1:13" ht="13.5">
      <c r="A41" s="246" t="s">
        <v>169</v>
      </c>
      <c r="B41" s="104"/>
      <c r="C41" s="104"/>
      <c r="D41" s="104"/>
      <c r="E41" s="258">
        <v>10988.9</v>
      </c>
      <c r="F41" s="106">
        <v>1.0288045875606529</v>
      </c>
      <c r="G41" s="107">
        <f>E41*F41</f>
        <v>11305.430732245257</v>
      </c>
      <c r="H41" s="108">
        <f>$B$9*G41/$G$60</f>
        <v>308.52538096446204</v>
      </c>
      <c r="I41" s="106">
        <f aca="true" t="shared" si="2" ref="I41:I47">$B$10</f>
        <v>1.0121006636720626</v>
      </c>
      <c r="J41" s="106">
        <f>I41*F41</f>
        <v>1.0412538058589995</v>
      </c>
      <c r="K41" s="107">
        <f>E41*J41*$B$6+H41</f>
        <v>12798.867957732304</v>
      </c>
      <c r="L41" s="259">
        <f>L15</f>
        <v>119.81030111063517</v>
      </c>
      <c r="M41" s="246" t="s">
        <v>169</v>
      </c>
    </row>
    <row r="42" spans="1:13" ht="13.5">
      <c r="A42" s="246" t="s">
        <v>19</v>
      </c>
      <c r="B42" s="104" t="s">
        <v>24</v>
      </c>
      <c r="C42" s="104"/>
      <c r="D42" s="104"/>
      <c r="E42" s="258">
        <v>8270</v>
      </c>
      <c r="F42" s="106">
        <f>G42/E42</f>
        <v>1.0690447400241838</v>
      </c>
      <c r="G42" s="107">
        <v>8841</v>
      </c>
      <c r="H42" s="108">
        <f aca="true" t="shared" si="3" ref="H42:H59">$B$9*G42/$G$60</f>
        <v>241.27102785451265</v>
      </c>
      <c r="I42" s="106">
        <f t="shared" si="2"/>
        <v>1.0121006636720626</v>
      </c>
      <c r="J42" s="106">
        <f>I42*F42</f>
        <v>1.0819808908736042</v>
      </c>
      <c r="K42" s="107">
        <f aca="true" t="shared" si="4" ref="K42:K59">E42*J42*$B$6+H42</f>
        <v>10008.888143604483</v>
      </c>
      <c r="L42" s="259">
        <f>L15</f>
        <v>119.81030111063517</v>
      </c>
      <c r="M42" s="246" t="s">
        <v>19</v>
      </c>
    </row>
    <row r="43" spans="1:13" ht="13.5">
      <c r="A43" s="246" t="s">
        <v>49</v>
      </c>
      <c r="B43" s="104"/>
      <c r="C43" s="104"/>
      <c r="D43" s="104" t="s">
        <v>49</v>
      </c>
      <c r="E43" s="258">
        <v>12680</v>
      </c>
      <c r="F43" s="106">
        <f>G43/E43</f>
        <v>1.031782334384858</v>
      </c>
      <c r="G43" s="107">
        <v>13083</v>
      </c>
      <c r="H43" s="108">
        <f t="shared" si="3"/>
        <v>357.03527399848315</v>
      </c>
      <c r="I43" s="106">
        <f t="shared" si="2"/>
        <v>1.0121006636720626</v>
      </c>
      <c r="J43" s="106">
        <f aca="true" t="shared" si="5" ref="J43:J58">I43*F43</f>
        <v>1.0442675853960248</v>
      </c>
      <c r="K43" s="107">
        <f t="shared" si="4"/>
        <v>14811.252526046535</v>
      </c>
      <c r="L43" s="259">
        <f>K35</f>
        <v>119.81030111063517</v>
      </c>
      <c r="M43" s="246" t="s">
        <v>49</v>
      </c>
    </row>
    <row r="44" spans="1:13" ht="13.5">
      <c r="A44" s="246" t="s">
        <v>11</v>
      </c>
      <c r="B44" s="104" t="s">
        <v>29</v>
      </c>
      <c r="C44" s="104" t="s">
        <v>5</v>
      </c>
      <c r="D44" s="104" t="s">
        <v>11</v>
      </c>
      <c r="E44" s="258">
        <v>6920</v>
      </c>
      <c r="F44" s="106">
        <f>G44/E44</f>
        <v>1.0479768786127168</v>
      </c>
      <c r="G44" s="107">
        <v>7252</v>
      </c>
      <c r="H44" s="108">
        <f t="shared" si="3"/>
        <v>197.90719307781086</v>
      </c>
      <c r="I44" s="106">
        <f t="shared" si="2"/>
        <v>1.0121006636720626</v>
      </c>
      <c r="J44" s="106">
        <f t="shared" si="5"/>
        <v>1.0606580943569073</v>
      </c>
      <c r="K44" s="107">
        <f t="shared" si="4"/>
        <v>8209.98267361381</v>
      </c>
      <c r="L44" s="259">
        <f>L21</f>
        <v>119.92389950467435</v>
      </c>
      <c r="M44" s="246" t="s">
        <v>11</v>
      </c>
    </row>
    <row r="45" spans="1:13" ht="13.5">
      <c r="A45" s="246" t="s">
        <v>196</v>
      </c>
      <c r="B45" s="104"/>
      <c r="C45" s="104"/>
      <c r="D45" s="104" t="s">
        <v>20</v>
      </c>
      <c r="E45" s="258">
        <v>21477.6</v>
      </c>
      <c r="F45" s="106">
        <v>1.074072377462208</v>
      </c>
      <c r="G45" s="107">
        <f>E45*F45</f>
        <v>23068.496894182317</v>
      </c>
      <c r="H45" s="108">
        <f t="shared" si="3"/>
        <v>629.539639940957</v>
      </c>
      <c r="I45" s="106">
        <f t="shared" si="2"/>
        <v>1.0121006636720626</v>
      </c>
      <c r="J45" s="106">
        <f t="shared" si="5"/>
        <v>1.0870693660613309</v>
      </c>
      <c r="K45" s="107">
        <f t="shared" si="4"/>
        <v>26115.82457357292</v>
      </c>
      <c r="L45" s="259">
        <f>L20</f>
        <v>119.81030111063517</v>
      </c>
      <c r="M45" s="246" t="s">
        <v>196</v>
      </c>
    </row>
    <row r="46" spans="1:13" ht="13.5">
      <c r="A46" s="246" t="s">
        <v>21</v>
      </c>
      <c r="B46" s="104"/>
      <c r="C46" s="104"/>
      <c r="D46" s="104"/>
      <c r="E46" s="258">
        <v>3260</v>
      </c>
      <c r="F46" s="106">
        <f>G46/E46</f>
        <v>1.0745398773006134</v>
      </c>
      <c r="G46" s="107">
        <v>3503</v>
      </c>
      <c r="H46" s="108">
        <f t="shared" si="3"/>
        <v>95.59692462101096</v>
      </c>
      <c r="I46" s="106">
        <f t="shared" si="2"/>
        <v>1.0121006636720626</v>
      </c>
      <c r="J46" s="106">
        <f>I46*F46</f>
        <v>1.0875425229580475</v>
      </c>
      <c r="K46" s="107">
        <f t="shared" si="4"/>
        <v>3965.743147499886</v>
      </c>
      <c r="L46" s="259">
        <f>L15</f>
        <v>119.81030111063517</v>
      </c>
      <c r="M46" s="246" t="s">
        <v>21</v>
      </c>
    </row>
    <row r="47" spans="1:13" ht="13.5">
      <c r="A47" s="246" t="s">
        <v>170</v>
      </c>
      <c r="B47" s="104"/>
      <c r="C47" s="104"/>
      <c r="D47" s="104"/>
      <c r="E47" s="258">
        <v>4410</v>
      </c>
      <c r="F47" s="106">
        <v>1.0499051233396584</v>
      </c>
      <c r="G47" s="107">
        <f>E47*F47</f>
        <v>4630.081593927894</v>
      </c>
      <c r="H47" s="108">
        <f t="shared" si="3"/>
        <v>126.3549988934785</v>
      </c>
      <c r="I47" s="106">
        <f t="shared" si="2"/>
        <v>1.0121006636720626</v>
      </c>
      <c r="J47" s="106">
        <f>I47*F47</f>
        <v>1.062609672124767</v>
      </c>
      <c r="K47" s="107">
        <f t="shared" si="4"/>
        <v>5241.711205676533</v>
      </c>
      <c r="L47" s="259">
        <f>L15</f>
        <v>119.81030111063517</v>
      </c>
      <c r="M47" s="246" t="s">
        <v>170</v>
      </c>
    </row>
    <row r="48" spans="1:13" ht="13.5">
      <c r="A48" s="246" t="s">
        <v>48</v>
      </c>
      <c r="B48" s="104"/>
      <c r="C48" s="104"/>
      <c r="D48" s="104"/>
      <c r="E48" s="258">
        <v>2820</v>
      </c>
      <c r="F48" s="106">
        <f>G48/E48</f>
        <v>1.0553191489361702</v>
      </c>
      <c r="G48" s="107">
        <v>2976</v>
      </c>
      <c r="H48" s="108">
        <f t="shared" si="3"/>
        <v>81.21508640369073</v>
      </c>
      <c r="I48" s="106">
        <f aca="true" t="shared" si="6" ref="I48:I59">$B$10</f>
        <v>1.0121006636720626</v>
      </c>
      <c r="J48" s="106">
        <f>I48*F48</f>
        <v>1.0680892110241342</v>
      </c>
      <c r="K48" s="107">
        <f t="shared" si="4"/>
        <v>3369.1269217698155</v>
      </c>
      <c r="L48" s="259">
        <f>L15</f>
        <v>119.81030111063517</v>
      </c>
      <c r="M48" s="246" t="s">
        <v>48</v>
      </c>
    </row>
    <row r="49" spans="1:13" ht="13.5">
      <c r="A49" s="246" t="s">
        <v>32</v>
      </c>
      <c r="B49" s="104"/>
      <c r="C49" s="104"/>
      <c r="D49" s="104"/>
      <c r="E49" s="258">
        <v>18980</v>
      </c>
      <c r="F49" s="106">
        <f>G49/E49</f>
        <v>1.105268703898841</v>
      </c>
      <c r="G49" s="107">
        <v>20978</v>
      </c>
      <c r="H49" s="108">
        <f t="shared" si="3"/>
        <v>572.4899471023602</v>
      </c>
      <c r="I49" s="106">
        <f t="shared" si="6"/>
        <v>1.0121006636720626</v>
      </c>
      <c r="J49" s="106">
        <f t="shared" si="5"/>
        <v>1.1186431887519774</v>
      </c>
      <c r="K49" s="107">
        <f t="shared" si="4"/>
        <v>23749.174920997037</v>
      </c>
      <c r="L49" s="259">
        <f>L15</f>
        <v>119.81030111063517</v>
      </c>
      <c r="M49" s="246" t="s">
        <v>32</v>
      </c>
    </row>
    <row r="50" spans="1:13" ht="13.5">
      <c r="A50" s="246" t="s">
        <v>17</v>
      </c>
      <c r="B50" s="104" t="s">
        <v>29</v>
      </c>
      <c r="C50" s="104" t="s">
        <v>39</v>
      </c>
      <c r="D50" s="104" t="s">
        <v>17</v>
      </c>
      <c r="E50" s="258">
        <v>3970</v>
      </c>
      <c r="F50" s="106">
        <f>G50/E50</f>
        <v>1.053904282115869</v>
      </c>
      <c r="G50" s="107">
        <v>4184</v>
      </c>
      <c r="H50" s="108">
        <f t="shared" si="3"/>
        <v>114.18142523959746</v>
      </c>
      <c r="I50" s="106">
        <f t="shared" si="6"/>
        <v>1.0121006636720626</v>
      </c>
      <c r="J50" s="106">
        <f t="shared" si="5"/>
        <v>1.0666572233762999</v>
      </c>
      <c r="K50" s="107">
        <f t="shared" si="4"/>
        <v>4736.702634638746</v>
      </c>
      <c r="L50" s="259">
        <f>K32</f>
        <v>119.92389950467435</v>
      </c>
      <c r="M50" s="246" t="s">
        <v>17</v>
      </c>
    </row>
    <row r="51" spans="1:13" ht="13.5">
      <c r="A51" s="246" t="s">
        <v>171</v>
      </c>
      <c r="B51" s="104"/>
      <c r="C51" s="104"/>
      <c r="D51" s="104"/>
      <c r="E51" s="258">
        <v>2033.3</v>
      </c>
      <c r="F51" s="106">
        <v>1.0449405342171965</v>
      </c>
      <c r="G51" s="107">
        <f>E51*F51</f>
        <v>2124.6775882238253</v>
      </c>
      <c r="H51" s="108">
        <f t="shared" si="3"/>
        <v>57.98248451195673</v>
      </c>
      <c r="I51" s="106">
        <f t="shared" si="6"/>
        <v>1.0121006636720626</v>
      </c>
      <c r="J51" s="106">
        <f t="shared" si="5"/>
        <v>1.0575850081790643</v>
      </c>
      <c r="K51" s="107">
        <f t="shared" si="4"/>
        <v>2405.3455855396014</v>
      </c>
      <c r="L51" s="259">
        <f>L15</f>
        <v>119.81030111063517</v>
      </c>
      <c r="M51" s="246" t="s">
        <v>171</v>
      </c>
    </row>
    <row r="52" spans="1:13" ht="13.5">
      <c r="A52" s="246" t="s">
        <v>12</v>
      </c>
      <c r="B52" s="104" t="s">
        <v>29</v>
      </c>
      <c r="C52" s="104" t="s">
        <v>39</v>
      </c>
      <c r="D52" s="104"/>
      <c r="E52" s="258">
        <v>6020</v>
      </c>
      <c r="F52" s="106">
        <f aca="true" t="shared" si="7" ref="F52:F59">G52/E52</f>
        <v>1.0579734219269104</v>
      </c>
      <c r="G52" s="107">
        <v>6369</v>
      </c>
      <c r="H52" s="108">
        <f t="shared" si="3"/>
        <v>173.81010930951152</v>
      </c>
      <c r="I52" s="106">
        <f t="shared" si="6"/>
        <v>1.0121006636720626</v>
      </c>
      <c r="J52" s="106">
        <f t="shared" si="5"/>
        <v>1.070775602479629</v>
      </c>
      <c r="K52" s="107">
        <f t="shared" si="4"/>
        <v>7210.339168263425</v>
      </c>
      <c r="L52" s="259">
        <f>L17</f>
        <v>119.92389950467435</v>
      </c>
      <c r="M52" s="246" t="s">
        <v>12</v>
      </c>
    </row>
    <row r="53" spans="1:13" ht="13.5">
      <c r="A53" s="246" t="s">
        <v>13</v>
      </c>
      <c r="B53" s="104" t="s">
        <v>29</v>
      </c>
      <c r="C53" s="104"/>
      <c r="D53" s="104"/>
      <c r="E53" s="258">
        <v>2840</v>
      </c>
      <c r="F53" s="106">
        <f t="shared" si="7"/>
        <v>1.0778169014084507</v>
      </c>
      <c r="G53" s="107">
        <v>3061</v>
      </c>
      <c r="H53" s="108">
        <f t="shared" si="3"/>
        <v>83.53473772906496</v>
      </c>
      <c r="I53" s="106">
        <f t="shared" si="6"/>
        <v>1.0121006636720626</v>
      </c>
      <c r="J53" s="106">
        <f t="shared" si="5"/>
        <v>1.090859201232459</v>
      </c>
      <c r="K53" s="107">
        <f t="shared" si="4"/>
        <v>3465.3553452746646</v>
      </c>
      <c r="L53" s="259">
        <f>L16</f>
        <v>119.92389950467435</v>
      </c>
      <c r="M53" s="246" t="s">
        <v>13</v>
      </c>
    </row>
    <row r="54" spans="1:13" ht="13.5">
      <c r="A54" s="246" t="s">
        <v>9</v>
      </c>
      <c r="B54" s="104" t="s">
        <v>29</v>
      </c>
      <c r="C54" s="104" t="s">
        <v>39</v>
      </c>
      <c r="D54" s="104"/>
      <c r="E54" s="258">
        <v>8360</v>
      </c>
      <c r="F54" s="106">
        <f t="shared" si="7"/>
        <v>1.0623205741626793</v>
      </c>
      <c r="G54" s="107">
        <v>8881</v>
      </c>
      <c r="H54" s="108">
        <f t="shared" si="3"/>
        <v>242.3626284782182</v>
      </c>
      <c r="I54" s="106">
        <f t="shared" si="6"/>
        <v>1.0121006636720626</v>
      </c>
      <c r="J54" s="106">
        <f t="shared" si="5"/>
        <v>1.0751753581425343</v>
      </c>
      <c r="K54" s="107">
        <f t="shared" si="4"/>
        <v>10054.17210760676</v>
      </c>
      <c r="L54" s="259">
        <f>L17</f>
        <v>119.92389950467435</v>
      </c>
      <c r="M54" s="246" t="s">
        <v>9</v>
      </c>
    </row>
    <row r="55" spans="1:13" ht="13.5">
      <c r="A55" s="246" t="s">
        <v>14</v>
      </c>
      <c r="B55" s="104" t="s">
        <v>29</v>
      </c>
      <c r="C55" s="104"/>
      <c r="D55" s="104"/>
      <c r="E55" s="258">
        <v>2770</v>
      </c>
      <c r="F55" s="106">
        <f t="shared" si="7"/>
        <v>1.092057761732852</v>
      </c>
      <c r="G55" s="107">
        <v>3025</v>
      </c>
      <c r="H55" s="108">
        <f t="shared" si="3"/>
        <v>82.55229716772999</v>
      </c>
      <c r="I55" s="106">
        <f t="shared" si="6"/>
        <v>1.0121006636720626</v>
      </c>
      <c r="J55" s="106">
        <f t="shared" si="5"/>
        <v>1.1052723854180466</v>
      </c>
      <c r="K55" s="107">
        <f t="shared" si="4"/>
        <v>3424.599777672611</v>
      </c>
      <c r="L55" s="259">
        <f>L16</f>
        <v>119.92389950467435</v>
      </c>
      <c r="M55" s="246" t="s">
        <v>14</v>
      </c>
    </row>
    <row r="56" spans="1:13" ht="13.5">
      <c r="A56" s="246" t="s">
        <v>15</v>
      </c>
      <c r="B56" s="104" t="s">
        <v>29</v>
      </c>
      <c r="C56" s="104" t="s">
        <v>5</v>
      </c>
      <c r="D56" s="104" t="s">
        <v>15</v>
      </c>
      <c r="E56" s="258">
        <v>6520</v>
      </c>
      <c r="F56" s="106">
        <f t="shared" si="7"/>
        <v>1.0320552147239264</v>
      </c>
      <c r="G56" s="107">
        <v>6729</v>
      </c>
      <c r="H56" s="108">
        <f t="shared" si="3"/>
        <v>183.6345149228612</v>
      </c>
      <c r="I56" s="106">
        <f t="shared" si="6"/>
        <v>1.0121006636720626</v>
      </c>
      <c r="J56" s="106">
        <f t="shared" si="5"/>
        <v>1.044543767768299</v>
      </c>
      <c r="K56" s="107">
        <f t="shared" si="4"/>
        <v>7617.8948442839655</v>
      </c>
      <c r="L56" s="259">
        <f>L19</f>
        <v>119.92389950467435</v>
      </c>
      <c r="M56" s="246" t="s">
        <v>15</v>
      </c>
    </row>
    <row r="57" spans="1:13" ht="13.5">
      <c r="A57" s="246" t="s">
        <v>10</v>
      </c>
      <c r="B57" s="104" t="s">
        <v>29</v>
      </c>
      <c r="C57" s="104"/>
      <c r="D57" s="104" t="s">
        <v>10</v>
      </c>
      <c r="E57" s="258">
        <v>7115</v>
      </c>
      <c r="F57" s="106">
        <f t="shared" si="7"/>
        <v>1.0565003513703444</v>
      </c>
      <c r="G57" s="107">
        <v>7517</v>
      </c>
      <c r="H57" s="108">
        <f t="shared" si="3"/>
        <v>205.13904720985994</v>
      </c>
      <c r="I57" s="106">
        <f t="shared" si="6"/>
        <v>1.0121006636720626</v>
      </c>
      <c r="J57" s="106">
        <f t="shared" si="5"/>
        <v>1.0692847067916929</v>
      </c>
      <c r="K57" s="107">
        <f t="shared" si="4"/>
        <v>8509.98893512893</v>
      </c>
      <c r="L57" s="259">
        <f>L22</f>
        <v>118.17930264172026</v>
      </c>
      <c r="M57" s="246" t="s">
        <v>10</v>
      </c>
    </row>
    <row r="58" spans="1:13" ht="13.5">
      <c r="A58" s="246" t="s">
        <v>8</v>
      </c>
      <c r="B58" s="104" t="s">
        <v>29</v>
      </c>
      <c r="C58" s="104" t="s">
        <v>39</v>
      </c>
      <c r="D58" s="104" t="s">
        <v>8</v>
      </c>
      <c r="E58" s="258">
        <v>10120</v>
      </c>
      <c r="F58" s="106">
        <f t="shared" si="7"/>
        <v>1.034584980237154</v>
      </c>
      <c r="G58" s="107">
        <v>10470</v>
      </c>
      <c r="H58" s="108">
        <f t="shared" si="3"/>
        <v>285.72646325491996</v>
      </c>
      <c r="I58" s="106">
        <f t="shared" si="6"/>
        <v>1.0121006636720626</v>
      </c>
      <c r="J58" s="106">
        <f t="shared" si="5"/>
        <v>1.0471041451231715</v>
      </c>
      <c r="K58" s="107">
        <f t="shared" si="4"/>
        <v>11853.077577597434</v>
      </c>
      <c r="L58" s="259">
        <f>K29</f>
        <v>214.92389950467435</v>
      </c>
      <c r="M58" s="246" t="s">
        <v>8</v>
      </c>
    </row>
    <row r="59" spans="1:13" ht="13.5">
      <c r="A59" s="246" t="s">
        <v>18</v>
      </c>
      <c r="B59" s="104" t="s">
        <v>29</v>
      </c>
      <c r="C59" s="104" t="s">
        <v>39</v>
      </c>
      <c r="D59" s="104"/>
      <c r="E59" s="258">
        <v>400</v>
      </c>
      <c r="F59" s="106">
        <f t="shared" si="7"/>
        <v>1.0325</v>
      </c>
      <c r="G59" s="107">
        <v>413</v>
      </c>
      <c r="H59" s="108">
        <f t="shared" si="3"/>
        <v>11.2707764397595</v>
      </c>
      <c r="I59" s="106">
        <f t="shared" si="6"/>
        <v>1.0121006636720626</v>
      </c>
      <c r="J59" s="106">
        <f>I59*F59</f>
        <v>1.0449939352414046</v>
      </c>
      <c r="K59" s="107">
        <f t="shared" si="4"/>
        <v>467.55692832356635</v>
      </c>
      <c r="L59" s="259">
        <f>L17</f>
        <v>119.92389950467435</v>
      </c>
      <c r="M59" s="246" t="s">
        <v>18</v>
      </c>
    </row>
    <row r="60" spans="1:13" ht="13.5">
      <c r="A60" s="111" t="s">
        <v>82</v>
      </c>
      <c r="B60" s="24"/>
      <c r="C60" s="32"/>
      <c r="D60" s="32"/>
      <c r="E60" s="260">
        <f>SUM(E40:E59)</f>
        <v>142544.8</v>
      </c>
      <c r="F60" s="261"/>
      <c r="G60" s="262">
        <f>SUM(G40:G59)</f>
        <v>151160.6868085793</v>
      </c>
      <c r="H60" s="262">
        <f>SUM(H40:H59)</f>
        <v>4125.177500000001</v>
      </c>
      <c r="I60" s="73"/>
      <c r="J60" s="73"/>
      <c r="K60" s="263">
        <f>SUM(K40:K59)</f>
        <v>171128.87749999994</v>
      </c>
      <c r="L60" s="264"/>
      <c r="M60" s="246"/>
    </row>
    <row r="61" spans="1:13" ht="13.5">
      <c r="A61" s="112" t="s">
        <v>172</v>
      </c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22"/>
    </row>
    <row r="62" spans="1:13" ht="30.75" customHeight="1">
      <c r="A62" s="339" t="s">
        <v>92</v>
      </c>
      <c r="B62" s="339"/>
      <c r="C62" s="339"/>
      <c r="D62" s="339"/>
      <c r="E62" s="339"/>
      <c r="F62" s="339"/>
      <c r="G62" s="339"/>
      <c r="H62" s="339"/>
      <c r="I62" s="339"/>
      <c r="J62" s="339"/>
      <c r="K62" s="339"/>
      <c r="L62" s="339"/>
      <c r="M62" s="22"/>
    </row>
    <row r="63" spans="1:10" ht="12.75">
      <c r="A63" s="9"/>
      <c r="C63" s="5"/>
      <c r="D63" s="5"/>
      <c r="E63" s="8"/>
      <c r="F63" s="5"/>
      <c r="G63" s="5"/>
      <c r="I63" s="5"/>
      <c r="J63" s="5" t="s">
        <v>24</v>
      </c>
    </row>
    <row r="64" spans="1:11" ht="12.75">
      <c r="A64" s="9"/>
      <c r="C64" s="5"/>
      <c r="D64" s="5"/>
      <c r="E64" s="8"/>
      <c r="F64" s="5"/>
      <c r="G64" s="5"/>
      <c r="H64" s="12" t="s">
        <v>24</v>
      </c>
      <c r="I64" s="5"/>
      <c r="J64" s="5"/>
      <c r="K64" s="118"/>
    </row>
    <row r="65" ht="12.75">
      <c r="H65" s="12"/>
    </row>
    <row r="66" spans="1:8" ht="13.5">
      <c r="A66" s="17"/>
      <c r="H66" s="12"/>
    </row>
    <row r="67" ht="12.75">
      <c r="H67" s="12"/>
    </row>
    <row r="77" ht="12.75">
      <c r="B77" s="4" t="s">
        <v>24</v>
      </c>
    </row>
    <row r="78" ht="12.75">
      <c r="B78" s="4" t="s">
        <v>24</v>
      </c>
    </row>
    <row r="79" spans="2:4" ht="12.75">
      <c r="B79" s="4" t="s">
        <v>24</v>
      </c>
      <c r="C79" s="4" t="s">
        <v>24</v>
      </c>
      <c r="D79" s="4" t="s">
        <v>24</v>
      </c>
    </row>
    <row r="80" ht="12.75">
      <c r="B80" s="4" t="s">
        <v>24</v>
      </c>
    </row>
    <row r="81" ht="12.75">
      <c r="B81" s="4" t="s">
        <v>24</v>
      </c>
    </row>
    <row r="82" ht="12.75">
      <c r="B82" s="4" t="s">
        <v>24</v>
      </c>
    </row>
  </sheetData>
  <sheetProtection/>
  <mergeCells count="2">
    <mergeCell ref="A62:L62"/>
    <mergeCell ref="F25:J25"/>
  </mergeCells>
  <printOptions/>
  <pageMargins left="0.45" right="0.45" top="0.5" bottom="0.5" header="0" footer="0"/>
  <pageSetup fitToHeight="1" fitToWidth="1" horizontalDpi="600" verticalDpi="600" orientation="landscape" scale="5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57421875" style="0" customWidth="1"/>
    <col min="2" max="3" width="12.7109375" style="0" customWidth="1"/>
    <col min="4" max="4" width="15.421875" style="0" customWidth="1"/>
    <col min="5" max="6" width="15.7109375" style="0" customWidth="1"/>
    <col min="7" max="7" width="19.140625" style="0" customWidth="1"/>
    <col min="8" max="10" width="15.7109375" style="0" customWidth="1"/>
    <col min="11" max="11" width="17.28125" style="0" bestFit="1" customWidth="1"/>
    <col min="12" max="26" width="15.7109375" style="0" customWidth="1"/>
    <col min="27" max="27" width="17.28125" style="0" customWidth="1"/>
    <col min="28" max="28" width="15.7109375" style="0" customWidth="1"/>
  </cols>
  <sheetData>
    <row r="1" spans="1:25" ht="18">
      <c r="A1" s="124" t="s">
        <v>187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</row>
    <row r="2" spans="1:25" ht="18" thickBot="1">
      <c r="A2" s="1" t="s">
        <v>24</v>
      </c>
      <c r="B2" s="4"/>
      <c r="C2" s="4"/>
      <c r="D2" s="14" t="s">
        <v>24</v>
      </c>
      <c r="E2" s="5" t="s">
        <v>24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</row>
    <row r="3" spans="1:28" ht="15.75" thickBot="1">
      <c r="A3" s="241" t="s">
        <v>77</v>
      </c>
      <c r="B3" s="113"/>
      <c r="C3" s="113"/>
      <c r="D3" s="113"/>
      <c r="E3" s="274" t="s">
        <v>24</v>
      </c>
      <c r="F3" s="275"/>
      <c r="G3" s="22"/>
      <c r="H3" s="125" t="s">
        <v>24</v>
      </c>
      <c r="I3" s="126"/>
      <c r="J3" s="125"/>
      <c r="K3" s="125"/>
      <c r="L3" s="125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125"/>
      <c r="Z3" s="22"/>
      <c r="AA3" s="22"/>
      <c r="AB3" s="22"/>
    </row>
    <row r="4" spans="1:28" ht="110.25">
      <c r="A4" s="127" t="s">
        <v>3</v>
      </c>
      <c r="B4" s="128" t="s">
        <v>78</v>
      </c>
      <c r="C4" s="128" t="s">
        <v>79</v>
      </c>
      <c r="D4" s="128" t="s">
        <v>30</v>
      </c>
      <c r="E4" s="128" t="s">
        <v>118</v>
      </c>
      <c r="F4" s="129" t="s">
        <v>80</v>
      </c>
      <c r="G4" s="130" t="s">
        <v>143</v>
      </c>
      <c r="H4" s="129" t="s">
        <v>88</v>
      </c>
      <c r="I4" s="130" t="s">
        <v>144</v>
      </c>
      <c r="J4" s="220" t="s">
        <v>148</v>
      </c>
      <c r="K4" s="28"/>
      <c r="L4" s="22"/>
      <c r="M4" s="22"/>
      <c r="N4" s="28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</row>
    <row r="5" spans="1:28" ht="13.5">
      <c r="A5" s="132" t="s">
        <v>29</v>
      </c>
      <c r="B5" s="44">
        <f>'BRA Load Pricing Results'!B16</f>
        <v>68662.94251756083</v>
      </c>
      <c r="C5" s="44">
        <f>'BRA Resource Clearing Results'!E29</f>
        <v>68363.9</v>
      </c>
      <c r="D5" s="51">
        <f>'BRA Load Pricing Results'!H40+'BRA Load Pricing Results'!H44+'BRA Load Pricing Results'!H50+'BRA Load Pricing Results'!H52+'BRA Load Pricing Results'!H53+'BRA Load Pricing Results'!H54+'BRA Load Pricing Results'!H55+'BRA Load Pricing Results'!H56+'BRA Load Pricing Results'!H57+'BRA Load Pricing Results'!H58+'BRA Load Pricing Results'!H59</f>
        <v>1655.166735709088</v>
      </c>
      <c r="E5" s="272">
        <f>IF(B5-C5-D5&lt;0,0,B5-C5-D5)</f>
        <v>0</v>
      </c>
      <c r="F5" s="134">
        <f>'BRA Resource Clearing Results'!B94</f>
        <v>0</v>
      </c>
      <c r="G5" s="134">
        <f aca="true" t="shared" si="0" ref="G5:G14">E5-F5</f>
        <v>0</v>
      </c>
      <c r="H5" s="134">
        <f>'BRA ICTRs'!C20</f>
        <v>0</v>
      </c>
      <c r="I5" s="134">
        <f>'BRA ICTRs'!C12+'BRA ICTRs'!C18</f>
        <v>0</v>
      </c>
      <c r="J5" s="222">
        <f>G5-H5-I5</f>
        <v>0</v>
      </c>
      <c r="K5" s="244"/>
      <c r="L5" s="22"/>
      <c r="M5" s="22"/>
      <c r="N5" s="36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</row>
    <row r="6" spans="1:28" ht="13.5">
      <c r="A6" s="132" t="s">
        <v>39</v>
      </c>
      <c r="B6" s="44">
        <f>'BRA Load Pricing Results'!B17</f>
        <v>37435.12094158685</v>
      </c>
      <c r="C6" s="44">
        <f>'BRA Resource Clearing Results'!E30</f>
        <v>32210.9</v>
      </c>
      <c r="D6" s="51">
        <f>'BRA Load Pricing Results'!H40+'BRA Load Pricing Results'!H50+'BRA Load Pricing Results'!H52+'BRA Load Pricing Results'!H54+'BRA Load Pricing Results'!H58+'BRA Load Pricing Results'!H59</f>
        <v>902.3989456017612</v>
      </c>
      <c r="E6" s="133">
        <f>B6-C6-D6</f>
        <v>4321.8219959850885</v>
      </c>
      <c r="F6" s="134">
        <f>'BRA Resource Clearing Results'!B95</f>
        <v>0</v>
      </c>
      <c r="G6" s="51">
        <f t="shared" si="0"/>
        <v>4321.8219959850885</v>
      </c>
      <c r="H6" s="134">
        <v>0</v>
      </c>
      <c r="I6" s="51">
        <f>'BRA ICTRs'!D12+'BRA ICTRs'!D18</f>
        <v>898</v>
      </c>
      <c r="J6" s="221">
        <f>G6-H6-I6</f>
        <v>3423.8219959850885</v>
      </c>
      <c r="K6" s="244"/>
      <c r="L6" s="22"/>
      <c r="M6" s="22"/>
      <c r="N6" s="36" t="s">
        <v>24</v>
      </c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</row>
    <row r="7" spans="1:28" ht="13.5">
      <c r="A7" s="132" t="s">
        <v>5</v>
      </c>
      <c r="B7" s="44">
        <f>'BRA Load Pricing Results'!B18</f>
        <v>15827.877517897774</v>
      </c>
      <c r="C7" s="44">
        <f>'BRA Resource Clearing Results'!E31</f>
        <v>11693.400000000001</v>
      </c>
      <c r="D7" s="51">
        <f>'BRA Load Pricing Results'!H44+'BRA Load Pricing Results'!H56</f>
        <v>381.5417080006721</v>
      </c>
      <c r="E7" s="133">
        <f>B7-C7-D7</f>
        <v>3752.9358098971006</v>
      </c>
      <c r="F7" s="134">
        <f>'BRA Resource Clearing Results'!B96</f>
        <v>0</v>
      </c>
      <c r="G7" s="51">
        <f t="shared" si="0"/>
        <v>3752.9358098971006</v>
      </c>
      <c r="H7" s="134">
        <f>'BRA ICTRs'!E23</f>
        <v>0</v>
      </c>
      <c r="I7" s="51">
        <f>'BRA ICTRs'!E12+'BRA ICTRs'!E18</f>
        <v>237</v>
      </c>
      <c r="J7" s="221">
        <f>G7-H7-I7</f>
        <v>3515.9358098971006</v>
      </c>
      <c r="K7" s="244"/>
      <c r="L7" s="22"/>
      <c r="M7" s="22"/>
      <c r="N7" s="36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</row>
    <row r="8" spans="1:28" ht="13.5">
      <c r="A8" s="132" t="s">
        <v>46</v>
      </c>
      <c r="B8" s="44">
        <f>'BRA Load Pricing Results'!K58</f>
        <v>11853.077577597434</v>
      </c>
      <c r="C8" s="44">
        <f>'BRA Load Pricing Results'!C29</f>
        <v>6110.7</v>
      </c>
      <c r="D8" s="51">
        <f>'BRA Load Pricing Results'!H58</f>
        <v>285.72646325491996</v>
      </c>
      <c r="E8" s="133">
        <f>B8-C8-D8-2</f>
        <v>5454.651114342514</v>
      </c>
      <c r="F8" s="134">
        <f>IF('BRA Resource Clearing Results'!D97+'BRA Resource Clearing Results'!D98=0,0,('BRA Resource Clearing Results'!D97+'BRA Resource Clearing Results'!D98)/'BRA Load Pricing Results'!D29)</f>
        <v>0</v>
      </c>
      <c r="G8" s="51">
        <f t="shared" si="0"/>
        <v>5454.651114342514</v>
      </c>
      <c r="H8" s="134">
        <v>0</v>
      </c>
      <c r="I8" s="51">
        <f>('BRA ICTRs'!C97+'BRA ICTRs'!C98)/L19</f>
        <v>499.4</v>
      </c>
      <c r="J8" s="221">
        <f>G8-H8-I8</f>
        <v>4955.2511143425145</v>
      </c>
      <c r="K8" s="244"/>
      <c r="L8" s="22"/>
      <c r="M8" s="22"/>
      <c r="N8" s="36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</row>
    <row r="9" spans="1:28" ht="13.5">
      <c r="A9" s="132" t="s">
        <v>44</v>
      </c>
      <c r="B9" s="44">
        <f>'BRA Load Pricing Results'!K50</f>
        <v>4736.702634638746</v>
      </c>
      <c r="C9" s="44">
        <f>'BRA Load Pricing Results'!C32</f>
        <v>5612.999999999999</v>
      </c>
      <c r="D9" s="51">
        <f>'BRA Load Pricing Results'!H50</f>
        <v>114.18142523959746</v>
      </c>
      <c r="E9" s="272">
        <f>IF(B9-C9-D9&lt;0,0,B9-C9-D9)</f>
        <v>0</v>
      </c>
      <c r="F9" s="134">
        <f>IF('BRA Resource Clearing Results'!D99=0,0,('BRA Resource Clearing Results'!D99/'BRA Load Pricing Results'!D32))</f>
        <v>0</v>
      </c>
      <c r="G9" s="134">
        <f t="shared" si="0"/>
        <v>0</v>
      </c>
      <c r="H9" s="134">
        <f>'BRA ICTRs'!I21+'BRA ICTRs'!I22</f>
        <v>0</v>
      </c>
      <c r="I9" s="135">
        <f>'BRA ICTRs'!I12+'BRA ICTRs'!I18</f>
        <v>0</v>
      </c>
      <c r="J9" s="222">
        <f>MAX(G9-H9-I9,0)</f>
        <v>0</v>
      </c>
      <c r="K9" s="244"/>
      <c r="L9" s="22"/>
      <c r="M9" s="22"/>
      <c r="N9" s="36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</row>
    <row r="10" spans="1:28" ht="13.5">
      <c r="A10" s="132" t="s">
        <v>15</v>
      </c>
      <c r="B10" s="44">
        <f>'BRA Load Pricing Results'!B19</f>
        <v>7617.8948442839655</v>
      </c>
      <c r="C10" s="44">
        <f>'BRA Resource Clearing Results'!E35</f>
        <v>5937.8</v>
      </c>
      <c r="D10" s="51">
        <f>'BRA Load Pricing Results'!H56</f>
        <v>183.6345149228612</v>
      </c>
      <c r="E10" s="133">
        <f>B10-C10-D10</f>
        <v>1496.4603293611042</v>
      </c>
      <c r="F10" s="134">
        <f>'BRA Resource Clearing Results'!B100</f>
        <v>0</v>
      </c>
      <c r="G10" s="51">
        <f t="shared" si="0"/>
        <v>1496.4603293611042</v>
      </c>
      <c r="H10" s="134">
        <f>'BRA ICTRs'!J23</f>
        <v>0</v>
      </c>
      <c r="I10" s="134">
        <f>'BRA ICTRs'!J12+'BRA ICTRs'!J18</f>
        <v>0</v>
      </c>
      <c r="J10" s="221">
        <f>G10-H10-I10</f>
        <v>1496.4603293611042</v>
      </c>
      <c r="K10" s="244"/>
      <c r="L10" s="22"/>
      <c r="M10" s="22"/>
      <c r="N10" s="36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</row>
    <row r="11" spans="1:28" ht="13.5">
      <c r="A11" s="132" t="s">
        <v>161</v>
      </c>
      <c r="B11" s="44">
        <f>'BRA Load Pricing Results'!K43</f>
        <v>14811.252526046535</v>
      </c>
      <c r="C11" s="44">
        <f>'BRA Load Pricing Results'!C35</f>
        <v>8977.300000000001</v>
      </c>
      <c r="D11" s="51">
        <f>'BRA Load Pricing Results'!H43</f>
        <v>357.03527399848315</v>
      </c>
      <c r="E11" s="133">
        <f>B11-C11-D11</f>
        <v>5476.9172520480515</v>
      </c>
      <c r="F11" s="134">
        <f>IF('BRA Resource Clearing Results'!D101+'BRA Resource Clearing Results'!D102=0,0,('BRA Resource Clearing Results'!D101+'BRA Resource Clearing Results'!D102)/'BRA Load Pricing Results'!D35)</f>
        <v>0</v>
      </c>
      <c r="G11" s="51">
        <f t="shared" si="0"/>
        <v>5476.9172520480515</v>
      </c>
      <c r="H11" s="134">
        <v>0</v>
      </c>
      <c r="I11" s="134">
        <v>0</v>
      </c>
      <c r="J11" s="221">
        <f>G11-H11-I11</f>
        <v>5476.9172520480515</v>
      </c>
      <c r="K11" s="244"/>
      <c r="L11" s="22"/>
      <c r="M11" s="22"/>
      <c r="N11" s="36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</row>
    <row r="12" spans="1:28" ht="13.5">
      <c r="A12" s="136" t="s">
        <v>20</v>
      </c>
      <c r="B12" s="44">
        <f>'BRA Load Pricing Results'!K45</f>
        <v>26115.82457357292</v>
      </c>
      <c r="C12" s="137">
        <f>'BRA Resource Clearing Results'!E38</f>
        <v>22551.000000000007</v>
      </c>
      <c r="D12" s="51">
        <f>'BRA Load Pricing Results'!H45</f>
        <v>629.539639940957</v>
      </c>
      <c r="E12" s="133">
        <f>B12-C12-D12</f>
        <v>2935.2849336319573</v>
      </c>
      <c r="F12" s="134">
        <f>'BRA Resource Clearing Results'!B103</f>
        <v>0</v>
      </c>
      <c r="G12" s="51">
        <f t="shared" si="0"/>
        <v>2935.2849336319573</v>
      </c>
      <c r="H12" s="134">
        <v>0</v>
      </c>
      <c r="I12" s="134">
        <v>0</v>
      </c>
      <c r="J12" s="221">
        <f>G12-H12-I12</f>
        <v>2935.2849336319573</v>
      </c>
      <c r="K12" s="244"/>
      <c r="L12" s="22"/>
      <c r="M12" s="22"/>
      <c r="N12" s="36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</row>
    <row r="13" spans="1:28" ht="13.5">
      <c r="A13" s="136" t="s">
        <v>11</v>
      </c>
      <c r="B13" s="44">
        <f>'BRA Load Pricing Results'!K44</f>
        <v>8209.98267361381</v>
      </c>
      <c r="C13" s="137">
        <f>'BRA Resource Clearing Results'!E39</f>
        <v>3351.2999999999997</v>
      </c>
      <c r="D13" s="51">
        <f>'BRA Load Pricing Results'!H44</f>
        <v>197.90719307781086</v>
      </c>
      <c r="E13" s="133">
        <f>B13-C13-D13</f>
        <v>4660.775480535999</v>
      </c>
      <c r="F13" s="134">
        <f>'BRA Resource Clearing Results'!B104</f>
        <v>0</v>
      </c>
      <c r="G13" s="51">
        <f t="shared" si="0"/>
        <v>4660.775480535999</v>
      </c>
      <c r="H13" s="134">
        <v>0</v>
      </c>
      <c r="I13" s="134">
        <f>'BRA ICTRs'!K12+'BRA ICTRs'!K18</f>
        <v>182</v>
      </c>
      <c r="J13" s="221">
        <f>G13-H13-I13</f>
        <v>4478.775480535999</v>
      </c>
      <c r="K13" s="244"/>
      <c r="L13" s="22"/>
      <c r="M13" s="22"/>
      <c r="N13" s="36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</row>
    <row r="14" spans="1:28" ht="14.25" thickBot="1">
      <c r="A14" s="138" t="s">
        <v>10</v>
      </c>
      <c r="B14" s="139">
        <f>'BRA Load Pricing Results'!K57</f>
        <v>8509.98893512893</v>
      </c>
      <c r="C14" s="140">
        <f>'BRA Resource Clearing Results'!E40</f>
        <v>9348.499999999998</v>
      </c>
      <c r="D14" s="141">
        <f>'BRA Load Pricing Results'!H57</f>
        <v>205.13904720985994</v>
      </c>
      <c r="E14" s="273">
        <f>IF(B14-C14-D14&lt;0,0,B14-C14-D14)</f>
        <v>0</v>
      </c>
      <c r="F14" s="142">
        <f>'BRA Resource Clearing Results'!B105</f>
        <v>0</v>
      </c>
      <c r="G14" s="142">
        <f t="shared" si="0"/>
        <v>0</v>
      </c>
      <c r="H14" s="142">
        <v>0</v>
      </c>
      <c r="I14" s="142">
        <v>0</v>
      </c>
      <c r="J14" s="223">
        <f>G14-H14-I14</f>
        <v>0</v>
      </c>
      <c r="K14" s="244"/>
      <c r="L14" s="22"/>
      <c r="M14" s="22"/>
      <c r="N14" s="36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</row>
    <row r="15" spans="1:28" ht="13.5">
      <c r="A15" s="143" t="s">
        <v>24</v>
      </c>
      <c r="B15" s="32"/>
      <c r="C15" s="32"/>
      <c r="D15" s="58"/>
      <c r="E15" s="32" t="s">
        <v>119</v>
      </c>
      <c r="F15" s="58"/>
      <c r="G15" s="59"/>
      <c r="H15" s="84"/>
      <c r="I15" s="59"/>
      <c r="J15" s="39"/>
      <c r="K15" s="144"/>
      <c r="L15" s="22"/>
      <c r="M15" s="22"/>
      <c r="N15" s="36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</row>
    <row r="16" spans="1:28" ht="12.75" customHeight="1" thickBot="1">
      <c r="A16" s="143"/>
      <c r="B16" s="32"/>
      <c r="C16" s="32"/>
      <c r="D16" s="58"/>
      <c r="E16" s="145"/>
      <c r="F16" s="58"/>
      <c r="G16" s="59"/>
      <c r="H16" s="84"/>
      <c r="I16" s="59"/>
      <c r="J16" s="39"/>
      <c r="K16" s="144"/>
      <c r="L16" s="22"/>
      <c r="M16" s="22"/>
      <c r="N16" s="36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</row>
    <row r="17" spans="1:28" ht="15" customHeight="1" thickBot="1">
      <c r="A17" s="343" t="s">
        <v>106</v>
      </c>
      <c r="B17" s="344"/>
      <c r="C17" s="344"/>
      <c r="D17" s="345"/>
      <c r="E17" s="146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</row>
    <row r="18" spans="1:28" ht="13.5">
      <c r="A18" s="346"/>
      <c r="B18" s="347"/>
      <c r="C18" s="347"/>
      <c r="D18" s="348"/>
      <c r="E18" s="341" t="s">
        <v>29</v>
      </c>
      <c r="F18" s="342"/>
      <c r="G18" s="341" t="s">
        <v>39</v>
      </c>
      <c r="H18" s="342"/>
      <c r="I18" s="341" t="s">
        <v>5</v>
      </c>
      <c r="J18" s="342"/>
      <c r="K18" s="341" t="s">
        <v>46</v>
      </c>
      <c r="L18" s="342"/>
      <c r="M18" s="341" t="s">
        <v>44</v>
      </c>
      <c r="N18" s="342"/>
      <c r="O18" s="341" t="s">
        <v>15</v>
      </c>
      <c r="P18" s="342"/>
      <c r="Q18" s="341" t="s">
        <v>161</v>
      </c>
      <c r="R18" s="342"/>
      <c r="S18" s="341" t="s">
        <v>20</v>
      </c>
      <c r="T18" s="342"/>
      <c r="U18" s="341" t="s">
        <v>11</v>
      </c>
      <c r="V18" s="342"/>
      <c r="W18" s="341" t="s">
        <v>10</v>
      </c>
      <c r="X18" s="342"/>
      <c r="Y18" s="22"/>
      <c r="Z18" s="22"/>
      <c r="AA18" s="22"/>
      <c r="AB18" s="22"/>
    </row>
    <row r="19" spans="1:28" ht="30.75" customHeight="1" thickBot="1">
      <c r="A19" s="349"/>
      <c r="B19" s="350"/>
      <c r="C19" s="350"/>
      <c r="D19" s="351"/>
      <c r="E19" s="162" t="s">
        <v>47</v>
      </c>
      <c r="F19" s="147">
        <f>'BRA Resource Clearing Results'!C6</f>
        <v>0</v>
      </c>
      <c r="G19" s="162" t="s">
        <v>47</v>
      </c>
      <c r="H19" s="147">
        <f>'BRA Resource Clearing Results'!C7</f>
        <v>0</v>
      </c>
      <c r="I19" s="162" t="s">
        <v>47</v>
      </c>
      <c r="J19" s="147">
        <f>'BRA Resource Clearing Results'!C8</f>
        <v>0</v>
      </c>
      <c r="K19" s="162" t="s">
        <v>47</v>
      </c>
      <c r="L19" s="147">
        <f>'BRA Load Pricing Results'!D29</f>
        <v>95</v>
      </c>
      <c r="M19" s="162" t="s">
        <v>47</v>
      </c>
      <c r="N19" s="163">
        <f>'BRA Load Pricing Results'!D32</f>
        <v>0</v>
      </c>
      <c r="O19" s="162" t="s">
        <v>47</v>
      </c>
      <c r="P19" s="163">
        <f>'BRA Resource Clearing Results'!C12</f>
        <v>0</v>
      </c>
      <c r="Q19" s="162" t="s">
        <v>47</v>
      </c>
      <c r="R19" s="163">
        <f>'BRA Load Pricing Results'!D35</f>
        <v>0</v>
      </c>
      <c r="S19" s="162" t="s">
        <v>47</v>
      </c>
      <c r="T19" s="163">
        <f>'BRA Resource Clearing Results'!C15</f>
        <v>0</v>
      </c>
      <c r="U19" s="162" t="s">
        <v>47</v>
      </c>
      <c r="V19" s="163">
        <f>'BRA Resource Clearing Results'!C16</f>
        <v>0</v>
      </c>
      <c r="W19" s="162" t="s">
        <v>47</v>
      </c>
      <c r="X19" s="163">
        <f>'BRA Resource Clearing Results'!C17</f>
        <v>0</v>
      </c>
      <c r="Y19" s="22"/>
      <c r="Z19" s="22"/>
      <c r="AA19" s="22"/>
      <c r="AB19" s="125"/>
    </row>
    <row r="20" spans="1:29" ht="69">
      <c r="A20" s="101" t="s">
        <v>7</v>
      </c>
      <c r="B20" s="102" t="s">
        <v>28</v>
      </c>
      <c r="C20" s="102" t="s">
        <v>27</v>
      </c>
      <c r="D20" s="103" t="s">
        <v>34</v>
      </c>
      <c r="E20" s="101" t="s">
        <v>94</v>
      </c>
      <c r="F20" s="103" t="s">
        <v>107</v>
      </c>
      <c r="G20" s="101" t="s">
        <v>95</v>
      </c>
      <c r="H20" s="103" t="s">
        <v>107</v>
      </c>
      <c r="I20" s="101" t="s">
        <v>94</v>
      </c>
      <c r="J20" s="103" t="s">
        <v>107</v>
      </c>
      <c r="K20" s="101" t="s">
        <v>96</v>
      </c>
      <c r="L20" s="103" t="s">
        <v>107</v>
      </c>
      <c r="M20" s="101" t="s">
        <v>97</v>
      </c>
      <c r="N20" s="103" t="s">
        <v>107</v>
      </c>
      <c r="O20" s="101" t="s">
        <v>94</v>
      </c>
      <c r="P20" s="103" t="s">
        <v>107</v>
      </c>
      <c r="Q20" s="101" t="s">
        <v>94</v>
      </c>
      <c r="R20" s="103" t="s">
        <v>107</v>
      </c>
      <c r="S20" s="101" t="s">
        <v>94</v>
      </c>
      <c r="T20" s="103" t="s">
        <v>107</v>
      </c>
      <c r="U20" s="101" t="s">
        <v>94</v>
      </c>
      <c r="V20" s="103" t="s">
        <v>107</v>
      </c>
      <c r="W20" s="101" t="s">
        <v>94</v>
      </c>
      <c r="X20" s="103" t="s">
        <v>107</v>
      </c>
      <c r="Y20" s="101" t="s">
        <v>102</v>
      </c>
      <c r="Z20" s="102" t="s">
        <v>108</v>
      </c>
      <c r="AA20" s="224" t="s">
        <v>56</v>
      </c>
      <c r="AB20" s="225" t="s">
        <v>103</v>
      </c>
      <c r="AC20" s="10"/>
    </row>
    <row r="21" spans="1:30" ht="13.5">
      <c r="A21" s="56" t="s">
        <v>16</v>
      </c>
      <c r="B21" s="104" t="s">
        <v>29</v>
      </c>
      <c r="C21" s="104" t="s">
        <v>39</v>
      </c>
      <c r="D21" s="105"/>
      <c r="E21" s="148">
        <f>IF(B21="MAAC",$J$5*'BRA Load Pricing Results'!K40/'BRA Load Pricing Results'!$B$16,0)</f>
        <v>0</v>
      </c>
      <c r="F21" s="149">
        <f>E21*$F$19</f>
        <v>0</v>
      </c>
      <c r="G21" s="148">
        <f>IF(C21="EMAAC",$J$6*'BRA Load Pricing Results'!K40/'BRA Load Pricing Results'!$B$17,0)</f>
        <v>284.7403903879697</v>
      </c>
      <c r="H21" s="149">
        <f>G21*$H$19</f>
        <v>0</v>
      </c>
      <c r="I21" s="148">
        <f>IF(C21="SWMAAC",$J$7*'BRA Load Pricing Results'!K40/'BRA Load Pricing Results'!$B$18,0)</f>
        <v>0</v>
      </c>
      <c r="J21" s="149">
        <f>I21*$J$19</f>
        <v>0</v>
      </c>
      <c r="K21" s="148">
        <f>IF(D21="PS",$J$8*'BRA Load Pricing Results'!K40/'BRA Load Pricing Results'!$K$58,0)</f>
        <v>0</v>
      </c>
      <c r="L21" s="149">
        <f>K21*$L$19</f>
        <v>0</v>
      </c>
      <c r="M21" s="148">
        <f>IF(D21="DPL",$J$9*'BRA Load Pricing Results'!K40/'BRA Load Pricing Results'!$K$50,0)</f>
        <v>0</v>
      </c>
      <c r="N21" s="149">
        <f>M21*$N$19</f>
        <v>0</v>
      </c>
      <c r="O21" s="148">
        <f>IF(D21="PEPCO",$J$10*'BRA Load Pricing Results'!K40/'BRA Load Pricing Results'!$K$56,0)</f>
        <v>0</v>
      </c>
      <c r="P21" s="149">
        <f>O21*$P$19</f>
        <v>0</v>
      </c>
      <c r="Q21" s="148">
        <f>IF(D21="ATSI",$J$11*'BRA Load Pricing Results'!K40/'BRA Load Pricing Results'!$K$43,0)</f>
        <v>0</v>
      </c>
      <c r="R21" s="149">
        <f>Q21*$R$19</f>
        <v>0</v>
      </c>
      <c r="S21" s="148">
        <f>IF(D21="COMED",$J$12*'BRA Load Pricing Results'!K40/'BRA Load Pricing Results'!$K$45,0)</f>
        <v>0</v>
      </c>
      <c r="T21" s="149">
        <f>S21*$T$19</f>
        <v>0</v>
      </c>
      <c r="U21" s="148">
        <f>IF(D21="BGE",$J$13*'BRA Load Pricing Results'!K40/'BRA Load Pricing Results'!$K$44,0)</f>
        <v>0</v>
      </c>
      <c r="V21" s="149">
        <f>U21*$V$19</f>
        <v>0</v>
      </c>
      <c r="W21" s="148">
        <f>IF(D21="PL",$J$14*'BRA Load Pricing Results'!K40/'BRA Load Pricing Results'!$K$57,0)</f>
        <v>0</v>
      </c>
      <c r="X21" s="149">
        <f aca="true" t="shared" si="1" ref="X21:X37">W21*$X$19</f>
        <v>0</v>
      </c>
      <c r="Y21" s="150">
        <f>MAX(E21,G21,I21,K21,M21,O21,Q21+S21+U21+W21)</f>
        <v>284.7403903879697</v>
      </c>
      <c r="Z21" s="31">
        <f>F21+H21+J21+L21+N21+P21+R21+T21+V21+X21</f>
        <v>0</v>
      </c>
      <c r="AA21" s="214">
        <f>Z21/'BRA Load Pricing Results'!K40</f>
        <v>0</v>
      </c>
      <c r="AB21" s="226">
        <f>IF(Y21=0,0,Z21/Y21)</f>
        <v>0</v>
      </c>
      <c r="AC21" s="32"/>
      <c r="AD21" s="24"/>
    </row>
    <row r="22" spans="1:30" ht="13.5">
      <c r="A22" s="56" t="s">
        <v>31</v>
      </c>
      <c r="B22" s="104"/>
      <c r="C22" s="104"/>
      <c r="D22" s="105"/>
      <c r="E22" s="148">
        <f>IF(B22="MAAC",$J$5*'BRA Load Pricing Results'!K41/'BRA Load Pricing Results'!$B$16,0)</f>
        <v>0</v>
      </c>
      <c r="F22" s="149">
        <f aca="true" t="shared" si="2" ref="F22:F30">E22*$F$19</f>
        <v>0</v>
      </c>
      <c r="G22" s="148">
        <f>IF(C22="EMAAC",$J$6*'BRA Load Pricing Results'!K41/'BRA Load Pricing Results'!$B$17,0)</f>
        <v>0</v>
      </c>
      <c r="H22" s="149">
        <f>G22*$H$19</f>
        <v>0</v>
      </c>
      <c r="I22" s="148">
        <f>IF(C22="SWMAAC",$J$7*'BRA Load Pricing Results'!K41/'BRA Load Pricing Results'!$B$18,0)</f>
        <v>0</v>
      </c>
      <c r="J22" s="149">
        <f>I22*$J$19</f>
        <v>0</v>
      </c>
      <c r="K22" s="148">
        <f>IF(D22="PS",$J$8*'BRA Load Pricing Results'!K41/'BRA Load Pricing Results'!$K$58,0)</f>
        <v>0</v>
      </c>
      <c r="L22" s="149">
        <f>K22*$L$19</f>
        <v>0</v>
      </c>
      <c r="M22" s="148">
        <f>IF(D22="DPL",$J$9*'BRA Load Pricing Results'!K41/'BRA Load Pricing Results'!$K$50,0)</f>
        <v>0</v>
      </c>
      <c r="N22" s="149">
        <f aca="true" t="shared" si="3" ref="N22:N36">M22*$N$19</f>
        <v>0</v>
      </c>
      <c r="O22" s="148">
        <f>IF(D22="PEPCO",$J$10*'BRA Load Pricing Results'!K41/'BRA Load Pricing Results'!$K$56,0)</f>
        <v>0</v>
      </c>
      <c r="P22" s="149">
        <f>O22*$P$19</f>
        <v>0</v>
      </c>
      <c r="Q22" s="148">
        <f>IF(D22="ATSI",$J$11*'BRA Load Pricing Results'!K41/'BRA Load Pricing Results'!$K$43,0)</f>
        <v>0</v>
      </c>
      <c r="R22" s="149">
        <f aca="true" t="shared" si="4" ref="R22:R40">Q22*$R$19</f>
        <v>0</v>
      </c>
      <c r="S22" s="148">
        <f>IF(D22="COMED",$J$12*'BRA Load Pricing Results'!K41/'BRA Load Pricing Results'!$K$45,0)</f>
        <v>0</v>
      </c>
      <c r="T22" s="149">
        <f aca="true" t="shared" si="5" ref="T22:T40">S22*$T$19</f>
        <v>0</v>
      </c>
      <c r="U22" s="148">
        <f>IF(D22="BGE",$J$13*'BRA Load Pricing Results'!K41/'BRA Load Pricing Results'!$K$44,0)</f>
        <v>0</v>
      </c>
      <c r="V22" s="149">
        <f>U22*$V$19</f>
        <v>0</v>
      </c>
      <c r="W22" s="148">
        <f>IF(D22="PL",$J$14*'BRA Load Pricing Results'!K41/'BRA Load Pricing Results'!$K$57,0)</f>
        <v>0</v>
      </c>
      <c r="X22" s="149">
        <f t="shared" si="1"/>
        <v>0</v>
      </c>
      <c r="Y22" s="150">
        <f aca="true" t="shared" si="6" ref="Y22:Y40">MAX(E22,G22,I22,K22,M22,O22,Q22+S22+U22+W22)</f>
        <v>0</v>
      </c>
      <c r="Z22" s="31">
        <f aca="true" t="shared" si="7" ref="Z22:Z39">F22+H22+J22+L22+N22+P22+R22+T22+V22+X22</f>
        <v>0</v>
      </c>
      <c r="AA22" s="214">
        <f>Z22/'BRA Load Pricing Results'!K41</f>
        <v>0</v>
      </c>
      <c r="AB22" s="226">
        <f>IF(Y22=0,0,Z22/Y22)</f>
        <v>0</v>
      </c>
      <c r="AC22" s="32"/>
      <c r="AD22" s="24"/>
    </row>
    <row r="23" spans="1:30" ht="13.5">
      <c r="A23" s="56" t="s">
        <v>19</v>
      </c>
      <c r="B23" s="104" t="s">
        <v>24</v>
      </c>
      <c r="C23" s="104"/>
      <c r="D23" s="105"/>
      <c r="E23" s="148">
        <f>IF(B23="MAAC",$J$5*'BRA Load Pricing Results'!K42/'BRA Load Pricing Results'!$B$16,0)</f>
        <v>0</v>
      </c>
      <c r="F23" s="149">
        <f t="shared" si="2"/>
        <v>0</v>
      </c>
      <c r="G23" s="148">
        <f>IF(C23="EMAAC",$J$6*'BRA Load Pricing Results'!K42/'BRA Load Pricing Results'!$B$17,0)</f>
        <v>0</v>
      </c>
      <c r="H23" s="149">
        <f>G23*$H$19</f>
        <v>0</v>
      </c>
      <c r="I23" s="148">
        <f>IF(C23="SWMAAC",$J$7*'BRA Load Pricing Results'!K42/'BRA Load Pricing Results'!$B$18,0)</f>
        <v>0</v>
      </c>
      <c r="J23" s="149">
        <f aca="true" t="shared" si="8" ref="J23:J40">I23*$J$19</f>
        <v>0</v>
      </c>
      <c r="K23" s="148">
        <f>IF(D23="PS",$J$8*'BRA Load Pricing Results'!K42/'BRA Load Pricing Results'!$K$58,0)</f>
        <v>0</v>
      </c>
      <c r="L23" s="149">
        <f>K23*$L$19</f>
        <v>0</v>
      </c>
      <c r="M23" s="148">
        <f>IF(D23="DPL",$J$9*'BRA Load Pricing Results'!K42/'BRA Load Pricing Results'!$K$50,0)</f>
        <v>0</v>
      </c>
      <c r="N23" s="149">
        <f t="shared" si="3"/>
        <v>0</v>
      </c>
      <c r="O23" s="148">
        <f>IF(D23="PEPCO",$J$10*'BRA Load Pricing Results'!K42/'BRA Load Pricing Results'!$K$56,0)</f>
        <v>0</v>
      </c>
      <c r="P23" s="149">
        <f>O23*$P$19</f>
        <v>0</v>
      </c>
      <c r="Q23" s="148">
        <f>IF(D23="ATSI",$J$11*'BRA Load Pricing Results'!K42/'BRA Load Pricing Results'!$K$43,0)</f>
        <v>0</v>
      </c>
      <c r="R23" s="149">
        <f t="shared" si="4"/>
        <v>0</v>
      </c>
      <c r="S23" s="148">
        <f>IF(D23="COMED",$J$12*'BRA Load Pricing Results'!K42/'BRA Load Pricing Results'!$K$45,0)</f>
        <v>0</v>
      </c>
      <c r="T23" s="149">
        <f t="shared" si="5"/>
        <v>0</v>
      </c>
      <c r="U23" s="148">
        <f>IF(D23="BGE",$J$13*'BRA Load Pricing Results'!K42/'BRA Load Pricing Results'!$K$44,0)</f>
        <v>0</v>
      </c>
      <c r="V23" s="149">
        <f>U23*$V$19</f>
        <v>0</v>
      </c>
      <c r="W23" s="148">
        <f>IF(D23="PL",$J$14*'BRA Load Pricing Results'!K42/'BRA Load Pricing Results'!$K$57,0)</f>
        <v>0</v>
      </c>
      <c r="X23" s="149">
        <f t="shared" si="1"/>
        <v>0</v>
      </c>
      <c r="Y23" s="150">
        <f t="shared" si="6"/>
        <v>0</v>
      </c>
      <c r="Z23" s="31">
        <f t="shared" si="7"/>
        <v>0</v>
      </c>
      <c r="AA23" s="214">
        <f>Z23/'BRA Load Pricing Results'!K42</f>
        <v>0</v>
      </c>
      <c r="AB23" s="226">
        <f>IF(Y23=0,0,Z23/Y23)</f>
        <v>0</v>
      </c>
      <c r="AC23" s="32"/>
      <c r="AD23" s="24"/>
    </row>
    <row r="24" spans="1:30" ht="13.5">
      <c r="A24" s="56" t="s">
        <v>49</v>
      </c>
      <c r="B24" s="104"/>
      <c r="C24" s="104"/>
      <c r="D24" s="105" t="s">
        <v>49</v>
      </c>
      <c r="E24" s="148">
        <f>IF(B24="MAAC",$J$5*'BRA Load Pricing Results'!K43/'BRA Load Pricing Results'!$B$16,0)</f>
        <v>0</v>
      </c>
      <c r="F24" s="149">
        <f t="shared" si="2"/>
        <v>0</v>
      </c>
      <c r="G24" s="148">
        <f>IF(C24="EMAAC",$J$6*'BRA Load Pricing Results'!K43/'BRA Load Pricing Results'!$B$17,0)</f>
        <v>0</v>
      </c>
      <c r="H24" s="149">
        <f>G24*$H$19</f>
        <v>0</v>
      </c>
      <c r="I24" s="148">
        <f>IF(C24="SWMAAC",$J$7*'BRA Load Pricing Results'!K43/'BRA Load Pricing Results'!$B$18,0)</f>
        <v>0</v>
      </c>
      <c r="J24" s="149">
        <f t="shared" si="8"/>
        <v>0</v>
      </c>
      <c r="K24" s="148">
        <f>IF(D24="PS",$J$8*'BRA Load Pricing Results'!K43/'BRA Load Pricing Results'!$K$58,0)</f>
        <v>0</v>
      </c>
      <c r="L24" s="149">
        <f aca="true" t="shared" si="9" ref="L24:L40">K24*$L$19</f>
        <v>0</v>
      </c>
      <c r="M24" s="148">
        <f>IF(D24="DPL",$J$9*'BRA Load Pricing Results'!K43/'BRA Load Pricing Results'!$K$50,0)</f>
        <v>0</v>
      </c>
      <c r="N24" s="149">
        <f t="shared" si="3"/>
        <v>0</v>
      </c>
      <c r="O24" s="148">
        <f>IF(D24="PEPCO",$J$10*'BRA Load Pricing Results'!K43/'BRA Load Pricing Results'!$K$56,0)</f>
        <v>0</v>
      </c>
      <c r="P24" s="149">
        <f aca="true" t="shared" si="10" ref="P24:P36">O24*$P$19</f>
        <v>0</v>
      </c>
      <c r="Q24" s="148">
        <f>IF(D24="ATSI",$J$11*'BRA Load Pricing Results'!K43/'BRA Load Pricing Results'!$K$43,0)</f>
        <v>5476.9172520480515</v>
      </c>
      <c r="R24" s="149">
        <f>Q24*$R$19</f>
        <v>0</v>
      </c>
      <c r="S24" s="148">
        <f>IF(D24="COMED",$J$12*'BRA Load Pricing Results'!K43/'BRA Load Pricing Results'!$K$45,0)</f>
        <v>0</v>
      </c>
      <c r="T24" s="149">
        <f t="shared" si="5"/>
        <v>0</v>
      </c>
      <c r="U24" s="148">
        <f>IF(D24="BGE",$J$13*'BRA Load Pricing Results'!K43/'BRA Load Pricing Results'!$K$44,0)</f>
        <v>0</v>
      </c>
      <c r="V24" s="149">
        <f>U24*$V$19</f>
        <v>0</v>
      </c>
      <c r="W24" s="148">
        <f>IF(D24="PL",$J$14*'BRA Load Pricing Results'!K43/'BRA Load Pricing Results'!$K$57,0)</f>
        <v>0</v>
      </c>
      <c r="X24" s="149">
        <f t="shared" si="1"/>
        <v>0</v>
      </c>
      <c r="Y24" s="150">
        <f t="shared" si="6"/>
        <v>5476.9172520480515</v>
      </c>
      <c r="Z24" s="31">
        <f t="shared" si="7"/>
        <v>0</v>
      </c>
      <c r="AA24" s="214">
        <f>Z24/'BRA Load Pricing Results'!K43</f>
        <v>0</v>
      </c>
      <c r="AB24" s="226">
        <f>IF(Y24=0,0,Z24/Y24)</f>
        <v>0</v>
      </c>
      <c r="AC24" s="32"/>
      <c r="AD24" s="24"/>
    </row>
    <row r="25" spans="1:30" ht="13.5">
      <c r="A25" s="56" t="s">
        <v>11</v>
      </c>
      <c r="B25" s="104" t="s">
        <v>29</v>
      </c>
      <c r="C25" s="104" t="s">
        <v>5</v>
      </c>
      <c r="D25" s="105" t="s">
        <v>11</v>
      </c>
      <c r="E25" s="148">
        <f>IF(B25="MAAC",$J$5*'BRA Load Pricing Results'!K44/'BRA Load Pricing Results'!$B$16,0)</f>
        <v>0</v>
      </c>
      <c r="F25" s="149">
        <f>E25*$F$19</f>
        <v>0</v>
      </c>
      <c r="G25" s="148">
        <f>IF(C25="EMAAC",$J$6*'BRA Load Pricing Results'!K44/'BRA Load Pricing Results'!$B$17,0)</f>
        <v>0</v>
      </c>
      <c r="H25" s="149">
        <f aca="true" t="shared" si="11" ref="H25:H38">G25*$H$19</f>
        <v>0</v>
      </c>
      <c r="I25" s="148">
        <f>IF(C25="SWMAAC",$J$7*'BRA Load Pricing Results'!K44/'BRA Load Pricing Results'!$B$18,0)</f>
        <v>1823.729811413617</v>
      </c>
      <c r="J25" s="149">
        <f>I25*$J$19</f>
        <v>0</v>
      </c>
      <c r="K25" s="148">
        <f>IF(D25="PS",$J$8*'BRA Load Pricing Results'!K44/'BRA Load Pricing Results'!$K$58,0)</f>
        <v>0</v>
      </c>
      <c r="L25" s="149">
        <f t="shared" si="9"/>
        <v>0</v>
      </c>
      <c r="M25" s="148">
        <f>IF(D25="DPL",$J$9*'BRA Load Pricing Results'!K44/'BRA Load Pricing Results'!$K$50,0)</f>
        <v>0</v>
      </c>
      <c r="N25" s="149">
        <f t="shared" si="3"/>
        <v>0</v>
      </c>
      <c r="O25" s="148">
        <f>IF(D25="PEPCO",$J$10*'BRA Load Pricing Results'!K44/'BRA Load Pricing Results'!$K$56,0)</f>
        <v>0</v>
      </c>
      <c r="P25" s="149">
        <f t="shared" si="10"/>
        <v>0</v>
      </c>
      <c r="Q25" s="148">
        <f>IF(D25="ATSI",$J$11*'BRA Load Pricing Results'!K44/'BRA Load Pricing Results'!$K$43,0)</f>
        <v>0</v>
      </c>
      <c r="R25" s="149">
        <f t="shared" si="4"/>
        <v>0</v>
      </c>
      <c r="S25" s="148">
        <f>IF(D25="COMED",$J$12*'BRA Load Pricing Results'!K44/'BRA Load Pricing Results'!$K$45,0)</f>
        <v>0</v>
      </c>
      <c r="T25" s="149">
        <f t="shared" si="5"/>
        <v>0</v>
      </c>
      <c r="U25" s="148">
        <f>IF(D25="BGE",$J$13*'BRA Load Pricing Results'!K44/'BRA Load Pricing Results'!$K$44,0)</f>
        <v>4478.775480535999</v>
      </c>
      <c r="V25" s="149">
        <f>U25*$V$19</f>
        <v>0</v>
      </c>
      <c r="W25" s="148">
        <f>IF(D25="PL",$J$14*'BRA Load Pricing Results'!K44/'BRA Load Pricing Results'!$K$57,0)</f>
        <v>0</v>
      </c>
      <c r="X25" s="149">
        <f t="shared" si="1"/>
        <v>0</v>
      </c>
      <c r="Y25" s="150">
        <f t="shared" si="6"/>
        <v>4478.775480535999</v>
      </c>
      <c r="Z25" s="31">
        <f t="shared" si="7"/>
        <v>0</v>
      </c>
      <c r="AA25" s="214">
        <f>Z25/'BRA Load Pricing Results'!K44</f>
        <v>0</v>
      </c>
      <c r="AB25" s="226">
        <f>IF(Y25=0,0,Z25/Y25)</f>
        <v>0</v>
      </c>
      <c r="AC25" s="32"/>
      <c r="AD25" s="24"/>
    </row>
    <row r="26" spans="1:30" ht="13.5">
      <c r="A26" s="56" t="s">
        <v>20</v>
      </c>
      <c r="B26" s="104"/>
      <c r="C26" s="104"/>
      <c r="D26" s="105" t="s">
        <v>20</v>
      </c>
      <c r="E26" s="148">
        <f>IF(B26="MAAC",$J$5*'BRA Load Pricing Results'!K45/'BRA Load Pricing Results'!$B$16,0)</f>
        <v>0</v>
      </c>
      <c r="F26" s="149">
        <f t="shared" si="2"/>
        <v>0</v>
      </c>
      <c r="G26" s="148">
        <f>IF(C26="EMAAC",$J$6*'BRA Load Pricing Results'!K45/'BRA Load Pricing Results'!$B$17,0)</f>
        <v>0</v>
      </c>
      <c r="H26" s="149">
        <f t="shared" si="11"/>
        <v>0</v>
      </c>
      <c r="I26" s="148">
        <f>IF(C26="SWMAAC",$J$7*'BRA Load Pricing Results'!K45/'BRA Load Pricing Results'!$B$18,0)</f>
        <v>0</v>
      </c>
      <c r="J26" s="149">
        <f t="shared" si="8"/>
        <v>0</v>
      </c>
      <c r="K26" s="148">
        <f>IF(D26="PS",$J$8*'BRA Load Pricing Results'!K45/'BRA Load Pricing Results'!$K$58,0)</f>
        <v>0</v>
      </c>
      <c r="L26" s="149">
        <f t="shared" si="9"/>
        <v>0</v>
      </c>
      <c r="M26" s="148">
        <f>IF(D26="DPL",$J$9*'BRA Load Pricing Results'!K45/'BRA Load Pricing Results'!$K$50,0)</f>
        <v>0</v>
      </c>
      <c r="N26" s="149">
        <f t="shared" si="3"/>
        <v>0</v>
      </c>
      <c r="O26" s="148">
        <f>IF(D26="PEPCO",$J$10*'BRA Load Pricing Results'!K45/'BRA Load Pricing Results'!$K$56,0)</f>
        <v>0</v>
      </c>
      <c r="P26" s="149">
        <f t="shared" si="10"/>
        <v>0</v>
      </c>
      <c r="Q26" s="148">
        <f>IF(D26="ATSI",$J$11*'BRA Load Pricing Results'!K45/'BRA Load Pricing Results'!$K$43,0)</f>
        <v>0</v>
      </c>
      <c r="R26" s="149">
        <f t="shared" si="4"/>
        <v>0</v>
      </c>
      <c r="S26" s="152">
        <f>IF(D26="COMED",$J$12*'BRA Load Pricing Results'!K45/'BRA Load Pricing Results'!$K$45,0)</f>
        <v>2935.2849336319573</v>
      </c>
      <c r="T26" s="149">
        <f t="shared" si="5"/>
        <v>0</v>
      </c>
      <c r="U26" s="148">
        <f>IF(D26="BGE",$J$13*'BRA Load Pricing Results'!K45/'BRA Load Pricing Results'!$K$44,0)</f>
        <v>0</v>
      </c>
      <c r="V26" s="149">
        <f aca="true" t="shared" si="12" ref="V26:V40">U26*$V$19</f>
        <v>0</v>
      </c>
      <c r="W26" s="148">
        <f>IF(D26="PL",$J$14*'BRA Load Pricing Results'!K45/'BRA Load Pricing Results'!$K$57,0)</f>
        <v>0</v>
      </c>
      <c r="X26" s="149">
        <f t="shared" si="1"/>
        <v>0</v>
      </c>
      <c r="Y26" s="150">
        <f t="shared" si="6"/>
        <v>2935.2849336319573</v>
      </c>
      <c r="Z26" s="31">
        <f t="shared" si="7"/>
        <v>0</v>
      </c>
      <c r="AA26" s="214">
        <f>Z26/'BRA Load Pricing Results'!K45</f>
        <v>0</v>
      </c>
      <c r="AB26" s="226">
        <f aca="true" t="shared" si="13" ref="AB26:AB40">IF(Y26=0,0,Z26/Y26)</f>
        <v>0</v>
      </c>
      <c r="AC26" s="32"/>
      <c r="AD26" s="24"/>
    </row>
    <row r="27" spans="1:30" ht="13.5">
      <c r="A27" s="56" t="s">
        <v>21</v>
      </c>
      <c r="B27" s="104"/>
      <c r="C27" s="104"/>
      <c r="D27" s="105"/>
      <c r="E27" s="148">
        <f>IF(B27="MAAC",$J$5*'BRA Load Pricing Results'!K46/'BRA Load Pricing Results'!$B$16,0)</f>
        <v>0</v>
      </c>
      <c r="F27" s="149">
        <f t="shared" si="2"/>
        <v>0</v>
      </c>
      <c r="G27" s="148">
        <f>IF(C27="EMAAC",$J$6*'BRA Load Pricing Results'!K46/'BRA Load Pricing Results'!$B$17,0)</f>
        <v>0</v>
      </c>
      <c r="H27" s="149">
        <f>G27*$H$19</f>
        <v>0</v>
      </c>
      <c r="I27" s="148">
        <f>IF(C27="SWMAAC",$J$7*'BRA Load Pricing Results'!K46/'BRA Load Pricing Results'!$B$18,0)</f>
        <v>0</v>
      </c>
      <c r="J27" s="149">
        <f>I27*$J$19</f>
        <v>0</v>
      </c>
      <c r="K27" s="148">
        <f>IF(D27="PS",$J$8*'BRA Load Pricing Results'!K46/'BRA Load Pricing Results'!$K$58,0)</f>
        <v>0</v>
      </c>
      <c r="L27" s="149">
        <f t="shared" si="9"/>
        <v>0</v>
      </c>
      <c r="M27" s="148">
        <f>IF(D27="DPL",$J$9*'BRA Load Pricing Results'!K46/'BRA Load Pricing Results'!$K$50,0)</f>
        <v>0</v>
      </c>
      <c r="N27" s="149">
        <f t="shared" si="3"/>
        <v>0</v>
      </c>
      <c r="O27" s="148">
        <f>IF(D27="PEPCO",$J$10*'BRA Load Pricing Results'!K46/'BRA Load Pricing Results'!$K$56,0)</f>
        <v>0</v>
      </c>
      <c r="P27" s="149">
        <f t="shared" si="10"/>
        <v>0</v>
      </c>
      <c r="Q27" s="148">
        <f>IF(D27="ATSI",$J$11*'BRA Load Pricing Results'!K46/'BRA Load Pricing Results'!$K$43,0)</f>
        <v>0</v>
      </c>
      <c r="R27" s="149">
        <f t="shared" si="4"/>
        <v>0</v>
      </c>
      <c r="S27" s="148">
        <f>IF(D27="COMED",$J$12*'BRA Load Pricing Results'!K46/'BRA Load Pricing Results'!$K$45,0)</f>
        <v>0</v>
      </c>
      <c r="T27" s="149">
        <f t="shared" si="5"/>
        <v>0</v>
      </c>
      <c r="U27" s="148">
        <f>IF(D27="BGE",$J$13*'BRA Load Pricing Results'!K46/'BRA Load Pricing Results'!$K$44,0)</f>
        <v>0</v>
      </c>
      <c r="V27" s="149">
        <f t="shared" si="12"/>
        <v>0</v>
      </c>
      <c r="W27" s="148">
        <f>IF(D27="PL",$J$14*'BRA Load Pricing Results'!K46/'BRA Load Pricing Results'!$K$57,0)</f>
        <v>0</v>
      </c>
      <c r="X27" s="149">
        <f t="shared" si="1"/>
        <v>0</v>
      </c>
      <c r="Y27" s="150">
        <f t="shared" si="6"/>
        <v>0</v>
      </c>
      <c r="Z27" s="31">
        <f t="shared" si="7"/>
        <v>0</v>
      </c>
      <c r="AA27" s="214">
        <f>Z27/'BRA Load Pricing Results'!K46</f>
        <v>0</v>
      </c>
      <c r="AB27" s="226">
        <f t="shared" si="13"/>
        <v>0</v>
      </c>
      <c r="AC27" s="32"/>
      <c r="AD27" s="24"/>
    </row>
    <row r="28" spans="1:30" ht="13.5">
      <c r="A28" s="56" t="s">
        <v>63</v>
      </c>
      <c r="B28" s="104"/>
      <c r="C28" s="104"/>
      <c r="D28" s="105"/>
      <c r="E28" s="148">
        <f>IF(B28="MAAC",$J$5*'BRA Load Pricing Results'!K47/'BRA Load Pricing Results'!$B$16,0)</f>
        <v>0</v>
      </c>
      <c r="F28" s="149">
        <f t="shared" si="2"/>
        <v>0</v>
      </c>
      <c r="G28" s="148">
        <f>IF(C28="EMAAC",$J$6*'BRA Load Pricing Results'!K47/'BRA Load Pricing Results'!$B$17,0)</f>
        <v>0</v>
      </c>
      <c r="H28" s="149">
        <f>G28*$H$19</f>
        <v>0</v>
      </c>
      <c r="I28" s="148">
        <f>IF(C28="SWMAAC",$J$7*'BRA Load Pricing Results'!K47/'BRA Load Pricing Results'!$B$18,0)</f>
        <v>0</v>
      </c>
      <c r="J28" s="149">
        <f>I28*$J$19</f>
        <v>0</v>
      </c>
      <c r="K28" s="148">
        <f>IF(D28="PS",$J$8*'BRA Load Pricing Results'!K47/'BRA Load Pricing Results'!$K$58,0)</f>
        <v>0</v>
      </c>
      <c r="L28" s="149">
        <f>K28*$L$19</f>
        <v>0</v>
      </c>
      <c r="M28" s="148">
        <f>IF(D28="DPL",$J$9*'BRA Load Pricing Results'!K47/'BRA Load Pricing Results'!$K$50,0)</f>
        <v>0</v>
      </c>
      <c r="N28" s="149">
        <f>M28*$N$19</f>
        <v>0</v>
      </c>
      <c r="O28" s="148">
        <f>IF(D28="PEPCO",$J$10*'BRA Load Pricing Results'!K47/'BRA Load Pricing Results'!$K$56,0)</f>
        <v>0</v>
      </c>
      <c r="P28" s="149">
        <f>O28*$P$19</f>
        <v>0</v>
      </c>
      <c r="Q28" s="148">
        <f>IF(D28="ATSI",$J$11*'BRA Load Pricing Results'!K47/'BRA Load Pricing Results'!$K$43,0)</f>
        <v>0</v>
      </c>
      <c r="R28" s="149">
        <f t="shared" si="4"/>
        <v>0</v>
      </c>
      <c r="S28" s="148">
        <f>IF(D28="COMED",$J$12*'BRA Load Pricing Results'!K47/'BRA Load Pricing Results'!$K$45,0)</f>
        <v>0</v>
      </c>
      <c r="T28" s="149">
        <f t="shared" si="5"/>
        <v>0</v>
      </c>
      <c r="U28" s="148">
        <f>IF(D28="BGE",$J$13*'BRA Load Pricing Results'!K47/'BRA Load Pricing Results'!$K$44,0)</f>
        <v>0</v>
      </c>
      <c r="V28" s="149">
        <f t="shared" si="12"/>
        <v>0</v>
      </c>
      <c r="W28" s="148">
        <f>IF(D28="PL",$J$14*'BRA Load Pricing Results'!K47/'BRA Load Pricing Results'!$K$57,0)</f>
        <v>0</v>
      </c>
      <c r="X28" s="149">
        <f t="shared" si="1"/>
        <v>0</v>
      </c>
      <c r="Y28" s="150">
        <f t="shared" si="6"/>
        <v>0</v>
      </c>
      <c r="Z28" s="31">
        <f t="shared" si="7"/>
        <v>0</v>
      </c>
      <c r="AA28" s="214">
        <f>Z28/'BRA Load Pricing Results'!K47</f>
        <v>0</v>
      </c>
      <c r="AB28" s="226">
        <f t="shared" si="13"/>
        <v>0</v>
      </c>
      <c r="AC28" s="32"/>
      <c r="AD28" s="24"/>
    </row>
    <row r="29" spans="1:30" ht="13.5">
      <c r="A29" s="56" t="s">
        <v>48</v>
      </c>
      <c r="B29" s="104"/>
      <c r="C29" s="104"/>
      <c r="D29" s="105"/>
      <c r="E29" s="148">
        <f>IF(B29="MAAC",$J$5*'BRA Load Pricing Results'!K48/'BRA Load Pricing Results'!$B$16,0)</f>
        <v>0</v>
      </c>
      <c r="F29" s="149">
        <f t="shared" si="2"/>
        <v>0</v>
      </c>
      <c r="G29" s="148">
        <f>IF(C29="EMAAC",$J$6*'BRA Load Pricing Results'!K48/'BRA Load Pricing Results'!$B$17,0)</f>
        <v>0</v>
      </c>
      <c r="H29" s="149">
        <f>G29*$H$19</f>
        <v>0</v>
      </c>
      <c r="I29" s="148">
        <f>IF(C29="SWMAAC",$J$7*'BRA Load Pricing Results'!K48/'BRA Load Pricing Results'!$B$18,0)</f>
        <v>0</v>
      </c>
      <c r="J29" s="149">
        <f>I29*$J$19</f>
        <v>0</v>
      </c>
      <c r="K29" s="148">
        <f>IF(D29="PS",$J$8*'BRA Load Pricing Results'!K48/'BRA Load Pricing Results'!$K$58,0)</f>
        <v>0</v>
      </c>
      <c r="L29" s="149">
        <f>K29*$L$19</f>
        <v>0</v>
      </c>
      <c r="M29" s="148">
        <f>IF(D29="DPL",$J$9*'BRA Load Pricing Results'!K48/'BRA Load Pricing Results'!$K$50,0)</f>
        <v>0</v>
      </c>
      <c r="N29" s="149">
        <f>M29*$N$19</f>
        <v>0</v>
      </c>
      <c r="O29" s="148">
        <f>IF(D29="PEPCO",$J$10*'BRA Load Pricing Results'!#REF!/'BRA Load Pricing Results'!$K$56,0)</f>
        <v>0</v>
      </c>
      <c r="P29" s="149">
        <f>O29*$P$19</f>
        <v>0</v>
      </c>
      <c r="Q29" s="148">
        <f>IF(D29="ATSI",$J$11*'BRA Load Pricing Results'!K48/'BRA Load Pricing Results'!$K$43,0)</f>
        <v>0</v>
      </c>
      <c r="R29" s="149">
        <f t="shared" si="4"/>
        <v>0</v>
      </c>
      <c r="S29" s="148">
        <f>IF(D29="COMED",$J$12*'BRA Load Pricing Results'!K48/'BRA Load Pricing Results'!$K$45,0)</f>
        <v>0</v>
      </c>
      <c r="T29" s="149">
        <f t="shared" si="5"/>
        <v>0</v>
      </c>
      <c r="U29" s="148">
        <f>IF(D29="BGE",$J$13*'BRA Load Pricing Results'!K48/'BRA Load Pricing Results'!$K$44,0)</f>
        <v>0</v>
      </c>
      <c r="V29" s="149">
        <f t="shared" si="12"/>
        <v>0</v>
      </c>
      <c r="W29" s="148">
        <f>IF(D29="PL",$J$14*'BRA Load Pricing Results'!K48/'BRA Load Pricing Results'!$K$57,0)</f>
        <v>0</v>
      </c>
      <c r="X29" s="149">
        <f t="shared" si="1"/>
        <v>0</v>
      </c>
      <c r="Y29" s="150">
        <f t="shared" si="6"/>
        <v>0</v>
      </c>
      <c r="Z29" s="31">
        <f t="shared" si="7"/>
        <v>0</v>
      </c>
      <c r="AA29" s="214">
        <f>Z29/'BRA Load Pricing Results'!K48</f>
        <v>0</v>
      </c>
      <c r="AB29" s="226">
        <f t="shared" si="13"/>
        <v>0</v>
      </c>
      <c r="AC29" s="32"/>
      <c r="AD29" s="24"/>
    </row>
    <row r="30" spans="1:30" ht="13.5">
      <c r="A30" s="56" t="s">
        <v>32</v>
      </c>
      <c r="B30" s="104"/>
      <c r="C30" s="104"/>
      <c r="D30" s="105"/>
      <c r="E30" s="148">
        <f>IF(B30="MAAC",$J$5*'BRA Load Pricing Results'!K49/'BRA Load Pricing Results'!$B$16,0)</f>
        <v>0</v>
      </c>
      <c r="F30" s="149">
        <f t="shared" si="2"/>
        <v>0</v>
      </c>
      <c r="G30" s="148">
        <f>IF(C30="EMAAC",$J$6*'BRA Load Pricing Results'!K49/'BRA Load Pricing Results'!$B$17,0)</f>
        <v>0</v>
      </c>
      <c r="H30" s="149">
        <f t="shared" si="11"/>
        <v>0</v>
      </c>
      <c r="I30" s="148">
        <f>IF(C30="SWMAAC",$J$7*'BRA Load Pricing Results'!K49/'BRA Load Pricing Results'!$B$18,0)</f>
        <v>0</v>
      </c>
      <c r="J30" s="149">
        <f t="shared" si="8"/>
        <v>0</v>
      </c>
      <c r="K30" s="148">
        <f>IF(D30="PS",$J$8*'BRA Load Pricing Results'!K49/'BRA Load Pricing Results'!$K$58,0)</f>
        <v>0</v>
      </c>
      <c r="L30" s="149">
        <f t="shared" si="9"/>
        <v>0</v>
      </c>
      <c r="M30" s="148">
        <f>IF(D30="DPL",$J$9*'BRA Load Pricing Results'!K49/'BRA Load Pricing Results'!$K$50,0)</f>
        <v>0</v>
      </c>
      <c r="N30" s="149">
        <f t="shared" si="3"/>
        <v>0</v>
      </c>
      <c r="O30" s="148">
        <f>IF(D30="PEPCO",$J$10*'BRA Load Pricing Results'!K49/'BRA Load Pricing Results'!$K$56,0)</f>
        <v>0</v>
      </c>
      <c r="P30" s="149">
        <f t="shared" si="10"/>
        <v>0</v>
      </c>
      <c r="Q30" s="148">
        <f>IF(D30="ATSI",$J$11*'BRA Load Pricing Results'!K49/'BRA Load Pricing Results'!$K$43,0)</f>
        <v>0</v>
      </c>
      <c r="R30" s="149">
        <f t="shared" si="4"/>
        <v>0</v>
      </c>
      <c r="S30" s="148">
        <f>IF(D30="COMED",$J$12*'BRA Load Pricing Results'!K49/'BRA Load Pricing Results'!$K$45,0)</f>
        <v>0</v>
      </c>
      <c r="T30" s="149">
        <f t="shared" si="5"/>
        <v>0</v>
      </c>
      <c r="U30" s="148">
        <f>IF(D30="BGE",$J$13*'BRA Load Pricing Results'!K49/'BRA Load Pricing Results'!$K$44,0)</f>
        <v>0</v>
      </c>
      <c r="V30" s="149">
        <f t="shared" si="12"/>
        <v>0</v>
      </c>
      <c r="W30" s="148">
        <f>IF(D30="PL",$J$14*'BRA Load Pricing Results'!K49/'BRA Load Pricing Results'!$K$57,0)</f>
        <v>0</v>
      </c>
      <c r="X30" s="149">
        <f t="shared" si="1"/>
        <v>0</v>
      </c>
      <c r="Y30" s="150">
        <f t="shared" si="6"/>
        <v>0</v>
      </c>
      <c r="Z30" s="31">
        <f t="shared" si="7"/>
        <v>0</v>
      </c>
      <c r="AA30" s="214">
        <f>Z30/'BRA Load Pricing Results'!K49</f>
        <v>0</v>
      </c>
      <c r="AB30" s="226">
        <f t="shared" si="13"/>
        <v>0</v>
      </c>
      <c r="AC30" s="32"/>
      <c r="AD30" s="24"/>
    </row>
    <row r="31" spans="1:30" ht="13.5">
      <c r="A31" s="56" t="s">
        <v>17</v>
      </c>
      <c r="B31" s="104" t="s">
        <v>29</v>
      </c>
      <c r="C31" s="104" t="s">
        <v>39</v>
      </c>
      <c r="D31" s="105" t="s">
        <v>17</v>
      </c>
      <c r="E31" s="148">
        <f>IF(B31="MAAC",$J$5*'BRA Load Pricing Results'!K50/'BRA Load Pricing Results'!$B$16,0)</f>
        <v>0</v>
      </c>
      <c r="F31" s="149">
        <f aca="true" t="shared" si="14" ref="F31:F40">E31*$F$19</f>
        <v>0</v>
      </c>
      <c r="G31" s="148">
        <f>IF(C31="EMAAC",$J$6*'BRA Load Pricing Results'!K50/'BRA Load Pricing Results'!$B$17,0)</f>
        <v>433.21956123027826</v>
      </c>
      <c r="H31" s="149">
        <f>G31*$H$19</f>
        <v>0</v>
      </c>
      <c r="I31" s="148">
        <f>IF(C31="SWMAAC",$J$7*'BRA Load Pricing Results'!K50/'BRA Load Pricing Results'!$B$18,0)</f>
        <v>0</v>
      </c>
      <c r="J31" s="149">
        <f t="shared" si="8"/>
        <v>0</v>
      </c>
      <c r="K31" s="148">
        <f>IF(D31="PS",$J$8*'BRA Load Pricing Results'!K50/'BRA Load Pricing Results'!$K$58,0)</f>
        <v>0</v>
      </c>
      <c r="L31" s="149">
        <f t="shared" si="9"/>
        <v>0</v>
      </c>
      <c r="M31" s="148">
        <f>IF(D31="DPL",$J$9*'BRA Load Pricing Results'!K50/'BRA Load Pricing Results'!$K$50,0)</f>
        <v>0</v>
      </c>
      <c r="N31" s="149">
        <f t="shared" si="3"/>
        <v>0</v>
      </c>
      <c r="O31" s="148">
        <f>IF(D31="PEPCO",$J$10*'BRA Load Pricing Results'!K50/'BRA Load Pricing Results'!$K$56,0)</f>
        <v>0</v>
      </c>
      <c r="P31" s="149">
        <f t="shared" si="10"/>
        <v>0</v>
      </c>
      <c r="Q31" s="148">
        <f>IF(D31="ATSI",$J$11*'BRA Load Pricing Results'!K50/'BRA Load Pricing Results'!$K$43,0)</f>
        <v>0</v>
      </c>
      <c r="R31" s="149">
        <f t="shared" si="4"/>
        <v>0</v>
      </c>
      <c r="S31" s="148">
        <f>IF(D31="COMED",$J$12*'BRA Load Pricing Results'!K50/'BRA Load Pricing Results'!$K$45,0)</f>
        <v>0</v>
      </c>
      <c r="T31" s="149">
        <f t="shared" si="5"/>
        <v>0</v>
      </c>
      <c r="U31" s="148">
        <f>IF(D31="BGE",$J$13*'BRA Load Pricing Results'!K50/'BRA Load Pricing Results'!$K$44,0)</f>
        <v>0</v>
      </c>
      <c r="V31" s="149">
        <f t="shared" si="12"/>
        <v>0</v>
      </c>
      <c r="W31" s="148">
        <f>IF(D31="PL",$J$14*'BRA Load Pricing Results'!K50/'BRA Load Pricing Results'!$K$57,0)</f>
        <v>0</v>
      </c>
      <c r="X31" s="149">
        <f t="shared" si="1"/>
        <v>0</v>
      </c>
      <c r="Y31" s="150">
        <f t="shared" si="6"/>
        <v>433.21956123027826</v>
      </c>
      <c r="Z31" s="31">
        <f t="shared" si="7"/>
        <v>0</v>
      </c>
      <c r="AA31" s="214">
        <f>Z31/'BRA Load Pricing Results'!K50</f>
        <v>0</v>
      </c>
      <c r="AB31" s="226">
        <f t="shared" si="13"/>
        <v>0</v>
      </c>
      <c r="AC31" s="32"/>
      <c r="AD31" s="24"/>
    </row>
    <row r="32" spans="1:30" ht="13.5">
      <c r="A32" s="56" t="s">
        <v>163</v>
      </c>
      <c r="B32" s="104"/>
      <c r="C32" s="104"/>
      <c r="D32" s="105"/>
      <c r="E32" s="148">
        <f>IF(B32="MAAC",$J$5*'BRA Load Pricing Results'!K51/'BRA Load Pricing Results'!$B$16,0)</f>
        <v>0</v>
      </c>
      <c r="F32" s="149">
        <f t="shared" si="14"/>
        <v>0</v>
      </c>
      <c r="G32" s="148">
        <f>IF(C32="EMAAC",$J$6*'BRA Load Pricing Results'!K51/'BRA Load Pricing Results'!$B$17,0)</f>
        <v>0</v>
      </c>
      <c r="H32" s="149">
        <f>G32*$H$19</f>
        <v>0</v>
      </c>
      <c r="I32" s="148">
        <f>IF(C32="SWMAAC",$J$7*'BRA Load Pricing Results'!K51/'BRA Load Pricing Results'!$B$18,0)</f>
        <v>0</v>
      </c>
      <c r="J32" s="149">
        <f>I32*$J$19</f>
        <v>0</v>
      </c>
      <c r="K32" s="148">
        <f>IF(D32="PS",$J$8*'BRA Load Pricing Results'!K51/'BRA Load Pricing Results'!$K$58,0)</f>
        <v>0</v>
      </c>
      <c r="L32" s="149">
        <f>K32*$L$19</f>
        <v>0</v>
      </c>
      <c r="M32" s="148">
        <f>IF(D32="DPL",$J$9*'BRA Load Pricing Results'!K51/'BRA Load Pricing Results'!$K$50,0)</f>
        <v>0</v>
      </c>
      <c r="N32" s="149">
        <f>M32*$N$19</f>
        <v>0</v>
      </c>
      <c r="O32" s="148">
        <f>IF(D32="PEPCO",$J$10*'BRA Load Pricing Results'!K51/'BRA Load Pricing Results'!$K$56,0)</f>
        <v>0</v>
      </c>
      <c r="P32" s="149">
        <f>O32*$P$19</f>
        <v>0</v>
      </c>
      <c r="Q32" s="148">
        <f>IF(D32="ATSI",$J$11*'BRA Load Pricing Results'!K51/'BRA Load Pricing Results'!$K$43,0)</f>
        <v>0</v>
      </c>
      <c r="R32" s="149">
        <f>Q32*$R$19</f>
        <v>0</v>
      </c>
      <c r="S32" s="148">
        <f>IF(D32="COMED",$J$12*'BRA Load Pricing Results'!K51/'BRA Load Pricing Results'!$K$45,0)</f>
        <v>0</v>
      </c>
      <c r="T32" s="149">
        <f t="shared" si="5"/>
        <v>0</v>
      </c>
      <c r="U32" s="148">
        <f>IF(D32="BGE",$J$13*'BRA Load Pricing Results'!K51/'BRA Load Pricing Results'!$K$44,0)</f>
        <v>0</v>
      </c>
      <c r="V32" s="149">
        <f t="shared" si="12"/>
        <v>0</v>
      </c>
      <c r="W32" s="148">
        <f>IF(D32="PL",$J$14*'BRA Load Pricing Results'!K51/'BRA Load Pricing Results'!$K$57,0)</f>
        <v>0</v>
      </c>
      <c r="X32" s="149">
        <f t="shared" si="1"/>
        <v>0</v>
      </c>
      <c r="Y32" s="150">
        <f t="shared" si="6"/>
        <v>0</v>
      </c>
      <c r="Z32" s="31">
        <f t="shared" si="7"/>
        <v>0</v>
      </c>
      <c r="AA32" s="214">
        <f>Z32/'BRA Load Pricing Results'!K51</f>
        <v>0</v>
      </c>
      <c r="AB32" s="226">
        <f>IF(Y32=0,0,Z32/Y32)</f>
        <v>0</v>
      </c>
      <c r="AC32" s="32"/>
      <c r="AD32" s="24"/>
    </row>
    <row r="33" spans="1:30" ht="13.5">
      <c r="A33" s="56" t="s">
        <v>12</v>
      </c>
      <c r="B33" s="104" t="s">
        <v>29</v>
      </c>
      <c r="C33" s="104" t="s">
        <v>39</v>
      </c>
      <c r="D33" s="105"/>
      <c r="E33" s="148">
        <f>IF(B33="MAAC",$J$5*'BRA Load Pricing Results'!K52/'BRA Load Pricing Results'!$B$16,0)</f>
        <v>0</v>
      </c>
      <c r="F33" s="149">
        <f t="shared" si="14"/>
        <v>0</v>
      </c>
      <c r="G33" s="148">
        <f>IF(C33="EMAAC",$J$6*'BRA Load Pricing Results'!K52/'BRA Load Pricing Results'!$B$17,0)</f>
        <v>659.4587441385378</v>
      </c>
      <c r="H33" s="149">
        <f>G33*$H$19</f>
        <v>0</v>
      </c>
      <c r="I33" s="148">
        <f>IF(C33="SWMAAC",$J$7*'BRA Load Pricing Results'!K52/'BRA Load Pricing Results'!$B$18,0)</f>
        <v>0</v>
      </c>
      <c r="J33" s="149">
        <f t="shared" si="8"/>
        <v>0</v>
      </c>
      <c r="K33" s="148">
        <f>IF(D33="PS",$J$8*'BRA Load Pricing Results'!K52/'BRA Load Pricing Results'!$K$58,0)</f>
        <v>0</v>
      </c>
      <c r="L33" s="149">
        <f t="shared" si="9"/>
        <v>0</v>
      </c>
      <c r="M33" s="148">
        <f>IF(D33="DPL",$J$9*'BRA Load Pricing Results'!K52/'BRA Load Pricing Results'!$K$50,0)</f>
        <v>0</v>
      </c>
      <c r="N33" s="149">
        <f t="shared" si="3"/>
        <v>0</v>
      </c>
      <c r="O33" s="148">
        <f>IF(D33="PEPCO",$J$10*'BRA Load Pricing Results'!K52/'BRA Load Pricing Results'!$K$56,0)</f>
        <v>0</v>
      </c>
      <c r="P33" s="149">
        <f t="shared" si="10"/>
        <v>0</v>
      </c>
      <c r="Q33" s="148">
        <f>IF(D33="ATSI",$J$11*'BRA Load Pricing Results'!K52/'BRA Load Pricing Results'!$K$43,0)</f>
        <v>0</v>
      </c>
      <c r="R33" s="149">
        <f t="shared" si="4"/>
        <v>0</v>
      </c>
      <c r="S33" s="148">
        <f>IF(D33="COMED",$J$12*'BRA Load Pricing Results'!K52/'BRA Load Pricing Results'!$K$45,0)</f>
        <v>0</v>
      </c>
      <c r="T33" s="149">
        <f t="shared" si="5"/>
        <v>0</v>
      </c>
      <c r="U33" s="148">
        <f>IF(D33="BGE",$J$13*'BRA Load Pricing Results'!K52/'BRA Load Pricing Results'!$K$44,0)</f>
        <v>0</v>
      </c>
      <c r="V33" s="149">
        <f t="shared" si="12"/>
        <v>0</v>
      </c>
      <c r="W33" s="148">
        <f>IF(D33="PL",$J$14*'BRA Load Pricing Results'!K52/'BRA Load Pricing Results'!$K$57,0)</f>
        <v>0</v>
      </c>
      <c r="X33" s="149">
        <f t="shared" si="1"/>
        <v>0</v>
      </c>
      <c r="Y33" s="150">
        <f t="shared" si="6"/>
        <v>659.4587441385378</v>
      </c>
      <c r="Z33" s="31">
        <f t="shared" si="7"/>
        <v>0</v>
      </c>
      <c r="AA33" s="214">
        <f>Z33/'BRA Load Pricing Results'!K52</f>
        <v>0</v>
      </c>
      <c r="AB33" s="226">
        <f t="shared" si="13"/>
        <v>0</v>
      </c>
      <c r="AC33" s="32"/>
      <c r="AD33" s="24"/>
    </row>
    <row r="34" spans="1:30" ht="13.5">
      <c r="A34" s="56" t="s">
        <v>13</v>
      </c>
      <c r="B34" s="104" t="s">
        <v>29</v>
      </c>
      <c r="C34" s="104"/>
      <c r="D34" s="105"/>
      <c r="E34" s="148">
        <f>IF(B34="MAAC",$J$5*'BRA Load Pricing Results'!K53/'BRA Load Pricing Results'!$B$16,0)</f>
        <v>0</v>
      </c>
      <c r="F34" s="149">
        <f t="shared" si="14"/>
        <v>0</v>
      </c>
      <c r="G34" s="148">
        <f>IF(C34="EMAAC",$J$6*'BRA Load Pricing Results'!K53/'BRA Load Pricing Results'!$B$17,0)</f>
        <v>0</v>
      </c>
      <c r="H34" s="149">
        <f t="shared" si="11"/>
        <v>0</v>
      </c>
      <c r="I34" s="148">
        <f>IF(C34="SWMAAC",$J$7*'BRA Load Pricing Results'!K53/'BRA Load Pricing Results'!$B$18,0)</f>
        <v>0</v>
      </c>
      <c r="J34" s="149">
        <f t="shared" si="8"/>
        <v>0</v>
      </c>
      <c r="K34" s="148">
        <f>IF(D34="PS",$J$8*'BRA Load Pricing Results'!K53/'BRA Load Pricing Results'!$K$58,0)</f>
        <v>0</v>
      </c>
      <c r="L34" s="149">
        <f t="shared" si="9"/>
        <v>0</v>
      </c>
      <c r="M34" s="148">
        <f>IF(D34="DPL",$J$9*'BRA Load Pricing Results'!K53/'BRA Load Pricing Results'!$K$50,0)</f>
        <v>0</v>
      </c>
      <c r="N34" s="149">
        <f t="shared" si="3"/>
        <v>0</v>
      </c>
      <c r="O34" s="148">
        <f>IF(D34="PEPCO",$J$10*'BRA Load Pricing Results'!K53/'BRA Load Pricing Results'!$K$56,0)</f>
        <v>0</v>
      </c>
      <c r="P34" s="149">
        <f t="shared" si="10"/>
        <v>0</v>
      </c>
      <c r="Q34" s="148">
        <f>IF(D34="ATSI",$J$11*'BRA Load Pricing Results'!K53/'BRA Load Pricing Results'!$K$43,0)</f>
        <v>0</v>
      </c>
      <c r="R34" s="149">
        <f t="shared" si="4"/>
        <v>0</v>
      </c>
      <c r="S34" s="148">
        <f>IF(D34="COMED",$J$12*'BRA Load Pricing Results'!K53/'BRA Load Pricing Results'!$K$45,0)</f>
        <v>0</v>
      </c>
      <c r="T34" s="149">
        <f t="shared" si="5"/>
        <v>0</v>
      </c>
      <c r="U34" s="148">
        <f>IF(D34="BGE",$J$13*'BRA Load Pricing Results'!K53/'BRA Load Pricing Results'!$K$44,0)</f>
        <v>0</v>
      </c>
      <c r="V34" s="149">
        <f t="shared" si="12"/>
        <v>0</v>
      </c>
      <c r="W34" s="148">
        <f>IF(D34="PL",$J$14*'BRA Load Pricing Results'!K53/'BRA Load Pricing Results'!$K$57,0)</f>
        <v>0</v>
      </c>
      <c r="X34" s="149">
        <f t="shared" si="1"/>
        <v>0</v>
      </c>
      <c r="Y34" s="150">
        <f t="shared" si="6"/>
        <v>0</v>
      </c>
      <c r="Z34" s="31">
        <f t="shared" si="7"/>
        <v>0</v>
      </c>
      <c r="AA34" s="214">
        <f>Z34/'BRA Load Pricing Results'!K53</f>
        <v>0</v>
      </c>
      <c r="AB34" s="226">
        <f t="shared" si="13"/>
        <v>0</v>
      </c>
      <c r="AC34" s="32"/>
      <c r="AD34" s="24"/>
    </row>
    <row r="35" spans="1:30" ht="13.5">
      <c r="A35" s="56" t="s">
        <v>9</v>
      </c>
      <c r="B35" s="104" t="s">
        <v>29</v>
      </c>
      <c r="C35" s="104" t="s">
        <v>39</v>
      </c>
      <c r="D35" s="105"/>
      <c r="E35" s="148">
        <f>IF(B35="MAAC",$J$5*'BRA Load Pricing Results'!K54/'BRA Load Pricing Results'!$B$16,0)</f>
        <v>0</v>
      </c>
      <c r="F35" s="149">
        <f t="shared" si="14"/>
        <v>0</v>
      </c>
      <c r="G35" s="148">
        <f>IF(C35="EMAAC",$J$6*'BRA Load Pricing Results'!K54/'BRA Load Pricing Results'!$B$17,0)</f>
        <v>919.5561480129303</v>
      </c>
      <c r="H35" s="149">
        <f>G35*$H$19</f>
        <v>0</v>
      </c>
      <c r="I35" s="148">
        <f>IF(C35="SWMAAC",$J$7*'BRA Load Pricing Results'!K54/'BRA Load Pricing Results'!$B$18,0)</f>
        <v>0</v>
      </c>
      <c r="J35" s="149">
        <f t="shared" si="8"/>
        <v>0</v>
      </c>
      <c r="K35" s="148">
        <f>IF(D35="PS",$J$8*'BRA Load Pricing Results'!K54/'BRA Load Pricing Results'!$K$58,0)</f>
        <v>0</v>
      </c>
      <c r="L35" s="149">
        <f t="shared" si="9"/>
        <v>0</v>
      </c>
      <c r="M35" s="148">
        <f>IF(D35="DPL",$J$9*'BRA Load Pricing Results'!K54/'BRA Load Pricing Results'!$K$50,0)</f>
        <v>0</v>
      </c>
      <c r="N35" s="149">
        <f t="shared" si="3"/>
        <v>0</v>
      </c>
      <c r="O35" s="148">
        <f>IF(D35="PEPCO",$J$10*'BRA Load Pricing Results'!K54/'BRA Load Pricing Results'!$K$56,0)</f>
        <v>0</v>
      </c>
      <c r="P35" s="149">
        <f t="shared" si="10"/>
        <v>0</v>
      </c>
      <c r="Q35" s="148">
        <f>IF(D35="ATSI",$J$11*'BRA Load Pricing Results'!K54/'BRA Load Pricing Results'!$K$43,0)</f>
        <v>0</v>
      </c>
      <c r="R35" s="149">
        <f t="shared" si="4"/>
        <v>0</v>
      </c>
      <c r="S35" s="148">
        <f>IF(D35="COMED",$J$12*'BRA Load Pricing Results'!K54/'BRA Load Pricing Results'!$K$45,0)</f>
        <v>0</v>
      </c>
      <c r="T35" s="149">
        <f t="shared" si="5"/>
        <v>0</v>
      </c>
      <c r="U35" s="148">
        <f>IF(D35="BGE",$J$13*'BRA Load Pricing Results'!K54/'BRA Load Pricing Results'!$K$44,0)</f>
        <v>0</v>
      </c>
      <c r="V35" s="149">
        <f t="shared" si="12"/>
        <v>0</v>
      </c>
      <c r="W35" s="148">
        <f>IF(D35="PL",$J$14*'BRA Load Pricing Results'!K54/'BRA Load Pricing Results'!$K$57,0)</f>
        <v>0</v>
      </c>
      <c r="X35" s="149">
        <f t="shared" si="1"/>
        <v>0</v>
      </c>
      <c r="Y35" s="150">
        <f t="shared" si="6"/>
        <v>919.5561480129303</v>
      </c>
      <c r="Z35" s="31">
        <f t="shared" si="7"/>
        <v>0</v>
      </c>
      <c r="AA35" s="214">
        <f>Z35/'BRA Load Pricing Results'!K54</f>
        <v>0</v>
      </c>
      <c r="AB35" s="226">
        <f t="shared" si="13"/>
        <v>0</v>
      </c>
      <c r="AC35" s="32"/>
      <c r="AD35" s="24"/>
    </row>
    <row r="36" spans="1:30" ht="13.5">
      <c r="A36" s="56" t="s">
        <v>14</v>
      </c>
      <c r="B36" s="104" t="s">
        <v>29</v>
      </c>
      <c r="C36" s="104"/>
      <c r="D36" s="105"/>
      <c r="E36" s="148">
        <f>IF(B36="MAAC",$J$5*'BRA Load Pricing Results'!K55/'BRA Load Pricing Results'!$B$16,0)</f>
        <v>0</v>
      </c>
      <c r="F36" s="149">
        <f t="shared" si="14"/>
        <v>0</v>
      </c>
      <c r="G36" s="148">
        <f>IF(C36="EMAAC",$J$6*'BRA Load Pricing Results'!K55/'BRA Load Pricing Results'!$B$17,0)</f>
        <v>0</v>
      </c>
      <c r="H36" s="149">
        <f t="shared" si="11"/>
        <v>0</v>
      </c>
      <c r="I36" s="148">
        <f>IF(C36="SWMAAC",$J$7*'BRA Load Pricing Results'!K55/'BRA Load Pricing Results'!$B$18,0)</f>
        <v>0</v>
      </c>
      <c r="J36" s="149">
        <f t="shared" si="8"/>
        <v>0</v>
      </c>
      <c r="K36" s="148">
        <f>IF(D36="PS",$J$8*'BRA Load Pricing Results'!K55/'BRA Load Pricing Results'!$K$58,0)</f>
        <v>0</v>
      </c>
      <c r="L36" s="149">
        <f t="shared" si="9"/>
        <v>0</v>
      </c>
      <c r="M36" s="148">
        <f>IF(D36="DPL",$J$9*'BRA Load Pricing Results'!K55/'BRA Load Pricing Results'!$K$50,0)</f>
        <v>0</v>
      </c>
      <c r="N36" s="149">
        <f t="shared" si="3"/>
        <v>0</v>
      </c>
      <c r="O36" s="148">
        <f>IF(D36="PEPCO",$J$10*'BRA Load Pricing Results'!K55/'BRA Load Pricing Results'!$K$56,0)</f>
        <v>0</v>
      </c>
      <c r="P36" s="149">
        <f t="shared" si="10"/>
        <v>0</v>
      </c>
      <c r="Q36" s="148">
        <f>IF(D36="ATSI",$J$11*'BRA Load Pricing Results'!K55/'BRA Load Pricing Results'!$K$43,0)</f>
        <v>0</v>
      </c>
      <c r="R36" s="149">
        <f t="shared" si="4"/>
        <v>0</v>
      </c>
      <c r="S36" s="148">
        <f>IF(D36="COMED",$J$12*'BRA Load Pricing Results'!K55/'BRA Load Pricing Results'!$K$45,0)</f>
        <v>0</v>
      </c>
      <c r="T36" s="149">
        <f t="shared" si="5"/>
        <v>0</v>
      </c>
      <c r="U36" s="148">
        <f>IF(D36="BGE",$J$13*'BRA Load Pricing Results'!K55/'BRA Load Pricing Results'!$K$44,0)</f>
        <v>0</v>
      </c>
      <c r="V36" s="149">
        <f t="shared" si="12"/>
        <v>0</v>
      </c>
      <c r="W36" s="148">
        <f>IF(D36="PL",$J$14*'BRA Load Pricing Results'!K55/'BRA Load Pricing Results'!$K$57,0)</f>
        <v>0</v>
      </c>
      <c r="X36" s="149">
        <f t="shared" si="1"/>
        <v>0</v>
      </c>
      <c r="Y36" s="150">
        <f t="shared" si="6"/>
        <v>0</v>
      </c>
      <c r="Z36" s="31">
        <f t="shared" si="7"/>
        <v>0</v>
      </c>
      <c r="AA36" s="214">
        <f>Z36/'BRA Load Pricing Results'!K55</f>
        <v>0</v>
      </c>
      <c r="AB36" s="226">
        <f t="shared" si="13"/>
        <v>0</v>
      </c>
      <c r="AC36" s="32"/>
      <c r="AD36" s="24"/>
    </row>
    <row r="37" spans="1:30" ht="13.5">
      <c r="A37" s="56" t="s">
        <v>15</v>
      </c>
      <c r="B37" s="104" t="s">
        <v>29</v>
      </c>
      <c r="C37" s="104" t="s">
        <v>5</v>
      </c>
      <c r="D37" s="105" t="s">
        <v>15</v>
      </c>
      <c r="E37" s="148">
        <f>IF(B37="MAAC",$J$5*'BRA Load Pricing Results'!K56/'BRA Load Pricing Results'!$B$16,0)</f>
        <v>0</v>
      </c>
      <c r="F37" s="149">
        <f t="shared" si="14"/>
        <v>0</v>
      </c>
      <c r="G37" s="148">
        <f>IF(C37="EMAAC",$J$6*'BRA Load Pricing Results'!K56/'BRA Load Pricing Results'!$B$17,0)</f>
        <v>0</v>
      </c>
      <c r="H37" s="149">
        <f t="shared" si="11"/>
        <v>0</v>
      </c>
      <c r="I37" s="148">
        <f>IF(C37="SWMAAC",$J$7*'BRA Load Pricing Results'!K56/'BRA Load Pricing Results'!$B$18,0)</f>
        <v>1692.205998483484</v>
      </c>
      <c r="J37" s="149">
        <f t="shared" si="8"/>
        <v>0</v>
      </c>
      <c r="K37" s="148">
        <f>IF(D37="PS",$J$8*'BRA Load Pricing Results'!K56/'BRA Load Pricing Results'!$K$58,0)</f>
        <v>0</v>
      </c>
      <c r="L37" s="149">
        <f t="shared" si="9"/>
        <v>0</v>
      </c>
      <c r="M37" s="148">
        <f>IF(D37="DPL",$J$9*'BRA Load Pricing Results'!K56/'BRA Load Pricing Results'!$K$50,0)</f>
        <v>0</v>
      </c>
      <c r="N37" s="149">
        <f>M37*N19</f>
        <v>0</v>
      </c>
      <c r="O37" s="148">
        <f>IF(D37="PEPCO",$J$10*'BRA Load Pricing Results'!K56/'BRA Load Pricing Results'!$K$56,0)</f>
        <v>1496.4603293611042</v>
      </c>
      <c r="P37" s="149">
        <f>O37*$P$19</f>
        <v>0</v>
      </c>
      <c r="Q37" s="148">
        <f>IF(D37="ATSI",$J$11*'BRA Load Pricing Results'!K56/'BRA Load Pricing Results'!$K$43,0)</f>
        <v>0</v>
      </c>
      <c r="R37" s="149">
        <f t="shared" si="4"/>
        <v>0</v>
      </c>
      <c r="S37" s="148">
        <f>IF(D37="COMED",$J$12*'BRA Load Pricing Results'!K56/'BRA Load Pricing Results'!$K$45,0)</f>
        <v>0</v>
      </c>
      <c r="T37" s="149">
        <f t="shared" si="5"/>
        <v>0</v>
      </c>
      <c r="U37" s="148">
        <f>IF(D37="BGE",$J$13*'BRA Load Pricing Results'!K56/'BRA Load Pricing Results'!$K$44,0)</f>
        <v>0</v>
      </c>
      <c r="V37" s="149">
        <f t="shared" si="12"/>
        <v>0</v>
      </c>
      <c r="W37" s="148">
        <f>IF(D37="PL",$J$14*'BRA Load Pricing Results'!K56/'BRA Load Pricing Results'!$K$57,0)</f>
        <v>0</v>
      </c>
      <c r="X37" s="149">
        <f t="shared" si="1"/>
        <v>0</v>
      </c>
      <c r="Y37" s="150">
        <f t="shared" si="6"/>
        <v>1692.205998483484</v>
      </c>
      <c r="Z37" s="31">
        <f t="shared" si="7"/>
        <v>0</v>
      </c>
      <c r="AA37" s="214">
        <f>Z37/'BRA Load Pricing Results'!K56</f>
        <v>0</v>
      </c>
      <c r="AB37" s="226">
        <f t="shared" si="13"/>
        <v>0</v>
      </c>
      <c r="AC37" s="32"/>
      <c r="AD37" s="24"/>
    </row>
    <row r="38" spans="1:30" ht="13.5">
      <c r="A38" s="56" t="s">
        <v>10</v>
      </c>
      <c r="B38" s="104" t="s">
        <v>29</v>
      </c>
      <c r="C38" s="104"/>
      <c r="D38" s="105" t="s">
        <v>10</v>
      </c>
      <c r="E38" s="148">
        <f>IF(B38="MAAC",$J$5*'BRA Load Pricing Results'!K57/'BRA Load Pricing Results'!$B$16,0)</f>
        <v>0</v>
      </c>
      <c r="F38" s="149">
        <f t="shared" si="14"/>
        <v>0</v>
      </c>
      <c r="G38" s="148">
        <f>IF(C38="EMAAC",$J$6*'BRA Load Pricing Results'!K57/'BRA Load Pricing Results'!$B$17,0)</f>
        <v>0</v>
      </c>
      <c r="H38" s="149">
        <f t="shared" si="11"/>
        <v>0</v>
      </c>
      <c r="I38" s="148">
        <f>IF(C38="SWMAAC",$J$7*'BRA Load Pricing Results'!K57/'BRA Load Pricing Results'!$B$18,0)</f>
        <v>0</v>
      </c>
      <c r="J38" s="149">
        <f t="shared" si="8"/>
        <v>0</v>
      </c>
      <c r="K38" s="148">
        <f>IF(D38="PS",$J$8*'BRA Load Pricing Results'!K57/'BRA Load Pricing Results'!$K$58,0)</f>
        <v>0</v>
      </c>
      <c r="L38" s="149">
        <f t="shared" si="9"/>
        <v>0</v>
      </c>
      <c r="M38" s="148">
        <f>IF(D38="DPL",$J$9*'BRA Load Pricing Results'!K57/'BRA Load Pricing Results'!$K$50,0)</f>
        <v>0</v>
      </c>
      <c r="N38" s="149">
        <f>M38*$N$19</f>
        <v>0</v>
      </c>
      <c r="O38" s="148">
        <f>IF(D38="PEPCO",$J$10*'BRA Load Pricing Results'!K57/'BRA Load Pricing Results'!$K$56,0)</f>
        <v>0</v>
      </c>
      <c r="P38" s="149">
        <f>O38*$P$19</f>
        <v>0</v>
      </c>
      <c r="Q38" s="148">
        <f>IF(D38="ATSI",$J$11*'BRA Load Pricing Results'!K57/'BRA Load Pricing Results'!$K$43,0)</f>
        <v>0</v>
      </c>
      <c r="R38" s="149">
        <f t="shared" si="4"/>
        <v>0</v>
      </c>
      <c r="S38" s="148">
        <f>IF(D38="COMED",$J$12*'BRA Load Pricing Results'!K57/'BRA Load Pricing Results'!$K$45,0)</f>
        <v>0</v>
      </c>
      <c r="T38" s="149">
        <f t="shared" si="5"/>
        <v>0</v>
      </c>
      <c r="U38" s="148">
        <f>IF(D38="BGE",$J$13*'BRA Load Pricing Results'!K57/'BRA Load Pricing Results'!$K$44,0)</f>
        <v>0</v>
      </c>
      <c r="V38" s="149">
        <f t="shared" si="12"/>
        <v>0</v>
      </c>
      <c r="W38" s="148">
        <f>IF(D38="PL",$J$14*'BRA Load Pricing Results'!K57/'BRA Load Pricing Results'!$K$57,0)</f>
        <v>0</v>
      </c>
      <c r="X38" s="149">
        <f>W38*$X$19</f>
        <v>0</v>
      </c>
      <c r="Y38" s="150">
        <f t="shared" si="6"/>
        <v>0</v>
      </c>
      <c r="Z38" s="31">
        <f t="shared" si="7"/>
        <v>0</v>
      </c>
      <c r="AA38" s="214">
        <f>Z38/'BRA Load Pricing Results'!K57</f>
        <v>0</v>
      </c>
      <c r="AB38" s="226">
        <f t="shared" si="13"/>
        <v>0</v>
      </c>
      <c r="AC38" s="32"/>
      <c r="AD38" s="24"/>
    </row>
    <row r="39" spans="1:30" ht="13.5">
      <c r="A39" s="56" t="s">
        <v>8</v>
      </c>
      <c r="B39" s="104" t="s">
        <v>29</v>
      </c>
      <c r="C39" s="104" t="s">
        <v>39</v>
      </c>
      <c r="D39" s="105" t="s">
        <v>8</v>
      </c>
      <c r="E39" s="148">
        <f>IF(B39="MAAC",$J$5*'BRA Load Pricing Results'!K58/'BRA Load Pricing Results'!$B$16,0)</f>
        <v>0</v>
      </c>
      <c r="F39" s="149">
        <f t="shared" si="14"/>
        <v>0</v>
      </c>
      <c r="G39" s="148">
        <f>IF(C39="EMAAC",$J$6*'BRA Load Pricing Results'!K58/'BRA Load Pricing Results'!$B$17,0)</f>
        <v>1084.0843226771065</v>
      </c>
      <c r="H39" s="149">
        <f>G39*$H$19</f>
        <v>0</v>
      </c>
      <c r="I39" s="148">
        <f>IF(C39="SWMAAC",$J$7*'BRA Load Pricing Results'!K58/'BRA Load Pricing Results'!$B$18,0)</f>
        <v>0</v>
      </c>
      <c r="J39" s="149">
        <f t="shared" si="8"/>
        <v>0</v>
      </c>
      <c r="K39" s="148">
        <f>IF(D39="PS",$J$8*'BRA Load Pricing Results'!K58/'BRA Load Pricing Results'!$K$58,0)</f>
        <v>4955.2511143425145</v>
      </c>
      <c r="L39" s="149">
        <f>K39*$L$19</f>
        <v>470748.85586253885</v>
      </c>
      <c r="M39" s="148">
        <f>IF(D39="DPL",$J$9*'BRA Load Pricing Results'!K58/'BRA Load Pricing Results'!$K$50,0)</f>
        <v>0</v>
      </c>
      <c r="N39" s="149">
        <f>M39*$N$19</f>
        <v>0</v>
      </c>
      <c r="O39" s="148">
        <f>IF(D39="PEPCO",$J$10*'BRA Load Pricing Results'!K58/'BRA Load Pricing Results'!$K$56,0)</f>
        <v>0</v>
      </c>
      <c r="P39" s="149">
        <f>O39*$P$19</f>
        <v>0</v>
      </c>
      <c r="Q39" s="148">
        <f>IF(D39="ATSI",$J$11*'BRA Load Pricing Results'!K58/'BRA Load Pricing Results'!$K$43,0)</f>
        <v>0</v>
      </c>
      <c r="R39" s="149">
        <f t="shared" si="4"/>
        <v>0</v>
      </c>
      <c r="S39" s="148">
        <f>IF(D39="COMED",$J$12*'BRA Load Pricing Results'!K58/'BRA Load Pricing Results'!$K$45,0)</f>
        <v>0</v>
      </c>
      <c r="T39" s="149">
        <f t="shared" si="5"/>
        <v>0</v>
      </c>
      <c r="U39" s="148">
        <f>IF(D39="BGE",$J$13*'BRA Load Pricing Results'!K58/'BRA Load Pricing Results'!$K$44,0)</f>
        <v>0</v>
      </c>
      <c r="V39" s="149">
        <f t="shared" si="12"/>
        <v>0</v>
      </c>
      <c r="W39" s="148">
        <f>IF(D39="PL",$J$14*'BRA Load Pricing Results'!K58/'BRA Load Pricing Results'!$K$57,0)</f>
        <v>0</v>
      </c>
      <c r="X39" s="149">
        <f>W39*$X$19</f>
        <v>0</v>
      </c>
      <c r="Y39" s="150">
        <f t="shared" si="6"/>
        <v>4955.2511143425145</v>
      </c>
      <c r="Z39" s="31">
        <f t="shared" si="7"/>
        <v>470748.85586253885</v>
      </c>
      <c r="AA39" s="214">
        <f>Z39/'BRA Load Pricing Results'!K58</f>
        <v>39.71532733003149</v>
      </c>
      <c r="AB39" s="226">
        <f t="shared" si="13"/>
        <v>95</v>
      </c>
      <c r="AC39" s="32"/>
      <c r="AD39" s="24"/>
    </row>
    <row r="40" spans="1:30" ht="14.25" thickBot="1">
      <c r="A40" s="153" t="s">
        <v>18</v>
      </c>
      <c r="B40" s="109" t="s">
        <v>29</v>
      </c>
      <c r="C40" s="109" t="s">
        <v>39</v>
      </c>
      <c r="D40" s="110"/>
      <c r="E40" s="154">
        <f>IF(B40="MAAC",$J$5*'BRA Load Pricing Results'!K59/'BRA Load Pricing Results'!$B$16,0)</f>
        <v>0</v>
      </c>
      <c r="F40" s="155">
        <f t="shared" si="14"/>
        <v>0</v>
      </c>
      <c r="G40" s="154">
        <f>IF(C40="EMAAC",$J$6*'BRA Load Pricing Results'!K59/'BRA Load Pricing Results'!$B$17,0)</f>
        <v>42.76282953826599</v>
      </c>
      <c r="H40" s="155">
        <f>G40*$H$19</f>
        <v>0</v>
      </c>
      <c r="I40" s="154">
        <f>IF(C40="SWMAAC",$J$7*'BRA Load Pricing Results'!K59/'BRA Load Pricing Results'!$B$18,0)</f>
        <v>0</v>
      </c>
      <c r="J40" s="155">
        <f t="shared" si="8"/>
        <v>0</v>
      </c>
      <c r="K40" s="154">
        <f>IF(D40="PS",$J$8*'BRA Load Pricing Results'!K59/'BRA Load Pricing Results'!$K$58,0)</f>
        <v>0</v>
      </c>
      <c r="L40" s="155">
        <f t="shared" si="9"/>
        <v>0</v>
      </c>
      <c r="M40" s="154">
        <f>IF(D40="DPL",$J$9*'BRA Load Pricing Results'!K59/'BRA Load Pricing Results'!$K$50,0)</f>
        <v>0</v>
      </c>
      <c r="N40" s="155">
        <f>M40*$N$19</f>
        <v>0</v>
      </c>
      <c r="O40" s="154">
        <f>IF(D40="PEPCO",$J$10*'BRA Load Pricing Results'!K59/'BRA Load Pricing Results'!$K$56,0)</f>
        <v>0</v>
      </c>
      <c r="P40" s="155">
        <f>O40*$P$19</f>
        <v>0</v>
      </c>
      <c r="Q40" s="154">
        <f>IF(D40="ATSI",$J$11*'BRA Load Pricing Results'!K59/'BRA Load Pricing Results'!$K$43,0)</f>
        <v>0</v>
      </c>
      <c r="R40" s="155">
        <f t="shared" si="4"/>
        <v>0</v>
      </c>
      <c r="S40" s="148">
        <f>IF(D40="COMED",$J$12*'BRA Load Pricing Results'!K59/'BRA Load Pricing Results'!$K$45,0)</f>
        <v>0</v>
      </c>
      <c r="T40" s="149">
        <f t="shared" si="5"/>
        <v>0</v>
      </c>
      <c r="U40" s="148">
        <f>IF(D40="BGE",$J$13*'BRA Load Pricing Results'!K59/'BRA Load Pricing Results'!$K$44,0)</f>
        <v>0</v>
      </c>
      <c r="V40" s="149">
        <f t="shared" si="12"/>
        <v>0</v>
      </c>
      <c r="W40" s="148">
        <f>IF(D40="PL",$J$14*'BRA Load Pricing Results'!K59/'BRA Load Pricing Results'!$K$57,0)</f>
        <v>0</v>
      </c>
      <c r="X40" s="149">
        <f>W40*$X$19</f>
        <v>0</v>
      </c>
      <c r="Y40" s="150">
        <f t="shared" si="6"/>
        <v>42.76282953826599</v>
      </c>
      <c r="Z40" s="31">
        <f>F40+H40+J40+L40+N40+P40+R40+T40+V40+X40</f>
        <v>0</v>
      </c>
      <c r="AA40" s="227">
        <f>Z40/'BRA Load Pricing Results'!K59</f>
        <v>0</v>
      </c>
      <c r="AB40" s="228">
        <f t="shared" si="13"/>
        <v>0</v>
      </c>
      <c r="AC40" s="32"/>
      <c r="AD40" s="24"/>
    </row>
    <row r="41" spans="1:29" ht="14.25" thickBot="1">
      <c r="A41" s="352" t="s">
        <v>81</v>
      </c>
      <c r="B41" s="353"/>
      <c r="C41" s="353"/>
      <c r="D41" s="354"/>
      <c r="E41" s="156">
        <f>SUM(E21:E40)</f>
        <v>0</v>
      </c>
      <c r="F41" s="157">
        <f>SUM(F21:F40)</f>
        <v>0</v>
      </c>
      <c r="G41" s="156">
        <f aca="true" t="shared" si="15" ref="G41:L41">SUM(G21:G40)</f>
        <v>3423.821995985089</v>
      </c>
      <c r="H41" s="157">
        <f t="shared" si="15"/>
        <v>0</v>
      </c>
      <c r="I41" s="156">
        <f t="shared" si="15"/>
        <v>3515.935809897101</v>
      </c>
      <c r="J41" s="157">
        <f t="shared" si="15"/>
        <v>0</v>
      </c>
      <c r="K41" s="156">
        <f>SUM(K21:K40)</f>
        <v>4955.2511143425145</v>
      </c>
      <c r="L41" s="157">
        <f t="shared" si="15"/>
        <v>470748.85586253885</v>
      </c>
      <c r="M41" s="156">
        <f aca="true" t="shared" si="16" ref="M41:R41">SUM(M21:M40)</f>
        <v>0</v>
      </c>
      <c r="N41" s="157">
        <f t="shared" si="16"/>
        <v>0</v>
      </c>
      <c r="O41" s="156">
        <f t="shared" si="16"/>
        <v>1496.4603293611042</v>
      </c>
      <c r="P41" s="157">
        <f t="shared" si="16"/>
        <v>0</v>
      </c>
      <c r="Q41" s="156">
        <f t="shared" si="16"/>
        <v>5476.9172520480515</v>
      </c>
      <c r="R41" s="157">
        <f t="shared" si="16"/>
        <v>0</v>
      </c>
      <c r="S41" s="156">
        <f aca="true" t="shared" si="17" ref="S41:X41">SUM(S21:S40)</f>
        <v>2935.2849336319573</v>
      </c>
      <c r="T41" s="157">
        <f>SUM(T21:T40)</f>
        <v>0</v>
      </c>
      <c r="U41" s="156">
        <f t="shared" si="17"/>
        <v>4478.775480535999</v>
      </c>
      <c r="V41" s="157">
        <f t="shared" si="17"/>
        <v>0</v>
      </c>
      <c r="W41" s="156">
        <f t="shared" si="17"/>
        <v>0</v>
      </c>
      <c r="X41" s="157">
        <f t="shared" si="17"/>
        <v>0</v>
      </c>
      <c r="Y41" s="158"/>
      <c r="Z41" s="159">
        <f>SUM(Z21:Z40)</f>
        <v>470748.85586253885</v>
      </c>
      <c r="AA41" s="160"/>
      <c r="AB41" s="161"/>
      <c r="AC41" s="13"/>
    </row>
    <row r="42" spans="1:28" ht="13.5">
      <c r="A42" s="24" t="s">
        <v>82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</row>
    <row r="43" spans="1:28" ht="13.5">
      <c r="A43" s="24" t="s">
        <v>83</v>
      </c>
      <c r="B43" s="22"/>
      <c r="C43" s="22"/>
      <c r="D43" s="22"/>
      <c r="E43" s="22"/>
      <c r="F43" s="22"/>
      <c r="G43" s="22"/>
      <c r="H43" s="22"/>
      <c r="I43" s="22"/>
      <c r="J43" s="22"/>
      <c r="K43" s="55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</row>
    <row r="44" spans="1:28" ht="13.5">
      <c r="A44" s="24" t="s">
        <v>228</v>
      </c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</row>
    <row r="45" spans="1:28" ht="13.5">
      <c r="A45" s="24" t="s">
        <v>84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</row>
    <row r="46" spans="1:28" ht="13.5">
      <c r="A46" s="24" t="s">
        <v>85</v>
      </c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</row>
    <row r="47" spans="1:28" ht="13.5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</row>
    <row r="48" spans="1:28" ht="13.5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</row>
  </sheetData>
  <sheetProtection/>
  <mergeCells count="12">
    <mergeCell ref="A17:D19"/>
    <mergeCell ref="A41:D41"/>
    <mergeCell ref="E18:F18"/>
    <mergeCell ref="G18:H18"/>
    <mergeCell ref="K18:L18"/>
    <mergeCell ref="M18:N18"/>
    <mergeCell ref="S18:T18"/>
    <mergeCell ref="U18:V18"/>
    <mergeCell ref="W18:X18"/>
    <mergeCell ref="Q18:R18"/>
    <mergeCell ref="O18:P18"/>
    <mergeCell ref="I18:J18"/>
  </mergeCells>
  <printOptions horizontalCentered="1" verticalCentered="1"/>
  <pageMargins left="0.45" right="0.45" top="0.5" bottom="0.5" header="0" footer="0"/>
  <pageSetup fitToHeight="1" fitToWidth="1" horizontalDpi="600" verticalDpi="600" orientation="landscape" scale="2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6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4.7109375" style="0" customWidth="1"/>
    <col min="2" max="20" width="15.7109375" style="0" customWidth="1"/>
    <col min="21" max="21" width="21.140625" style="0" bestFit="1" customWidth="1"/>
    <col min="23" max="23" width="21.140625" style="0" bestFit="1" customWidth="1"/>
  </cols>
  <sheetData>
    <row r="1" spans="1:2" ht="18">
      <c r="A1" s="116" t="s">
        <v>188</v>
      </c>
      <c r="B1" s="11" t="s">
        <v>24</v>
      </c>
    </row>
    <row r="2" spans="1:3" ht="18" thickBot="1">
      <c r="A2" s="3"/>
      <c r="C2" s="18"/>
    </row>
    <row r="3" spans="1:20" ht="14.25" thickBot="1">
      <c r="A3" s="360" t="s">
        <v>73</v>
      </c>
      <c r="B3" s="22"/>
      <c r="C3" s="164" t="s">
        <v>173</v>
      </c>
      <c r="D3" s="22"/>
      <c r="E3" s="22"/>
      <c r="F3" s="22"/>
      <c r="G3" s="22"/>
      <c r="H3" s="22"/>
      <c r="I3" s="164" t="s">
        <v>173</v>
      </c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</row>
    <row r="4" spans="1:20" ht="18.75" customHeight="1" thickBot="1">
      <c r="A4" s="361"/>
      <c r="B4" s="165" t="s">
        <v>29</v>
      </c>
      <c r="C4" s="165" t="s">
        <v>29</v>
      </c>
      <c r="D4" s="166" t="s">
        <v>39</v>
      </c>
      <c r="E4" s="166" t="s">
        <v>5</v>
      </c>
      <c r="F4" s="166" t="s">
        <v>8</v>
      </c>
      <c r="G4" s="166" t="s">
        <v>40</v>
      </c>
      <c r="H4" s="166" t="s">
        <v>41</v>
      </c>
      <c r="I4" s="166" t="s">
        <v>41</v>
      </c>
      <c r="J4" s="166" t="s">
        <v>15</v>
      </c>
      <c r="K4" s="166" t="s">
        <v>11</v>
      </c>
      <c r="L4" s="203"/>
      <c r="M4" s="203"/>
      <c r="N4" s="203"/>
      <c r="O4" s="203"/>
      <c r="P4" s="203"/>
      <c r="Q4" s="22"/>
      <c r="R4" s="22"/>
      <c r="S4" s="22"/>
      <c r="T4" s="22"/>
    </row>
    <row r="5" spans="1:20" ht="27">
      <c r="A5" s="204" t="s">
        <v>129</v>
      </c>
      <c r="B5" s="167" t="s">
        <v>142</v>
      </c>
      <c r="C5" s="167" t="s">
        <v>174</v>
      </c>
      <c r="D5" s="168" t="s">
        <v>189</v>
      </c>
      <c r="E5" s="168" t="s">
        <v>189</v>
      </c>
      <c r="F5" s="168" t="s">
        <v>189</v>
      </c>
      <c r="G5" s="168" t="s">
        <v>189</v>
      </c>
      <c r="H5" s="168" t="s">
        <v>142</v>
      </c>
      <c r="I5" s="168" t="s">
        <v>174</v>
      </c>
      <c r="J5" s="168" t="s">
        <v>189</v>
      </c>
      <c r="K5" s="168" t="s">
        <v>189</v>
      </c>
      <c r="L5" s="203"/>
      <c r="M5" s="203"/>
      <c r="N5" s="203"/>
      <c r="O5" s="203"/>
      <c r="P5" s="203"/>
      <c r="Q5" s="32"/>
      <c r="R5" s="22"/>
      <c r="S5" s="22"/>
      <c r="T5" s="22"/>
    </row>
    <row r="6" spans="1:20" ht="19.5" customHeight="1">
      <c r="A6" s="169" t="s">
        <v>130</v>
      </c>
      <c r="B6" s="170"/>
      <c r="C6" s="170"/>
      <c r="D6" s="171"/>
      <c r="E6" s="171"/>
      <c r="F6" s="171"/>
      <c r="G6" s="171"/>
      <c r="H6" s="171"/>
      <c r="I6" s="171"/>
      <c r="J6" s="171"/>
      <c r="K6" s="171"/>
      <c r="L6" s="203"/>
      <c r="M6" s="203"/>
      <c r="N6" s="203"/>
      <c r="O6" s="203"/>
      <c r="P6" s="203"/>
      <c r="Q6" s="32"/>
      <c r="R6" s="22"/>
      <c r="S6" s="22"/>
      <c r="T6" s="22"/>
    </row>
    <row r="7" spans="1:20" ht="19.5" customHeight="1">
      <c r="A7" s="172" t="s">
        <v>120</v>
      </c>
      <c r="B7" s="173">
        <v>160</v>
      </c>
      <c r="C7" s="174">
        <f>B7*'BRA CTRs'!$G$5/$B$25</f>
        <v>0</v>
      </c>
      <c r="D7" s="174">
        <v>0</v>
      </c>
      <c r="E7" s="174">
        <v>0</v>
      </c>
      <c r="F7" s="174">
        <v>0</v>
      </c>
      <c r="G7" s="174">
        <v>0</v>
      </c>
      <c r="H7" s="174">
        <v>0</v>
      </c>
      <c r="I7" s="174">
        <v>0</v>
      </c>
      <c r="J7" s="174">
        <v>0</v>
      </c>
      <c r="K7" s="174">
        <v>0</v>
      </c>
      <c r="L7" s="38"/>
      <c r="M7" s="38"/>
      <c r="N7" s="38"/>
      <c r="O7" s="38"/>
      <c r="P7" s="38"/>
      <c r="Q7" s="32"/>
      <c r="R7" s="22"/>
      <c r="S7" s="22"/>
      <c r="T7" s="22"/>
    </row>
    <row r="8" spans="1:20" ht="27">
      <c r="A8" s="172" t="s">
        <v>121</v>
      </c>
      <c r="B8" s="173">
        <v>106</v>
      </c>
      <c r="C8" s="174">
        <f>B8*'BRA CTRs'!$G$5/$B$25</f>
        <v>0</v>
      </c>
      <c r="D8" s="174">
        <v>0</v>
      </c>
      <c r="E8" s="174">
        <v>0</v>
      </c>
      <c r="F8" s="174">
        <v>0</v>
      </c>
      <c r="G8" s="174">
        <v>0</v>
      </c>
      <c r="H8" s="174">
        <v>0</v>
      </c>
      <c r="I8" s="174">
        <v>0</v>
      </c>
      <c r="J8" s="174">
        <v>0</v>
      </c>
      <c r="K8" s="174">
        <v>0</v>
      </c>
      <c r="L8" s="38"/>
      <c r="M8" s="38"/>
      <c r="N8" s="38"/>
      <c r="O8" s="38"/>
      <c r="P8" s="38"/>
      <c r="Q8" s="32"/>
      <c r="R8" s="22"/>
      <c r="S8" s="22"/>
      <c r="T8" s="22"/>
    </row>
    <row r="9" spans="1:20" ht="19.5" customHeight="1">
      <c r="A9" s="172" t="s">
        <v>125</v>
      </c>
      <c r="B9" s="173">
        <v>117</v>
      </c>
      <c r="C9" s="174">
        <f>B9*'BRA CTRs'!$G$5/$B$25</f>
        <v>0</v>
      </c>
      <c r="D9" s="174">
        <v>0</v>
      </c>
      <c r="E9" s="174">
        <v>0</v>
      </c>
      <c r="F9" s="174">
        <v>0</v>
      </c>
      <c r="G9" s="174">
        <v>0</v>
      </c>
      <c r="H9" s="174">
        <v>0</v>
      </c>
      <c r="I9" s="174">
        <v>0</v>
      </c>
      <c r="J9" s="174">
        <v>0</v>
      </c>
      <c r="K9" s="174">
        <v>0</v>
      </c>
      <c r="L9" s="38"/>
      <c r="M9" s="38"/>
      <c r="N9" s="38"/>
      <c r="O9" s="38"/>
      <c r="P9" s="38"/>
      <c r="Q9" s="32"/>
      <c r="R9" s="22"/>
      <c r="S9" s="22"/>
      <c r="T9" s="22"/>
    </row>
    <row r="10" spans="1:20" ht="27">
      <c r="A10" s="175" t="s">
        <v>126</v>
      </c>
      <c r="B10" s="173">
        <v>0</v>
      </c>
      <c r="C10" s="174">
        <f>B10*'BRA CTRs'!$G$5/$B$25</f>
        <v>0</v>
      </c>
      <c r="D10" s="174">
        <v>898</v>
      </c>
      <c r="E10" s="174">
        <v>0</v>
      </c>
      <c r="F10" s="174">
        <v>68.9</v>
      </c>
      <c r="G10" s="174">
        <v>105.5</v>
      </c>
      <c r="H10" s="174">
        <v>0</v>
      </c>
      <c r="I10" s="174">
        <v>0</v>
      </c>
      <c r="J10" s="174">
        <v>0</v>
      </c>
      <c r="K10" s="174">
        <v>0</v>
      </c>
      <c r="L10" s="38"/>
      <c r="M10" s="38"/>
      <c r="N10" s="38"/>
      <c r="O10" s="38"/>
      <c r="P10" s="38"/>
      <c r="Q10" s="32"/>
      <c r="R10" s="22"/>
      <c r="S10" s="22"/>
      <c r="T10" s="22"/>
    </row>
    <row r="11" spans="1:20" ht="27">
      <c r="A11" s="175" t="s">
        <v>165</v>
      </c>
      <c r="B11" s="173">
        <v>339</v>
      </c>
      <c r="C11" s="174">
        <f>B11*'BRA CTRs'!$G$5/$B$25</f>
        <v>0</v>
      </c>
      <c r="D11" s="174">
        <v>0</v>
      </c>
      <c r="E11" s="174">
        <v>0</v>
      </c>
      <c r="F11" s="174">
        <v>0</v>
      </c>
      <c r="G11" s="174">
        <v>0</v>
      </c>
      <c r="H11" s="174">
        <v>0</v>
      </c>
      <c r="I11" s="174">
        <v>0</v>
      </c>
      <c r="J11" s="174">
        <v>0</v>
      </c>
      <c r="K11" s="174">
        <v>0</v>
      </c>
      <c r="L11" s="38"/>
      <c r="M11" s="38"/>
      <c r="N11" s="38"/>
      <c r="O11" s="38"/>
      <c r="P11" s="38"/>
      <c r="Q11" s="32"/>
      <c r="R11" s="22"/>
      <c r="S11" s="22"/>
      <c r="T11" s="22"/>
    </row>
    <row r="12" spans="1:20" ht="27">
      <c r="A12" s="229" t="s">
        <v>131</v>
      </c>
      <c r="B12" s="230">
        <f aca="true" t="shared" si="0" ref="B12:J12">SUM(B7:B11)</f>
        <v>722</v>
      </c>
      <c r="C12" s="230">
        <f>SUM(C7:C11)</f>
        <v>0</v>
      </c>
      <c r="D12" s="231">
        <f t="shared" si="0"/>
        <v>898</v>
      </c>
      <c r="E12" s="231">
        <f t="shared" si="0"/>
        <v>0</v>
      </c>
      <c r="F12" s="231">
        <f>SUM(F7:F11)</f>
        <v>68.9</v>
      </c>
      <c r="G12" s="231">
        <f>SUM(G7:G11)</f>
        <v>105.5</v>
      </c>
      <c r="H12" s="231">
        <f t="shared" si="0"/>
        <v>0</v>
      </c>
      <c r="I12" s="231">
        <f>SUM(I7:I11)</f>
        <v>0</v>
      </c>
      <c r="J12" s="231">
        <f t="shared" si="0"/>
        <v>0</v>
      </c>
      <c r="K12" s="231">
        <f>SUM(K7:K11)</f>
        <v>0</v>
      </c>
      <c r="L12" s="38"/>
      <c r="M12" s="38"/>
      <c r="N12" s="38"/>
      <c r="O12" s="38"/>
      <c r="P12" s="38"/>
      <c r="Q12" s="32"/>
      <c r="R12" s="22"/>
      <c r="S12" s="22"/>
      <c r="T12" s="22"/>
    </row>
    <row r="13" spans="1:20" ht="19.5" customHeight="1">
      <c r="A13" s="169" t="s">
        <v>236</v>
      </c>
      <c r="B13" s="173" t="s">
        <v>24</v>
      </c>
      <c r="C13" s="173" t="s">
        <v>24</v>
      </c>
      <c r="D13" s="174"/>
      <c r="E13" s="174"/>
      <c r="F13" s="174"/>
      <c r="G13" s="174"/>
      <c r="H13" s="174"/>
      <c r="I13" s="174"/>
      <c r="J13" s="174"/>
      <c r="K13" s="174"/>
      <c r="L13" s="205"/>
      <c r="M13" s="67"/>
      <c r="N13" s="67"/>
      <c r="O13" s="67"/>
      <c r="P13" s="205"/>
      <c r="Q13" s="32"/>
      <c r="R13" s="22"/>
      <c r="S13" s="22"/>
      <c r="T13" s="22"/>
    </row>
    <row r="14" spans="1:20" ht="27">
      <c r="A14" s="175" t="s">
        <v>122</v>
      </c>
      <c r="B14" s="173">
        <v>16</v>
      </c>
      <c r="C14" s="174">
        <f>B14*'BRA CTRs'!$G$5/$B$25</f>
        <v>0</v>
      </c>
      <c r="D14" s="174">
        <v>0</v>
      </c>
      <c r="E14" s="174">
        <v>237</v>
      </c>
      <c r="F14" s="174">
        <v>0</v>
      </c>
      <c r="G14" s="174">
        <v>0</v>
      </c>
      <c r="H14" s="174">
        <v>0</v>
      </c>
      <c r="I14" s="174">
        <v>0</v>
      </c>
      <c r="J14" s="174">
        <v>0</v>
      </c>
      <c r="K14" s="174">
        <v>0</v>
      </c>
      <c r="L14" s="205"/>
      <c r="M14" s="67"/>
      <c r="N14" s="67"/>
      <c r="O14" s="67"/>
      <c r="P14" s="205"/>
      <c r="Q14" s="32"/>
      <c r="R14" s="22"/>
      <c r="S14" s="22"/>
      <c r="T14" s="22"/>
    </row>
    <row r="15" spans="1:20" ht="27">
      <c r="A15" s="175" t="s">
        <v>158</v>
      </c>
      <c r="B15" s="173">
        <v>0</v>
      </c>
      <c r="C15" s="174">
        <f>B15*'BRA CTRs'!$G$5/$B$25</f>
        <v>0</v>
      </c>
      <c r="D15" s="174">
        <v>0</v>
      </c>
      <c r="E15" s="174">
        <v>0</v>
      </c>
      <c r="F15" s="174">
        <v>340.2</v>
      </c>
      <c r="G15" s="174">
        <v>494.5</v>
      </c>
      <c r="H15" s="174">
        <v>0</v>
      </c>
      <c r="I15" s="174">
        <v>0</v>
      </c>
      <c r="J15" s="174">
        <v>0</v>
      </c>
      <c r="K15" s="174">
        <v>0</v>
      </c>
      <c r="L15" s="205"/>
      <c r="M15" s="67"/>
      <c r="N15" s="67"/>
      <c r="O15" s="67"/>
      <c r="P15" s="205"/>
      <c r="Q15" s="32"/>
      <c r="R15" s="22"/>
      <c r="S15" s="22"/>
      <c r="T15" s="22"/>
    </row>
    <row r="16" spans="1:20" ht="27">
      <c r="A16" s="175" t="s">
        <v>123</v>
      </c>
      <c r="B16" s="173">
        <v>0</v>
      </c>
      <c r="C16" s="174">
        <f>B16*'BRA CTRs'!$G$5/$B$25</f>
        <v>0</v>
      </c>
      <c r="D16" s="174">
        <v>0</v>
      </c>
      <c r="E16" s="174">
        <v>0</v>
      </c>
      <c r="F16" s="174">
        <v>90.3</v>
      </c>
      <c r="G16" s="174">
        <v>0</v>
      </c>
      <c r="H16" s="174">
        <v>0</v>
      </c>
      <c r="I16" s="174">
        <v>0</v>
      </c>
      <c r="J16" s="174">
        <v>0</v>
      </c>
      <c r="K16" s="174">
        <v>0</v>
      </c>
      <c r="L16" s="205"/>
      <c r="M16" s="67"/>
      <c r="N16" s="67"/>
      <c r="O16" s="67"/>
      <c r="P16" s="205"/>
      <c r="Q16" s="32"/>
      <c r="R16" s="22"/>
      <c r="S16" s="22"/>
      <c r="T16" s="22"/>
    </row>
    <row r="17" spans="1:20" ht="27">
      <c r="A17" s="175" t="s">
        <v>190</v>
      </c>
      <c r="B17" s="173">
        <v>0</v>
      </c>
      <c r="C17" s="174">
        <f>B17*'BRA CTRs'!$G$5/$B$25</f>
        <v>0</v>
      </c>
      <c r="D17" s="174">
        <v>0</v>
      </c>
      <c r="E17" s="174">
        <v>0</v>
      </c>
      <c r="F17" s="174">
        <v>0</v>
      </c>
      <c r="G17" s="174">
        <v>0</v>
      </c>
      <c r="H17" s="174">
        <v>0</v>
      </c>
      <c r="I17" s="174">
        <v>0</v>
      </c>
      <c r="J17" s="174">
        <v>0</v>
      </c>
      <c r="K17" s="174">
        <v>182</v>
      </c>
      <c r="L17" s="205"/>
      <c r="M17" s="67"/>
      <c r="N17" s="67"/>
      <c r="O17" s="67"/>
      <c r="P17" s="205"/>
      <c r="Q17" s="32"/>
      <c r="R17" s="22"/>
      <c r="S17" s="22"/>
      <c r="T17" s="22"/>
    </row>
    <row r="18" spans="1:20" ht="13.5">
      <c r="A18" s="229" t="s">
        <v>132</v>
      </c>
      <c r="B18" s="230">
        <f aca="true" t="shared" si="1" ref="B18:K18">SUM(B14:B17)</f>
        <v>16</v>
      </c>
      <c r="C18" s="230">
        <f>SUM(C14:C17)</f>
        <v>0</v>
      </c>
      <c r="D18" s="231">
        <f t="shared" si="1"/>
        <v>0</v>
      </c>
      <c r="E18" s="231">
        <f t="shared" si="1"/>
        <v>237</v>
      </c>
      <c r="F18" s="231">
        <f>SUM(F14:F17)</f>
        <v>430.5</v>
      </c>
      <c r="G18" s="231">
        <f>SUM(G14:G17)</f>
        <v>494.5</v>
      </c>
      <c r="H18" s="231">
        <f t="shared" si="1"/>
        <v>0</v>
      </c>
      <c r="I18" s="231">
        <f>SUM(I14:I17)</f>
        <v>0</v>
      </c>
      <c r="J18" s="231">
        <f t="shared" si="1"/>
        <v>0</v>
      </c>
      <c r="K18" s="231">
        <f t="shared" si="1"/>
        <v>182</v>
      </c>
      <c r="L18" s="205"/>
      <c r="M18" s="67"/>
      <c r="N18" s="67"/>
      <c r="O18" s="67"/>
      <c r="P18" s="205"/>
      <c r="Q18" s="32"/>
      <c r="R18" s="22"/>
      <c r="S18" s="22"/>
      <c r="T18" s="22"/>
    </row>
    <row r="19" spans="1:20" ht="13.5">
      <c r="A19" s="176" t="s">
        <v>89</v>
      </c>
      <c r="B19" s="177"/>
      <c r="C19" s="177"/>
      <c r="D19" s="178"/>
      <c r="E19" s="178"/>
      <c r="F19" s="178"/>
      <c r="G19" s="178"/>
      <c r="H19" s="178"/>
      <c r="I19" s="178"/>
      <c r="J19" s="178"/>
      <c r="K19" s="178"/>
      <c r="L19" s="205"/>
      <c r="M19" s="67"/>
      <c r="N19" s="67"/>
      <c r="O19" s="67"/>
      <c r="P19" s="205"/>
      <c r="Q19" s="32"/>
      <c r="R19" s="22"/>
      <c r="S19" s="22"/>
      <c r="T19" s="22"/>
    </row>
    <row r="20" spans="1:20" ht="30" customHeight="1">
      <c r="A20" s="175" t="s">
        <v>124</v>
      </c>
      <c r="B20" s="173">
        <v>159</v>
      </c>
      <c r="C20" s="174">
        <f>B20*'BRA CTRs'!$G$5/$B$25</f>
        <v>0</v>
      </c>
      <c r="D20" s="174">
        <v>0</v>
      </c>
      <c r="E20" s="174">
        <v>0</v>
      </c>
      <c r="F20" s="174">
        <v>0</v>
      </c>
      <c r="G20" s="174">
        <v>0</v>
      </c>
      <c r="H20" s="174">
        <v>0</v>
      </c>
      <c r="I20" s="174">
        <v>0</v>
      </c>
      <c r="J20" s="174">
        <v>0</v>
      </c>
      <c r="K20" s="174">
        <v>0</v>
      </c>
      <c r="L20" s="205"/>
      <c r="M20" s="67"/>
      <c r="N20" s="67"/>
      <c r="O20" s="67"/>
      <c r="P20" s="205"/>
      <c r="Q20" s="32"/>
      <c r="R20" s="22"/>
      <c r="S20" s="22"/>
      <c r="T20" s="22"/>
    </row>
    <row r="21" spans="1:20" ht="30" customHeight="1">
      <c r="A21" s="179" t="s">
        <v>164</v>
      </c>
      <c r="B21" s="173">
        <v>0</v>
      </c>
      <c r="C21" s="174">
        <f>B21*'BRA CTRs'!$G$5/$B$25</f>
        <v>0</v>
      </c>
      <c r="D21" s="174">
        <v>0</v>
      </c>
      <c r="E21" s="174">
        <v>0</v>
      </c>
      <c r="F21" s="174">
        <v>0</v>
      </c>
      <c r="G21" s="174">
        <v>0</v>
      </c>
      <c r="H21" s="174">
        <v>37</v>
      </c>
      <c r="I21" s="174">
        <f>H21*'BRA CTRs'!G9/('BRA ICTRs'!H18+'BRA ICTRs'!H23)</f>
        <v>0</v>
      </c>
      <c r="J21" s="174">
        <v>0</v>
      </c>
      <c r="K21" s="174">
        <v>0</v>
      </c>
      <c r="L21" s="205"/>
      <c r="M21" s="67"/>
      <c r="N21" s="67"/>
      <c r="O21" s="67"/>
      <c r="P21" s="205"/>
      <c r="Q21" s="32"/>
      <c r="R21" s="22"/>
      <c r="S21" s="22"/>
      <c r="T21" s="22"/>
    </row>
    <row r="22" spans="1:20" ht="30" customHeight="1">
      <c r="A22" s="179" t="s">
        <v>191</v>
      </c>
      <c r="B22" s="173">
        <v>0</v>
      </c>
      <c r="C22" s="174">
        <f>B22*'BRA CTRs'!$G$5/$B$25</f>
        <v>0</v>
      </c>
      <c r="D22" s="180">
        <v>0</v>
      </c>
      <c r="E22" s="180">
        <v>0</v>
      </c>
      <c r="F22" s="180">
        <v>0</v>
      </c>
      <c r="G22" s="180">
        <v>0</v>
      </c>
      <c r="H22" s="180">
        <v>35</v>
      </c>
      <c r="I22" s="174">
        <f>H22*'BRA CTRs'!G9/('BRA ICTRs'!H18+'BRA ICTRs'!H23)</f>
        <v>0</v>
      </c>
      <c r="J22" s="180">
        <v>0</v>
      </c>
      <c r="K22" s="174">
        <v>0</v>
      </c>
      <c r="L22" s="205"/>
      <c r="M22" s="67"/>
      <c r="N22" s="67"/>
      <c r="O22" s="67"/>
      <c r="P22" s="205"/>
      <c r="Q22" s="32"/>
      <c r="R22" s="22"/>
      <c r="S22" s="22"/>
      <c r="T22" s="22"/>
    </row>
    <row r="23" spans="1:20" ht="13.5">
      <c r="A23" s="229" t="s">
        <v>104</v>
      </c>
      <c r="B23" s="230">
        <f aca="true" t="shared" si="2" ref="B23:K23">SUM(B20:B22)</f>
        <v>159</v>
      </c>
      <c r="C23" s="230">
        <f t="shared" si="2"/>
        <v>0</v>
      </c>
      <c r="D23" s="230">
        <f t="shared" si="2"/>
        <v>0</v>
      </c>
      <c r="E23" s="230">
        <f t="shared" si="2"/>
        <v>0</v>
      </c>
      <c r="F23" s="230">
        <f t="shared" si="2"/>
        <v>0</v>
      </c>
      <c r="G23" s="230">
        <f t="shared" si="2"/>
        <v>0</v>
      </c>
      <c r="H23" s="230">
        <f t="shared" si="2"/>
        <v>72</v>
      </c>
      <c r="I23" s="230">
        <f t="shared" si="2"/>
        <v>0</v>
      </c>
      <c r="J23" s="230">
        <f t="shared" si="2"/>
        <v>0</v>
      </c>
      <c r="K23" s="232">
        <f t="shared" si="2"/>
        <v>0</v>
      </c>
      <c r="L23" s="205"/>
      <c r="M23" s="67"/>
      <c r="N23" s="67"/>
      <c r="O23" s="67"/>
      <c r="P23" s="205"/>
      <c r="Q23" s="32"/>
      <c r="R23" s="22"/>
      <c r="S23" s="22"/>
      <c r="T23" s="22"/>
    </row>
    <row r="24" spans="1:20" ht="13.5">
      <c r="A24" s="181"/>
      <c r="B24" s="173"/>
      <c r="C24" s="173"/>
      <c r="D24" s="171"/>
      <c r="E24" s="171"/>
      <c r="F24" s="171"/>
      <c r="G24" s="171"/>
      <c r="H24" s="171"/>
      <c r="I24" s="171"/>
      <c r="J24" s="171"/>
      <c r="K24" s="171"/>
      <c r="L24" s="205"/>
      <c r="M24" s="67"/>
      <c r="N24" s="67"/>
      <c r="O24" s="67"/>
      <c r="P24" s="205"/>
      <c r="Q24" s="32"/>
      <c r="R24" s="22"/>
      <c r="S24" s="22"/>
      <c r="T24" s="22"/>
    </row>
    <row r="25" spans="1:20" ht="14.25" thickBot="1">
      <c r="A25" s="233" t="s">
        <v>105</v>
      </c>
      <c r="B25" s="234">
        <f aca="true" t="shared" si="3" ref="B25:K25">B12+B18+B23</f>
        <v>897</v>
      </c>
      <c r="C25" s="234">
        <f t="shared" si="3"/>
        <v>0</v>
      </c>
      <c r="D25" s="235">
        <f t="shared" si="3"/>
        <v>898</v>
      </c>
      <c r="E25" s="236">
        <f t="shared" si="3"/>
        <v>237</v>
      </c>
      <c r="F25" s="236">
        <f t="shared" si="3"/>
        <v>499.4</v>
      </c>
      <c r="G25" s="236">
        <f t="shared" si="3"/>
        <v>600</v>
      </c>
      <c r="H25" s="236">
        <f t="shared" si="3"/>
        <v>72</v>
      </c>
      <c r="I25" s="236">
        <f t="shared" si="3"/>
        <v>0</v>
      </c>
      <c r="J25" s="236">
        <f t="shared" si="3"/>
        <v>0</v>
      </c>
      <c r="K25" s="236">
        <f t="shared" si="3"/>
        <v>182</v>
      </c>
      <c r="L25" s="38"/>
      <c r="M25" s="206"/>
      <c r="N25" s="206"/>
      <c r="O25" s="206"/>
      <c r="P25" s="38"/>
      <c r="Q25" s="32"/>
      <c r="R25" s="22"/>
      <c r="S25" s="22"/>
      <c r="T25" s="22"/>
    </row>
    <row r="26" spans="1:20" s="15" customFormat="1" ht="19.5" customHeight="1">
      <c r="A26" s="371" t="s">
        <v>145</v>
      </c>
      <c r="B26" s="372"/>
      <c r="C26" s="372"/>
      <c r="D26" s="372"/>
      <c r="E26" s="372"/>
      <c r="F26" s="372"/>
      <c r="G26" s="372"/>
      <c r="H26" s="372"/>
      <c r="I26" s="372"/>
      <c r="J26" s="372"/>
      <c r="K26" s="372"/>
      <c r="L26" s="207"/>
      <c r="M26" s="34"/>
      <c r="N26" s="32"/>
      <c r="O26" s="32"/>
      <c r="P26" s="32"/>
      <c r="Q26" s="32"/>
      <c r="R26" s="32"/>
      <c r="S26" s="32"/>
      <c r="T26" s="32"/>
    </row>
    <row r="27" spans="1:20" s="15" customFormat="1" ht="13.5">
      <c r="A27" s="24"/>
      <c r="B27" s="208"/>
      <c r="C27" s="208"/>
      <c r="D27" s="40"/>
      <c r="E27" s="207"/>
      <c r="F27" s="207"/>
      <c r="G27" s="207"/>
      <c r="H27" s="207"/>
      <c r="I27" s="34"/>
      <c r="J27" s="207"/>
      <c r="K27" s="207"/>
      <c r="L27" s="207"/>
      <c r="M27" s="34"/>
      <c r="N27" s="32"/>
      <c r="O27" s="32"/>
      <c r="P27" s="32"/>
      <c r="Q27" s="32"/>
      <c r="R27" s="32"/>
      <c r="S27" s="32"/>
      <c r="T27" s="32"/>
    </row>
    <row r="28" spans="1:20" s="15" customFormat="1" ht="14.25" thickBot="1">
      <c r="A28" s="209"/>
      <c r="B28" s="208"/>
      <c r="C28" s="208"/>
      <c r="D28" s="40"/>
      <c r="E28" s="207"/>
      <c r="F28" s="207"/>
      <c r="G28" s="207"/>
      <c r="H28" s="207"/>
      <c r="I28" s="34"/>
      <c r="J28" s="207"/>
      <c r="K28" s="207"/>
      <c r="L28" s="207"/>
      <c r="M28" s="34"/>
      <c r="N28" s="32"/>
      <c r="O28" s="32"/>
      <c r="P28" s="32"/>
      <c r="Q28" s="32"/>
      <c r="R28" s="32"/>
      <c r="S28" s="32"/>
      <c r="T28" s="32"/>
    </row>
    <row r="29" spans="1:20" ht="31.5" thickBot="1">
      <c r="A29" s="254" t="s">
        <v>133</v>
      </c>
      <c r="B29" s="210" t="s">
        <v>24</v>
      </c>
      <c r="C29" s="210" t="s">
        <v>24</v>
      </c>
      <c r="D29" s="72"/>
      <c r="E29" s="207"/>
      <c r="F29" s="207"/>
      <c r="G29" s="207"/>
      <c r="H29" s="207"/>
      <c r="I29" s="34"/>
      <c r="J29" s="207"/>
      <c r="K29" s="207"/>
      <c r="L29" s="207"/>
      <c r="M29" s="34"/>
      <c r="N29" s="22"/>
      <c r="O29" s="22"/>
      <c r="P29" s="22"/>
      <c r="Q29" s="22"/>
      <c r="R29" s="22"/>
      <c r="S29" s="22"/>
      <c r="T29" s="22"/>
    </row>
    <row r="30" spans="1:20" ht="54.75">
      <c r="A30" s="182" t="s">
        <v>71</v>
      </c>
      <c r="B30" s="266" t="s">
        <v>130</v>
      </c>
      <c r="C30" s="267" t="s">
        <v>134</v>
      </c>
      <c r="D30" s="267" t="s">
        <v>135</v>
      </c>
      <c r="E30" s="267" t="s">
        <v>136</v>
      </c>
      <c r="F30" s="268" t="s">
        <v>192</v>
      </c>
      <c r="G30" s="207"/>
      <c r="H30" s="207"/>
      <c r="I30" s="34"/>
      <c r="J30" s="207"/>
      <c r="K30" s="207"/>
      <c r="L30" s="207"/>
      <c r="M30" s="34"/>
      <c r="N30" s="22"/>
      <c r="O30" s="22"/>
      <c r="P30" s="22"/>
      <c r="Q30" s="22"/>
      <c r="R30" s="22"/>
      <c r="S30" s="22"/>
      <c r="T30" s="22"/>
    </row>
    <row r="31" spans="1:20" ht="13.5">
      <c r="A31" s="50" t="s">
        <v>16</v>
      </c>
      <c r="B31" s="184">
        <v>0.017</v>
      </c>
      <c r="C31" s="184">
        <v>0.0896</v>
      </c>
      <c r="D31" s="184">
        <v>0.0021</v>
      </c>
      <c r="E31" s="184">
        <v>0</v>
      </c>
      <c r="F31" s="80">
        <v>0</v>
      </c>
      <c r="G31" s="207"/>
      <c r="H31" s="32"/>
      <c r="I31" s="32"/>
      <c r="J31" s="207"/>
      <c r="K31" s="207"/>
      <c r="L31" s="207"/>
      <c r="M31" s="34"/>
      <c r="N31" s="22"/>
      <c r="O31" s="22"/>
      <c r="P31" s="22"/>
      <c r="Q31" s="22"/>
      <c r="R31" s="22"/>
      <c r="S31" s="22"/>
      <c r="T31" s="22"/>
    </row>
    <row r="32" spans="1:20" ht="13.5">
      <c r="A32" s="50" t="s">
        <v>31</v>
      </c>
      <c r="B32" s="184">
        <v>0.1422</v>
      </c>
      <c r="C32" s="184">
        <v>0</v>
      </c>
      <c r="D32" s="184">
        <v>0</v>
      </c>
      <c r="E32" s="184">
        <v>0</v>
      </c>
      <c r="F32" s="80">
        <v>0</v>
      </c>
      <c r="G32" s="207"/>
      <c r="H32" s="32"/>
      <c r="I32" s="32"/>
      <c r="J32" s="207"/>
      <c r="K32" s="207"/>
      <c r="L32" s="207"/>
      <c r="M32" s="34"/>
      <c r="N32" s="22"/>
      <c r="O32" s="22"/>
      <c r="P32" s="22"/>
      <c r="Q32" s="22"/>
      <c r="R32" s="22"/>
      <c r="S32" s="22"/>
      <c r="T32" s="22"/>
    </row>
    <row r="33" spans="1:20" ht="13.5">
      <c r="A33" s="50" t="s">
        <v>19</v>
      </c>
      <c r="B33" s="184">
        <v>0.054</v>
      </c>
      <c r="C33" s="184">
        <v>0</v>
      </c>
      <c r="D33" s="184">
        <v>0</v>
      </c>
      <c r="E33" s="184">
        <v>0</v>
      </c>
      <c r="F33" s="80">
        <v>0.0442</v>
      </c>
      <c r="G33" s="207"/>
      <c r="H33" s="32"/>
      <c r="I33" s="32"/>
      <c r="J33" s="207"/>
      <c r="K33" s="207"/>
      <c r="L33" s="207"/>
      <c r="M33" s="34"/>
      <c r="N33" s="22"/>
      <c r="O33" s="22"/>
      <c r="P33" s="22"/>
      <c r="Q33" s="22"/>
      <c r="R33" s="22"/>
      <c r="S33" s="22"/>
      <c r="T33" s="22"/>
    </row>
    <row r="34" spans="1:20" s="15" customFormat="1" ht="13.5">
      <c r="A34" s="50" t="s">
        <v>49</v>
      </c>
      <c r="B34" s="184">
        <v>0.0817</v>
      </c>
      <c r="C34" s="184">
        <v>0</v>
      </c>
      <c r="D34" s="184">
        <v>0</v>
      </c>
      <c r="E34" s="184">
        <v>0</v>
      </c>
      <c r="F34" s="80">
        <v>0</v>
      </c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</row>
    <row r="35" spans="1:20" s="15" customFormat="1" ht="13.5">
      <c r="A35" s="50" t="s">
        <v>11</v>
      </c>
      <c r="B35" s="184">
        <v>0.0425</v>
      </c>
      <c r="C35" s="184">
        <v>0</v>
      </c>
      <c r="D35" s="184">
        <v>0.0088</v>
      </c>
      <c r="E35" s="184">
        <v>0</v>
      </c>
      <c r="F35" s="80">
        <v>0.6695</v>
      </c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</row>
    <row r="36" spans="1:20" s="15" customFormat="1" ht="13.5">
      <c r="A36" s="50" t="s">
        <v>20</v>
      </c>
      <c r="B36" s="184">
        <v>0.1385</v>
      </c>
      <c r="C36" s="184">
        <v>0</v>
      </c>
      <c r="D36" s="184">
        <v>0.0211</v>
      </c>
      <c r="E36" s="184">
        <v>0</v>
      </c>
      <c r="F36" s="80">
        <v>0.0412</v>
      </c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</row>
    <row r="37" spans="1:20" ht="13.5">
      <c r="A37" s="50" t="s">
        <v>21</v>
      </c>
      <c r="B37" s="184">
        <v>0.0211</v>
      </c>
      <c r="C37" s="184">
        <v>0</v>
      </c>
      <c r="D37" s="184">
        <v>0.0012</v>
      </c>
      <c r="E37" s="184">
        <v>0</v>
      </c>
      <c r="F37" s="80">
        <v>0.0049</v>
      </c>
      <c r="G37" s="32"/>
      <c r="H37" s="32"/>
      <c r="I37" s="32"/>
      <c r="J37" s="32"/>
      <c r="K37" s="32"/>
      <c r="L37" s="32"/>
      <c r="M37" s="32"/>
      <c r="N37" s="22"/>
      <c r="O37" s="22"/>
      <c r="P37" s="22"/>
      <c r="Q37" s="22"/>
      <c r="R37" s="22"/>
      <c r="S37" s="22"/>
      <c r="T37" s="22"/>
    </row>
    <row r="38" spans="1:20" ht="13.5">
      <c r="A38" s="50" t="s">
        <v>63</v>
      </c>
      <c r="B38" s="184">
        <v>0.032</v>
      </c>
      <c r="C38" s="184">
        <v>0</v>
      </c>
      <c r="D38" s="184">
        <v>0</v>
      </c>
      <c r="E38" s="184">
        <v>0</v>
      </c>
      <c r="F38" s="80">
        <v>0</v>
      </c>
      <c r="G38" s="32"/>
      <c r="H38" s="32"/>
      <c r="I38" s="32"/>
      <c r="J38" s="32"/>
      <c r="K38" s="32"/>
      <c r="L38" s="32"/>
      <c r="M38" s="32"/>
      <c r="N38" s="22"/>
      <c r="O38" s="22"/>
      <c r="P38" s="22"/>
      <c r="Q38" s="22"/>
      <c r="R38" s="22"/>
      <c r="S38" s="22"/>
      <c r="T38" s="22"/>
    </row>
    <row r="39" spans="1:20" ht="13.5">
      <c r="A39" s="50" t="s">
        <v>48</v>
      </c>
      <c r="B39" s="184">
        <v>0.0184</v>
      </c>
      <c r="C39" s="184">
        <v>0</v>
      </c>
      <c r="D39" s="184">
        <v>0</v>
      </c>
      <c r="E39" s="184">
        <v>0</v>
      </c>
      <c r="F39" s="80">
        <v>0</v>
      </c>
      <c r="G39" s="32"/>
      <c r="H39" s="32"/>
      <c r="I39" s="32"/>
      <c r="J39" s="32"/>
      <c r="K39" s="32"/>
      <c r="L39" s="32"/>
      <c r="M39" s="32"/>
      <c r="N39" s="22"/>
      <c r="O39" s="22"/>
      <c r="P39" s="22"/>
      <c r="Q39" s="22"/>
      <c r="R39" s="22"/>
      <c r="S39" s="22"/>
      <c r="T39" s="22"/>
    </row>
    <row r="40" spans="1:20" ht="13.5">
      <c r="A40" s="50" t="s">
        <v>32</v>
      </c>
      <c r="B40" s="184">
        <v>0.1167</v>
      </c>
      <c r="C40" s="184">
        <v>0</v>
      </c>
      <c r="D40" s="184">
        <v>0</v>
      </c>
      <c r="E40" s="184">
        <v>0</v>
      </c>
      <c r="F40" s="80">
        <v>0.1876</v>
      </c>
      <c r="G40" s="32"/>
      <c r="H40" s="32"/>
      <c r="I40" s="32"/>
      <c r="J40" s="32"/>
      <c r="K40" s="32"/>
      <c r="L40" s="32"/>
      <c r="M40" s="32"/>
      <c r="N40" s="22"/>
      <c r="O40" s="22"/>
      <c r="P40" s="22"/>
      <c r="Q40" s="22"/>
      <c r="R40" s="22"/>
      <c r="S40" s="22"/>
      <c r="T40" s="22"/>
    </row>
    <row r="41" spans="1:20" ht="13.5">
      <c r="A41" s="50" t="s">
        <v>17</v>
      </c>
      <c r="B41" s="184">
        <v>0.025</v>
      </c>
      <c r="C41" s="184">
        <v>0.1677</v>
      </c>
      <c r="D41" s="184">
        <v>0</v>
      </c>
      <c r="E41" s="184">
        <v>0</v>
      </c>
      <c r="F41" s="80">
        <v>0</v>
      </c>
      <c r="G41" s="32"/>
      <c r="H41" s="32"/>
      <c r="I41" s="32"/>
      <c r="J41" s="32"/>
      <c r="K41" s="32"/>
      <c r="L41" s="32"/>
      <c r="M41" s="32"/>
      <c r="N41" s="22"/>
      <c r="O41" s="22"/>
      <c r="P41" s="22"/>
      <c r="Q41" s="22"/>
      <c r="R41" s="22"/>
      <c r="S41" s="22"/>
      <c r="T41" s="22"/>
    </row>
    <row r="42" spans="1:20" ht="13.5">
      <c r="A42" s="50" t="s">
        <v>163</v>
      </c>
      <c r="B42" s="184">
        <v>0.0137</v>
      </c>
      <c r="C42" s="184">
        <v>0</v>
      </c>
      <c r="D42" s="184">
        <v>0</v>
      </c>
      <c r="E42" s="184">
        <v>0</v>
      </c>
      <c r="F42" s="80">
        <v>0</v>
      </c>
      <c r="G42" s="32"/>
      <c r="H42" s="32"/>
      <c r="I42" s="32"/>
      <c r="J42" s="32"/>
      <c r="K42" s="32"/>
      <c r="L42" s="32"/>
      <c r="M42" s="32"/>
      <c r="N42" s="22"/>
      <c r="O42" s="22"/>
      <c r="P42" s="22"/>
      <c r="Q42" s="22"/>
      <c r="R42" s="22"/>
      <c r="S42" s="22"/>
      <c r="T42" s="22"/>
    </row>
    <row r="43" spans="1:20" ht="13.5">
      <c r="A43" s="50" t="s">
        <v>12</v>
      </c>
      <c r="B43" s="184">
        <v>0.0397</v>
      </c>
      <c r="C43" s="184">
        <v>0.0959</v>
      </c>
      <c r="D43" s="184">
        <v>0.0106</v>
      </c>
      <c r="E43" s="184">
        <v>0.1282</v>
      </c>
      <c r="F43" s="80">
        <v>0</v>
      </c>
      <c r="G43" s="32"/>
      <c r="H43" s="32"/>
      <c r="I43" s="32"/>
      <c r="J43" s="32"/>
      <c r="K43" s="32"/>
      <c r="L43" s="32"/>
      <c r="M43" s="32"/>
      <c r="N43" s="22"/>
      <c r="O43" s="22"/>
      <c r="P43" s="22"/>
      <c r="Q43" s="22"/>
      <c r="R43" s="22"/>
      <c r="S43" s="22"/>
      <c r="T43" s="22"/>
    </row>
    <row r="44" spans="1:20" ht="13.5">
      <c r="A44" s="50" t="s">
        <v>13</v>
      </c>
      <c r="B44" s="184">
        <v>0.0187</v>
      </c>
      <c r="C44" s="184">
        <v>0.0147</v>
      </c>
      <c r="D44" s="184">
        <v>0</v>
      </c>
      <c r="E44" s="184">
        <v>0</v>
      </c>
      <c r="F44" s="80">
        <v>0</v>
      </c>
      <c r="G44" s="32"/>
      <c r="H44" s="32"/>
      <c r="I44" s="32"/>
      <c r="J44" s="32"/>
      <c r="K44" s="32"/>
      <c r="L44" s="32"/>
      <c r="M44" s="32"/>
      <c r="N44" s="22"/>
      <c r="O44" s="22"/>
      <c r="P44" s="22"/>
      <c r="Q44" s="22"/>
      <c r="R44" s="22"/>
      <c r="S44" s="22"/>
      <c r="T44" s="22"/>
    </row>
    <row r="45" spans="1:20" ht="13.5">
      <c r="A45" s="50" t="s">
        <v>9</v>
      </c>
      <c r="B45" s="184">
        <v>0.0536</v>
      </c>
      <c r="C45" s="184">
        <v>0.3064</v>
      </c>
      <c r="D45" s="184">
        <v>0</v>
      </c>
      <c r="E45" s="184">
        <v>0.5108</v>
      </c>
      <c r="F45" s="80">
        <v>0</v>
      </c>
      <c r="G45" s="32"/>
      <c r="H45" s="32"/>
      <c r="I45" s="32"/>
      <c r="J45" s="32"/>
      <c r="K45" s="32"/>
      <c r="L45" s="32"/>
      <c r="M45" s="32"/>
      <c r="N45" s="22"/>
      <c r="O45" s="22"/>
      <c r="P45" s="22"/>
      <c r="Q45" s="22"/>
      <c r="R45" s="22"/>
      <c r="S45" s="22"/>
      <c r="T45" s="22"/>
    </row>
    <row r="46" spans="1:20" ht="13.5">
      <c r="A46" s="50" t="s">
        <v>14</v>
      </c>
      <c r="B46" s="184">
        <v>0.0192</v>
      </c>
      <c r="C46" s="184">
        <v>0</v>
      </c>
      <c r="D46" s="184">
        <v>0.027</v>
      </c>
      <c r="E46" s="184">
        <v>0</v>
      </c>
      <c r="F46" s="80">
        <v>0.0005</v>
      </c>
      <c r="G46" s="32"/>
      <c r="H46" s="32"/>
      <c r="I46" s="32"/>
      <c r="J46" s="32"/>
      <c r="K46" s="32"/>
      <c r="L46" s="32"/>
      <c r="M46" s="32"/>
      <c r="N46" s="22"/>
      <c r="O46" s="22"/>
      <c r="P46" s="22"/>
      <c r="Q46" s="22"/>
      <c r="R46" s="22"/>
      <c r="S46" s="22"/>
      <c r="T46" s="22"/>
    </row>
    <row r="47" spans="1:20" ht="13.5">
      <c r="A47" s="50" t="s">
        <v>15</v>
      </c>
      <c r="B47" s="184">
        <v>0.0406</v>
      </c>
      <c r="C47" s="184">
        <v>0</v>
      </c>
      <c r="D47" s="184">
        <v>0.0095</v>
      </c>
      <c r="E47" s="184">
        <v>0.0057</v>
      </c>
      <c r="F47" s="80">
        <v>0.0521</v>
      </c>
      <c r="G47" s="32"/>
      <c r="H47" s="32"/>
      <c r="I47" s="32"/>
      <c r="J47" s="32"/>
      <c r="K47" s="32"/>
      <c r="L47" s="32"/>
      <c r="M47" s="32"/>
      <c r="N47" s="22"/>
      <c r="O47" s="22"/>
      <c r="P47" s="22"/>
      <c r="Q47" s="22"/>
      <c r="R47" s="22"/>
      <c r="S47" s="22"/>
      <c r="T47" s="22"/>
    </row>
    <row r="48" spans="1:20" ht="13.5">
      <c r="A48" s="50" t="s">
        <v>10</v>
      </c>
      <c r="B48" s="184">
        <v>0.046</v>
      </c>
      <c r="C48" s="184">
        <v>0.1633</v>
      </c>
      <c r="D48" s="184">
        <v>0</v>
      </c>
      <c r="E48" s="184">
        <v>0</v>
      </c>
      <c r="F48" s="80">
        <v>0</v>
      </c>
      <c r="G48" s="32"/>
      <c r="H48" s="32"/>
      <c r="I48" s="32"/>
      <c r="J48" s="32"/>
      <c r="K48" s="32"/>
      <c r="L48" s="32"/>
      <c r="M48" s="32"/>
      <c r="N48" s="22"/>
      <c r="O48" s="22"/>
      <c r="P48" s="22"/>
      <c r="Q48" s="22"/>
      <c r="R48" s="22"/>
      <c r="S48" s="22"/>
      <c r="T48" s="22"/>
    </row>
    <row r="49" spans="1:20" ht="13.5">
      <c r="A49" s="50" t="s">
        <v>8</v>
      </c>
      <c r="B49" s="184">
        <v>0.0648</v>
      </c>
      <c r="C49" s="184">
        <v>0.14</v>
      </c>
      <c r="D49" s="184">
        <v>0.6381</v>
      </c>
      <c r="E49" s="184">
        <v>0.3146</v>
      </c>
      <c r="F49" s="80">
        <v>0</v>
      </c>
      <c r="G49" s="32"/>
      <c r="H49" s="32"/>
      <c r="I49" s="32"/>
      <c r="J49" s="32"/>
      <c r="K49" s="32"/>
      <c r="L49" s="32"/>
      <c r="M49" s="32"/>
      <c r="N49" s="22"/>
      <c r="O49" s="22"/>
      <c r="P49" s="22"/>
      <c r="Q49" s="22"/>
      <c r="R49" s="22"/>
      <c r="S49" s="22"/>
      <c r="T49" s="22"/>
    </row>
    <row r="50" spans="1:20" ht="13.5">
      <c r="A50" s="50" t="s">
        <v>18</v>
      </c>
      <c r="B50" s="184">
        <v>0.0027</v>
      </c>
      <c r="C50" s="184">
        <v>0.0052</v>
      </c>
      <c r="D50" s="184">
        <v>0.0253</v>
      </c>
      <c r="E50" s="184">
        <v>0.0125</v>
      </c>
      <c r="F50" s="80">
        <v>0</v>
      </c>
      <c r="G50" s="32"/>
      <c r="H50" s="32"/>
      <c r="I50" s="32"/>
      <c r="J50" s="32"/>
      <c r="K50" s="32"/>
      <c r="L50" s="32"/>
      <c r="M50" s="32"/>
      <c r="N50" s="22"/>
      <c r="O50" s="22"/>
      <c r="P50" s="22"/>
      <c r="Q50" s="22"/>
      <c r="R50" s="22"/>
      <c r="S50" s="22"/>
      <c r="T50" s="22"/>
    </row>
    <row r="51" spans="1:20" s="15" customFormat="1" ht="13.5">
      <c r="A51" s="50" t="s">
        <v>146</v>
      </c>
      <c r="B51" s="184">
        <v>0.0056</v>
      </c>
      <c r="C51" s="184">
        <v>0.0049</v>
      </c>
      <c r="D51" s="184">
        <v>0.0905</v>
      </c>
      <c r="E51" s="184">
        <v>0</v>
      </c>
      <c r="F51" s="80">
        <v>0</v>
      </c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</row>
    <row r="52" spans="1:20" ht="13.5">
      <c r="A52" s="50" t="s">
        <v>147</v>
      </c>
      <c r="B52" s="184">
        <v>0.0042</v>
      </c>
      <c r="C52" s="184">
        <v>0.0094</v>
      </c>
      <c r="D52" s="184">
        <v>0.0006</v>
      </c>
      <c r="E52" s="184">
        <v>0.0118</v>
      </c>
      <c r="F52" s="80">
        <v>0</v>
      </c>
      <c r="G52" s="22"/>
      <c r="H52" s="32"/>
      <c r="I52" s="32"/>
      <c r="J52" s="32"/>
      <c r="K52" s="22"/>
      <c r="L52" s="22"/>
      <c r="M52" s="22"/>
      <c r="N52" s="22"/>
      <c r="O52" s="22"/>
      <c r="P52" s="22"/>
      <c r="Q52" s="22"/>
      <c r="R52" s="22"/>
      <c r="S52" s="22"/>
      <c r="T52" s="22"/>
    </row>
    <row r="53" spans="1:20" ht="13.5">
      <c r="A53" s="50" t="s">
        <v>127</v>
      </c>
      <c r="B53" s="184">
        <v>0.002</v>
      </c>
      <c r="C53" s="184">
        <v>0.0029</v>
      </c>
      <c r="D53" s="184">
        <v>0.0192</v>
      </c>
      <c r="E53" s="184">
        <v>0.0085</v>
      </c>
      <c r="F53" s="80">
        <v>0</v>
      </c>
      <c r="G53" s="22"/>
      <c r="H53" s="32"/>
      <c r="I53" s="32"/>
      <c r="J53" s="32"/>
      <c r="K53" s="22"/>
      <c r="L53" s="22"/>
      <c r="M53" s="22"/>
      <c r="N53" s="22"/>
      <c r="O53" s="22"/>
      <c r="P53" s="22"/>
      <c r="Q53" s="22"/>
      <c r="R53" s="22"/>
      <c r="S53" s="22"/>
      <c r="T53" s="22"/>
    </row>
    <row r="54" spans="1:20" ht="13.5">
      <c r="A54" s="50" t="s">
        <v>128</v>
      </c>
      <c r="B54" s="184">
        <v>0.0001</v>
      </c>
      <c r="C54" s="184">
        <v>0</v>
      </c>
      <c r="D54" s="184">
        <v>0.146</v>
      </c>
      <c r="E54" s="184">
        <v>0.0079</v>
      </c>
      <c r="F54" s="80">
        <v>0</v>
      </c>
      <c r="G54" s="22"/>
      <c r="H54" s="32"/>
      <c r="I54" s="32"/>
      <c r="J54" s="32"/>
      <c r="K54" s="22"/>
      <c r="L54" s="22"/>
      <c r="M54" s="22"/>
      <c r="N54" s="22"/>
      <c r="O54" s="22"/>
      <c r="P54" s="22"/>
      <c r="Q54" s="22"/>
      <c r="R54" s="22"/>
      <c r="S54" s="22"/>
      <c r="T54" s="22"/>
    </row>
    <row r="55" spans="1:20" ht="14.25" thickBot="1">
      <c r="A55" s="269"/>
      <c r="B55" s="270">
        <f>SUM(B31:B54)</f>
        <v>1.0000000000000002</v>
      </c>
      <c r="C55" s="270">
        <f>SUM(C31:C54)</f>
        <v>0.9999999999999999</v>
      </c>
      <c r="D55" s="270">
        <f>SUM(D31:D54)</f>
        <v>1</v>
      </c>
      <c r="E55" s="270">
        <f>SUM(E31:E54)</f>
        <v>1</v>
      </c>
      <c r="F55" s="271">
        <f>SUM(F31:F54)</f>
        <v>1</v>
      </c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</row>
    <row r="56" spans="1:20" ht="33.75" customHeight="1">
      <c r="A56" s="371" t="s">
        <v>232</v>
      </c>
      <c r="B56" s="372"/>
      <c r="C56" s="372"/>
      <c r="D56" s="372"/>
      <c r="E56" s="372"/>
      <c r="F56" s="37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</row>
    <row r="57" spans="1:20" ht="13.5">
      <c r="A57" s="24"/>
      <c r="B57" s="185"/>
      <c r="C57" s="185"/>
      <c r="D57" s="185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</row>
    <row r="58" spans="1:20" ht="14.25" thickBot="1">
      <c r="A58" s="24"/>
      <c r="B58" s="185"/>
      <c r="C58" s="185"/>
      <c r="D58" s="185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</row>
    <row r="59" spans="1:20" ht="14.25" thickBot="1">
      <c r="A59" s="366" t="s">
        <v>235</v>
      </c>
      <c r="B59" s="208"/>
      <c r="C59" s="208"/>
      <c r="D59" s="40"/>
      <c r="E59" s="22"/>
      <c r="F59" s="125" t="s">
        <v>24</v>
      </c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</row>
    <row r="60" spans="1:24" ht="14.25" thickBot="1">
      <c r="A60" s="367"/>
      <c r="B60" s="358" t="s">
        <v>29</v>
      </c>
      <c r="C60" s="362"/>
      <c r="D60" s="362"/>
      <c r="E60" s="359"/>
      <c r="F60" s="369" t="s">
        <v>39</v>
      </c>
      <c r="G60" s="370"/>
      <c r="H60" s="358" t="s">
        <v>5</v>
      </c>
      <c r="I60" s="359"/>
      <c r="J60" s="358" t="s">
        <v>8</v>
      </c>
      <c r="K60" s="362"/>
      <c r="L60" s="362"/>
      <c r="M60" s="362"/>
      <c r="N60" s="359"/>
      <c r="O60" s="358" t="s">
        <v>40</v>
      </c>
      <c r="P60" s="362"/>
      <c r="Q60" s="362"/>
      <c r="R60" s="359"/>
      <c r="S60" s="358" t="s">
        <v>11</v>
      </c>
      <c r="T60" s="359"/>
      <c r="U60" s="358" t="s">
        <v>41</v>
      </c>
      <c r="V60" s="359"/>
      <c r="W60" s="358" t="s">
        <v>15</v>
      </c>
      <c r="X60" s="359"/>
    </row>
    <row r="61" spans="1:24" ht="27.75" thickBot="1">
      <c r="A61" s="368"/>
      <c r="B61" s="363" t="s">
        <v>47</v>
      </c>
      <c r="C61" s="364"/>
      <c r="D61" s="365"/>
      <c r="E61" s="186">
        <f>'BRA Resource Clearing Results'!C6</f>
        <v>0</v>
      </c>
      <c r="F61" s="187" t="s">
        <v>47</v>
      </c>
      <c r="G61" s="186">
        <f>'BRA Resource Clearing Results'!C7</f>
        <v>0</v>
      </c>
      <c r="H61" s="187" t="s">
        <v>47</v>
      </c>
      <c r="I61" s="186">
        <f>'BRA Resource Clearing Results'!C8</f>
        <v>0</v>
      </c>
      <c r="J61" s="363" t="s">
        <v>47</v>
      </c>
      <c r="K61" s="364"/>
      <c r="L61" s="364"/>
      <c r="M61" s="365"/>
      <c r="N61" s="186">
        <f>'BRA Resource Clearing Results'!C9</f>
        <v>95</v>
      </c>
      <c r="O61" s="363" t="s">
        <v>47</v>
      </c>
      <c r="P61" s="364"/>
      <c r="Q61" s="365"/>
      <c r="R61" s="186">
        <f>'BRA Resource Clearing Results'!C10</f>
        <v>0</v>
      </c>
      <c r="S61" s="187" t="s">
        <v>47</v>
      </c>
      <c r="T61" s="186">
        <f>'BRA Resource Clearing Results'!C16</f>
        <v>0</v>
      </c>
      <c r="U61" s="237" t="s">
        <v>47</v>
      </c>
      <c r="V61" s="238">
        <f>'BRA Resource Clearing Results'!C11</f>
        <v>0</v>
      </c>
      <c r="W61" s="237" t="s">
        <v>47</v>
      </c>
      <c r="X61" s="238">
        <f>'BRA Resource Clearing Results'!C12</f>
        <v>0</v>
      </c>
    </row>
    <row r="62" spans="1:24" ht="69" thickBot="1">
      <c r="A62" s="188" t="s">
        <v>71</v>
      </c>
      <c r="B62" s="189" t="s">
        <v>137</v>
      </c>
      <c r="C62" s="183" t="s">
        <v>138</v>
      </c>
      <c r="D62" s="190" t="s">
        <v>72</v>
      </c>
      <c r="E62" s="191" t="s">
        <v>86</v>
      </c>
      <c r="F62" s="189" t="s">
        <v>137</v>
      </c>
      <c r="G62" s="191" t="s">
        <v>86</v>
      </c>
      <c r="H62" s="192" t="s">
        <v>138</v>
      </c>
      <c r="I62" s="191" t="s">
        <v>86</v>
      </c>
      <c r="J62" s="189" t="s">
        <v>137</v>
      </c>
      <c r="K62" s="183" t="s">
        <v>139</v>
      </c>
      <c r="L62" s="183" t="s">
        <v>140</v>
      </c>
      <c r="M62" s="190" t="s">
        <v>72</v>
      </c>
      <c r="N62" s="191" t="s">
        <v>86</v>
      </c>
      <c r="O62" s="189" t="s">
        <v>137</v>
      </c>
      <c r="P62" s="183" t="s">
        <v>139</v>
      </c>
      <c r="Q62" s="190" t="s">
        <v>72</v>
      </c>
      <c r="R62" s="191" t="s">
        <v>86</v>
      </c>
      <c r="S62" s="192" t="s">
        <v>193</v>
      </c>
      <c r="T62" s="191" t="s">
        <v>86</v>
      </c>
      <c r="U62" s="355" t="s">
        <v>175</v>
      </c>
      <c r="V62" s="356"/>
      <c r="W62" s="356"/>
      <c r="X62" s="357"/>
    </row>
    <row r="63" spans="1:24" ht="13.5">
      <c r="A63" s="50" t="s">
        <v>16</v>
      </c>
      <c r="B63" s="148">
        <f>B31*$C$12</f>
        <v>0</v>
      </c>
      <c r="C63" s="193">
        <f>C31*$C$14</f>
        <v>0</v>
      </c>
      <c r="D63" s="193">
        <f>B63+C63</f>
        <v>0</v>
      </c>
      <c r="E63" s="54">
        <f>D63*$E$61</f>
        <v>0</v>
      </c>
      <c r="F63" s="148">
        <f aca="true" t="shared" si="4" ref="F63:F71">B31*$D$12</f>
        <v>15.266000000000002</v>
      </c>
      <c r="G63" s="151">
        <f>F63*$G$61</f>
        <v>0</v>
      </c>
      <c r="H63" s="148">
        <f aca="true" t="shared" si="5" ref="H63:H73">C31*$E$14</f>
        <v>21.2352</v>
      </c>
      <c r="I63" s="151">
        <f>H63*$I$61</f>
        <v>0</v>
      </c>
      <c r="J63" s="148">
        <f aca="true" t="shared" si="6" ref="J63:J73">B31*$F$12</f>
        <v>1.1713000000000002</v>
      </c>
      <c r="K63" s="193">
        <f aca="true" t="shared" si="7" ref="K63:K73">D31*$F$15</f>
        <v>0.7144199999999999</v>
      </c>
      <c r="L63" s="193">
        <f aca="true" t="shared" si="8" ref="L63:L73">E31*$F$16</f>
        <v>0</v>
      </c>
      <c r="M63" s="193">
        <f>J63+K63+L63</f>
        <v>1.88572</v>
      </c>
      <c r="N63" s="54">
        <f>M63*$N$61</f>
        <v>179.1434</v>
      </c>
      <c r="O63" s="148">
        <f aca="true" t="shared" si="9" ref="O63:O73">B31*$G$12</f>
        <v>1.7935</v>
      </c>
      <c r="P63" s="193">
        <f aca="true" t="shared" si="10" ref="P63:P73">D31*$G$15</f>
        <v>1.0384499999999999</v>
      </c>
      <c r="Q63" s="193">
        <f aca="true" t="shared" si="11" ref="Q63:Q68">O63+P63</f>
        <v>2.83195</v>
      </c>
      <c r="R63" s="54">
        <f>Q63*$R$61</f>
        <v>0</v>
      </c>
      <c r="S63" s="148">
        <f aca="true" t="shared" si="12" ref="S63:S86">F31*$K$17</f>
        <v>0</v>
      </c>
      <c r="T63" s="151">
        <f>S63*$T$61</f>
        <v>0</v>
      </c>
      <c r="U63" s="4"/>
      <c r="V63" s="4"/>
      <c r="W63" s="4"/>
      <c r="X63" s="4"/>
    </row>
    <row r="64" spans="1:24" ht="13.5">
      <c r="A64" s="50" t="s">
        <v>31</v>
      </c>
      <c r="B64" s="148">
        <f aca="true" t="shared" si="13" ref="B64:B86">B32*$C$12</f>
        <v>0</v>
      </c>
      <c r="C64" s="193">
        <f aca="true" t="shared" si="14" ref="C64:C86">C32*$C$14</f>
        <v>0</v>
      </c>
      <c r="D64" s="193">
        <f>B64+C64</f>
        <v>0</v>
      </c>
      <c r="E64" s="54">
        <f>D64*$E$61</f>
        <v>0</v>
      </c>
      <c r="F64" s="148">
        <f t="shared" si="4"/>
        <v>127.6956</v>
      </c>
      <c r="G64" s="151">
        <f aca="true" t="shared" si="15" ref="G64:G86">F64*$G$61</f>
        <v>0</v>
      </c>
      <c r="H64" s="148">
        <f t="shared" si="5"/>
        <v>0</v>
      </c>
      <c r="I64" s="151">
        <f aca="true" t="shared" si="16" ref="I64:I86">H64*$I$61</f>
        <v>0</v>
      </c>
      <c r="J64" s="148">
        <f t="shared" si="6"/>
        <v>9.79758</v>
      </c>
      <c r="K64" s="193">
        <f t="shared" si="7"/>
        <v>0</v>
      </c>
      <c r="L64" s="193">
        <f t="shared" si="8"/>
        <v>0</v>
      </c>
      <c r="M64" s="193">
        <f aca="true" t="shared" si="17" ref="M64:M86">J64+K64+L64</f>
        <v>9.79758</v>
      </c>
      <c r="N64" s="54">
        <f aca="true" t="shared" si="18" ref="N64:N86">M64*$N$61</f>
        <v>930.7701</v>
      </c>
      <c r="O64" s="148">
        <f t="shared" si="9"/>
        <v>15.002099999999999</v>
      </c>
      <c r="P64" s="193">
        <f t="shared" si="10"/>
        <v>0</v>
      </c>
      <c r="Q64" s="193">
        <f t="shared" si="11"/>
        <v>15.002099999999999</v>
      </c>
      <c r="R64" s="54">
        <f aca="true" t="shared" si="19" ref="R64:R86">Q64*$R$61</f>
        <v>0</v>
      </c>
      <c r="S64" s="148">
        <f t="shared" si="12"/>
        <v>0</v>
      </c>
      <c r="T64" s="151">
        <f aca="true" t="shared" si="20" ref="T64:T86">S64*$T$61</f>
        <v>0</v>
      </c>
      <c r="U64" s="4"/>
      <c r="V64" s="4"/>
      <c r="W64" s="4"/>
      <c r="X64" s="4"/>
    </row>
    <row r="65" spans="1:24" ht="13.5">
      <c r="A65" s="50" t="s">
        <v>19</v>
      </c>
      <c r="B65" s="148">
        <f t="shared" si="13"/>
        <v>0</v>
      </c>
      <c r="C65" s="193">
        <f t="shared" si="14"/>
        <v>0</v>
      </c>
      <c r="D65" s="193">
        <f>B65+C65</f>
        <v>0</v>
      </c>
      <c r="E65" s="54">
        <f aca="true" t="shared" si="21" ref="E65:E85">D65*$E$61</f>
        <v>0</v>
      </c>
      <c r="F65" s="148">
        <f t="shared" si="4"/>
        <v>48.492</v>
      </c>
      <c r="G65" s="151">
        <f t="shared" si="15"/>
        <v>0</v>
      </c>
      <c r="H65" s="148">
        <f t="shared" si="5"/>
        <v>0</v>
      </c>
      <c r="I65" s="151">
        <f t="shared" si="16"/>
        <v>0</v>
      </c>
      <c r="J65" s="148">
        <f t="shared" si="6"/>
        <v>3.7206</v>
      </c>
      <c r="K65" s="193">
        <f t="shared" si="7"/>
        <v>0</v>
      </c>
      <c r="L65" s="193">
        <f t="shared" si="8"/>
        <v>0</v>
      </c>
      <c r="M65" s="193">
        <f t="shared" si="17"/>
        <v>3.7206</v>
      </c>
      <c r="N65" s="54">
        <f t="shared" si="18"/>
        <v>353.457</v>
      </c>
      <c r="O65" s="148">
        <f t="shared" si="9"/>
        <v>5.697</v>
      </c>
      <c r="P65" s="193">
        <f t="shared" si="10"/>
        <v>0</v>
      </c>
      <c r="Q65" s="193">
        <f t="shared" si="11"/>
        <v>5.697</v>
      </c>
      <c r="R65" s="54">
        <f t="shared" si="19"/>
        <v>0</v>
      </c>
      <c r="S65" s="148">
        <f t="shared" si="12"/>
        <v>8.044400000000001</v>
      </c>
      <c r="T65" s="151">
        <f t="shared" si="20"/>
        <v>0</v>
      </c>
      <c r="U65" s="4"/>
      <c r="V65" s="4"/>
      <c r="W65" s="4"/>
      <c r="X65" s="4"/>
    </row>
    <row r="66" spans="1:24" ht="13.5">
      <c r="A66" s="50" t="s">
        <v>49</v>
      </c>
      <c r="B66" s="148">
        <f t="shared" si="13"/>
        <v>0</v>
      </c>
      <c r="C66" s="193">
        <f t="shared" si="14"/>
        <v>0</v>
      </c>
      <c r="D66" s="193">
        <f aca="true" t="shared" si="22" ref="D66:D85">B66+C66</f>
        <v>0</v>
      </c>
      <c r="E66" s="54">
        <f t="shared" si="21"/>
        <v>0</v>
      </c>
      <c r="F66" s="148">
        <f t="shared" si="4"/>
        <v>73.36659999999999</v>
      </c>
      <c r="G66" s="151">
        <f t="shared" si="15"/>
        <v>0</v>
      </c>
      <c r="H66" s="148">
        <f t="shared" si="5"/>
        <v>0</v>
      </c>
      <c r="I66" s="151">
        <f t="shared" si="16"/>
        <v>0</v>
      </c>
      <c r="J66" s="148">
        <f t="shared" si="6"/>
        <v>5.62913</v>
      </c>
      <c r="K66" s="193">
        <f t="shared" si="7"/>
        <v>0</v>
      </c>
      <c r="L66" s="193">
        <f t="shared" si="8"/>
        <v>0</v>
      </c>
      <c r="M66" s="193">
        <f t="shared" si="17"/>
        <v>5.62913</v>
      </c>
      <c r="N66" s="54">
        <f t="shared" si="18"/>
        <v>534.76735</v>
      </c>
      <c r="O66" s="148">
        <f t="shared" si="9"/>
        <v>8.619349999999999</v>
      </c>
      <c r="P66" s="193">
        <f t="shared" si="10"/>
        <v>0</v>
      </c>
      <c r="Q66" s="193">
        <f t="shared" si="11"/>
        <v>8.619349999999999</v>
      </c>
      <c r="R66" s="54">
        <f t="shared" si="19"/>
        <v>0</v>
      </c>
      <c r="S66" s="148">
        <f t="shared" si="12"/>
        <v>0</v>
      </c>
      <c r="T66" s="151">
        <f t="shared" si="20"/>
        <v>0</v>
      </c>
      <c r="U66" s="4"/>
      <c r="V66" s="4"/>
      <c r="W66" s="4"/>
      <c r="X66" s="4"/>
    </row>
    <row r="67" spans="1:24" ht="13.5">
      <c r="A67" s="50" t="s">
        <v>11</v>
      </c>
      <c r="B67" s="148">
        <f t="shared" si="13"/>
        <v>0</v>
      </c>
      <c r="C67" s="193">
        <f t="shared" si="14"/>
        <v>0</v>
      </c>
      <c r="D67" s="193">
        <f t="shared" si="22"/>
        <v>0</v>
      </c>
      <c r="E67" s="54">
        <f t="shared" si="21"/>
        <v>0</v>
      </c>
      <c r="F67" s="148">
        <f t="shared" si="4"/>
        <v>38.165000000000006</v>
      </c>
      <c r="G67" s="151">
        <f t="shared" si="15"/>
        <v>0</v>
      </c>
      <c r="H67" s="148">
        <f t="shared" si="5"/>
        <v>0</v>
      </c>
      <c r="I67" s="151">
        <f t="shared" si="16"/>
        <v>0</v>
      </c>
      <c r="J67" s="148">
        <f t="shared" si="6"/>
        <v>2.9282500000000002</v>
      </c>
      <c r="K67" s="193">
        <f t="shared" si="7"/>
        <v>2.99376</v>
      </c>
      <c r="L67" s="193">
        <f t="shared" si="8"/>
        <v>0</v>
      </c>
      <c r="M67" s="193">
        <f t="shared" si="17"/>
        <v>5.92201</v>
      </c>
      <c r="N67" s="54">
        <f t="shared" si="18"/>
        <v>562.59095</v>
      </c>
      <c r="O67" s="148">
        <f t="shared" si="9"/>
        <v>4.483750000000001</v>
      </c>
      <c r="P67" s="193">
        <f t="shared" si="10"/>
        <v>4.3516</v>
      </c>
      <c r="Q67" s="193">
        <f t="shared" si="11"/>
        <v>8.835350000000002</v>
      </c>
      <c r="R67" s="54">
        <f t="shared" si="19"/>
        <v>0</v>
      </c>
      <c r="S67" s="148">
        <f t="shared" si="12"/>
        <v>121.849</v>
      </c>
      <c r="T67" s="151">
        <f t="shared" si="20"/>
        <v>0</v>
      </c>
      <c r="U67" s="4"/>
      <c r="V67" s="4"/>
      <c r="W67" s="4"/>
      <c r="X67" s="4"/>
    </row>
    <row r="68" spans="1:24" ht="13.5">
      <c r="A68" s="50" t="s">
        <v>20</v>
      </c>
      <c r="B68" s="148">
        <f t="shared" si="13"/>
        <v>0</v>
      </c>
      <c r="C68" s="193">
        <f t="shared" si="14"/>
        <v>0</v>
      </c>
      <c r="D68" s="193">
        <f t="shared" si="22"/>
        <v>0</v>
      </c>
      <c r="E68" s="54">
        <f t="shared" si="21"/>
        <v>0</v>
      </c>
      <c r="F68" s="148">
        <f t="shared" si="4"/>
        <v>124.373</v>
      </c>
      <c r="G68" s="151">
        <f t="shared" si="15"/>
        <v>0</v>
      </c>
      <c r="H68" s="148">
        <f t="shared" si="5"/>
        <v>0</v>
      </c>
      <c r="I68" s="151">
        <f t="shared" si="16"/>
        <v>0</v>
      </c>
      <c r="J68" s="148">
        <f t="shared" si="6"/>
        <v>9.542650000000002</v>
      </c>
      <c r="K68" s="193">
        <f t="shared" si="7"/>
        <v>7.17822</v>
      </c>
      <c r="L68" s="193">
        <f t="shared" si="8"/>
        <v>0</v>
      </c>
      <c r="M68" s="193">
        <f t="shared" si="17"/>
        <v>16.72087</v>
      </c>
      <c r="N68" s="54">
        <f t="shared" si="18"/>
        <v>1588.4826500000001</v>
      </c>
      <c r="O68" s="148">
        <f t="shared" si="9"/>
        <v>14.61175</v>
      </c>
      <c r="P68" s="193">
        <f t="shared" si="10"/>
        <v>10.433950000000001</v>
      </c>
      <c r="Q68" s="193">
        <f t="shared" si="11"/>
        <v>25.045700000000004</v>
      </c>
      <c r="R68" s="54">
        <f t="shared" si="19"/>
        <v>0</v>
      </c>
      <c r="S68" s="148">
        <f t="shared" si="12"/>
        <v>7.4984</v>
      </c>
      <c r="T68" s="151">
        <f t="shared" si="20"/>
        <v>0</v>
      </c>
      <c r="U68" s="4"/>
      <c r="V68" s="4"/>
      <c r="W68" s="4"/>
      <c r="X68" s="4"/>
    </row>
    <row r="69" spans="1:24" ht="13.5">
      <c r="A69" s="50" t="s">
        <v>21</v>
      </c>
      <c r="B69" s="148">
        <f t="shared" si="13"/>
        <v>0</v>
      </c>
      <c r="C69" s="193">
        <f t="shared" si="14"/>
        <v>0</v>
      </c>
      <c r="D69" s="193">
        <f t="shared" si="22"/>
        <v>0</v>
      </c>
      <c r="E69" s="54">
        <f t="shared" si="21"/>
        <v>0</v>
      </c>
      <c r="F69" s="148">
        <f t="shared" si="4"/>
        <v>18.9478</v>
      </c>
      <c r="G69" s="151">
        <f t="shared" si="15"/>
        <v>0</v>
      </c>
      <c r="H69" s="148">
        <f t="shared" si="5"/>
        <v>0</v>
      </c>
      <c r="I69" s="151">
        <f t="shared" si="16"/>
        <v>0</v>
      </c>
      <c r="J69" s="148">
        <f t="shared" si="6"/>
        <v>1.4537900000000001</v>
      </c>
      <c r="K69" s="193">
        <f t="shared" si="7"/>
        <v>0.40823999999999994</v>
      </c>
      <c r="L69" s="193">
        <f t="shared" si="8"/>
        <v>0</v>
      </c>
      <c r="M69" s="193">
        <f t="shared" si="17"/>
        <v>1.86203</v>
      </c>
      <c r="N69" s="54">
        <f t="shared" si="18"/>
        <v>176.89285</v>
      </c>
      <c r="O69" s="148">
        <f t="shared" si="9"/>
        <v>2.22605</v>
      </c>
      <c r="P69" s="193">
        <f t="shared" si="10"/>
        <v>0.5933999999999999</v>
      </c>
      <c r="Q69" s="193">
        <f aca="true" t="shared" si="23" ref="Q69:Q85">O69+P69</f>
        <v>2.81945</v>
      </c>
      <c r="R69" s="54">
        <f t="shared" si="19"/>
        <v>0</v>
      </c>
      <c r="S69" s="148">
        <f t="shared" si="12"/>
        <v>0.8917999999999999</v>
      </c>
      <c r="T69" s="151">
        <f t="shared" si="20"/>
        <v>0</v>
      </c>
      <c r="U69" s="4"/>
      <c r="V69" s="4"/>
      <c r="W69" s="4"/>
      <c r="X69" s="4"/>
    </row>
    <row r="70" spans="1:24" ht="13.5">
      <c r="A70" s="50" t="s">
        <v>63</v>
      </c>
      <c r="B70" s="148">
        <f t="shared" si="13"/>
        <v>0</v>
      </c>
      <c r="C70" s="193">
        <f t="shared" si="14"/>
        <v>0</v>
      </c>
      <c r="D70" s="193">
        <f t="shared" si="22"/>
        <v>0</v>
      </c>
      <c r="E70" s="54">
        <f t="shared" si="21"/>
        <v>0</v>
      </c>
      <c r="F70" s="148">
        <f t="shared" si="4"/>
        <v>28.736</v>
      </c>
      <c r="G70" s="151">
        <f t="shared" si="15"/>
        <v>0</v>
      </c>
      <c r="H70" s="148">
        <f t="shared" si="5"/>
        <v>0</v>
      </c>
      <c r="I70" s="151">
        <f t="shared" si="16"/>
        <v>0</v>
      </c>
      <c r="J70" s="148">
        <f t="shared" si="6"/>
        <v>2.2048</v>
      </c>
      <c r="K70" s="193">
        <f t="shared" si="7"/>
        <v>0</v>
      </c>
      <c r="L70" s="193">
        <f t="shared" si="8"/>
        <v>0</v>
      </c>
      <c r="M70" s="193">
        <f t="shared" si="17"/>
        <v>2.2048</v>
      </c>
      <c r="N70" s="54">
        <f t="shared" si="18"/>
        <v>209.45600000000002</v>
      </c>
      <c r="O70" s="148">
        <f t="shared" si="9"/>
        <v>3.376</v>
      </c>
      <c r="P70" s="193">
        <f t="shared" si="10"/>
        <v>0</v>
      </c>
      <c r="Q70" s="193">
        <f t="shared" si="23"/>
        <v>3.376</v>
      </c>
      <c r="R70" s="54">
        <f t="shared" si="19"/>
        <v>0</v>
      </c>
      <c r="S70" s="148">
        <f t="shared" si="12"/>
        <v>0</v>
      </c>
      <c r="T70" s="151">
        <f t="shared" si="20"/>
        <v>0</v>
      </c>
      <c r="U70" s="4"/>
      <c r="V70" s="4"/>
      <c r="W70" s="4"/>
      <c r="X70" s="4"/>
    </row>
    <row r="71" spans="1:24" ht="13.5">
      <c r="A71" s="50" t="s">
        <v>48</v>
      </c>
      <c r="B71" s="148">
        <f t="shared" si="13"/>
        <v>0</v>
      </c>
      <c r="C71" s="193">
        <f t="shared" si="14"/>
        <v>0</v>
      </c>
      <c r="D71" s="193">
        <f t="shared" si="22"/>
        <v>0</v>
      </c>
      <c r="E71" s="54">
        <f t="shared" si="21"/>
        <v>0</v>
      </c>
      <c r="F71" s="148">
        <f t="shared" si="4"/>
        <v>16.5232</v>
      </c>
      <c r="G71" s="151">
        <f t="shared" si="15"/>
        <v>0</v>
      </c>
      <c r="H71" s="148">
        <f t="shared" si="5"/>
        <v>0</v>
      </c>
      <c r="I71" s="151">
        <f t="shared" si="16"/>
        <v>0</v>
      </c>
      <c r="J71" s="148">
        <f t="shared" si="6"/>
        <v>1.26776</v>
      </c>
      <c r="K71" s="193">
        <f t="shared" si="7"/>
        <v>0</v>
      </c>
      <c r="L71" s="193">
        <f t="shared" si="8"/>
        <v>0</v>
      </c>
      <c r="M71" s="193">
        <f t="shared" si="17"/>
        <v>1.26776</v>
      </c>
      <c r="N71" s="54">
        <f t="shared" si="18"/>
        <v>120.4372</v>
      </c>
      <c r="O71" s="148">
        <f t="shared" si="9"/>
        <v>1.9412</v>
      </c>
      <c r="P71" s="193">
        <f t="shared" si="10"/>
        <v>0</v>
      </c>
      <c r="Q71" s="193">
        <f t="shared" si="23"/>
        <v>1.9412</v>
      </c>
      <c r="R71" s="54">
        <f t="shared" si="19"/>
        <v>0</v>
      </c>
      <c r="S71" s="148">
        <f t="shared" si="12"/>
        <v>0</v>
      </c>
      <c r="T71" s="151">
        <f t="shared" si="20"/>
        <v>0</v>
      </c>
      <c r="U71" s="4"/>
      <c r="V71" s="4"/>
      <c r="W71" s="4"/>
      <c r="X71" s="4"/>
    </row>
    <row r="72" spans="1:24" ht="13.5">
      <c r="A72" s="50" t="s">
        <v>32</v>
      </c>
      <c r="B72" s="148">
        <f t="shared" si="13"/>
        <v>0</v>
      </c>
      <c r="C72" s="193">
        <f t="shared" si="14"/>
        <v>0</v>
      </c>
      <c r="D72" s="193">
        <f t="shared" si="22"/>
        <v>0</v>
      </c>
      <c r="E72" s="54">
        <f t="shared" si="21"/>
        <v>0</v>
      </c>
      <c r="F72" s="148">
        <f aca="true" t="shared" si="24" ref="F72:F86">B40*$D$12</f>
        <v>104.7966</v>
      </c>
      <c r="G72" s="151">
        <f t="shared" si="15"/>
        <v>0</v>
      </c>
      <c r="H72" s="148">
        <f t="shared" si="5"/>
        <v>0</v>
      </c>
      <c r="I72" s="151">
        <f t="shared" si="16"/>
        <v>0</v>
      </c>
      <c r="J72" s="148">
        <f t="shared" si="6"/>
        <v>8.04063</v>
      </c>
      <c r="K72" s="193">
        <f t="shared" si="7"/>
        <v>0</v>
      </c>
      <c r="L72" s="193">
        <f t="shared" si="8"/>
        <v>0</v>
      </c>
      <c r="M72" s="193">
        <f t="shared" si="17"/>
        <v>8.04063</v>
      </c>
      <c r="N72" s="54">
        <f t="shared" si="18"/>
        <v>763.85985</v>
      </c>
      <c r="O72" s="148">
        <f t="shared" si="9"/>
        <v>12.31185</v>
      </c>
      <c r="P72" s="193">
        <f t="shared" si="10"/>
        <v>0</v>
      </c>
      <c r="Q72" s="193">
        <f t="shared" si="23"/>
        <v>12.31185</v>
      </c>
      <c r="R72" s="54">
        <f t="shared" si="19"/>
        <v>0</v>
      </c>
      <c r="S72" s="148">
        <f t="shared" si="12"/>
        <v>34.1432</v>
      </c>
      <c r="T72" s="151">
        <f t="shared" si="20"/>
        <v>0</v>
      </c>
      <c r="U72" s="4"/>
      <c r="V72" s="4"/>
      <c r="W72" s="4"/>
      <c r="X72" s="4"/>
    </row>
    <row r="73" spans="1:24" ht="13.5">
      <c r="A73" s="50" t="s">
        <v>17</v>
      </c>
      <c r="B73" s="148">
        <f t="shared" si="13"/>
        <v>0</v>
      </c>
      <c r="C73" s="193">
        <f t="shared" si="14"/>
        <v>0</v>
      </c>
      <c r="D73" s="193">
        <f t="shared" si="22"/>
        <v>0</v>
      </c>
      <c r="E73" s="54">
        <f t="shared" si="21"/>
        <v>0</v>
      </c>
      <c r="F73" s="148">
        <f t="shared" si="24"/>
        <v>22.450000000000003</v>
      </c>
      <c r="G73" s="151">
        <f t="shared" si="15"/>
        <v>0</v>
      </c>
      <c r="H73" s="148">
        <f t="shared" si="5"/>
        <v>39.744899999999994</v>
      </c>
      <c r="I73" s="151">
        <f t="shared" si="16"/>
        <v>0</v>
      </c>
      <c r="J73" s="148">
        <f t="shared" si="6"/>
        <v>1.7225000000000001</v>
      </c>
      <c r="K73" s="193">
        <f t="shared" si="7"/>
        <v>0</v>
      </c>
      <c r="L73" s="193">
        <f t="shared" si="8"/>
        <v>0</v>
      </c>
      <c r="M73" s="193">
        <f t="shared" si="17"/>
        <v>1.7225000000000001</v>
      </c>
      <c r="N73" s="54">
        <f t="shared" si="18"/>
        <v>163.63750000000002</v>
      </c>
      <c r="O73" s="148">
        <f t="shared" si="9"/>
        <v>2.6375</v>
      </c>
      <c r="P73" s="193">
        <f t="shared" si="10"/>
        <v>0</v>
      </c>
      <c r="Q73" s="193">
        <f t="shared" si="23"/>
        <v>2.6375</v>
      </c>
      <c r="R73" s="54">
        <f t="shared" si="19"/>
        <v>0</v>
      </c>
      <c r="S73" s="148">
        <f t="shared" si="12"/>
        <v>0</v>
      </c>
      <c r="T73" s="151">
        <f t="shared" si="20"/>
        <v>0</v>
      </c>
      <c r="U73" s="4"/>
      <c r="V73" s="4"/>
      <c r="W73" s="4"/>
      <c r="X73" s="4"/>
    </row>
    <row r="74" spans="1:24" ht="13.5">
      <c r="A74" s="50" t="s">
        <v>163</v>
      </c>
      <c r="B74" s="148">
        <f t="shared" si="13"/>
        <v>0</v>
      </c>
      <c r="C74" s="193">
        <f t="shared" si="14"/>
        <v>0</v>
      </c>
      <c r="D74" s="193">
        <f>B74+C74</f>
        <v>0</v>
      </c>
      <c r="E74" s="54">
        <f>D74*$E$61</f>
        <v>0</v>
      </c>
      <c r="F74" s="148">
        <f t="shared" si="24"/>
        <v>12.3026</v>
      </c>
      <c r="G74" s="151">
        <f>F74*$G$61</f>
        <v>0</v>
      </c>
      <c r="H74" s="148">
        <f aca="true" t="shared" si="25" ref="H74:H86">C42*$E$14</f>
        <v>0</v>
      </c>
      <c r="I74" s="151">
        <f>H74*$I$61</f>
        <v>0</v>
      </c>
      <c r="J74" s="148">
        <f aca="true" t="shared" si="26" ref="J74:J86">B42*$F$12</f>
        <v>0.9439300000000002</v>
      </c>
      <c r="K74" s="193">
        <f aca="true" t="shared" si="27" ref="K74:K86">D42*$F$15</f>
        <v>0</v>
      </c>
      <c r="L74" s="193">
        <f aca="true" t="shared" si="28" ref="L74:L86">E42*$F$16</f>
        <v>0</v>
      </c>
      <c r="M74" s="193">
        <f>J74+K74+L74</f>
        <v>0.9439300000000002</v>
      </c>
      <c r="N74" s="54">
        <f>M74*$N$61</f>
        <v>89.67335000000001</v>
      </c>
      <c r="O74" s="148">
        <f aca="true" t="shared" si="29" ref="O74:O86">B42*$G$12</f>
        <v>1.4453500000000001</v>
      </c>
      <c r="P74" s="193">
        <f aca="true" t="shared" si="30" ref="P74:P86">D42*$G$15</f>
        <v>0</v>
      </c>
      <c r="Q74" s="193">
        <f>O74+P74</f>
        <v>1.4453500000000001</v>
      </c>
      <c r="R74" s="54">
        <f>Q74*$R$61</f>
        <v>0</v>
      </c>
      <c r="S74" s="148">
        <f t="shared" si="12"/>
        <v>0</v>
      </c>
      <c r="T74" s="151">
        <f t="shared" si="20"/>
        <v>0</v>
      </c>
      <c r="U74" s="4"/>
      <c r="V74" s="4"/>
      <c r="W74" s="4"/>
      <c r="X74" s="4"/>
    </row>
    <row r="75" spans="1:24" ht="13.5">
      <c r="A75" s="50" t="s">
        <v>12</v>
      </c>
      <c r="B75" s="148">
        <f t="shared" si="13"/>
        <v>0</v>
      </c>
      <c r="C75" s="193">
        <f t="shared" si="14"/>
        <v>0</v>
      </c>
      <c r="D75" s="193">
        <f t="shared" si="22"/>
        <v>0</v>
      </c>
      <c r="E75" s="54">
        <f t="shared" si="21"/>
        <v>0</v>
      </c>
      <c r="F75" s="148">
        <f t="shared" si="24"/>
        <v>35.6506</v>
      </c>
      <c r="G75" s="151">
        <f t="shared" si="15"/>
        <v>0</v>
      </c>
      <c r="H75" s="148">
        <f t="shared" si="25"/>
        <v>22.7283</v>
      </c>
      <c r="I75" s="151">
        <f t="shared" si="16"/>
        <v>0</v>
      </c>
      <c r="J75" s="148">
        <f t="shared" si="26"/>
        <v>2.7353300000000003</v>
      </c>
      <c r="K75" s="193">
        <f t="shared" si="27"/>
        <v>3.6061199999999998</v>
      </c>
      <c r="L75" s="193">
        <f t="shared" si="28"/>
        <v>11.57646</v>
      </c>
      <c r="M75" s="193">
        <f t="shared" si="17"/>
        <v>17.91791</v>
      </c>
      <c r="N75" s="54">
        <f t="shared" si="18"/>
        <v>1702.20145</v>
      </c>
      <c r="O75" s="148">
        <f t="shared" si="29"/>
        <v>4.18835</v>
      </c>
      <c r="P75" s="193">
        <f t="shared" si="30"/>
        <v>5.2417</v>
      </c>
      <c r="Q75" s="193">
        <f t="shared" si="23"/>
        <v>9.43005</v>
      </c>
      <c r="R75" s="54">
        <f t="shared" si="19"/>
        <v>0</v>
      </c>
      <c r="S75" s="148">
        <f t="shared" si="12"/>
        <v>0</v>
      </c>
      <c r="T75" s="151">
        <f t="shared" si="20"/>
        <v>0</v>
      </c>
      <c r="U75" s="4"/>
      <c r="V75" s="4"/>
      <c r="W75" s="4"/>
      <c r="X75" s="4"/>
    </row>
    <row r="76" spans="1:24" ht="13.5">
      <c r="A76" s="50" t="s">
        <v>13</v>
      </c>
      <c r="B76" s="148">
        <f t="shared" si="13"/>
        <v>0</v>
      </c>
      <c r="C76" s="193">
        <f t="shared" si="14"/>
        <v>0</v>
      </c>
      <c r="D76" s="193">
        <f t="shared" si="22"/>
        <v>0</v>
      </c>
      <c r="E76" s="54">
        <f t="shared" si="21"/>
        <v>0</v>
      </c>
      <c r="F76" s="148">
        <f t="shared" si="24"/>
        <v>16.7926</v>
      </c>
      <c r="G76" s="151">
        <f t="shared" si="15"/>
        <v>0</v>
      </c>
      <c r="H76" s="148">
        <f t="shared" si="25"/>
        <v>3.4838999999999998</v>
      </c>
      <c r="I76" s="151">
        <f t="shared" si="16"/>
        <v>0</v>
      </c>
      <c r="J76" s="148">
        <f t="shared" si="26"/>
        <v>1.2884300000000002</v>
      </c>
      <c r="K76" s="193">
        <f t="shared" si="27"/>
        <v>0</v>
      </c>
      <c r="L76" s="193">
        <f t="shared" si="28"/>
        <v>0</v>
      </c>
      <c r="M76" s="193">
        <f t="shared" si="17"/>
        <v>1.2884300000000002</v>
      </c>
      <c r="N76" s="54">
        <f t="shared" si="18"/>
        <v>122.40085000000002</v>
      </c>
      <c r="O76" s="148">
        <f t="shared" si="29"/>
        <v>1.9728500000000002</v>
      </c>
      <c r="P76" s="193">
        <f t="shared" si="30"/>
        <v>0</v>
      </c>
      <c r="Q76" s="193">
        <f t="shared" si="23"/>
        <v>1.9728500000000002</v>
      </c>
      <c r="R76" s="54">
        <f t="shared" si="19"/>
        <v>0</v>
      </c>
      <c r="S76" s="148">
        <f t="shared" si="12"/>
        <v>0</v>
      </c>
      <c r="T76" s="151">
        <f t="shared" si="20"/>
        <v>0</v>
      </c>
      <c r="U76" s="4"/>
      <c r="V76" s="4"/>
      <c r="W76" s="4"/>
      <c r="X76" s="4"/>
    </row>
    <row r="77" spans="1:24" ht="13.5">
      <c r="A77" s="50" t="s">
        <v>9</v>
      </c>
      <c r="B77" s="148">
        <f t="shared" si="13"/>
        <v>0</v>
      </c>
      <c r="C77" s="193">
        <f t="shared" si="14"/>
        <v>0</v>
      </c>
      <c r="D77" s="193">
        <f t="shared" si="22"/>
        <v>0</v>
      </c>
      <c r="E77" s="54">
        <f t="shared" si="21"/>
        <v>0</v>
      </c>
      <c r="F77" s="148">
        <f t="shared" si="24"/>
        <v>48.1328</v>
      </c>
      <c r="G77" s="151">
        <f t="shared" si="15"/>
        <v>0</v>
      </c>
      <c r="H77" s="148">
        <f t="shared" si="25"/>
        <v>72.6168</v>
      </c>
      <c r="I77" s="151">
        <f t="shared" si="16"/>
        <v>0</v>
      </c>
      <c r="J77" s="148">
        <f t="shared" si="26"/>
        <v>3.6930400000000003</v>
      </c>
      <c r="K77" s="193">
        <f t="shared" si="27"/>
        <v>0</v>
      </c>
      <c r="L77" s="193">
        <f t="shared" si="28"/>
        <v>46.12524</v>
      </c>
      <c r="M77" s="193">
        <f t="shared" si="17"/>
        <v>49.81828</v>
      </c>
      <c r="N77" s="54">
        <f t="shared" si="18"/>
        <v>4732.7366</v>
      </c>
      <c r="O77" s="148">
        <f t="shared" si="29"/>
        <v>5.6548</v>
      </c>
      <c r="P77" s="193">
        <f t="shared" si="30"/>
        <v>0</v>
      </c>
      <c r="Q77" s="193">
        <f t="shared" si="23"/>
        <v>5.6548</v>
      </c>
      <c r="R77" s="54">
        <f t="shared" si="19"/>
        <v>0</v>
      </c>
      <c r="S77" s="148">
        <f t="shared" si="12"/>
        <v>0</v>
      </c>
      <c r="T77" s="151">
        <f t="shared" si="20"/>
        <v>0</v>
      </c>
      <c r="U77" s="4"/>
      <c r="V77" s="4"/>
      <c r="W77" s="4"/>
      <c r="X77" s="4"/>
    </row>
    <row r="78" spans="1:24" ht="13.5">
      <c r="A78" s="50" t="s">
        <v>14</v>
      </c>
      <c r="B78" s="148">
        <f t="shared" si="13"/>
        <v>0</v>
      </c>
      <c r="C78" s="193">
        <f t="shared" si="14"/>
        <v>0</v>
      </c>
      <c r="D78" s="193">
        <f t="shared" si="22"/>
        <v>0</v>
      </c>
      <c r="E78" s="54">
        <f t="shared" si="21"/>
        <v>0</v>
      </c>
      <c r="F78" s="148">
        <f t="shared" si="24"/>
        <v>17.2416</v>
      </c>
      <c r="G78" s="151">
        <f t="shared" si="15"/>
        <v>0</v>
      </c>
      <c r="H78" s="148">
        <f t="shared" si="25"/>
        <v>0</v>
      </c>
      <c r="I78" s="151">
        <f t="shared" si="16"/>
        <v>0</v>
      </c>
      <c r="J78" s="148">
        <f t="shared" si="26"/>
        <v>1.32288</v>
      </c>
      <c r="K78" s="193">
        <f t="shared" si="27"/>
        <v>9.1854</v>
      </c>
      <c r="L78" s="193">
        <f t="shared" si="28"/>
        <v>0</v>
      </c>
      <c r="M78" s="193">
        <f t="shared" si="17"/>
        <v>10.50828</v>
      </c>
      <c r="N78" s="54">
        <f t="shared" si="18"/>
        <v>998.2865999999999</v>
      </c>
      <c r="O78" s="148">
        <f t="shared" si="29"/>
        <v>2.0256</v>
      </c>
      <c r="P78" s="193">
        <f t="shared" si="30"/>
        <v>13.3515</v>
      </c>
      <c r="Q78" s="193">
        <f t="shared" si="23"/>
        <v>15.377099999999999</v>
      </c>
      <c r="R78" s="54">
        <f t="shared" si="19"/>
        <v>0</v>
      </c>
      <c r="S78" s="148">
        <f t="shared" si="12"/>
        <v>0.091</v>
      </c>
      <c r="T78" s="151">
        <f t="shared" si="20"/>
        <v>0</v>
      </c>
      <c r="U78" s="4"/>
      <c r="V78" s="4"/>
      <c r="W78" s="4"/>
      <c r="X78" s="4"/>
    </row>
    <row r="79" spans="1:24" ht="13.5">
      <c r="A79" s="50" t="s">
        <v>15</v>
      </c>
      <c r="B79" s="148">
        <f t="shared" si="13"/>
        <v>0</v>
      </c>
      <c r="C79" s="193">
        <f t="shared" si="14"/>
        <v>0</v>
      </c>
      <c r="D79" s="193">
        <f t="shared" si="22"/>
        <v>0</v>
      </c>
      <c r="E79" s="54">
        <f t="shared" si="21"/>
        <v>0</v>
      </c>
      <c r="F79" s="148">
        <f t="shared" si="24"/>
        <v>36.4588</v>
      </c>
      <c r="G79" s="151">
        <f t="shared" si="15"/>
        <v>0</v>
      </c>
      <c r="H79" s="148">
        <f t="shared" si="25"/>
        <v>0</v>
      </c>
      <c r="I79" s="151">
        <f t="shared" si="16"/>
        <v>0</v>
      </c>
      <c r="J79" s="148">
        <f t="shared" si="26"/>
        <v>2.79734</v>
      </c>
      <c r="K79" s="193">
        <f t="shared" si="27"/>
        <v>3.2319</v>
      </c>
      <c r="L79" s="193">
        <f t="shared" si="28"/>
        <v>0.51471</v>
      </c>
      <c r="M79" s="193">
        <f t="shared" si="17"/>
        <v>6.54395</v>
      </c>
      <c r="N79" s="54">
        <f t="shared" si="18"/>
        <v>621.67525</v>
      </c>
      <c r="O79" s="148">
        <f t="shared" si="29"/>
        <v>4.2833</v>
      </c>
      <c r="P79" s="193">
        <f t="shared" si="30"/>
        <v>4.69775</v>
      </c>
      <c r="Q79" s="193">
        <f t="shared" si="23"/>
        <v>8.98105</v>
      </c>
      <c r="R79" s="54">
        <f t="shared" si="19"/>
        <v>0</v>
      </c>
      <c r="S79" s="148">
        <f t="shared" si="12"/>
        <v>9.4822</v>
      </c>
      <c r="T79" s="151">
        <f t="shared" si="20"/>
        <v>0</v>
      </c>
      <c r="U79" s="4"/>
      <c r="V79" s="4"/>
      <c r="W79" s="4"/>
      <c r="X79" s="4"/>
    </row>
    <row r="80" spans="1:24" ht="13.5">
      <c r="A80" s="50" t="s">
        <v>10</v>
      </c>
      <c r="B80" s="148">
        <f t="shared" si="13"/>
        <v>0</v>
      </c>
      <c r="C80" s="193">
        <f t="shared" si="14"/>
        <v>0</v>
      </c>
      <c r="D80" s="193">
        <f t="shared" si="22"/>
        <v>0</v>
      </c>
      <c r="E80" s="54">
        <f t="shared" si="21"/>
        <v>0</v>
      </c>
      <c r="F80" s="148">
        <f t="shared" si="24"/>
        <v>41.308</v>
      </c>
      <c r="G80" s="151">
        <f t="shared" si="15"/>
        <v>0</v>
      </c>
      <c r="H80" s="148">
        <f t="shared" si="25"/>
        <v>38.7021</v>
      </c>
      <c r="I80" s="151">
        <f t="shared" si="16"/>
        <v>0</v>
      </c>
      <c r="J80" s="148">
        <f t="shared" si="26"/>
        <v>3.1694</v>
      </c>
      <c r="K80" s="193">
        <f t="shared" si="27"/>
        <v>0</v>
      </c>
      <c r="L80" s="193">
        <f t="shared" si="28"/>
        <v>0</v>
      </c>
      <c r="M80" s="193">
        <f t="shared" si="17"/>
        <v>3.1694</v>
      </c>
      <c r="N80" s="54">
        <f t="shared" si="18"/>
        <v>301.093</v>
      </c>
      <c r="O80" s="148">
        <f t="shared" si="29"/>
        <v>4.853</v>
      </c>
      <c r="P80" s="193">
        <f t="shared" si="30"/>
        <v>0</v>
      </c>
      <c r="Q80" s="193">
        <f t="shared" si="23"/>
        <v>4.853</v>
      </c>
      <c r="R80" s="54">
        <f t="shared" si="19"/>
        <v>0</v>
      </c>
      <c r="S80" s="148">
        <f t="shared" si="12"/>
        <v>0</v>
      </c>
      <c r="T80" s="151">
        <f t="shared" si="20"/>
        <v>0</v>
      </c>
      <c r="U80" s="4"/>
      <c r="V80" s="4"/>
      <c r="W80" s="4"/>
      <c r="X80" s="4"/>
    </row>
    <row r="81" spans="1:24" ht="13.5">
      <c r="A81" s="50" t="s">
        <v>8</v>
      </c>
      <c r="B81" s="148">
        <f t="shared" si="13"/>
        <v>0</v>
      </c>
      <c r="C81" s="193">
        <f t="shared" si="14"/>
        <v>0</v>
      </c>
      <c r="D81" s="193">
        <f t="shared" si="22"/>
        <v>0</v>
      </c>
      <c r="E81" s="54">
        <f t="shared" si="21"/>
        <v>0</v>
      </c>
      <c r="F81" s="148">
        <f t="shared" si="24"/>
        <v>58.1904</v>
      </c>
      <c r="G81" s="151">
        <f t="shared" si="15"/>
        <v>0</v>
      </c>
      <c r="H81" s="148">
        <f t="shared" si="25"/>
        <v>33.18</v>
      </c>
      <c r="I81" s="151">
        <f t="shared" si="16"/>
        <v>0</v>
      </c>
      <c r="J81" s="148">
        <f t="shared" si="26"/>
        <v>4.46472</v>
      </c>
      <c r="K81" s="193">
        <f t="shared" si="27"/>
        <v>217.08162</v>
      </c>
      <c r="L81" s="193">
        <f t="shared" si="28"/>
        <v>28.408379999999998</v>
      </c>
      <c r="M81" s="193">
        <f t="shared" si="17"/>
        <v>249.95471999999998</v>
      </c>
      <c r="N81" s="54">
        <f t="shared" si="18"/>
        <v>23745.698399999997</v>
      </c>
      <c r="O81" s="148">
        <f t="shared" si="29"/>
        <v>6.836399999999999</v>
      </c>
      <c r="P81" s="193">
        <f t="shared" si="30"/>
        <v>315.54045</v>
      </c>
      <c r="Q81" s="193">
        <f t="shared" si="23"/>
        <v>322.37685000000005</v>
      </c>
      <c r="R81" s="54">
        <f t="shared" si="19"/>
        <v>0</v>
      </c>
      <c r="S81" s="148">
        <f t="shared" si="12"/>
        <v>0</v>
      </c>
      <c r="T81" s="151">
        <f t="shared" si="20"/>
        <v>0</v>
      </c>
      <c r="U81" s="4"/>
      <c r="V81" s="4"/>
      <c r="W81" s="4"/>
      <c r="X81" s="4"/>
    </row>
    <row r="82" spans="1:24" ht="13.5">
      <c r="A82" s="50" t="s">
        <v>18</v>
      </c>
      <c r="B82" s="148">
        <f t="shared" si="13"/>
        <v>0</v>
      </c>
      <c r="C82" s="193">
        <f t="shared" si="14"/>
        <v>0</v>
      </c>
      <c r="D82" s="193">
        <f t="shared" si="22"/>
        <v>0</v>
      </c>
      <c r="E82" s="54">
        <f t="shared" si="21"/>
        <v>0</v>
      </c>
      <c r="F82" s="148">
        <f t="shared" si="24"/>
        <v>2.4246000000000003</v>
      </c>
      <c r="G82" s="151">
        <f t="shared" si="15"/>
        <v>0</v>
      </c>
      <c r="H82" s="148">
        <f t="shared" si="25"/>
        <v>1.2324</v>
      </c>
      <c r="I82" s="151">
        <f t="shared" si="16"/>
        <v>0</v>
      </c>
      <c r="J82" s="148">
        <f t="shared" si="26"/>
        <v>0.18603000000000003</v>
      </c>
      <c r="K82" s="193">
        <f t="shared" si="27"/>
        <v>8.607059999999999</v>
      </c>
      <c r="L82" s="193">
        <f t="shared" si="28"/>
        <v>1.12875</v>
      </c>
      <c r="M82" s="193">
        <f t="shared" si="17"/>
        <v>9.92184</v>
      </c>
      <c r="N82" s="54">
        <f t="shared" si="18"/>
        <v>942.5748</v>
      </c>
      <c r="O82" s="148">
        <f t="shared" si="29"/>
        <v>0.28485</v>
      </c>
      <c r="P82" s="193">
        <f t="shared" si="30"/>
        <v>12.51085</v>
      </c>
      <c r="Q82" s="193">
        <f t="shared" si="23"/>
        <v>12.7957</v>
      </c>
      <c r="R82" s="54">
        <f t="shared" si="19"/>
        <v>0</v>
      </c>
      <c r="S82" s="148">
        <f t="shared" si="12"/>
        <v>0</v>
      </c>
      <c r="T82" s="151">
        <f t="shared" si="20"/>
        <v>0</v>
      </c>
      <c r="U82" s="4"/>
      <c r="V82" s="4"/>
      <c r="W82" s="4"/>
      <c r="X82" s="4"/>
    </row>
    <row r="83" spans="1:24" ht="13.5">
      <c r="A83" s="50" t="s">
        <v>146</v>
      </c>
      <c r="B83" s="148">
        <f t="shared" si="13"/>
        <v>0</v>
      </c>
      <c r="C83" s="193">
        <f t="shared" si="14"/>
        <v>0</v>
      </c>
      <c r="D83" s="193">
        <f>B83+C83</f>
        <v>0</v>
      </c>
      <c r="E83" s="54">
        <f>D83*$E$61</f>
        <v>0</v>
      </c>
      <c r="F83" s="148">
        <f t="shared" si="24"/>
        <v>5.0288</v>
      </c>
      <c r="G83" s="151">
        <f>F83*$G$61</f>
        <v>0</v>
      </c>
      <c r="H83" s="148">
        <f t="shared" si="25"/>
        <v>1.1613</v>
      </c>
      <c r="I83" s="151">
        <f>H83*$I$61</f>
        <v>0</v>
      </c>
      <c r="J83" s="148">
        <f t="shared" si="26"/>
        <v>0.38584</v>
      </c>
      <c r="K83" s="193">
        <f t="shared" si="27"/>
        <v>30.788099999999996</v>
      </c>
      <c r="L83" s="193">
        <f t="shared" si="28"/>
        <v>0</v>
      </c>
      <c r="M83" s="193">
        <f>J83+K83+L83</f>
        <v>31.173939999999998</v>
      </c>
      <c r="N83" s="54">
        <f>M83*$N$61</f>
        <v>2961.5243</v>
      </c>
      <c r="O83" s="148">
        <f t="shared" si="29"/>
        <v>0.5908</v>
      </c>
      <c r="P83" s="193">
        <f t="shared" si="30"/>
        <v>44.75225</v>
      </c>
      <c r="Q83" s="193">
        <f>O83+P83</f>
        <v>45.34305</v>
      </c>
      <c r="R83" s="54">
        <f>Q83*$R$61</f>
        <v>0</v>
      </c>
      <c r="S83" s="148">
        <f t="shared" si="12"/>
        <v>0</v>
      </c>
      <c r="T83" s="151">
        <f t="shared" si="20"/>
        <v>0</v>
      </c>
      <c r="U83" s="4"/>
      <c r="V83" s="4"/>
      <c r="W83" s="4"/>
      <c r="X83" s="4"/>
    </row>
    <row r="84" spans="1:24" ht="13.5">
      <c r="A84" s="50" t="s">
        <v>147</v>
      </c>
      <c r="B84" s="148">
        <f t="shared" si="13"/>
        <v>0</v>
      </c>
      <c r="C84" s="193">
        <f t="shared" si="14"/>
        <v>0</v>
      </c>
      <c r="D84" s="193">
        <f t="shared" si="22"/>
        <v>0</v>
      </c>
      <c r="E84" s="54">
        <f t="shared" si="21"/>
        <v>0</v>
      </c>
      <c r="F84" s="148">
        <f t="shared" si="24"/>
        <v>3.7716</v>
      </c>
      <c r="G84" s="151">
        <f t="shared" si="15"/>
        <v>0</v>
      </c>
      <c r="H84" s="148">
        <f t="shared" si="25"/>
        <v>2.2278000000000002</v>
      </c>
      <c r="I84" s="151">
        <f t="shared" si="16"/>
        <v>0</v>
      </c>
      <c r="J84" s="148">
        <f t="shared" si="26"/>
        <v>0.28938</v>
      </c>
      <c r="K84" s="193">
        <f t="shared" si="27"/>
        <v>0.20411999999999997</v>
      </c>
      <c r="L84" s="193">
        <f t="shared" si="28"/>
        <v>1.06554</v>
      </c>
      <c r="M84" s="193">
        <f t="shared" si="17"/>
        <v>1.55904</v>
      </c>
      <c r="N84" s="54">
        <f t="shared" si="18"/>
        <v>148.1088</v>
      </c>
      <c r="O84" s="148">
        <f t="shared" si="29"/>
        <v>0.4431</v>
      </c>
      <c r="P84" s="193">
        <f t="shared" si="30"/>
        <v>0.29669999999999996</v>
      </c>
      <c r="Q84" s="193">
        <f t="shared" si="23"/>
        <v>0.7398</v>
      </c>
      <c r="R84" s="54">
        <f t="shared" si="19"/>
        <v>0</v>
      </c>
      <c r="S84" s="148">
        <f t="shared" si="12"/>
        <v>0</v>
      </c>
      <c r="T84" s="151">
        <f t="shared" si="20"/>
        <v>0</v>
      </c>
      <c r="U84" s="4"/>
      <c r="V84" s="4"/>
      <c r="W84" s="4"/>
      <c r="X84" s="4"/>
    </row>
    <row r="85" spans="1:24" ht="13.5">
      <c r="A85" s="50" t="s">
        <v>127</v>
      </c>
      <c r="B85" s="148">
        <f t="shared" si="13"/>
        <v>0</v>
      </c>
      <c r="C85" s="193">
        <f t="shared" si="14"/>
        <v>0</v>
      </c>
      <c r="D85" s="193">
        <f t="shared" si="22"/>
        <v>0</v>
      </c>
      <c r="E85" s="54">
        <f t="shared" si="21"/>
        <v>0</v>
      </c>
      <c r="F85" s="148">
        <f t="shared" si="24"/>
        <v>1.796</v>
      </c>
      <c r="G85" s="151">
        <f t="shared" si="15"/>
        <v>0</v>
      </c>
      <c r="H85" s="148">
        <f t="shared" si="25"/>
        <v>0.6872999999999999</v>
      </c>
      <c r="I85" s="151">
        <f t="shared" si="16"/>
        <v>0</v>
      </c>
      <c r="J85" s="148">
        <f t="shared" si="26"/>
        <v>0.1378</v>
      </c>
      <c r="K85" s="193">
        <f t="shared" si="27"/>
        <v>6.531839999999999</v>
      </c>
      <c r="L85" s="193">
        <f t="shared" si="28"/>
        <v>0.7675500000000001</v>
      </c>
      <c r="M85" s="193">
        <f t="shared" si="17"/>
        <v>7.437189999999999</v>
      </c>
      <c r="N85" s="54">
        <f t="shared" si="18"/>
        <v>706.5330499999999</v>
      </c>
      <c r="O85" s="148">
        <f t="shared" si="29"/>
        <v>0.211</v>
      </c>
      <c r="P85" s="193">
        <f t="shared" si="30"/>
        <v>9.494399999999999</v>
      </c>
      <c r="Q85" s="193">
        <f t="shared" si="23"/>
        <v>9.7054</v>
      </c>
      <c r="R85" s="54">
        <f t="shared" si="19"/>
        <v>0</v>
      </c>
      <c r="S85" s="148">
        <f t="shared" si="12"/>
        <v>0</v>
      </c>
      <c r="T85" s="151">
        <f t="shared" si="20"/>
        <v>0</v>
      </c>
      <c r="U85" s="4"/>
      <c r="V85" s="4"/>
      <c r="W85" s="4"/>
      <c r="X85" s="4"/>
    </row>
    <row r="86" spans="1:24" ht="14.25" thickBot="1">
      <c r="A86" s="50" t="s">
        <v>128</v>
      </c>
      <c r="B86" s="148">
        <f t="shared" si="13"/>
        <v>0</v>
      </c>
      <c r="C86" s="193">
        <f t="shared" si="14"/>
        <v>0</v>
      </c>
      <c r="D86" s="193">
        <f>B86+C86</f>
        <v>0</v>
      </c>
      <c r="E86" s="54">
        <f>D86*$E$61</f>
        <v>0</v>
      </c>
      <c r="F86" s="148">
        <f t="shared" si="24"/>
        <v>0.0898</v>
      </c>
      <c r="G86" s="151">
        <f t="shared" si="15"/>
        <v>0</v>
      </c>
      <c r="H86" s="148">
        <f t="shared" si="25"/>
        <v>0</v>
      </c>
      <c r="I86" s="151">
        <f t="shared" si="16"/>
        <v>0</v>
      </c>
      <c r="J86" s="148">
        <f t="shared" si="26"/>
        <v>0.006890000000000001</v>
      </c>
      <c r="K86" s="193">
        <f t="shared" si="27"/>
        <v>49.6692</v>
      </c>
      <c r="L86" s="193">
        <f t="shared" si="28"/>
        <v>0.7133700000000001</v>
      </c>
      <c r="M86" s="193">
        <f t="shared" si="17"/>
        <v>50.38945999999999</v>
      </c>
      <c r="N86" s="54">
        <f t="shared" si="18"/>
        <v>4786.998699999999</v>
      </c>
      <c r="O86" s="148">
        <f t="shared" si="29"/>
        <v>0.01055</v>
      </c>
      <c r="P86" s="193">
        <f t="shared" si="30"/>
        <v>72.19699999999999</v>
      </c>
      <c r="Q86" s="193">
        <f>O86+P86</f>
        <v>72.20754999999998</v>
      </c>
      <c r="R86" s="54">
        <f t="shared" si="19"/>
        <v>0</v>
      </c>
      <c r="S86" s="148">
        <f t="shared" si="12"/>
        <v>0</v>
      </c>
      <c r="T86" s="151">
        <f t="shared" si="20"/>
        <v>0</v>
      </c>
      <c r="U86" s="4"/>
      <c r="V86" s="4"/>
      <c r="W86" s="4"/>
      <c r="X86" s="4"/>
    </row>
    <row r="87" spans="1:24" ht="14.25" thickBot="1">
      <c r="A87" s="164" t="s">
        <v>54</v>
      </c>
      <c r="B87" s="194">
        <f>SUM(B63:B86)</f>
        <v>0</v>
      </c>
      <c r="C87" s="195">
        <f aca="true" t="shared" si="31" ref="C87:R87">SUM(C63:C86)</f>
        <v>0</v>
      </c>
      <c r="D87" s="195">
        <f t="shared" si="31"/>
        <v>0</v>
      </c>
      <c r="E87" s="196">
        <f t="shared" si="31"/>
        <v>0</v>
      </c>
      <c r="F87" s="194">
        <f t="shared" si="31"/>
        <v>898.0000000000001</v>
      </c>
      <c r="G87" s="196">
        <f t="shared" si="31"/>
        <v>0</v>
      </c>
      <c r="H87" s="194">
        <f t="shared" si="31"/>
        <v>237.00000000000003</v>
      </c>
      <c r="I87" s="196">
        <f t="shared" si="31"/>
        <v>0</v>
      </c>
      <c r="J87" s="194">
        <f t="shared" si="31"/>
        <v>68.89999999999999</v>
      </c>
      <c r="K87" s="195">
        <f t="shared" si="31"/>
        <v>340.19999999999993</v>
      </c>
      <c r="L87" s="195">
        <f t="shared" si="31"/>
        <v>90.3</v>
      </c>
      <c r="M87" s="195">
        <f t="shared" si="31"/>
        <v>499.4</v>
      </c>
      <c r="N87" s="196">
        <f t="shared" si="31"/>
        <v>47442.99999999999</v>
      </c>
      <c r="O87" s="194">
        <f t="shared" si="31"/>
        <v>105.49999999999999</v>
      </c>
      <c r="P87" s="195">
        <f t="shared" si="31"/>
        <v>494.5</v>
      </c>
      <c r="Q87" s="195">
        <f t="shared" si="31"/>
        <v>600</v>
      </c>
      <c r="R87" s="196">
        <f t="shared" si="31"/>
        <v>0</v>
      </c>
      <c r="S87" s="194">
        <f>SUM(S63:S86)</f>
        <v>182.00000000000003</v>
      </c>
      <c r="T87" s="196">
        <f>SUM(T63:T86)</f>
        <v>0</v>
      </c>
      <c r="U87" s="4"/>
      <c r="V87" s="4"/>
      <c r="W87" s="4"/>
      <c r="X87" s="4"/>
    </row>
    <row r="88" spans="1:24" ht="13.5">
      <c r="A88" s="197" t="s">
        <v>82</v>
      </c>
      <c r="B88" s="39"/>
      <c r="C88" s="39"/>
      <c r="D88" s="39"/>
      <c r="E88" s="36"/>
      <c r="F88" s="39"/>
      <c r="G88" s="36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4"/>
      <c r="V88" s="4"/>
      <c r="W88" s="4"/>
      <c r="X88" s="4"/>
    </row>
    <row r="89" spans="1:24" ht="13.5">
      <c r="A89" s="146" t="s">
        <v>87</v>
      </c>
      <c r="B89" s="208"/>
      <c r="C89" s="208"/>
      <c r="D89" s="40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4"/>
      <c r="V89" s="4"/>
      <c r="W89" s="4"/>
      <c r="X89" s="4"/>
    </row>
    <row r="90" spans="1:24" ht="13.5">
      <c r="A90" s="146" t="s">
        <v>90</v>
      </c>
      <c r="B90" s="208"/>
      <c r="C90" s="208"/>
      <c r="D90" s="40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4"/>
      <c r="V90" s="4"/>
      <c r="W90" s="4"/>
      <c r="X90" s="4"/>
    </row>
    <row r="91" spans="1:20" ht="14.25" thickBot="1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</row>
    <row r="92" spans="1:20" ht="15.75" thickBot="1">
      <c r="A92" s="239" t="s">
        <v>74</v>
      </c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</row>
    <row r="93" spans="1:20" ht="96">
      <c r="A93" s="198" t="s">
        <v>3</v>
      </c>
      <c r="B93" s="129" t="s">
        <v>91</v>
      </c>
      <c r="C93" s="131" t="s">
        <v>141</v>
      </c>
      <c r="D93" s="29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</row>
    <row r="94" spans="1:20" ht="13.5">
      <c r="A94" s="50" t="s">
        <v>29</v>
      </c>
      <c r="B94" s="53">
        <f>C23*E61</f>
        <v>0</v>
      </c>
      <c r="C94" s="54">
        <f>(C12+C18)*E61</f>
        <v>0</v>
      </c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</row>
    <row r="95" spans="1:20" ht="13.5">
      <c r="A95" s="50" t="s">
        <v>39</v>
      </c>
      <c r="B95" s="53">
        <f>D23*G61</f>
        <v>0</v>
      </c>
      <c r="C95" s="54">
        <f>(D12+D18)*G61</f>
        <v>0</v>
      </c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</row>
    <row r="96" spans="1:20" ht="13.5">
      <c r="A96" s="50" t="s">
        <v>5</v>
      </c>
      <c r="B96" s="53">
        <f>E23*I61</f>
        <v>0</v>
      </c>
      <c r="C96" s="54">
        <f>(E12+E18)*I61</f>
        <v>0</v>
      </c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</row>
    <row r="97" spans="1:20" ht="13.5">
      <c r="A97" s="199" t="s">
        <v>8</v>
      </c>
      <c r="B97" s="53">
        <f>F23*N61</f>
        <v>0</v>
      </c>
      <c r="C97" s="54">
        <f>(F12+F18)*N61</f>
        <v>47443</v>
      </c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</row>
    <row r="98" spans="1:20" ht="13.5">
      <c r="A98" s="199" t="s">
        <v>40</v>
      </c>
      <c r="B98" s="53">
        <f>G23*R61</f>
        <v>0</v>
      </c>
      <c r="C98" s="54">
        <f>(G12+G18)*R61</f>
        <v>0</v>
      </c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</row>
    <row r="99" spans="1:20" ht="13.5">
      <c r="A99" s="199" t="s">
        <v>41</v>
      </c>
      <c r="B99" s="200">
        <f>I23*V61</f>
        <v>0</v>
      </c>
      <c r="C99" s="54">
        <f>(I12+I18)*V61</f>
        <v>0</v>
      </c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</row>
    <row r="100" spans="1:20" ht="13.5">
      <c r="A100" s="199" t="s">
        <v>15</v>
      </c>
      <c r="B100" s="200">
        <f>J23*X61</f>
        <v>0</v>
      </c>
      <c r="C100" s="54">
        <f>(J12+J18)*X61</f>
        <v>0</v>
      </c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</row>
    <row r="101" spans="1:20" ht="13.5">
      <c r="A101" s="199" t="s">
        <v>11</v>
      </c>
      <c r="B101" s="200">
        <f>K23*T61</f>
        <v>0</v>
      </c>
      <c r="C101" s="201">
        <f>(K12+K18)*T61</f>
        <v>0</v>
      </c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</row>
    <row r="102" spans="1:20" ht="14.25" thickBot="1">
      <c r="A102" s="153" t="s">
        <v>54</v>
      </c>
      <c r="B102" s="202">
        <f>SUM(B94:B101)</f>
        <v>0</v>
      </c>
      <c r="C102" s="61">
        <f>SUM(C94:C101)</f>
        <v>47443</v>
      </c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</row>
    <row r="103" spans="1:20" ht="13.5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</row>
    <row r="104" spans="1:20" ht="13.5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</row>
    <row r="105" spans="1:20" ht="13.5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</row>
    <row r="106" spans="1:20" ht="13.5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</row>
    <row r="107" spans="1:20" ht="13.5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</row>
    <row r="108" spans="1:20" ht="13.5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</row>
    <row r="109" spans="1:20" ht="13.5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</row>
    <row r="110" spans="1:20" ht="13.5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</row>
    <row r="111" spans="1:20" ht="13.5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</row>
    <row r="112" spans="1:20" ht="13.5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</row>
    <row r="113" spans="1:20" ht="13.5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</row>
    <row r="114" spans="1:20" ht="13.5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</row>
    <row r="115" spans="1:20" ht="13.5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</row>
    <row r="116" spans="1:20" ht="13.5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</row>
    <row r="117" spans="1:20" ht="13.5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</row>
    <row r="118" spans="1:20" ht="13.5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</row>
    <row r="119" spans="1:20" ht="13.5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</row>
    <row r="120" spans="1:20" ht="13.5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</row>
    <row r="121" spans="1:20" ht="13.5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</row>
    <row r="122" spans="1:20" ht="13.5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</row>
    <row r="123" spans="1:20" ht="13.5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</row>
    <row r="124" spans="1:20" ht="13.5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</row>
    <row r="125" spans="1:20" ht="13.5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</row>
    <row r="126" spans="1:20" ht="13.5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</row>
    <row r="127" spans="1:20" ht="13.5">
      <c r="A127" s="22"/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</row>
    <row r="128" spans="1:20" ht="13.5">
      <c r="A128" s="22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</row>
    <row r="129" spans="1:20" ht="13.5">
      <c r="A129" s="22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</row>
    <row r="130" spans="1:20" ht="13.5">
      <c r="A130" s="22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</row>
    <row r="131" spans="1:20" ht="13.5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</row>
    <row r="132" spans="1:20" ht="13.5">
      <c r="A132" s="22"/>
      <c r="B132" s="22"/>
      <c r="C132" s="22"/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</row>
    <row r="133" spans="1:20" ht="13.5">
      <c r="A133" s="22"/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</row>
    <row r="134" spans="1:20" ht="13.5">
      <c r="A134" s="22"/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</row>
    <row r="135" spans="1:20" ht="13.5">
      <c r="A135" s="22"/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</row>
    <row r="136" spans="1:20" ht="13.5">
      <c r="A136" s="22"/>
      <c r="B136" s="22"/>
      <c r="C136" s="22"/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</row>
    <row r="137" spans="1:20" ht="13.5">
      <c r="A137" s="22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</row>
    <row r="138" spans="1:20" ht="13.5">
      <c r="A138" s="22"/>
      <c r="B138" s="22"/>
      <c r="C138" s="22"/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</row>
    <row r="139" spans="1:20" ht="13.5">
      <c r="A139" s="22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</row>
    <row r="140" spans="1:20" ht="13.5">
      <c r="A140" s="22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</row>
    <row r="141" spans="1:20" ht="13.5">
      <c r="A141" s="22"/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</row>
    <row r="142" spans="1:20" ht="13.5">
      <c r="A142" s="22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</row>
    <row r="143" spans="1:20" ht="13.5">
      <c r="A143" s="22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</row>
    <row r="144" spans="1:20" ht="13.5">
      <c r="A144" s="22"/>
      <c r="B144" s="22"/>
      <c r="C144" s="22"/>
      <c r="D144" s="22"/>
      <c r="E144" s="22"/>
      <c r="F144" s="22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</row>
    <row r="145" spans="1:20" ht="13.5">
      <c r="A145" s="22"/>
      <c r="B145" s="22"/>
      <c r="C145" s="22"/>
      <c r="D145" s="22"/>
      <c r="E145" s="22"/>
      <c r="F145" s="22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</row>
    <row r="146" spans="1:20" ht="13.5">
      <c r="A146" s="22"/>
      <c r="B146" s="22"/>
      <c r="C146" s="22"/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</row>
    <row r="147" spans="1:20" ht="13.5">
      <c r="A147" s="22"/>
      <c r="B147" s="22"/>
      <c r="C147" s="22"/>
      <c r="D147" s="22"/>
      <c r="E147" s="22"/>
      <c r="F147" s="22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</row>
    <row r="148" spans="1:20" ht="13.5">
      <c r="A148" s="22"/>
      <c r="B148" s="22"/>
      <c r="C148" s="22"/>
      <c r="D148" s="22"/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</row>
    <row r="149" spans="1:20" ht="13.5">
      <c r="A149" s="22"/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</row>
    <row r="150" spans="1:20" ht="13.5">
      <c r="A150" s="22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</row>
    <row r="151" spans="1:20" ht="13.5">
      <c r="A151" s="22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</row>
    <row r="152" spans="1:20" ht="13.5">
      <c r="A152" s="22"/>
      <c r="B152" s="22"/>
      <c r="C152" s="22"/>
      <c r="D152" s="22"/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</row>
    <row r="153" spans="1:20" ht="13.5">
      <c r="A153" s="22"/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</row>
    <row r="154" spans="1:20" ht="13.5">
      <c r="A154" s="22"/>
      <c r="B154" s="22"/>
      <c r="C154" s="22"/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</row>
    <row r="155" spans="1:20" ht="13.5">
      <c r="A155" s="22"/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</row>
    <row r="156" spans="1:20" ht="13.5">
      <c r="A156" s="22"/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</row>
    <row r="157" spans="1:20" ht="13.5">
      <c r="A157" s="22"/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</row>
    <row r="158" spans="1:20" ht="13.5">
      <c r="A158" s="22"/>
      <c r="B158" s="22"/>
      <c r="C158" s="22"/>
      <c r="D158" s="22"/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</row>
    <row r="159" spans="1:20" ht="13.5">
      <c r="A159" s="22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</row>
    <row r="160" spans="1:20" ht="13.5">
      <c r="A160" s="22"/>
      <c r="B160" s="22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</row>
    <row r="161" spans="1:20" ht="13.5">
      <c r="A161" s="22"/>
      <c r="B161" s="22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</row>
    <row r="162" spans="1:20" ht="13.5">
      <c r="A162" s="22"/>
      <c r="B162" s="22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</row>
  </sheetData>
  <sheetProtection/>
  <mergeCells count="16">
    <mergeCell ref="F60:G60"/>
    <mergeCell ref="S60:T60"/>
    <mergeCell ref="J60:N60"/>
    <mergeCell ref="J61:M61"/>
    <mergeCell ref="A26:K26"/>
    <mergeCell ref="A56:F56"/>
    <mergeCell ref="U62:X62"/>
    <mergeCell ref="U60:V60"/>
    <mergeCell ref="W60:X60"/>
    <mergeCell ref="A3:A4"/>
    <mergeCell ref="B60:E60"/>
    <mergeCell ref="H60:I60"/>
    <mergeCell ref="O60:R60"/>
    <mergeCell ref="O61:Q61"/>
    <mergeCell ref="B61:D61"/>
    <mergeCell ref="A59:A61"/>
  </mergeCells>
  <printOptions/>
  <pageMargins left="0.45" right="0.45" top="0.5" bottom="0.5" header="0" footer="0"/>
  <pageSetup fitToHeight="1" fitToWidth="1" horizontalDpi="600" verticalDpi="600" orientation="landscape" scale="29" r:id="rId1"/>
  <rowBreaks count="1" manualBreakCount="1">
    <brk id="58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Keech</dc:creator>
  <cp:keywords/>
  <dc:description/>
  <cp:lastModifiedBy>Bernstein, Jared</cp:lastModifiedBy>
  <cp:lastPrinted>2015-09-08T22:31:23Z</cp:lastPrinted>
  <dcterms:created xsi:type="dcterms:W3CDTF">2007-03-21T19:37:11Z</dcterms:created>
  <dcterms:modified xsi:type="dcterms:W3CDTF">2015-09-09T19:49:43Z</dcterms:modified>
  <cp:category/>
  <cp:version/>
  <cp:contentType/>
  <cp:contentStatus/>
</cp:coreProperties>
</file>