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5" yWindow="420" windowWidth="12240" windowHeight="8940"/>
  </bookViews>
  <sheets>
    <sheet name="Summary" sheetId="7" r:id="rId1"/>
    <sheet name="BRA Resource Clearing Results" sheetId="5" r:id="rId2"/>
    <sheet name="BRA Load Pricing Results" sheetId="1" r:id="rId3"/>
    <sheet name="BRA CTRs" sheetId="2" r:id="rId4"/>
    <sheet name="BRA ICTRs" sheetId="3" r:id="rId5"/>
  </sheets>
  <definedNames>
    <definedName name="_xlnm.Print_Area" localSheetId="3">'BRA CTRs'!$A$1:$AF$48</definedName>
    <definedName name="_xlnm.Print_Area" localSheetId="4">'BRA ICTRs'!$A$1:$AI$99</definedName>
    <definedName name="_xlnm.Print_Area" localSheetId="2">'BRA Load Pricing Results'!$A$1:$M$62</definedName>
    <definedName name="_xlnm.Print_Area" localSheetId="1">'BRA Resource Clearing Results'!$A$1:$G$100</definedName>
    <definedName name="_xlnm.Print_Area" localSheetId="0">Summary!$A$1:$F$47</definedName>
  </definedNames>
  <calcPr calcId="145621"/>
</workbook>
</file>

<file path=xl/calcChain.xml><?xml version="1.0" encoding="utf-8"?>
<calcChain xmlns="http://schemas.openxmlformats.org/spreadsheetml/2006/main">
  <c r="D6" i="2" l="1"/>
  <c r="D5" i="2"/>
  <c r="D8" i="2" l="1"/>
  <c r="D15" i="2"/>
  <c r="H9" i="2"/>
  <c r="H8" i="2"/>
  <c r="G8" i="2"/>
  <c r="I72" i="3" l="1"/>
  <c r="I73" i="3"/>
  <c r="I74" i="3"/>
  <c r="I75" i="3"/>
  <c r="I76" i="3"/>
  <c r="I77" i="3"/>
  <c r="I78" i="3"/>
  <c r="I79" i="3"/>
  <c r="I80" i="3"/>
  <c r="I81" i="3"/>
  <c r="I82" i="3"/>
  <c r="I83" i="3"/>
  <c r="I84" i="3"/>
  <c r="I85" i="3"/>
  <c r="I86" i="3"/>
  <c r="I87" i="3"/>
  <c r="I88" i="3"/>
  <c r="I89" i="3"/>
  <c r="I90" i="3"/>
  <c r="I91" i="3"/>
  <c r="I92" i="3"/>
  <c r="I93" i="3"/>
  <c r="I94" i="3"/>
  <c r="I71" i="3"/>
  <c r="H71" i="3"/>
  <c r="H95" i="3" s="1"/>
  <c r="H72" i="3"/>
  <c r="H73" i="3"/>
  <c r="H74" i="3"/>
  <c r="H75" i="3"/>
  <c r="H76" i="3"/>
  <c r="H77" i="3"/>
  <c r="H78" i="3"/>
  <c r="H79" i="3"/>
  <c r="H80" i="3"/>
  <c r="H81" i="3"/>
  <c r="H82" i="3"/>
  <c r="H83" i="3"/>
  <c r="H84" i="3"/>
  <c r="H85" i="3"/>
  <c r="H86" i="3"/>
  <c r="H87" i="3"/>
  <c r="H88" i="3"/>
  <c r="H89" i="3"/>
  <c r="H90" i="3"/>
  <c r="H91" i="3"/>
  <c r="H92" i="3"/>
  <c r="H93" i="3"/>
  <c r="H94" i="3"/>
  <c r="I69" i="3"/>
  <c r="D14" i="2"/>
  <c r="D9" i="2"/>
  <c r="G65" i="5"/>
  <c r="G79" i="5" l="1"/>
  <c r="G78" i="5"/>
  <c r="I30" i="1" l="1"/>
  <c r="C47" i="5"/>
  <c r="C46" i="5"/>
  <c r="C45" i="5"/>
  <c r="B7" i="1" l="1"/>
  <c r="F36" i="5" l="1"/>
  <c r="F31" i="5"/>
  <c r="E40" i="5"/>
  <c r="C59" i="5" s="1"/>
  <c r="E39" i="5"/>
  <c r="F39" i="5" s="1"/>
  <c r="E38" i="5"/>
  <c r="F38" i="5" s="1"/>
  <c r="E37" i="5"/>
  <c r="F37" i="5" s="1"/>
  <c r="E36" i="5"/>
  <c r="C55" i="5" s="1"/>
  <c r="D55" i="5" s="1"/>
  <c r="E35" i="5"/>
  <c r="F35" i="5" s="1"/>
  <c r="E34" i="5"/>
  <c r="F34" i="5" s="1"/>
  <c r="E33" i="5"/>
  <c r="C52" i="5" s="1"/>
  <c r="E32" i="5"/>
  <c r="C51" i="5" s="1"/>
  <c r="E31" i="5"/>
  <c r="C50" i="5" s="1"/>
  <c r="E30" i="5"/>
  <c r="F30" i="5" s="1"/>
  <c r="E29" i="5"/>
  <c r="C48" i="5" s="1"/>
  <c r="E28" i="5"/>
  <c r="F28" i="5" s="1"/>
  <c r="E27" i="5"/>
  <c r="E26" i="5"/>
  <c r="F26" i="5" s="1"/>
  <c r="B45" i="5"/>
  <c r="B46" i="5"/>
  <c r="B47" i="5"/>
  <c r="B48" i="5"/>
  <c r="B49" i="5"/>
  <c r="B50" i="5"/>
  <c r="B51" i="5"/>
  <c r="B52" i="5"/>
  <c r="B53" i="5"/>
  <c r="B54" i="5"/>
  <c r="B55" i="5"/>
  <c r="B56" i="5"/>
  <c r="B57" i="5"/>
  <c r="B58" i="5"/>
  <c r="B59" i="5"/>
  <c r="D54" i="5" l="1"/>
  <c r="D52" i="5"/>
  <c r="D51" i="5"/>
  <c r="C53" i="5"/>
  <c r="D53" i="5" s="1"/>
  <c r="C33" i="1" s="1"/>
  <c r="C57" i="5"/>
  <c r="D57" i="5" s="1"/>
  <c r="F32" i="5"/>
  <c r="C54" i="5"/>
  <c r="C58" i="5"/>
  <c r="D50" i="5"/>
  <c r="F33" i="5"/>
  <c r="D48" i="5"/>
  <c r="C56" i="5"/>
  <c r="D56" i="5" s="1"/>
  <c r="F40" i="5"/>
  <c r="D59" i="5"/>
  <c r="D58" i="5"/>
  <c r="D47" i="5"/>
  <c r="C49" i="5"/>
  <c r="D49" i="5" s="1"/>
  <c r="F29" i="5"/>
  <c r="D46" i="5"/>
  <c r="F27" i="5"/>
  <c r="D20" i="1"/>
  <c r="C60" i="5" l="1"/>
  <c r="D45" i="5"/>
  <c r="D60" i="5" s="1"/>
  <c r="G94" i="3"/>
  <c r="G93" i="3"/>
  <c r="G92" i="3"/>
  <c r="G91" i="3"/>
  <c r="G90" i="3"/>
  <c r="G89" i="3"/>
  <c r="G88" i="3"/>
  <c r="G87" i="3"/>
  <c r="G86" i="3"/>
  <c r="G85" i="3"/>
  <c r="G84" i="3"/>
  <c r="G83" i="3"/>
  <c r="G82" i="3"/>
  <c r="G81" i="3"/>
  <c r="G80" i="3"/>
  <c r="G79" i="3"/>
  <c r="G78" i="3"/>
  <c r="G77" i="3"/>
  <c r="G76" i="3"/>
  <c r="G75" i="3"/>
  <c r="G74" i="3"/>
  <c r="G73" i="3"/>
  <c r="G72" i="3"/>
  <c r="G71" i="3"/>
  <c r="Y94" i="3"/>
  <c r="Y93" i="3"/>
  <c r="Y92" i="3"/>
  <c r="Y91" i="3"/>
  <c r="Y90" i="3"/>
  <c r="Y89" i="3"/>
  <c r="Y88" i="3"/>
  <c r="Y87" i="3"/>
  <c r="Y86" i="3"/>
  <c r="Y85" i="3"/>
  <c r="Y84" i="3"/>
  <c r="Y83" i="3"/>
  <c r="Y82" i="3"/>
  <c r="Y81" i="3"/>
  <c r="Y80" i="3"/>
  <c r="Y79" i="3"/>
  <c r="Y78" i="3"/>
  <c r="Y77" i="3"/>
  <c r="Y76" i="3"/>
  <c r="Y75" i="3"/>
  <c r="Y74" i="3"/>
  <c r="Y73" i="3"/>
  <c r="Y72" i="3"/>
  <c r="Y71" i="3"/>
  <c r="X71" i="3"/>
  <c r="Z71" i="3" s="1"/>
  <c r="AI69" i="3"/>
  <c r="AA42" i="2"/>
  <c r="AA41" i="2"/>
  <c r="AA40" i="2"/>
  <c r="AA39" i="2"/>
  <c r="AA38" i="2"/>
  <c r="AA37" i="2"/>
  <c r="AA36" i="2"/>
  <c r="AA35" i="2"/>
  <c r="AA34" i="2"/>
  <c r="AA33" i="2"/>
  <c r="AA32" i="2"/>
  <c r="AA31" i="2"/>
  <c r="AA29" i="2"/>
  <c r="AA28" i="2"/>
  <c r="AA27" i="2"/>
  <c r="AA26" i="2"/>
  <c r="AA25" i="2"/>
  <c r="AA24" i="2"/>
  <c r="Y42" i="2"/>
  <c r="AA23" i="2"/>
  <c r="Y41" i="2"/>
  <c r="Y40" i="2"/>
  <c r="Y39" i="2"/>
  <c r="Y38" i="2"/>
  <c r="Y37" i="2"/>
  <c r="Y36" i="2"/>
  <c r="Y35" i="2"/>
  <c r="Y34" i="2"/>
  <c r="Y33" i="2"/>
  <c r="Y32" i="2"/>
  <c r="Y31" i="2"/>
  <c r="Y30" i="2"/>
  <c r="Y28" i="2"/>
  <c r="Y27" i="2"/>
  <c r="Y26" i="2"/>
  <c r="Y25" i="2"/>
  <c r="Y24" i="2"/>
  <c r="Y23" i="2"/>
  <c r="W42" i="2"/>
  <c r="W41" i="2"/>
  <c r="W39" i="2"/>
  <c r="W38" i="2"/>
  <c r="W37" i="2"/>
  <c r="W36" i="2"/>
  <c r="W35" i="2"/>
  <c r="W34" i="2"/>
  <c r="W33" i="2"/>
  <c r="W32" i="2"/>
  <c r="W31" i="2"/>
  <c r="W30" i="2"/>
  <c r="W29" i="2"/>
  <c r="W28" i="2"/>
  <c r="W27" i="2"/>
  <c r="W26" i="2"/>
  <c r="W25" i="2"/>
  <c r="W24" i="2"/>
  <c r="W23" i="2"/>
  <c r="AB21" i="2"/>
  <c r="Z21" i="2"/>
  <c r="D31" i="3"/>
  <c r="G6" i="2" s="1"/>
  <c r="D21" i="3"/>
  <c r="D13" i="3"/>
  <c r="B31" i="3"/>
  <c r="B21" i="3"/>
  <c r="B13" i="3"/>
  <c r="L21" i="3"/>
  <c r="K21" i="3"/>
  <c r="I21" i="3"/>
  <c r="H21" i="3"/>
  <c r="G21" i="3"/>
  <c r="F21" i="3"/>
  <c r="E21" i="3"/>
  <c r="J21" i="3"/>
  <c r="H63" i="3"/>
  <c r="G95" i="3" l="1"/>
  <c r="Y95" i="3"/>
  <c r="Z26" i="2"/>
  <c r="Z42" i="2"/>
  <c r="AB25" i="2"/>
  <c r="AB29" i="2"/>
  <c r="AB34" i="2"/>
  <c r="AB38" i="2"/>
  <c r="AB42" i="2"/>
  <c r="Z30" i="2"/>
  <c r="Z34" i="2"/>
  <c r="Z38" i="2"/>
  <c r="Z41" i="2"/>
  <c r="D33" i="3"/>
  <c r="B33" i="3"/>
  <c r="AB27" i="2"/>
  <c r="AB32" i="2"/>
  <c r="AB36" i="2"/>
  <c r="AB40" i="2"/>
  <c r="AB24" i="2"/>
  <c r="AB28" i="2"/>
  <c r="AB33" i="2"/>
  <c r="AB37" i="2"/>
  <c r="AB41" i="2"/>
  <c r="AB23" i="2"/>
  <c r="AB26" i="2"/>
  <c r="AB31" i="2"/>
  <c r="AB35" i="2"/>
  <c r="AB39" i="2"/>
  <c r="Z23" i="2"/>
  <c r="Z27" i="2"/>
  <c r="Z31" i="2"/>
  <c r="Z35" i="2"/>
  <c r="Z39" i="2"/>
  <c r="Z24" i="2"/>
  <c r="Z28" i="2"/>
  <c r="Z32" i="2"/>
  <c r="Z36" i="2"/>
  <c r="Z40" i="2"/>
  <c r="Z25" i="2"/>
  <c r="Z33" i="2"/>
  <c r="Z37" i="2"/>
  <c r="L31" i="3"/>
  <c r="G16" i="2" s="1"/>
  <c r="L13" i="3"/>
  <c r="C111" i="3" s="1"/>
  <c r="E16" i="2"/>
  <c r="E15" i="2"/>
  <c r="E14" i="2"/>
  <c r="E13" i="2"/>
  <c r="C97" i="5"/>
  <c r="B111" i="3" l="1"/>
  <c r="L33" i="3"/>
  <c r="H16" i="2"/>
  <c r="G51" i="1"/>
  <c r="G47" i="1"/>
  <c r="G41" i="1"/>
  <c r="E57" i="1"/>
  <c r="D22" i="1" l="1"/>
  <c r="D21" i="1"/>
  <c r="F80" i="5"/>
  <c r="D97" i="5" l="1"/>
  <c r="C96" i="5"/>
  <c r="D96" i="5" s="1"/>
  <c r="B19" i="5" l="1"/>
  <c r="C22" i="1" s="1"/>
  <c r="B18" i="5"/>
  <c r="AC71" i="3"/>
  <c r="AB71" i="3"/>
  <c r="P71" i="3"/>
  <c r="L71" i="3"/>
  <c r="K71" i="3"/>
  <c r="F71" i="3"/>
  <c r="E69" i="3"/>
  <c r="H6" i="2"/>
  <c r="K31" i="3"/>
  <c r="J31" i="3"/>
  <c r="G10" i="2" s="1"/>
  <c r="H31" i="3"/>
  <c r="G31" i="3"/>
  <c r="F31" i="3"/>
  <c r="E31" i="3"/>
  <c r="F59" i="1"/>
  <c r="F58" i="1"/>
  <c r="F57" i="1"/>
  <c r="F56" i="1"/>
  <c r="F55" i="1"/>
  <c r="F54" i="1"/>
  <c r="F53" i="1"/>
  <c r="F52" i="1"/>
  <c r="F50" i="1"/>
  <c r="F49" i="1"/>
  <c r="F48" i="1"/>
  <c r="F46" i="1"/>
  <c r="F45" i="1"/>
  <c r="F44" i="1"/>
  <c r="F43" i="1"/>
  <c r="F42" i="1"/>
  <c r="C94" i="5"/>
  <c r="D94" i="5" s="1"/>
  <c r="C93" i="5"/>
  <c r="D93" i="5" s="1"/>
  <c r="C85" i="5"/>
  <c r="D85" i="5" s="1"/>
  <c r="B19" i="7"/>
  <c r="B18" i="7"/>
  <c r="B10" i="7"/>
  <c r="B8" i="7"/>
  <c r="C89" i="5"/>
  <c r="D89" i="5" s="1"/>
  <c r="E9" i="2" s="1"/>
  <c r="C84" i="5"/>
  <c r="D84" i="5" s="1"/>
  <c r="AB94" i="3"/>
  <c r="AB93" i="3"/>
  <c r="AB92" i="3"/>
  <c r="AB91" i="3"/>
  <c r="AB90" i="3"/>
  <c r="AB89" i="3"/>
  <c r="AB88" i="3"/>
  <c r="AB87" i="3"/>
  <c r="AB86" i="3"/>
  <c r="AB85" i="3"/>
  <c r="AB84" i="3"/>
  <c r="AB83" i="3"/>
  <c r="AB82" i="3"/>
  <c r="AB81" i="3"/>
  <c r="AB80" i="3"/>
  <c r="AB79" i="3"/>
  <c r="AB78" i="3"/>
  <c r="AB77" i="3"/>
  <c r="AB76" i="3"/>
  <c r="AB75" i="3"/>
  <c r="AB74" i="3"/>
  <c r="AB73" i="3"/>
  <c r="AB72" i="3"/>
  <c r="AC94" i="3"/>
  <c r="AC93" i="3"/>
  <c r="AC92" i="3"/>
  <c r="AC91" i="3"/>
  <c r="AC90" i="3"/>
  <c r="AC89" i="3"/>
  <c r="AC88" i="3"/>
  <c r="AC87" i="3"/>
  <c r="AC86" i="3"/>
  <c r="AC85" i="3"/>
  <c r="AC84" i="3"/>
  <c r="AC83" i="3"/>
  <c r="AC82" i="3"/>
  <c r="AC81" i="3"/>
  <c r="AC80" i="3"/>
  <c r="AC79" i="3"/>
  <c r="AC78" i="3"/>
  <c r="AC77" i="3"/>
  <c r="AC76" i="3"/>
  <c r="AC75" i="3"/>
  <c r="AC74" i="3"/>
  <c r="AC73" i="3"/>
  <c r="AC72" i="3"/>
  <c r="X80" i="3"/>
  <c r="Z80" i="3" s="1"/>
  <c r="S69" i="3"/>
  <c r="Q71" i="3"/>
  <c r="L80" i="3"/>
  <c r="N69" i="3"/>
  <c r="I41" i="2"/>
  <c r="K23" i="2"/>
  <c r="M23" i="2"/>
  <c r="M35" i="2"/>
  <c r="Q35" i="2"/>
  <c r="D34" i="1"/>
  <c r="D33" i="1"/>
  <c r="D31" i="1"/>
  <c r="D27" i="1"/>
  <c r="B65" i="5"/>
  <c r="B21" i="7"/>
  <c r="B20" i="7"/>
  <c r="E24" i="2"/>
  <c r="X94" i="3"/>
  <c r="Z94" i="3" s="1"/>
  <c r="X93" i="3"/>
  <c r="Z93" i="3" s="1"/>
  <c r="X92" i="3"/>
  <c r="Z92" i="3" s="1"/>
  <c r="X91" i="3"/>
  <c r="Z91" i="3" s="1"/>
  <c r="X90" i="3"/>
  <c r="Z90" i="3" s="1"/>
  <c r="X89" i="3"/>
  <c r="Z89" i="3" s="1"/>
  <c r="X88" i="3"/>
  <c r="Z88" i="3" s="1"/>
  <c r="X87" i="3"/>
  <c r="Z87" i="3" s="1"/>
  <c r="X86" i="3"/>
  <c r="Z86" i="3" s="1"/>
  <c r="X85" i="3"/>
  <c r="Z85" i="3" s="1"/>
  <c r="X84" i="3"/>
  <c r="Z84" i="3" s="1"/>
  <c r="X83" i="3"/>
  <c r="Z83" i="3" s="1"/>
  <c r="X82" i="3"/>
  <c r="Z82" i="3" s="1"/>
  <c r="X81" i="3"/>
  <c r="Z81" i="3" s="1"/>
  <c r="X79" i="3"/>
  <c r="Z79" i="3" s="1"/>
  <c r="X78" i="3"/>
  <c r="Z78" i="3" s="1"/>
  <c r="X77" i="3"/>
  <c r="Z77" i="3" s="1"/>
  <c r="X76" i="3"/>
  <c r="Z76" i="3" s="1"/>
  <c r="X75" i="3"/>
  <c r="Z75" i="3" s="1"/>
  <c r="X74" i="3"/>
  <c r="Z74" i="3" s="1"/>
  <c r="X73" i="3"/>
  <c r="Z73" i="3" s="1"/>
  <c r="X72" i="3"/>
  <c r="Z72" i="3" s="1"/>
  <c r="AA69" i="3"/>
  <c r="L94" i="3"/>
  <c r="L93" i="3"/>
  <c r="L92" i="3"/>
  <c r="L91" i="3"/>
  <c r="L90" i="3"/>
  <c r="L89" i="3"/>
  <c r="L88" i="3"/>
  <c r="L87" i="3"/>
  <c r="L86" i="3"/>
  <c r="L85" i="3"/>
  <c r="L84" i="3"/>
  <c r="L83" i="3"/>
  <c r="L82" i="3"/>
  <c r="L81" i="3"/>
  <c r="L79" i="3"/>
  <c r="L78" i="3"/>
  <c r="L77" i="3"/>
  <c r="L76" i="3"/>
  <c r="L75" i="3"/>
  <c r="L74" i="3"/>
  <c r="L73" i="3"/>
  <c r="L72" i="3"/>
  <c r="G63" i="3"/>
  <c r="E13" i="3"/>
  <c r="J71" i="3" s="1"/>
  <c r="F40" i="1"/>
  <c r="B79" i="5"/>
  <c r="B78" i="5"/>
  <c r="B77" i="5"/>
  <c r="B76" i="5"/>
  <c r="B75" i="5"/>
  <c r="B74" i="5"/>
  <c r="B73" i="5"/>
  <c r="B72" i="5"/>
  <c r="B71" i="5"/>
  <c r="B70" i="5"/>
  <c r="B69" i="5"/>
  <c r="B68" i="5"/>
  <c r="B67" i="5"/>
  <c r="B66" i="5"/>
  <c r="D28" i="1"/>
  <c r="G13" i="3"/>
  <c r="T74" i="3" s="1"/>
  <c r="T75" i="3"/>
  <c r="F13" i="3"/>
  <c r="O71" i="3" s="1"/>
  <c r="I13" i="3"/>
  <c r="C14" i="2"/>
  <c r="AE69" i="3"/>
  <c r="F63" i="3"/>
  <c r="K13" i="3"/>
  <c r="H13" i="2" s="1"/>
  <c r="U42" i="2"/>
  <c r="U41" i="2"/>
  <c r="U40" i="2"/>
  <c r="U39" i="2"/>
  <c r="U38" i="2"/>
  <c r="U37" i="2"/>
  <c r="U36" i="2"/>
  <c r="U35" i="2"/>
  <c r="U34" i="2"/>
  <c r="U33" i="2"/>
  <c r="U32" i="2"/>
  <c r="U31" i="2"/>
  <c r="U30" i="2"/>
  <c r="U29" i="2"/>
  <c r="U28" i="2"/>
  <c r="U26" i="2"/>
  <c r="U25" i="2"/>
  <c r="U24" i="2"/>
  <c r="U23" i="2"/>
  <c r="S42" i="2"/>
  <c r="S41" i="2"/>
  <c r="S40" i="2"/>
  <c r="S39" i="2"/>
  <c r="S38" i="2"/>
  <c r="S37" i="2"/>
  <c r="S36" i="2"/>
  <c r="S35" i="2"/>
  <c r="S34" i="2"/>
  <c r="S33" i="2"/>
  <c r="S32" i="2"/>
  <c r="S31" i="2"/>
  <c r="S30" i="2"/>
  <c r="S29" i="2"/>
  <c r="S27" i="2"/>
  <c r="S26" i="2"/>
  <c r="S25" i="2"/>
  <c r="S24" i="2"/>
  <c r="S23" i="2"/>
  <c r="X21" i="2"/>
  <c r="V21" i="2"/>
  <c r="T21" i="2"/>
  <c r="E12" i="2"/>
  <c r="C95" i="5"/>
  <c r="D95" i="5" s="1"/>
  <c r="D18" i="1"/>
  <c r="D13" i="1"/>
  <c r="C13" i="1"/>
  <c r="B17" i="7"/>
  <c r="B16" i="7"/>
  <c r="B17" i="5"/>
  <c r="D17" i="5" s="1"/>
  <c r="E57" i="5" s="1"/>
  <c r="B16" i="5"/>
  <c r="B15" i="5"/>
  <c r="B15" i="7"/>
  <c r="B13" i="7"/>
  <c r="B11" i="7"/>
  <c r="B9" i="7"/>
  <c r="D5" i="5"/>
  <c r="E45" i="5" s="1"/>
  <c r="D19" i="1"/>
  <c r="AG69" i="3"/>
  <c r="J13" i="3"/>
  <c r="H10" i="2" s="1"/>
  <c r="H13" i="3"/>
  <c r="U82" i="3"/>
  <c r="Q82" i="3"/>
  <c r="P82" i="3"/>
  <c r="K82" i="3"/>
  <c r="E34" i="2"/>
  <c r="Q34" i="2"/>
  <c r="O34" i="2"/>
  <c r="M34" i="2"/>
  <c r="K34" i="2"/>
  <c r="I34" i="2"/>
  <c r="G34" i="2"/>
  <c r="C92" i="5"/>
  <c r="D92" i="5" s="1"/>
  <c r="B14" i="5"/>
  <c r="D14" i="5" s="1"/>
  <c r="E54" i="5" s="1"/>
  <c r="E10" i="2"/>
  <c r="E7" i="2"/>
  <c r="E6" i="2"/>
  <c r="E5" i="2"/>
  <c r="U94" i="3"/>
  <c r="U93" i="3"/>
  <c r="U92" i="3"/>
  <c r="U90" i="3"/>
  <c r="U89" i="3"/>
  <c r="U88" i="3"/>
  <c r="U87" i="3"/>
  <c r="U86" i="3"/>
  <c r="U85" i="3"/>
  <c r="U84" i="3"/>
  <c r="U83" i="3"/>
  <c r="U81" i="3"/>
  <c r="U80" i="3"/>
  <c r="U79" i="3"/>
  <c r="U78" i="3"/>
  <c r="U77" i="3"/>
  <c r="U91" i="3"/>
  <c r="U76" i="3"/>
  <c r="U75" i="3"/>
  <c r="U74" i="3"/>
  <c r="U73" i="3"/>
  <c r="U72" i="3"/>
  <c r="U71" i="3"/>
  <c r="W69" i="3"/>
  <c r="Q94" i="3"/>
  <c r="Q93" i="3"/>
  <c r="Q92" i="3"/>
  <c r="Q90" i="3"/>
  <c r="Q89" i="3"/>
  <c r="Q88" i="3"/>
  <c r="Q87" i="3"/>
  <c r="Q86" i="3"/>
  <c r="Q85" i="3"/>
  <c r="Q84" i="3"/>
  <c r="Q83" i="3"/>
  <c r="Q81" i="3"/>
  <c r="Q80" i="3"/>
  <c r="Q79" i="3"/>
  <c r="Q78" i="3"/>
  <c r="Q77" i="3"/>
  <c r="Q91" i="3"/>
  <c r="Q76" i="3"/>
  <c r="Q75" i="3"/>
  <c r="Q74" i="3"/>
  <c r="Q73" i="3"/>
  <c r="Q72" i="3"/>
  <c r="P94" i="3"/>
  <c r="P93" i="3"/>
  <c r="P92" i="3"/>
  <c r="P90" i="3"/>
  <c r="P89" i="3"/>
  <c r="P88" i="3"/>
  <c r="P87" i="3"/>
  <c r="P86" i="3"/>
  <c r="P85" i="3"/>
  <c r="P84" i="3"/>
  <c r="P83" i="3"/>
  <c r="P81" i="3"/>
  <c r="P80" i="3"/>
  <c r="P79" i="3"/>
  <c r="P78" i="3"/>
  <c r="P77" i="3"/>
  <c r="P91" i="3"/>
  <c r="P76" i="3"/>
  <c r="P75" i="3"/>
  <c r="P74" i="3"/>
  <c r="P73" i="3"/>
  <c r="P72" i="3"/>
  <c r="K94" i="3"/>
  <c r="K93" i="3"/>
  <c r="K92" i="3"/>
  <c r="K90" i="3"/>
  <c r="K89" i="3"/>
  <c r="K88" i="3"/>
  <c r="K87" i="3"/>
  <c r="K86" i="3"/>
  <c r="K85" i="3"/>
  <c r="K84" i="3"/>
  <c r="K83" i="3"/>
  <c r="K81" i="3"/>
  <c r="K80" i="3"/>
  <c r="K79" i="3"/>
  <c r="K78" i="3"/>
  <c r="K77" i="3"/>
  <c r="K91" i="3"/>
  <c r="K76" i="3"/>
  <c r="K75" i="3"/>
  <c r="K74" i="3"/>
  <c r="K73" i="3"/>
  <c r="K72" i="3"/>
  <c r="D63" i="3"/>
  <c r="E63" i="3"/>
  <c r="C63" i="3"/>
  <c r="B63" i="3"/>
  <c r="Q42" i="2"/>
  <c r="Q41" i="2"/>
  <c r="Q40" i="2"/>
  <c r="Q39" i="2"/>
  <c r="Q38" i="2"/>
  <c r="Q37" i="2"/>
  <c r="Q36" i="2"/>
  <c r="Q33" i="2"/>
  <c r="Q32" i="2"/>
  <c r="Q31" i="2"/>
  <c r="Q30" i="2"/>
  <c r="Q29" i="2"/>
  <c r="Q28" i="2"/>
  <c r="Q27" i="2"/>
  <c r="Q25" i="2"/>
  <c r="Q24" i="2"/>
  <c r="Q23" i="2"/>
  <c r="B13" i="5"/>
  <c r="D13" i="5" s="1"/>
  <c r="E53" i="5" s="1"/>
  <c r="C86" i="5"/>
  <c r="D86" i="5" s="1"/>
  <c r="C88" i="5"/>
  <c r="D88" i="5" s="1"/>
  <c r="C90" i="5"/>
  <c r="D90" i="5" s="1"/>
  <c r="I24" i="2"/>
  <c r="I25" i="2"/>
  <c r="I26" i="2"/>
  <c r="I28" i="2"/>
  <c r="I29" i="2"/>
  <c r="I30" i="2"/>
  <c r="I31" i="2"/>
  <c r="I32" i="2"/>
  <c r="I33" i="2"/>
  <c r="I35" i="2"/>
  <c r="I36" i="2"/>
  <c r="I37" i="2"/>
  <c r="I38" i="2"/>
  <c r="I40" i="2"/>
  <c r="I42" i="2"/>
  <c r="I23" i="2"/>
  <c r="G24" i="2"/>
  <c r="G25" i="2"/>
  <c r="G26" i="2"/>
  <c r="G27" i="2"/>
  <c r="G28" i="2"/>
  <c r="G29" i="2"/>
  <c r="G30" i="2"/>
  <c r="G31" i="2"/>
  <c r="G32" i="2"/>
  <c r="G36" i="2"/>
  <c r="G38" i="2"/>
  <c r="G39" i="2"/>
  <c r="G40" i="2"/>
  <c r="E25" i="2"/>
  <c r="E26" i="2"/>
  <c r="E28" i="2"/>
  <c r="E29" i="2"/>
  <c r="E30" i="2"/>
  <c r="E31" i="2"/>
  <c r="E32" i="2"/>
  <c r="P21" i="2"/>
  <c r="J21" i="2"/>
  <c r="H21" i="2"/>
  <c r="B12" i="5"/>
  <c r="B11" i="5"/>
  <c r="D11" i="5" s="1"/>
  <c r="E51" i="5" s="1"/>
  <c r="B10" i="5"/>
  <c r="D10" i="5" s="1"/>
  <c r="E50" i="5" s="1"/>
  <c r="B9" i="5"/>
  <c r="D9" i="5" s="1"/>
  <c r="E49" i="5" s="1"/>
  <c r="B8" i="5"/>
  <c r="D8" i="5" s="1"/>
  <c r="E48" i="5" s="1"/>
  <c r="B7" i="5"/>
  <c r="D7" i="5" s="1"/>
  <c r="B6" i="5"/>
  <c r="O30" i="2"/>
  <c r="M31" i="2"/>
  <c r="K31" i="2"/>
  <c r="M30" i="2"/>
  <c r="K30" i="2"/>
  <c r="K29" i="2"/>
  <c r="O31" i="2"/>
  <c r="O38" i="2"/>
  <c r="O37" i="2"/>
  <c r="O36" i="2"/>
  <c r="O35" i="2"/>
  <c r="O33" i="2"/>
  <c r="O32" i="2"/>
  <c r="O29" i="2"/>
  <c r="O28" i="2"/>
  <c r="O27" i="2"/>
  <c r="O26" i="2"/>
  <c r="O25" i="2"/>
  <c r="O24" i="2"/>
  <c r="O23" i="2"/>
  <c r="M24" i="2"/>
  <c r="O42" i="2"/>
  <c r="O41" i="2"/>
  <c r="O40" i="2"/>
  <c r="K42" i="2"/>
  <c r="K40" i="2"/>
  <c r="K39" i="2"/>
  <c r="K38" i="2"/>
  <c r="K37" i="2"/>
  <c r="K36" i="2"/>
  <c r="K35" i="2"/>
  <c r="K33" i="2"/>
  <c r="K32" i="2"/>
  <c r="K28" i="2"/>
  <c r="K27" i="2"/>
  <c r="K26" i="2"/>
  <c r="K25" i="2"/>
  <c r="K24" i="2"/>
  <c r="M42" i="2"/>
  <c r="M41" i="2"/>
  <c r="M40" i="2"/>
  <c r="M39" i="2"/>
  <c r="M38" i="2"/>
  <c r="M37" i="2"/>
  <c r="M36" i="2"/>
  <c r="M32" i="2"/>
  <c r="M29" i="2"/>
  <c r="M28" i="2"/>
  <c r="M27" i="2"/>
  <c r="M26" i="2"/>
  <c r="M25" i="2"/>
  <c r="F87" i="3"/>
  <c r="E60" i="1"/>
  <c r="F21" i="2"/>
  <c r="D16" i="1"/>
  <c r="C91" i="5"/>
  <c r="D91" i="5" s="1"/>
  <c r="D17" i="1"/>
  <c r="D14" i="1"/>
  <c r="D15" i="1"/>
  <c r="C87" i="5"/>
  <c r="D87" i="5" s="1"/>
  <c r="F82" i="3"/>
  <c r="F85" i="3"/>
  <c r="F90" i="3"/>
  <c r="F74" i="3"/>
  <c r="F89" i="3"/>
  <c r="F76" i="3"/>
  <c r="F93" i="3"/>
  <c r="F73" i="3"/>
  <c r="F92" i="3"/>
  <c r="F77" i="3"/>
  <c r="F78" i="3"/>
  <c r="F86" i="3"/>
  <c r="F88" i="3"/>
  <c r="F72" i="3"/>
  <c r="F94" i="3"/>
  <c r="F79" i="3"/>
  <c r="F83" i="3"/>
  <c r="F84" i="3"/>
  <c r="F91" i="3"/>
  <c r="J91" i="3"/>
  <c r="J93" i="3"/>
  <c r="J77" i="3"/>
  <c r="J88" i="3"/>
  <c r="F75" i="3"/>
  <c r="F81" i="3"/>
  <c r="F80" i="3"/>
  <c r="T85" i="3"/>
  <c r="V85" i="3" s="1"/>
  <c r="B14" i="7"/>
  <c r="B12" i="7"/>
  <c r="B7" i="7"/>
  <c r="T83" i="3" l="1"/>
  <c r="T88" i="3"/>
  <c r="V88" i="3" s="1"/>
  <c r="W88" i="3" s="1"/>
  <c r="J33" i="3"/>
  <c r="T72" i="3"/>
  <c r="V72" i="3" s="1"/>
  <c r="T90" i="3"/>
  <c r="C108" i="3"/>
  <c r="V74" i="3"/>
  <c r="T91" i="3"/>
  <c r="V91" i="3" s="1"/>
  <c r="W91" i="3" s="1"/>
  <c r="T76" i="3"/>
  <c r="T89" i="3"/>
  <c r="V89" i="3" s="1"/>
  <c r="W89" i="3" s="1"/>
  <c r="T71" i="3"/>
  <c r="V71" i="3" s="1"/>
  <c r="W71" i="3" s="1"/>
  <c r="T84" i="3"/>
  <c r="Z95" i="3"/>
  <c r="T80" i="3"/>
  <c r="V80" i="3" s="1"/>
  <c r="W80" i="3" s="1"/>
  <c r="O84" i="3"/>
  <c r="O87" i="3"/>
  <c r="AA72" i="3"/>
  <c r="AA76" i="3"/>
  <c r="AA80" i="3"/>
  <c r="AA84" i="3"/>
  <c r="AA88" i="3"/>
  <c r="AA92" i="3"/>
  <c r="AA79" i="3"/>
  <c r="AA73" i="3"/>
  <c r="AA77" i="3"/>
  <c r="AA81" i="3"/>
  <c r="AA85" i="3"/>
  <c r="AA89" i="3"/>
  <c r="AA93" i="3"/>
  <c r="AA83" i="3"/>
  <c r="AA91" i="3"/>
  <c r="AA74" i="3"/>
  <c r="AA78" i="3"/>
  <c r="AA82" i="3"/>
  <c r="AA86" i="3"/>
  <c r="AA90" i="3"/>
  <c r="AA94" i="3"/>
  <c r="AA75" i="3"/>
  <c r="AA87" i="3"/>
  <c r="AA71" i="3"/>
  <c r="T93" i="3"/>
  <c r="V93" i="3" s="1"/>
  <c r="W93" i="3" s="1"/>
  <c r="T86" i="3"/>
  <c r="T87" i="3"/>
  <c r="V87" i="3" s="1"/>
  <c r="W87" i="3" s="1"/>
  <c r="T81" i="3"/>
  <c r="V81" i="3" s="1"/>
  <c r="W81" i="3" s="1"/>
  <c r="T92" i="3"/>
  <c r="V92" i="3" s="1"/>
  <c r="T94" i="3"/>
  <c r="V94" i="3" s="1"/>
  <c r="W94" i="3" s="1"/>
  <c r="T79" i="3"/>
  <c r="T73" i="3"/>
  <c r="T82" i="3"/>
  <c r="V82" i="3" s="1"/>
  <c r="W82" i="3" s="1"/>
  <c r="T78" i="3"/>
  <c r="V78" i="3" s="1"/>
  <c r="W78" i="3" s="1"/>
  <c r="T77" i="3"/>
  <c r="C65" i="5"/>
  <c r="C9" i="7"/>
  <c r="E47" i="5"/>
  <c r="R84" i="3"/>
  <c r="S84" i="3" s="1"/>
  <c r="V75" i="3"/>
  <c r="C20" i="1"/>
  <c r="P36" i="2"/>
  <c r="P42" i="2"/>
  <c r="P25" i="2"/>
  <c r="P29" i="2"/>
  <c r="C109" i="3"/>
  <c r="B109" i="3"/>
  <c r="B106" i="3"/>
  <c r="C106" i="3"/>
  <c r="D18" i="5"/>
  <c r="C21" i="1"/>
  <c r="C107" i="3"/>
  <c r="B107" i="3"/>
  <c r="B110" i="3"/>
  <c r="C110" i="3"/>
  <c r="C31" i="1"/>
  <c r="C32" i="1" s="1"/>
  <c r="C9" i="2" s="1"/>
  <c r="C105" i="3"/>
  <c r="B105" i="3"/>
  <c r="C104" i="3"/>
  <c r="B104" i="3"/>
  <c r="C15" i="1"/>
  <c r="AD88" i="3"/>
  <c r="V79" i="3"/>
  <c r="W79" i="3" s="1"/>
  <c r="V73" i="3"/>
  <c r="W73" i="3" s="1"/>
  <c r="AD71" i="3"/>
  <c r="AE71" i="3" s="1"/>
  <c r="AD90" i="3"/>
  <c r="AE90" i="3" s="1"/>
  <c r="X26" i="2"/>
  <c r="X25" i="2"/>
  <c r="X42" i="2"/>
  <c r="X23" i="2"/>
  <c r="X24" i="2"/>
  <c r="X38" i="2"/>
  <c r="AC25" i="2"/>
  <c r="AF25" i="2" s="1"/>
  <c r="U95" i="3"/>
  <c r="O81" i="3"/>
  <c r="R81" i="3" s="1"/>
  <c r="S81" i="3" s="1"/>
  <c r="V86" i="3"/>
  <c r="W86" i="3" s="1"/>
  <c r="M77" i="3"/>
  <c r="N77" i="3" s="1"/>
  <c r="V90" i="3"/>
  <c r="W90" i="3" s="1"/>
  <c r="M71" i="3"/>
  <c r="N71" i="3" s="1"/>
  <c r="AD74" i="3"/>
  <c r="AE74" i="3" s="1"/>
  <c r="O88" i="3"/>
  <c r="R88" i="3" s="1"/>
  <c r="S88" i="3" s="1"/>
  <c r="AD92" i="3"/>
  <c r="AE92" i="3" s="1"/>
  <c r="O94" i="3"/>
  <c r="R94" i="3" s="1"/>
  <c r="S94" i="3" s="1"/>
  <c r="O92" i="3"/>
  <c r="R92" i="3" s="1"/>
  <c r="S92" i="3" s="1"/>
  <c r="O73" i="3"/>
  <c r="R73" i="3" s="1"/>
  <c r="S73" i="3" s="1"/>
  <c r="O72" i="3"/>
  <c r="R72" i="3" s="1"/>
  <c r="S72" i="3" s="1"/>
  <c r="V76" i="3"/>
  <c r="W76" i="3" s="1"/>
  <c r="O75" i="3"/>
  <c r="R75" i="3" s="1"/>
  <c r="J76" i="3"/>
  <c r="M76" i="3" s="1"/>
  <c r="N76" i="3" s="1"/>
  <c r="J86" i="3"/>
  <c r="M86" i="3" s="1"/>
  <c r="N86" i="3" s="1"/>
  <c r="O74" i="3"/>
  <c r="R74" i="3" s="1"/>
  <c r="S74" i="3" s="1"/>
  <c r="O82" i="3"/>
  <c r="R82" i="3" s="1"/>
  <c r="S82" i="3" s="1"/>
  <c r="J80" i="3"/>
  <c r="M80" i="3" s="1"/>
  <c r="N80" i="3" s="1"/>
  <c r="J74" i="3"/>
  <c r="M74" i="3" s="1"/>
  <c r="N74" i="3" s="1"/>
  <c r="K33" i="3"/>
  <c r="G7" i="2"/>
  <c r="O76" i="3"/>
  <c r="R76" i="3" s="1"/>
  <c r="S76" i="3" s="1"/>
  <c r="O93" i="3"/>
  <c r="R93" i="3" s="1"/>
  <c r="S93" i="3" s="1"/>
  <c r="J92" i="3"/>
  <c r="M92" i="3" s="1"/>
  <c r="N92" i="3" s="1"/>
  <c r="J85" i="3"/>
  <c r="M85" i="3" s="1"/>
  <c r="N85" i="3" s="1"/>
  <c r="J78" i="3"/>
  <c r="M78" i="3" s="1"/>
  <c r="N78" i="3" s="1"/>
  <c r="J94" i="3"/>
  <c r="M94" i="3" s="1"/>
  <c r="N94" i="3" s="1"/>
  <c r="J83" i="3"/>
  <c r="M83" i="3" s="1"/>
  <c r="N83" i="3" s="1"/>
  <c r="O77" i="3"/>
  <c r="R77" i="3" s="1"/>
  <c r="S77" i="3" s="1"/>
  <c r="O86" i="3"/>
  <c r="R86" i="3" s="1"/>
  <c r="S86" i="3" s="1"/>
  <c r="O83" i="3"/>
  <c r="R83" i="3" s="1"/>
  <c r="S83" i="3" s="1"/>
  <c r="O80" i="3"/>
  <c r="R80" i="3" s="1"/>
  <c r="S80" i="3" s="1"/>
  <c r="O90" i="3"/>
  <c r="R90" i="3" s="1"/>
  <c r="S90" i="3" s="1"/>
  <c r="F33" i="3"/>
  <c r="AD76" i="3"/>
  <c r="AE76" i="3" s="1"/>
  <c r="AD84" i="3"/>
  <c r="AE84" i="3" s="1"/>
  <c r="G33" i="3"/>
  <c r="R71" i="3"/>
  <c r="S71" i="3" s="1"/>
  <c r="J81" i="3"/>
  <c r="M81" i="3" s="1"/>
  <c r="N81" i="3" s="1"/>
  <c r="J90" i="3"/>
  <c r="M90" i="3" s="1"/>
  <c r="N90" i="3" s="1"/>
  <c r="J79" i="3"/>
  <c r="M79" i="3" s="1"/>
  <c r="N79" i="3" s="1"/>
  <c r="H7" i="2"/>
  <c r="J72" i="3"/>
  <c r="M72" i="3" s="1"/>
  <c r="J84" i="3"/>
  <c r="M84" i="3" s="1"/>
  <c r="N84" i="3" s="1"/>
  <c r="J73" i="3"/>
  <c r="M73" i="3" s="1"/>
  <c r="N73" i="3" s="1"/>
  <c r="J89" i="3"/>
  <c r="M89" i="3" s="1"/>
  <c r="N89" i="3" s="1"/>
  <c r="J82" i="3"/>
  <c r="M82" i="3" s="1"/>
  <c r="N82" i="3" s="1"/>
  <c r="J75" i="3"/>
  <c r="M75" i="3" s="1"/>
  <c r="N75" i="3" s="1"/>
  <c r="J87" i="3"/>
  <c r="M87" i="3" s="1"/>
  <c r="N87" i="3" s="1"/>
  <c r="O79" i="3"/>
  <c r="R79" i="3" s="1"/>
  <c r="S79" i="3" s="1"/>
  <c r="O78" i="3"/>
  <c r="R78" i="3" s="1"/>
  <c r="S78" i="3" s="1"/>
  <c r="O91" i="3"/>
  <c r="R91" i="3" s="1"/>
  <c r="S91" i="3" s="1"/>
  <c r="O89" i="3"/>
  <c r="R89" i="3" s="1"/>
  <c r="S89" i="3" s="1"/>
  <c r="O85" i="3"/>
  <c r="R85" i="3" s="1"/>
  <c r="S85" i="3" s="1"/>
  <c r="H33" i="3"/>
  <c r="AC34" i="2"/>
  <c r="AF34" i="2" s="1"/>
  <c r="AC31" i="2"/>
  <c r="AF31" i="2" s="1"/>
  <c r="AC32" i="2"/>
  <c r="AF32" i="2" s="1"/>
  <c r="AC24" i="2"/>
  <c r="AF24" i="2" s="1"/>
  <c r="AD91" i="3"/>
  <c r="AE91" i="3" s="1"/>
  <c r="AD80" i="3"/>
  <c r="AE80" i="3" s="1"/>
  <c r="F95" i="3"/>
  <c r="K95" i="3"/>
  <c r="M93" i="3"/>
  <c r="N93" i="3" s="1"/>
  <c r="AD73" i="3"/>
  <c r="AE73" i="3" s="1"/>
  <c r="Q95" i="3"/>
  <c r="M88" i="3"/>
  <c r="N88" i="3" s="1"/>
  <c r="V83" i="3"/>
  <c r="W83" i="3" s="1"/>
  <c r="AD82" i="3"/>
  <c r="AE82" i="3" s="1"/>
  <c r="AD86" i="3"/>
  <c r="AE86" i="3" s="1"/>
  <c r="AD75" i="3"/>
  <c r="AE75" i="3" s="1"/>
  <c r="AD79" i="3"/>
  <c r="AE79" i="3" s="1"/>
  <c r="E33" i="3"/>
  <c r="AD78" i="3"/>
  <c r="AE78" i="3" s="1"/>
  <c r="AD94" i="3"/>
  <c r="AE94" i="3" s="1"/>
  <c r="AD77" i="3"/>
  <c r="AE77" i="3" s="1"/>
  <c r="AD87" i="3"/>
  <c r="AE87" i="3" s="1"/>
  <c r="AD93" i="3"/>
  <c r="AE93" i="3" s="1"/>
  <c r="AD81" i="3"/>
  <c r="AE81" i="3" s="1"/>
  <c r="M91" i="3"/>
  <c r="N91" i="3" s="1"/>
  <c r="AC95" i="3"/>
  <c r="AD85" i="3"/>
  <c r="AE85" i="3" s="1"/>
  <c r="V84" i="3"/>
  <c r="W84" i="3" s="1"/>
  <c r="P95" i="3"/>
  <c r="R87" i="3"/>
  <c r="S87" i="3" s="1"/>
  <c r="L95" i="3"/>
  <c r="X95" i="3"/>
  <c r="AB95" i="3"/>
  <c r="AD83" i="3"/>
  <c r="AE83" i="3" s="1"/>
  <c r="AD89" i="3"/>
  <c r="AE89" i="3" s="1"/>
  <c r="G13" i="2"/>
  <c r="AD72" i="3"/>
  <c r="AE72" i="3" s="1"/>
  <c r="H38" i="2"/>
  <c r="G60" i="1"/>
  <c r="B8" i="1" s="1"/>
  <c r="C7" i="7"/>
  <c r="P41" i="2"/>
  <c r="P24" i="2"/>
  <c r="P28" i="2"/>
  <c r="P35" i="2"/>
  <c r="P31" i="2"/>
  <c r="C16" i="2"/>
  <c r="C15" i="2"/>
  <c r="V41" i="2"/>
  <c r="C14" i="1"/>
  <c r="D6" i="5"/>
  <c r="E46" i="5" s="1"/>
  <c r="C18" i="1"/>
  <c r="D15" i="5"/>
  <c r="E55" i="5" s="1"/>
  <c r="T23" i="2"/>
  <c r="T27" i="2"/>
  <c r="T32" i="2"/>
  <c r="T36" i="2"/>
  <c r="T40" i="2"/>
  <c r="V24" i="2"/>
  <c r="V29" i="2"/>
  <c r="V33" i="2"/>
  <c r="V37" i="2"/>
  <c r="C17" i="1"/>
  <c r="D12" i="5"/>
  <c r="E52" i="5" s="1"/>
  <c r="C19" i="1"/>
  <c r="D16" i="5"/>
  <c r="E56" i="5" s="1"/>
  <c r="D19" i="5"/>
  <c r="E59" i="5" s="1"/>
  <c r="V32" i="2"/>
  <c r="C10" i="2"/>
  <c r="H30" i="2"/>
  <c r="C5" i="2"/>
  <c r="V25" i="2"/>
  <c r="V38" i="2"/>
  <c r="C67" i="5"/>
  <c r="G67" i="5" s="1"/>
  <c r="C13" i="2"/>
  <c r="H39" i="2"/>
  <c r="H31" i="2"/>
  <c r="C12" i="2"/>
  <c r="F26" i="2"/>
  <c r="H24" i="2"/>
  <c r="C16" i="7"/>
  <c r="C7" i="2"/>
  <c r="P26" i="2"/>
  <c r="C16" i="1"/>
  <c r="E11" i="2"/>
  <c r="P40" i="2"/>
  <c r="P27" i="2"/>
  <c r="P33" i="2"/>
  <c r="P38" i="2"/>
  <c r="H27" i="2"/>
  <c r="F31" i="2"/>
  <c r="T31" i="2"/>
  <c r="V23" i="2"/>
  <c r="V28" i="2"/>
  <c r="V36" i="2"/>
  <c r="V40" i="2"/>
  <c r="B80" i="5"/>
  <c r="P32" i="2"/>
  <c r="P37" i="2"/>
  <c r="P30" i="2"/>
  <c r="P34" i="2"/>
  <c r="V26" i="2"/>
  <c r="V31" i="2"/>
  <c r="V35" i="2"/>
  <c r="J23" i="2"/>
  <c r="H32" i="2"/>
  <c r="H28" i="2"/>
  <c r="H29" i="2"/>
  <c r="C74" i="5"/>
  <c r="G74" i="5" s="1"/>
  <c r="C73" i="5"/>
  <c r="G73" i="5" s="1"/>
  <c r="V30" i="2"/>
  <c r="J41" i="2"/>
  <c r="H40" i="2"/>
  <c r="H25" i="2"/>
  <c r="H34" i="2"/>
  <c r="H36" i="2"/>
  <c r="H26" i="2"/>
  <c r="C15" i="7"/>
  <c r="C6" i="2"/>
  <c r="T25" i="2"/>
  <c r="T30" i="2"/>
  <c r="T34" i="2"/>
  <c r="T38" i="2"/>
  <c r="T42" i="2"/>
  <c r="V39" i="2"/>
  <c r="V42" i="2"/>
  <c r="X27" i="2"/>
  <c r="X39" i="2"/>
  <c r="X41" i="2"/>
  <c r="T26" i="2"/>
  <c r="T35" i="2"/>
  <c r="T39" i="2"/>
  <c r="V34" i="2"/>
  <c r="X28" i="2"/>
  <c r="X32" i="2"/>
  <c r="X36" i="2"/>
  <c r="B60" i="5"/>
  <c r="W75" i="3"/>
  <c r="W72" i="3"/>
  <c r="W74" i="3"/>
  <c r="W85" i="3"/>
  <c r="C11" i="7"/>
  <c r="C69" i="5"/>
  <c r="G69" i="5" s="1"/>
  <c r="C19" i="7"/>
  <c r="C77" i="5"/>
  <c r="G77" i="5" s="1"/>
  <c r="P23" i="2"/>
  <c r="C68" i="5"/>
  <c r="G68" i="5" s="1"/>
  <c r="C10" i="7"/>
  <c r="C71" i="5"/>
  <c r="G71" i="5" s="1"/>
  <c r="C13" i="7"/>
  <c r="J42" i="2"/>
  <c r="J36" i="2"/>
  <c r="J31" i="2"/>
  <c r="J26" i="2"/>
  <c r="D98" i="5"/>
  <c r="C12" i="7"/>
  <c r="J38" i="2"/>
  <c r="J33" i="2"/>
  <c r="J29" i="2"/>
  <c r="J24" i="2"/>
  <c r="E8" i="2"/>
  <c r="F34" i="2"/>
  <c r="F25" i="2"/>
  <c r="F28" i="2"/>
  <c r="F30" i="2"/>
  <c r="F32" i="2"/>
  <c r="F29" i="2"/>
  <c r="C70" i="5"/>
  <c r="G70" i="5" s="1"/>
  <c r="J40" i="2"/>
  <c r="J35" i="2"/>
  <c r="J30" i="2"/>
  <c r="J25" i="2"/>
  <c r="J34" i="2"/>
  <c r="X29" i="2"/>
  <c r="X33" i="2"/>
  <c r="X37" i="2"/>
  <c r="J37" i="2"/>
  <c r="J32" i="2"/>
  <c r="J28" i="2"/>
  <c r="T24" i="2"/>
  <c r="T29" i="2"/>
  <c r="T33" i="2"/>
  <c r="T37" i="2"/>
  <c r="T41" i="2"/>
  <c r="X30" i="2"/>
  <c r="X34" i="2"/>
  <c r="X31" i="2"/>
  <c r="X35" i="2"/>
  <c r="F24" i="2"/>
  <c r="AE88" i="3"/>
  <c r="T95" i="3" l="1"/>
  <c r="V77" i="3"/>
  <c r="W77" i="3" s="1"/>
  <c r="C20" i="7"/>
  <c r="E58" i="5"/>
  <c r="D32" i="1"/>
  <c r="N21" i="2" s="1"/>
  <c r="N32" i="2" s="1"/>
  <c r="J95" i="3"/>
  <c r="R95" i="3"/>
  <c r="O95" i="3"/>
  <c r="S75" i="3"/>
  <c r="S95" i="3" s="1"/>
  <c r="M95" i="3"/>
  <c r="W92" i="3"/>
  <c r="N72" i="3"/>
  <c r="N95" i="3" s="1"/>
  <c r="AD95" i="3"/>
  <c r="C21" i="7"/>
  <c r="C76" i="5"/>
  <c r="G76" i="5" s="1"/>
  <c r="C8" i="7"/>
  <c r="C75" i="5"/>
  <c r="G75" i="5" s="1"/>
  <c r="C18" i="7"/>
  <c r="C66" i="5"/>
  <c r="G66" i="5" s="1"/>
  <c r="C27" i="1"/>
  <c r="C34" i="1"/>
  <c r="C14" i="7"/>
  <c r="C72" i="5"/>
  <c r="G72" i="5" s="1"/>
  <c r="C28" i="1"/>
  <c r="C17" i="7"/>
  <c r="H57" i="1"/>
  <c r="I57" i="1" s="1"/>
  <c r="J57" i="1" s="1"/>
  <c r="B20" i="1" s="1"/>
  <c r="AA95" i="3"/>
  <c r="AE95" i="3"/>
  <c r="I95" i="3"/>
  <c r="W95" i="3" l="1"/>
  <c r="V95" i="3"/>
  <c r="E60" i="5"/>
  <c r="G80" i="5"/>
  <c r="B14" i="2"/>
  <c r="C35" i="1"/>
  <c r="D35" i="1" s="1"/>
  <c r="C80" i="5"/>
  <c r="N31" i="2"/>
  <c r="N39" i="2"/>
  <c r="N41" i="2"/>
  <c r="N37" i="2"/>
  <c r="N38" i="2"/>
  <c r="N30" i="2"/>
  <c r="N42" i="2"/>
  <c r="N36" i="2"/>
  <c r="N24" i="2"/>
  <c r="N28" i="2"/>
  <c r="N29" i="2"/>
  <c r="N26" i="2"/>
  <c r="N35" i="2"/>
  <c r="N34" i="2"/>
  <c r="N27" i="2"/>
  <c r="N25" i="2"/>
  <c r="N40" i="2"/>
  <c r="N23" i="2"/>
  <c r="C29" i="1"/>
  <c r="C8" i="2" s="1"/>
  <c r="H51" i="1"/>
  <c r="I51" i="1" s="1"/>
  <c r="J51" i="1" s="1"/>
  <c r="B37" i="7" s="1"/>
  <c r="H56" i="1"/>
  <c r="I56" i="1" s="1"/>
  <c r="H46" i="1"/>
  <c r="I46" i="1" s="1"/>
  <c r="J46" i="1" s="1"/>
  <c r="H44" i="1"/>
  <c r="I44" i="1" s="1"/>
  <c r="H50" i="1"/>
  <c r="I50" i="1" s="1"/>
  <c r="H43" i="1"/>
  <c r="I43" i="1" s="1"/>
  <c r="J43" i="1" s="1"/>
  <c r="E35" i="1" s="1"/>
  <c r="H55" i="1"/>
  <c r="I55" i="1" s="1"/>
  <c r="J55" i="1" s="1"/>
  <c r="B41" i="7" s="1"/>
  <c r="H40" i="1"/>
  <c r="I40" i="1" s="1"/>
  <c r="J40" i="1" s="1"/>
  <c r="H47" i="1"/>
  <c r="I47" i="1" s="1"/>
  <c r="J47" i="1" s="1"/>
  <c r="H58" i="1"/>
  <c r="I58" i="1" s="1"/>
  <c r="J58" i="1" s="1"/>
  <c r="E29" i="1" s="1"/>
  <c r="H48" i="1"/>
  <c r="I48" i="1" s="1"/>
  <c r="J48" i="1" s="1"/>
  <c r="B34" i="7" s="1"/>
  <c r="H54" i="1"/>
  <c r="I54" i="1" s="1"/>
  <c r="J54" i="1" s="1"/>
  <c r="B40" i="7" s="1"/>
  <c r="H49" i="1"/>
  <c r="I49" i="1" s="1"/>
  <c r="J49" i="1" s="1"/>
  <c r="B35" i="7" s="1"/>
  <c r="H41" i="1"/>
  <c r="I41" i="1" s="1"/>
  <c r="J41" i="1" s="1"/>
  <c r="B27" i="7" s="1"/>
  <c r="H53" i="1"/>
  <c r="I53" i="1" s="1"/>
  <c r="J53" i="1" s="1"/>
  <c r="B39" i="7" s="1"/>
  <c r="H45" i="1"/>
  <c r="I45" i="1" s="1"/>
  <c r="J45" i="1" s="1"/>
  <c r="B18" i="1" s="1"/>
  <c r="H59" i="1"/>
  <c r="I59" i="1" s="1"/>
  <c r="J59" i="1" s="1"/>
  <c r="H52" i="1"/>
  <c r="I52" i="1" s="1"/>
  <c r="J52" i="1" s="1"/>
  <c r="H42" i="1"/>
  <c r="I42" i="1" s="1"/>
  <c r="J42" i="1" s="1"/>
  <c r="B28" i="7" s="1"/>
  <c r="D80" i="5"/>
  <c r="B43" i="7"/>
  <c r="J56" i="1" l="1"/>
  <c r="B17" i="1" s="1"/>
  <c r="B16" i="2"/>
  <c r="D16" i="2" s="1"/>
  <c r="F16" i="2" s="1"/>
  <c r="I16" i="2" s="1"/>
  <c r="AA30" i="2" s="1"/>
  <c r="B22" i="1"/>
  <c r="J50" i="1"/>
  <c r="J44" i="1"/>
  <c r="B15" i="2"/>
  <c r="F15" i="2" s="1"/>
  <c r="I15" i="2" s="1"/>
  <c r="Y29" i="2" s="1"/>
  <c r="B21" i="1"/>
  <c r="F14" i="2"/>
  <c r="I14" i="2" s="1"/>
  <c r="W40" i="2" s="1"/>
  <c r="W43" i="2" s="1"/>
  <c r="B32" i="7"/>
  <c r="B33" i="7"/>
  <c r="B26" i="7"/>
  <c r="C11" i="2"/>
  <c r="B45" i="7"/>
  <c r="B8" i="2"/>
  <c r="D29" i="1"/>
  <c r="B29" i="7"/>
  <c r="B31" i="7"/>
  <c r="B38" i="7"/>
  <c r="B12" i="2"/>
  <c r="D12" i="2" s="1"/>
  <c r="F12" i="2" s="1"/>
  <c r="I12" i="2" s="1"/>
  <c r="S28" i="2" s="1"/>
  <c r="B44" i="7"/>
  <c r="B11" i="2"/>
  <c r="E80" i="5"/>
  <c r="B15" i="1" l="1"/>
  <c r="B6" i="2" s="1"/>
  <c r="E32" i="1"/>
  <c r="B14" i="1"/>
  <c r="B5" i="2" s="1"/>
  <c r="B10" i="2"/>
  <c r="D10" i="2" s="1"/>
  <c r="F10" i="2" s="1"/>
  <c r="I10" i="2" s="1"/>
  <c r="O39" i="2" s="1"/>
  <c r="O43" i="2" s="1"/>
  <c r="B9" i="2"/>
  <c r="F9" i="2" s="1"/>
  <c r="I27" i="3" s="1"/>
  <c r="B42" i="7"/>
  <c r="B36" i="7"/>
  <c r="B30" i="7"/>
  <c r="J60" i="1"/>
  <c r="B13" i="1" s="1"/>
  <c r="E13" i="1" s="1"/>
  <c r="E18" i="1" s="1"/>
  <c r="B13" i="2"/>
  <c r="D13" i="2" s="1"/>
  <c r="F13" i="2" s="1"/>
  <c r="I13" i="2" s="1"/>
  <c r="U27" i="2" s="1"/>
  <c r="V27" i="2" s="1"/>
  <c r="V43" i="2" s="1"/>
  <c r="B16" i="1"/>
  <c r="B7" i="2" s="1"/>
  <c r="D7" i="2" s="1"/>
  <c r="F7" i="2" s="1"/>
  <c r="I7" i="2" s="1"/>
  <c r="I39" i="2" s="1"/>
  <c r="J39" i="2" s="1"/>
  <c r="B19" i="1"/>
  <c r="AA43" i="2"/>
  <c r="AB30" i="2"/>
  <c r="AB43" i="2" s="1"/>
  <c r="Z29" i="2"/>
  <c r="Z43" i="2" s="1"/>
  <c r="AC29" i="2"/>
  <c r="Y43" i="2"/>
  <c r="AC30" i="2"/>
  <c r="X40" i="2"/>
  <c r="X43" i="2" s="1"/>
  <c r="T28" i="2"/>
  <c r="T43" i="2" s="1"/>
  <c r="AC28" i="2"/>
  <c r="D11" i="2"/>
  <c r="F11" i="2" s="1"/>
  <c r="I11" i="2" s="1"/>
  <c r="Q26" i="2" s="1"/>
  <c r="R21" i="2"/>
  <c r="L21" i="2"/>
  <c r="F8" i="2"/>
  <c r="S43" i="2"/>
  <c r="F6" i="2" l="1"/>
  <c r="I6" i="2" s="1"/>
  <c r="F5" i="2"/>
  <c r="E22" i="1"/>
  <c r="F22" i="1" s="1"/>
  <c r="K47" i="1" s="1"/>
  <c r="F18" i="1"/>
  <c r="K45" i="1" s="1"/>
  <c r="E14" i="1"/>
  <c r="E21" i="1"/>
  <c r="F21" i="1" s="1"/>
  <c r="K46" i="1" s="1"/>
  <c r="I27" i="2"/>
  <c r="I43" i="2" s="1"/>
  <c r="B46" i="7"/>
  <c r="P39" i="2"/>
  <c r="P43" i="2" s="1"/>
  <c r="U43" i="2"/>
  <c r="F13" i="1"/>
  <c r="K48" i="1" s="1"/>
  <c r="C81" i="3"/>
  <c r="G23" i="2"/>
  <c r="H23" i="2" s="1"/>
  <c r="G42" i="2"/>
  <c r="H42" i="2" s="1"/>
  <c r="G33" i="2"/>
  <c r="H33" i="2" s="1"/>
  <c r="G41" i="2"/>
  <c r="H41" i="2" s="1"/>
  <c r="G37" i="2"/>
  <c r="H37" i="2" s="1"/>
  <c r="G35" i="2"/>
  <c r="H35" i="2" s="1"/>
  <c r="Q43" i="2"/>
  <c r="AC26" i="2"/>
  <c r="R26" i="2"/>
  <c r="R42" i="2"/>
  <c r="R31" i="2"/>
  <c r="R25" i="2"/>
  <c r="R41" i="2"/>
  <c r="R37" i="2"/>
  <c r="R39" i="2"/>
  <c r="R27" i="2"/>
  <c r="R24" i="2"/>
  <c r="R34" i="2"/>
  <c r="R28" i="2"/>
  <c r="R38" i="2"/>
  <c r="R29" i="2"/>
  <c r="R35" i="2"/>
  <c r="R30" i="2"/>
  <c r="R36" i="2"/>
  <c r="R40" i="2"/>
  <c r="R32" i="2"/>
  <c r="R33" i="2"/>
  <c r="R23" i="2"/>
  <c r="L38" i="2"/>
  <c r="L23" i="2"/>
  <c r="L40" i="2"/>
  <c r="L29" i="2"/>
  <c r="L36" i="2"/>
  <c r="L30" i="2"/>
  <c r="L37" i="2"/>
  <c r="L27" i="2"/>
  <c r="L33" i="2"/>
  <c r="L35" i="2"/>
  <c r="L32" i="2"/>
  <c r="L42" i="2"/>
  <c r="L31" i="2"/>
  <c r="L26" i="2"/>
  <c r="L28" i="2"/>
  <c r="L39" i="2"/>
  <c r="L25" i="2"/>
  <c r="L24" i="2"/>
  <c r="L34" i="2"/>
  <c r="J27" i="2" l="1"/>
  <c r="J43" i="2" s="1"/>
  <c r="E15" i="1"/>
  <c r="E20" i="1"/>
  <c r="F20" i="1" s="1"/>
  <c r="K57" i="1" s="1"/>
  <c r="E16" i="1"/>
  <c r="I31" i="3"/>
  <c r="I33" i="3" s="1"/>
  <c r="G9" i="2"/>
  <c r="C86" i="3"/>
  <c r="K49" i="1"/>
  <c r="I8" i="2"/>
  <c r="K41" i="2" s="1"/>
  <c r="K43" i="2" s="1"/>
  <c r="C73" i="3"/>
  <c r="K42" i="1"/>
  <c r="K41" i="1"/>
  <c r="AD30" i="2"/>
  <c r="AF30" i="2" s="1"/>
  <c r="AD24" i="2"/>
  <c r="AE24" i="2" s="1"/>
  <c r="D27" i="7" s="1"/>
  <c r="AD26" i="2"/>
  <c r="AE26" i="2" s="1"/>
  <c r="D29" i="7" s="1"/>
  <c r="K51" i="1"/>
  <c r="F15" i="1"/>
  <c r="F14" i="1"/>
  <c r="B35" i="1"/>
  <c r="F35" i="1" s="1"/>
  <c r="K43" i="1" s="1"/>
  <c r="C74" i="3"/>
  <c r="C85" i="3"/>
  <c r="C87" i="3"/>
  <c r="C89" i="3"/>
  <c r="C21" i="3"/>
  <c r="H43" i="2"/>
  <c r="C83" i="3"/>
  <c r="C78" i="3"/>
  <c r="AD31" i="2"/>
  <c r="AE31" i="2" s="1"/>
  <c r="D34" i="7" s="1"/>
  <c r="C13" i="3"/>
  <c r="B73" i="3" s="1"/>
  <c r="AD28" i="2"/>
  <c r="AF28" i="2" s="1"/>
  <c r="C88" i="3"/>
  <c r="C94" i="3"/>
  <c r="C92" i="3"/>
  <c r="C31" i="3"/>
  <c r="G5" i="2" s="1"/>
  <c r="C76" i="3"/>
  <c r="C77" i="3"/>
  <c r="AD29" i="2"/>
  <c r="AF29" i="2" s="1"/>
  <c r="C80" i="3"/>
  <c r="C72" i="3"/>
  <c r="C71" i="3"/>
  <c r="C79" i="3"/>
  <c r="C84" i="3"/>
  <c r="C93" i="3"/>
  <c r="C82" i="3"/>
  <c r="C90" i="3"/>
  <c r="C91" i="3"/>
  <c r="C75" i="3"/>
  <c r="AD32" i="2"/>
  <c r="AE32" i="2" s="1"/>
  <c r="D35" i="7" s="1"/>
  <c r="G43" i="2"/>
  <c r="AD25" i="2"/>
  <c r="AE25" i="2" s="1"/>
  <c r="D28" i="7" s="1"/>
  <c r="AD34" i="2"/>
  <c r="AE34" i="2" s="1"/>
  <c r="D37" i="7" s="1"/>
  <c r="R43" i="2"/>
  <c r="I9" i="2" l="1"/>
  <c r="M33" i="2" s="1"/>
  <c r="B108" i="3"/>
  <c r="E19" i="1"/>
  <c r="F19" i="1" s="1"/>
  <c r="K44" i="1" s="1"/>
  <c r="E17" i="1"/>
  <c r="F17" i="1" s="1"/>
  <c r="K56" i="1" s="1"/>
  <c r="D73" i="3"/>
  <c r="E73" i="3" s="1"/>
  <c r="L41" i="2"/>
  <c r="L43" i="2" s="1"/>
  <c r="B80" i="3"/>
  <c r="D80" i="3" s="1"/>
  <c r="E80" i="3" s="1"/>
  <c r="AE30" i="2"/>
  <c r="D33" i="7" s="1"/>
  <c r="B83" i="3"/>
  <c r="D83" i="3" s="1"/>
  <c r="E83" i="3" s="1"/>
  <c r="F16" i="1"/>
  <c r="K55" i="1"/>
  <c r="K53" i="1"/>
  <c r="K59" i="1"/>
  <c r="K54" i="1"/>
  <c r="B29" i="1"/>
  <c r="F29" i="1" s="1"/>
  <c r="K58" i="1" s="1"/>
  <c r="K52" i="1"/>
  <c r="K40" i="1"/>
  <c r="B90" i="3"/>
  <c r="D90" i="3" s="1"/>
  <c r="E90" i="3" s="1"/>
  <c r="B93" i="3"/>
  <c r="D93" i="3" s="1"/>
  <c r="E93" i="3" s="1"/>
  <c r="B84" i="3"/>
  <c r="D84" i="3" s="1"/>
  <c r="E84" i="3" s="1"/>
  <c r="B85" i="3"/>
  <c r="D85" i="3" s="1"/>
  <c r="E85" i="3" s="1"/>
  <c r="B75" i="3"/>
  <c r="D75" i="3" s="1"/>
  <c r="E75" i="3" s="1"/>
  <c r="B103" i="3"/>
  <c r="B112" i="3" s="1"/>
  <c r="B94" i="3"/>
  <c r="D94" i="3" s="1"/>
  <c r="E94" i="3" s="1"/>
  <c r="B91" i="3"/>
  <c r="D91" i="3" s="1"/>
  <c r="E91" i="3" s="1"/>
  <c r="B74" i="3"/>
  <c r="D74" i="3" s="1"/>
  <c r="E74" i="3" s="1"/>
  <c r="B89" i="3"/>
  <c r="D89" i="3" s="1"/>
  <c r="E89" i="3" s="1"/>
  <c r="B92" i="3"/>
  <c r="D92" i="3" s="1"/>
  <c r="E92" i="3" s="1"/>
  <c r="H5" i="2"/>
  <c r="I5" i="2" s="1"/>
  <c r="E39" i="2" s="1"/>
  <c r="AC39" i="2" s="1"/>
  <c r="B76" i="3"/>
  <c r="D76" i="3" s="1"/>
  <c r="E76" i="3" s="1"/>
  <c r="B86" i="3"/>
  <c r="D86" i="3" s="1"/>
  <c r="E86" i="3" s="1"/>
  <c r="B79" i="3"/>
  <c r="D79" i="3" s="1"/>
  <c r="E79" i="3" s="1"/>
  <c r="B82" i="3"/>
  <c r="D82" i="3" s="1"/>
  <c r="E82" i="3" s="1"/>
  <c r="C103" i="3"/>
  <c r="C112" i="3" s="1"/>
  <c r="B78" i="3"/>
  <c r="D78" i="3" s="1"/>
  <c r="E78" i="3" s="1"/>
  <c r="B81" i="3"/>
  <c r="D81" i="3" s="1"/>
  <c r="E81" i="3" s="1"/>
  <c r="B87" i="3"/>
  <c r="D87" i="3" s="1"/>
  <c r="E87" i="3" s="1"/>
  <c r="B88" i="3"/>
  <c r="D88" i="3" s="1"/>
  <c r="E88" i="3" s="1"/>
  <c r="B72" i="3"/>
  <c r="D72" i="3" s="1"/>
  <c r="E72" i="3" s="1"/>
  <c r="B77" i="3"/>
  <c r="D77" i="3" s="1"/>
  <c r="E77" i="3" s="1"/>
  <c r="B71" i="3"/>
  <c r="D71" i="3" s="1"/>
  <c r="E71" i="3" s="1"/>
  <c r="AE29" i="2"/>
  <c r="D32" i="7" s="1"/>
  <c r="C33" i="3"/>
  <c r="C95" i="3"/>
  <c r="AE28" i="2"/>
  <c r="D31" i="7" s="1"/>
  <c r="AF26" i="2"/>
  <c r="B32" i="1"/>
  <c r="N33" i="2" l="1"/>
  <c r="N43" i="2" s="1"/>
  <c r="M43" i="2"/>
  <c r="E27" i="2"/>
  <c r="F27" i="2" s="1"/>
  <c r="E95" i="3"/>
  <c r="B95" i="3"/>
  <c r="D95" i="3"/>
  <c r="E38" i="2"/>
  <c r="AC38" i="2" s="1"/>
  <c r="E41" i="2"/>
  <c r="F41" i="2" s="1"/>
  <c r="E33" i="2"/>
  <c r="F33" i="2" s="1"/>
  <c r="F39" i="2"/>
  <c r="AD39" i="2" s="1"/>
  <c r="AE39" i="2" s="1"/>
  <c r="D42" i="7" s="1"/>
  <c r="E42" i="2"/>
  <c r="AC42" i="2" s="1"/>
  <c r="E37" i="2"/>
  <c r="F37" i="2" s="1"/>
  <c r="E36" i="2"/>
  <c r="AC36" i="2" s="1"/>
  <c r="E40" i="2"/>
  <c r="AC40" i="2" s="1"/>
  <c r="E23" i="2"/>
  <c r="F23" i="2" s="1"/>
  <c r="AD23" i="2" s="1"/>
  <c r="E35" i="2"/>
  <c r="AC35" i="2" s="1"/>
  <c r="F32" i="1"/>
  <c r="K50" i="1" s="1"/>
  <c r="AC27" i="2" l="1"/>
  <c r="F42" i="2"/>
  <c r="AD42" i="2" s="1"/>
  <c r="AE42" i="2" s="1"/>
  <c r="D45" i="7" s="1"/>
  <c r="F38" i="2"/>
  <c r="AD38" i="2" s="1"/>
  <c r="AE38" i="2" s="1"/>
  <c r="D41" i="7" s="1"/>
  <c r="AC41" i="2"/>
  <c r="F40" i="2"/>
  <c r="F36" i="2"/>
  <c r="AD36" i="2" s="1"/>
  <c r="AE36" i="2" s="1"/>
  <c r="D39" i="7" s="1"/>
  <c r="AC33" i="2"/>
  <c r="E43" i="2"/>
  <c r="AC23" i="2"/>
  <c r="AF23" i="2" s="1"/>
  <c r="F35" i="2"/>
  <c r="AD35" i="2" s="1"/>
  <c r="AF35" i="2" s="1"/>
  <c r="AC37" i="2"/>
  <c r="AF39" i="2"/>
  <c r="AD40" i="2"/>
  <c r="AE40" i="2" s="1"/>
  <c r="D43" i="7" s="1"/>
  <c r="AD37" i="2"/>
  <c r="AE37" i="2" s="1"/>
  <c r="D40" i="7" s="1"/>
  <c r="AD41" i="2"/>
  <c r="AE23" i="2"/>
  <c r="D26" i="7" s="1"/>
  <c r="AD33" i="2"/>
  <c r="AE33" i="2" s="1"/>
  <c r="D36" i="7" s="1"/>
  <c r="AD27" i="2"/>
  <c r="AF38" i="2"/>
  <c r="AF36" i="2"/>
  <c r="AF27" i="2" l="1"/>
  <c r="AF40" i="2"/>
  <c r="AF41" i="2"/>
  <c r="AF42" i="2"/>
  <c r="F43" i="2"/>
  <c r="AD43" i="2"/>
  <c r="AF33" i="2"/>
  <c r="AF37" i="2"/>
  <c r="AE27" i="2"/>
  <c r="D30" i="7" s="1"/>
  <c r="AE35" i="2"/>
  <c r="D38" i="7" s="1"/>
  <c r="AE41" i="2"/>
  <c r="D44" i="7" s="1"/>
  <c r="C40" i="7" l="1"/>
  <c r="E40" i="7" s="1"/>
  <c r="C44" i="7"/>
  <c r="E44" i="7" s="1"/>
  <c r="C45" i="7" l="1"/>
  <c r="E45" i="7" s="1"/>
  <c r="C41" i="7"/>
  <c r="E41" i="7" s="1"/>
  <c r="C35" i="7"/>
  <c r="E35" i="7" s="1"/>
  <c r="C31" i="7"/>
  <c r="E31" i="7" s="1"/>
  <c r="C34" i="7"/>
  <c r="E34" i="7" s="1"/>
  <c r="C28" i="7"/>
  <c r="E28" i="7" s="1"/>
  <c r="C29" i="7"/>
  <c r="E29" i="7" s="1"/>
  <c r="C38" i="7"/>
  <c r="E38" i="7" s="1"/>
  <c r="C32" i="7"/>
  <c r="E32" i="7" s="1"/>
  <c r="C26" i="7"/>
  <c r="E26" i="7" s="1"/>
  <c r="J29" i="1"/>
  <c r="C39" i="7"/>
  <c r="E39" i="7" s="1"/>
  <c r="J28" i="1"/>
  <c r="C37" i="7"/>
  <c r="E37" i="7" s="1"/>
  <c r="J27" i="1"/>
  <c r="C43" i="7"/>
  <c r="E43" i="7" s="1"/>
  <c r="C33" i="7"/>
  <c r="E33" i="7" s="1"/>
  <c r="C27" i="7"/>
  <c r="E27" i="7" s="1"/>
  <c r="J30" i="1"/>
  <c r="C42" i="7"/>
  <c r="E42" i="7" s="1"/>
  <c r="C36" i="7"/>
  <c r="E36" i="7" s="1"/>
  <c r="C30" i="7"/>
  <c r="E30" i="7" s="1"/>
</calcChain>
</file>

<file path=xl/sharedStrings.xml><?xml version="1.0" encoding="utf-8"?>
<sst xmlns="http://schemas.openxmlformats.org/spreadsheetml/2006/main" count="794" uniqueCount="238">
  <si>
    <t>RPM Parameters</t>
  </si>
  <si>
    <t>IRM</t>
  </si>
  <si>
    <t>Pool Average EFORd</t>
  </si>
  <si>
    <t>LDA</t>
  </si>
  <si>
    <t>FPR</t>
  </si>
  <si>
    <t>SWMAAC</t>
  </si>
  <si>
    <t>RTO</t>
  </si>
  <si>
    <t>Zone</t>
  </si>
  <si>
    <t>PS</t>
  </si>
  <si>
    <t>PECO</t>
  </si>
  <si>
    <t>PL</t>
  </si>
  <si>
    <t>BGE</t>
  </si>
  <si>
    <t>JCPL</t>
  </si>
  <si>
    <t>METED</t>
  </si>
  <si>
    <t>PENLC</t>
  </si>
  <si>
    <t>PEPCO</t>
  </si>
  <si>
    <t>AE</t>
  </si>
  <si>
    <t>DPL</t>
  </si>
  <si>
    <t>RECO</t>
  </si>
  <si>
    <t>APS</t>
  </si>
  <si>
    <t>COMED</t>
  </si>
  <si>
    <t>DAYTON</t>
  </si>
  <si>
    <t>Zonal Forecast Peak Load Scaling Factor</t>
  </si>
  <si>
    <t>Obligation Peak Load Scaling Factor</t>
  </si>
  <si>
    <t xml:space="preserve"> </t>
  </si>
  <si>
    <t>Base Zonal RPM Scaling Factor</t>
  </si>
  <si>
    <t>Base Zonal UCAP Obligation    [MW]</t>
  </si>
  <si>
    <t>LDA2</t>
  </si>
  <si>
    <t>LDA1</t>
  </si>
  <si>
    <t>MAAC</t>
  </si>
  <si>
    <t>AEP</t>
  </si>
  <si>
    <t>DOM</t>
  </si>
  <si>
    <t xml:space="preserve">  </t>
  </si>
  <si>
    <t>LDA3</t>
  </si>
  <si>
    <t>Preliminary Zonal Capacity Price           [$/MW-day]</t>
  </si>
  <si>
    <t>EMAAC</t>
  </si>
  <si>
    <t>PSNORTH</t>
  </si>
  <si>
    <t>DPLSOUTH</t>
  </si>
  <si>
    <t>Rest of DPL</t>
  </si>
  <si>
    <t>Rest of PS</t>
  </si>
  <si>
    <t>DPL Equivalent</t>
  </si>
  <si>
    <t>Preliminary Zonal Results</t>
  </si>
  <si>
    <t>PS Equivalent</t>
  </si>
  <si>
    <t>Locational Price Adder</t>
  </si>
  <si>
    <t>DLCO</t>
  </si>
  <si>
    <t>ATSI</t>
  </si>
  <si>
    <t>Rest of RTO</t>
  </si>
  <si>
    <t>Rest of SWMAAC</t>
  </si>
  <si>
    <t>Rest of EMAAC</t>
  </si>
  <si>
    <t>Rest of MAAC</t>
  </si>
  <si>
    <t>Total</t>
  </si>
  <si>
    <t>Base Zonal CTR Credit Rate [$/MW UCAP Obligation per Day]</t>
  </si>
  <si>
    <t>DEOK</t>
  </si>
  <si>
    <t>Resource Credits</t>
  </si>
  <si>
    <t>Resource Clearing Prices</t>
  </si>
  <si>
    <t>Cleared &amp; Make-Whole MWs</t>
  </si>
  <si>
    <t>Sub-Zone/Zone</t>
  </si>
  <si>
    <t>LDA Base UCAP Obligation [MW]</t>
  </si>
  <si>
    <t>Zone/Responsible Customer</t>
  </si>
  <si>
    <t>Total ICTRs [MW]</t>
  </si>
  <si>
    <t>Incremental Capacity Transfer Rights (ICTRs)</t>
  </si>
  <si>
    <t>ICTR Credits</t>
  </si>
  <si>
    <t>Sink LDA</t>
  </si>
  <si>
    <t>QTU Credits [$/day]</t>
  </si>
  <si>
    <t>LDA CTRs</t>
  </si>
  <si>
    <t>Base UCAP Obligation [MW]</t>
  </si>
  <si>
    <t>Internal  Resources Cleared in LDA</t>
  </si>
  <si>
    <t>QTU Equivalents [MW]</t>
  </si>
  <si>
    <t>Totals</t>
  </si>
  <si>
    <t>Notes:</t>
  </si>
  <si>
    <t>Locational Price Adder is respect to immediate higher level LDA.</t>
  </si>
  <si>
    <t>Economic Value of CTRs = CTRs Allocated * Locational Price Adder</t>
  </si>
  <si>
    <t>CTRs Allocated, Economic Value of CTRs, CTR Credit Rates, and CTR Settlement Rates are not final and may change to due Incremental Auction results.</t>
  </si>
  <si>
    <t>Economic Value of ICTRs [$/day]</t>
  </si>
  <si>
    <t>Economic Value of ICTRs = Total ICTRs * Locational Price Adder.</t>
  </si>
  <si>
    <t>Customer-Funded Upgrades ICTRs [MW]</t>
  </si>
  <si>
    <t>Customer-Funded Upgrades</t>
  </si>
  <si>
    <t>ICTRs allocated and  Economic Value of CTRs are not final and are subject to change due to Incremental Auction results.</t>
  </si>
  <si>
    <t>Customer-Funded ICTR Credits [$/day]</t>
  </si>
  <si>
    <t>Cleared Capacity     [MW]</t>
  </si>
  <si>
    <t>Preliminary CTRs Allocated = Max of the LDA CTRs Allocated to LSEs [MW]</t>
  </si>
  <si>
    <t>ICTRs for Customer-Funded Upgrades [MW]</t>
  </si>
  <si>
    <t>Total ICTRs into Sink LDA [MW]</t>
  </si>
  <si>
    <t>Allocation of LSE CTRs, Economic Value of LSE CTRs, Zonal CTR Credit Rates, &amp; Zonal CTR Settlement Rates</t>
  </si>
  <si>
    <t>LDA Capacity Price [$/MW-day]</t>
  </si>
  <si>
    <t>Total CTRs * [MW]</t>
  </si>
  <si>
    <t>* CTRs are reduced to allow for certain grandfathered congestion credits.</t>
  </si>
  <si>
    <t>b0457: Dooms-Lexington circuit wave traps (effective 2012/2013)</t>
  </si>
  <si>
    <t>b0559: Capacitor at Meadow Brook substation (effective 2012/2013</t>
  </si>
  <si>
    <t>b1398: Build two new parallel underground circuits from Gloucester to Camden (effective 2015/2016)</t>
  </si>
  <si>
    <t>M05:  Replace Wave Traps at Bedington and Black Oak 500 KV (effective 2009/2010)</t>
  </si>
  <si>
    <t>b1507: Rebuild Mt Storm - Doubs 500 kV (effective 2015/2016)</t>
  </si>
  <si>
    <t>b0487, b0489: Build new 500 kV transmission facilities from Susquehanna to Roseland (effective 2015/2016)</t>
  </si>
  <si>
    <t>Incremental Rights-Eligible Required Transmission Enhancements</t>
  </si>
  <si>
    <t>ICTRs [MW] for Lower Voltage Facilities</t>
  </si>
  <si>
    <t>Cost Allocation Percentages for Incremental Rights-Eligible Required Transmission Enhancements</t>
  </si>
  <si>
    <t>Lower Voltage Facility: b0497</t>
  </si>
  <si>
    <t>Lower Voltage Facility: b1304.1 - b1304.4</t>
  </si>
  <si>
    <t>Lower Voltage Facility: b1398</t>
  </si>
  <si>
    <t>ICTRs for Lower Voltage Facility: b0497 [MW]</t>
  </si>
  <si>
    <t>ICTRs for Lower Voltage Facility: b1304.1-b1304.4  [MW]</t>
  </si>
  <si>
    <t>ICTRs for Lower Voltage Facility: b1398 [MW]</t>
  </si>
  <si>
    <t>Incremental Rights-Eligible Required Transmission Enhancements ICTR Credits [$/day]</t>
  </si>
  <si>
    <t>Certified ICTR * [MW]</t>
  </si>
  <si>
    <t>Remaining CTRs for Incremental Rights-Eligible Required Transmission Enhancements, Customer-Funded Upgrades, &amp; LSEs [MW]</t>
  </si>
  <si>
    <t>Incremental Rights-Eligible Required Transmission Enhancements ICTRs [MW]</t>
  </si>
  <si>
    <t>* Certified ICTRs are adjusted if the Remaining CTRs for Incremental Rights-Eligible Required Transmission Enhancements, Customer Funded-Upgrades, and LSEs into LDA are less than the Total Certified ICTRs into the LDA.</t>
  </si>
  <si>
    <t>ConEd</t>
  </si>
  <si>
    <t>Neptune</t>
  </si>
  <si>
    <t>Remaining CTRs for LSEs [MW]</t>
  </si>
  <si>
    <t>Capacity Cleared &amp; Resource Clearing Prices</t>
  </si>
  <si>
    <t>Base Residual Auction</t>
  </si>
  <si>
    <t>Zonal UCAP Obligations, Zonal Capacity Prices, &amp; Zonal CTR Credit Rates</t>
  </si>
  <si>
    <t>Base Zonal CTR Credit Rate ($/MW-UCAP Obligation-day)</t>
  </si>
  <si>
    <t>Total Resources Cleared for PJM LSEs (MW)</t>
  </si>
  <si>
    <t>Base Zonal UCAP Obligation      (MW)</t>
  </si>
  <si>
    <t>Preliminary Zonal Net Load Price         ($/MW-day)</t>
  </si>
  <si>
    <t>b1304.1, b1304.2, b1304.3, b1304.4: Various upgrades in PS (effective 2015/2016)</t>
  </si>
  <si>
    <t>ATSI-CLEVELAND</t>
  </si>
  <si>
    <t>Rest of ATSI</t>
  </si>
  <si>
    <t>ATSI Equivalent</t>
  </si>
  <si>
    <t>EKPC</t>
  </si>
  <si>
    <t>b1694: Rebuild Loudoun - Brambleton 500 kV (effective 2016/2017)</t>
  </si>
  <si>
    <t>Calculation of Zonal Capacity Prices for PS, DPL, and ATSI</t>
  </si>
  <si>
    <t>Additional Locational Price Adder with respect to Reference LDA [$/MW-day]</t>
  </si>
  <si>
    <t>ADJUSTED</t>
  </si>
  <si>
    <t>Adjusted ICTR * [MW]</t>
  </si>
  <si>
    <t>Certified ICTR [MW]</t>
  </si>
  <si>
    <t>Lower Voltage Facility: b1251, b1251.1</t>
  </si>
  <si>
    <t>ICTRs for Lower Voltage Facility: b1251, b1251.1 [MW]</t>
  </si>
  <si>
    <t>LDA/External Source Zone</t>
  </si>
  <si>
    <t>Make-Whole MW &amp; Credits</t>
  </si>
  <si>
    <t>Qualifying Transmission Upgrade (QTU) MWs &amp; Credits</t>
  </si>
  <si>
    <t>QTU Import Capability Cleared into Sink LDA  [MW]</t>
  </si>
  <si>
    <t>System Marginal Price*
 [$/MW-day]</t>
  </si>
  <si>
    <t>Additional Make-whole Adjustments due to NEPA [$/day)</t>
  </si>
  <si>
    <t>Preliminary Zonal Capacity Price
[$/MW-day]</t>
  </si>
  <si>
    <t>LDA Capacity Price</t>
  </si>
  <si>
    <t>A Weighted Locational Price Adder is used in the case of PS, DPL, or ATSI Equivalent.</t>
  </si>
  <si>
    <t>Additional Adjustment due to Make-whole with respect to Reference LDA
 [$/MW-day]</t>
  </si>
  <si>
    <t>Allocation of Required Transmission Enhancement ICTRs to Zone/Responsible Customer</t>
  </si>
  <si>
    <t>Lower Voltage Facilities</t>
  </si>
  <si>
    <t>RTO *</t>
  </si>
  <si>
    <t>System Marginal Price               [$/MW-day]</t>
  </si>
  <si>
    <t>Adjustment due to Make-Whole         [$/MW-day]</t>
  </si>
  <si>
    <t>Regional Facilities (500 kV and above)</t>
  </si>
  <si>
    <t>b2373: Build 2nd Loudoun - Brambleton 500 kV line (effective 2018/2019)</t>
  </si>
  <si>
    <t>Lower Voltage Facility: b2443</t>
  </si>
  <si>
    <t>Regional Facilities</t>
  </si>
  <si>
    <t>ICTRs for Lower Voltage Facility: b2443 [MW]</t>
  </si>
  <si>
    <t>*System Marginal Price is the clearing price for Capacity Performance Resources in unconstrained area of RTO.</t>
  </si>
  <si>
    <t>CTRs Allocated to LSEs                   [MW]</t>
  </si>
  <si>
    <t>Economic Value of LSE CTRs        [$/day]</t>
  </si>
  <si>
    <t>CTRs Allocated to LSEs                           [MW]</t>
  </si>
  <si>
    <t>Economic Value of LSE CTRs         [$/day]</t>
  </si>
  <si>
    <t>Total Preliminary Economic Value of LSE CTRs         [$/day]</t>
  </si>
  <si>
    <t>Preliminary Zonal CTR Settlement Rate                [$/MW CTR per day]</t>
  </si>
  <si>
    <t>b0497: Install Second Conastone-Graceton 230 kV circuit; Replace Conastone 230 kV breaker 2323/2302 (effective 2017/2018)</t>
  </si>
  <si>
    <t>AA2-054 - Pamphrey 230 kV Upgrade (effective 2019/2020)</t>
  </si>
  <si>
    <t>b1251.1, b1251: Re-build the existing and build a second Raphael-Bagley 230 kV (effective 2017/2018)</t>
  </si>
  <si>
    <t>Y1-082:  Uprate bus equipment at Wye Mills 69 kV substation (effective 2016/2017)</t>
  </si>
  <si>
    <t>Z2-017: Bristers Ox 500 kV (effective 2018/2019).</t>
  </si>
  <si>
    <t>Summary of 2020/2021 Base Residual Auction Results</t>
  </si>
  <si>
    <t>2020/2021 BRA Resource Clearing Results</t>
  </si>
  <si>
    <t>** Locational Price Adder is with respect to the immediate higher level LDA.</t>
  </si>
  <si>
    <t>Locational Price Adder **
  [$/MW-day]</t>
  </si>
  <si>
    <t>Annual Resources  [MW]</t>
  </si>
  <si>
    <t>Annual Resources Make-whole [MW]</t>
  </si>
  <si>
    <t>Make-whole Credits for Annual Resources [$/day]</t>
  </si>
  <si>
    <t>Make-whole Credits for Summer Period Resources [$/day]</t>
  </si>
  <si>
    <t>Make-whole Credits for Winter Period Resources [$/day]</t>
  </si>
  <si>
    <t>Annual Resources Make-whole      [MW]</t>
  </si>
  <si>
    <t>Total Annual Equivalent Resources Cleared               [MW]</t>
  </si>
  <si>
    <t>Equivalent Annual Make-Whole Credits  [$/day]</t>
  </si>
  <si>
    <t>2020/2021 BRA Load Pricing Results</t>
  </si>
  <si>
    <t>2016 W/N Coincident Peak Load               [MW]</t>
  </si>
  <si>
    <t>2020/2021 Prelim. Zonal Peak Load Forecast                     [MW]</t>
  </si>
  <si>
    <t>2020/2021 DY BRA CTRs</t>
  </si>
  <si>
    <t>Y3-064: Pierce 18 - Beckjord 138 kV circuit '1887' to an SE of 603 MVA (effective 2017/2018)</t>
  </si>
  <si>
    <t>Y3-082:  Upgrade Easton-Trappe Tap 69 kV circuit to 136/174 MVA SN/SE (effective 2017/2018)</t>
  </si>
  <si>
    <t>AB2-020 - 40 MW Uprate to Roseland - Williams</t>
  </si>
  <si>
    <t>b2729: Optimal Capacitors Configuration: New 175 MVAR 230 kV capacitor bank at Brambleton substation, new 175 MVAR 230 kV capacitor bank at Ashburn substation, new 300 MVAR 230 kV capacitor bank at Shelhorn substation, new 150 MVAR 230 kV capacitor bank at Liber (effective 2020/2021)</t>
  </si>
  <si>
    <t>Lower Voltage Facility: b2729</t>
  </si>
  <si>
    <t>ICTRs for Lower Voltage Facility: b2729 [MW]</t>
  </si>
  <si>
    <t>ICTRs for Lower Voltage Facility: b2729                [MW]</t>
  </si>
  <si>
    <t xml:space="preserve">Note:  Cost Allocation Percentages are based on 2017 cost responsibility assignments from the OATT.  The cost allocation percentages may change during actual Delivery Year. </t>
  </si>
  <si>
    <t>CERA#52122896</t>
  </si>
  <si>
    <t>Resource Clearing Price            ($/MW-day)</t>
  </si>
  <si>
    <t>Resource Clearing Price                 [$/MW-day]</t>
  </si>
  <si>
    <r>
      <t>Summer Period Resources</t>
    </r>
    <r>
      <rPr>
        <b/>
        <sz val="10"/>
        <color rgb="FFFF0000"/>
        <rFont val="Calibri"/>
        <family val="2"/>
        <scheme val="minor"/>
      </rPr>
      <t xml:space="preserve">           </t>
    </r>
    <r>
      <rPr>
        <b/>
        <sz val="10"/>
        <rFont val="Calibri"/>
        <family val="2"/>
        <scheme val="minor"/>
      </rPr>
      <t>[MW]</t>
    </r>
  </si>
  <si>
    <t>Winter Period Resources           [MW]</t>
  </si>
  <si>
    <t>Seasonal Resources Matched to be Annual                 [MW]</t>
  </si>
  <si>
    <t>Resource Credits at Clearing Price [$/day]</t>
  </si>
  <si>
    <t>AB2-021 - 100 MW Uprate to Keeny - Rocksprings 500 kV</t>
  </si>
  <si>
    <t>ComEd</t>
  </si>
  <si>
    <t>Dayton</t>
  </si>
  <si>
    <t>Duke Energy OH/KY</t>
  </si>
  <si>
    <t>Duquesne</t>
  </si>
  <si>
    <t>Delmarva</t>
  </si>
  <si>
    <t>Dominion</t>
  </si>
  <si>
    <t>HTP</t>
  </si>
  <si>
    <t>MetEd</t>
  </si>
  <si>
    <t>Penelec</t>
  </si>
  <si>
    <t>PPL</t>
  </si>
  <si>
    <t>PSEG</t>
  </si>
  <si>
    <t>Rockland</t>
  </si>
  <si>
    <t>East Coast Power</t>
  </si>
  <si>
    <t>RTO Reliability Requirement [MW] *</t>
  </si>
  <si>
    <t>* Including EE Addback and PRD reduction.</t>
  </si>
  <si>
    <t>PRD Credit</t>
  </si>
  <si>
    <t>Nominated PRD Value [MW]</t>
  </si>
  <si>
    <t>PRD Credit           [$/day]</t>
  </si>
  <si>
    <t>RTO Total</t>
  </si>
  <si>
    <t>Locational Price Adder is with respect to immediate higher level parent LDA.</t>
  </si>
  <si>
    <t>Locational Price Adder:</t>
  </si>
  <si>
    <t>ICTRs [MW] for Regional Facilities</t>
  </si>
  <si>
    <t>ICTRs for Regional Facilities[MW]</t>
  </si>
  <si>
    <t>ICTRs for Regional Facilities [MW]</t>
  </si>
  <si>
    <t>No ICTRs for Regional Facilities &amp; Lower Voltage Facilities.</t>
  </si>
  <si>
    <t>Adjusted Preliminary Zonal Capacity Price          ($/MW-day)</t>
  </si>
  <si>
    <t>b2443: Construct new underground 230 kV line from Glebe to Station C (2018/2019).</t>
  </si>
  <si>
    <t xml:space="preserve">2020/2021 BRA ICTRs </t>
  </si>
  <si>
    <t>RTO*</t>
  </si>
  <si>
    <t>* RTO resources include resources from External Source Zones.</t>
  </si>
  <si>
    <t>QTU Clearing Price *      [$/MW-Day]</t>
  </si>
  <si>
    <t>* Locational Price Adder with respect to the immediate higher level LDA.</t>
  </si>
  <si>
    <t>Locational Price Adder *            [$/MW-day]</t>
  </si>
  <si>
    <t>*Locational Price Adder with respect to RTO</t>
  </si>
  <si>
    <t>Reference LDA* Capacity Price           [MW]</t>
  </si>
  <si>
    <t>* Reference LDA is EMAAC LDA for PS and DPL zones and RTO for ATSI zone.</t>
  </si>
  <si>
    <t>AEP *</t>
  </si>
  <si>
    <t>DEOK *</t>
  </si>
  <si>
    <t>EKPC *</t>
  </si>
  <si>
    <t>*Obligation affected by FRR quantities</t>
  </si>
  <si>
    <t>*</t>
  </si>
  <si>
    <t>*Obligation affected by FRR quantities.</t>
  </si>
  <si>
    <t>Adjusted Preliiminary Zonal Capacity Price**          [$/MW-day]</t>
  </si>
  <si>
    <t>**Adjusted Preliminary Zonal Capacity Price includes adjustment to cover funding of PRD Credits.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</si>
</sst>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7" formatCode="&quot;$&quot;#,##0.00_);\(&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0"/>
    <numFmt numFmtId="168" formatCode="0.0000"/>
    <numFmt numFmtId="169" formatCode="#,##0.0"/>
    <numFmt numFmtId="171" formatCode="0.000000"/>
    <numFmt numFmtId="173" formatCode="_(* #,##0.0_);_(* \(#,##0.0\);_(* &quot;-&quot;??_);_(@_)"/>
    <numFmt numFmtId="174" formatCode="_(* #,##0.00000_);_(* \(#,##0.00000\);_(* &quot;-&quot;?????_);_(@_)"/>
    <numFmt numFmtId="175" formatCode="&quot;$&quot;#,##0"/>
    <numFmt numFmtId="176" formatCode="&quot;$&quot;#,##0.000000"/>
    <numFmt numFmtId="178" formatCode="&quot;$&quot;#,##0.00000000"/>
    <numFmt numFmtId="179" formatCode="_(* #,##0.0000000_);_(* \(#,##0.0000000\);_(* &quot;-&quot;??_);_(@_)"/>
    <numFmt numFmtId="180" formatCode="0.000%"/>
    <numFmt numFmtId="181" formatCode="&quot;$&quot;#,##0.0000000"/>
  </numFmts>
  <fonts count="29" x14ac:knownFonts="1">
    <font>
      <sz val="10"/>
      <name val="Arial"/>
    </font>
    <font>
      <sz val="10"/>
      <name val="Arial"/>
      <family val="2"/>
    </font>
    <font>
      <b/>
      <i/>
      <sz val="14"/>
      <name val="Arial"/>
      <family val="2"/>
    </font>
    <font>
      <sz val="14"/>
      <name val="Arial"/>
      <family val="2"/>
    </font>
    <font>
      <sz val="10"/>
      <name val="Arial"/>
      <family val="2"/>
    </font>
    <font>
      <b/>
      <sz val="10"/>
      <name val="Arial"/>
      <family val="2"/>
    </font>
    <font>
      <b/>
      <sz val="12"/>
      <name val="Arial"/>
      <family val="2"/>
    </font>
    <font>
      <sz val="11"/>
      <name val="Arial"/>
      <family val="2"/>
    </font>
    <font>
      <i/>
      <sz val="10"/>
      <name val="Arial"/>
      <family val="2"/>
    </font>
    <font>
      <sz val="10"/>
      <color rgb="FFFF0000"/>
      <name val="Arial"/>
      <family val="2"/>
    </font>
    <font>
      <b/>
      <sz val="10"/>
      <color rgb="FFFF0000"/>
      <name val="Arial"/>
      <family val="2"/>
    </font>
    <font>
      <b/>
      <sz val="11"/>
      <color rgb="FFFF0000"/>
      <name val="Arial"/>
      <family val="2"/>
    </font>
    <font>
      <b/>
      <sz val="10"/>
      <name val="Calibri"/>
      <family val="2"/>
      <scheme val="minor"/>
    </font>
    <font>
      <sz val="10"/>
      <name val="Calibri"/>
      <family val="2"/>
      <scheme val="minor"/>
    </font>
    <font>
      <b/>
      <i/>
      <sz val="14"/>
      <name val="Calibri"/>
      <family val="2"/>
      <scheme val="minor"/>
    </font>
    <font>
      <b/>
      <sz val="14"/>
      <name val="Calibri"/>
      <family val="2"/>
      <scheme val="minor"/>
    </font>
    <font>
      <b/>
      <sz val="10"/>
      <color rgb="FFFF0000"/>
      <name val="Calibri"/>
      <family val="2"/>
      <scheme val="minor"/>
    </font>
    <font>
      <b/>
      <i/>
      <sz val="12"/>
      <name val="Calibri"/>
      <family val="2"/>
      <scheme val="minor"/>
    </font>
    <font>
      <sz val="10"/>
      <color rgb="FFFF0000"/>
      <name val="Calibri"/>
      <family val="2"/>
      <scheme val="minor"/>
    </font>
    <font>
      <i/>
      <sz val="10"/>
      <name val="Calibri"/>
      <family val="2"/>
      <scheme val="minor"/>
    </font>
    <font>
      <b/>
      <sz val="10"/>
      <color indexed="10"/>
      <name val="Calibri"/>
      <family val="2"/>
      <scheme val="minor"/>
    </font>
    <font>
      <b/>
      <i/>
      <sz val="10"/>
      <name val="Calibri"/>
      <family val="2"/>
      <scheme val="minor"/>
    </font>
    <font>
      <b/>
      <sz val="12"/>
      <name val="Calibri"/>
      <family val="2"/>
      <scheme val="minor"/>
    </font>
    <font>
      <i/>
      <sz val="10"/>
      <color rgb="FFFF0000"/>
      <name val="Calibri"/>
      <family val="2"/>
      <scheme val="minor"/>
    </font>
    <font>
      <i/>
      <sz val="12"/>
      <name val="Calibri"/>
      <family val="2"/>
      <scheme val="minor"/>
    </font>
    <font>
      <b/>
      <i/>
      <sz val="12"/>
      <color rgb="FFFF0000"/>
      <name val="Calibri"/>
      <family val="2"/>
      <scheme val="minor"/>
    </font>
    <font>
      <b/>
      <sz val="12"/>
      <color rgb="FFFF0000"/>
      <name val="Calibri"/>
      <family val="2"/>
      <scheme val="minor"/>
    </font>
    <font>
      <sz val="8"/>
      <name val="Arial"/>
      <family val="2"/>
    </font>
    <font>
      <sz val="8"/>
      <color rgb="FFFF0000"/>
      <name val="Arial"/>
      <family val="2"/>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s>
  <cellStyleXfs count="9">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487">
    <xf numFmtId="0" fontId="0" fillId="0" borderId="0" xfId="0"/>
    <xf numFmtId="0" fontId="2" fillId="0" borderId="0" xfId="0" applyFont="1"/>
    <xf numFmtId="0" fontId="3" fillId="0" borderId="0" xfId="0" applyFont="1"/>
    <xf numFmtId="0" fontId="2" fillId="0" borderId="0" xfId="0" applyFont="1" applyFill="1" applyBorder="1"/>
    <xf numFmtId="0" fontId="4" fillId="0" borderId="0" xfId="0" applyFont="1"/>
    <xf numFmtId="164" fontId="4" fillId="0" borderId="0" xfId="0" applyNumberFormat="1" applyFont="1"/>
    <xf numFmtId="0" fontId="4" fillId="0" borderId="0" xfId="0" applyFont="1" applyAlignment="1">
      <alignment wrapText="1"/>
    </xf>
    <xf numFmtId="0" fontId="4" fillId="0" borderId="0" xfId="0" applyFont="1" applyBorder="1"/>
    <xf numFmtId="167" fontId="4" fillId="0" borderId="0" xfId="0" applyNumberFormat="1" applyFont="1"/>
    <xf numFmtId="0" fontId="4" fillId="0" borderId="0" xfId="0" applyFont="1" applyFill="1" applyBorder="1"/>
    <xf numFmtId="0" fontId="5" fillId="0" borderId="0" xfId="0" applyNumberFormat="1" applyFont="1" applyFill="1" applyBorder="1" applyAlignment="1">
      <alignment horizontal="center" wrapText="1"/>
    </xf>
    <xf numFmtId="0" fontId="10" fillId="0" borderId="0" xfId="0" applyFont="1"/>
    <xf numFmtId="169" fontId="4" fillId="0" borderId="0" xfId="0" applyNumberFormat="1" applyFont="1"/>
    <xf numFmtId="44" fontId="5" fillId="0" borderId="0" xfId="3" applyFont="1" applyBorder="1" applyAlignment="1">
      <alignment horizontal="center"/>
    </xf>
    <xf numFmtId="43" fontId="4" fillId="0" borderId="0" xfId="0" applyNumberFormat="1" applyFont="1"/>
    <xf numFmtId="0" fontId="0" fillId="0" borderId="0" xfId="0" applyBorder="1"/>
    <xf numFmtId="0" fontId="4" fillId="0" borderId="0" xfId="0" applyFont="1" applyFill="1"/>
    <xf numFmtId="0" fontId="11" fillId="0" borderId="0" xfId="0" applyFont="1" applyFill="1" applyBorder="1" applyAlignment="1">
      <alignment horizontal="left"/>
    </xf>
    <xf numFmtId="0" fontId="9" fillId="0" borderId="0" xfId="0" applyFont="1"/>
    <xf numFmtId="0" fontId="5" fillId="0" borderId="0" xfId="0" applyFont="1" applyFill="1" applyBorder="1" applyAlignment="1">
      <alignment horizontal="center" wrapText="1"/>
    </xf>
    <xf numFmtId="0" fontId="5" fillId="0" borderId="0" xfId="0" applyFont="1" applyBorder="1" applyAlignment="1">
      <alignment horizontal="center"/>
    </xf>
    <xf numFmtId="0" fontId="9" fillId="0" borderId="0" xfId="0" applyFont="1" applyFill="1"/>
    <xf numFmtId="0" fontId="12" fillId="0" borderId="0" xfId="0" applyFont="1" applyFill="1" applyBorder="1" applyAlignment="1">
      <alignment horizontal="left" vertical="center"/>
    </xf>
    <xf numFmtId="0" fontId="13" fillId="0" borderId="0" xfId="0" applyFont="1"/>
    <xf numFmtId="0" fontId="12" fillId="2" borderId="1" xfId="0" applyFont="1" applyFill="1" applyBorder="1" applyAlignment="1">
      <alignment horizontal="center" vertical="center" wrapText="1"/>
    </xf>
    <xf numFmtId="0" fontId="13" fillId="3" borderId="1" xfId="0" applyFont="1" applyFill="1" applyBorder="1" applyAlignment="1">
      <alignment vertical="center"/>
    </xf>
    <xf numFmtId="173" fontId="13" fillId="2" borderId="1" xfId="1" applyNumberFormat="1" applyFont="1" applyFill="1" applyBorder="1" applyAlignment="1">
      <alignment vertical="center"/>
    </xf>
    <xf numFmtId="165" fontId="13" fillId="2" borderId="1" xfId="3" applyNumberFormat="1" applyFont="1" applyFill="1" applyBorder="1" applyAlignment="1">
      <alignment vertical="center"/>
    </xf>
    <xf numFmtId="0" fontId="13" fillId="3" borderId="1" xfId="0" applyFont="1" applyFill="1" applyBorder="1"/>
    <xf numFmtId="173" fontId="13" fillId="2" borderId="1" xfId="1" applyNumberFormat="1" applyFont="1" applyFill="1" applyBorder="1"/>
    <xf numFmtId="0" fontId="13" fillId="0" borderId="1" xfId="0" applyFont="1" applyFill="1" applyBorder="1"/>
    <xf numFmtId="164" fontId="13" fillId="2" borderId="1" xfId="1" applyNumberFormat="1" applyFont="1" applyFill="1" applyBorder="1"/>
    <xf numFmtId="0" fontId="13" fillId="0" borderId="0" xfId="0" applyFont="1" applyFill="1" applyBorder="1"/>
    <xf numFmtId="165" fontId="13" fillId="2" borderId="1" xfId="1" applyNumberFormat="1" applyFont="1" applyFill="1" applyBorder="1" applyAlignment="1">
      <alignment vertical="center"/>
    </xf>
    <xf numFmtId="165" fontId="13" fillId="2" borderId="1" xfId="0" applyNumberFormat="1" applyFont="1" applyFill="1" applyBorder="1" applyAlignment="1">
      <alignment vertical="center"/>
    </xf>
    <xf numFmtId="0" fontId="13" fillId="0" borderId="0" xfId="0" applyFont="1" applyAlignment="1">
      <alignment vertical="center"/>
    </xf>
    <xf numFmtId="0" fontId="13" fillId="0" borderId="0" xfId="0" applyFont="1" applyFill="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wrapText="1"/>
    </xf>
    <xf numFmtId="0" fontId="13" fillId="0" borderId="0" xfId="0" applyFont="1" applyBorder="1" applyAlignment="1">
      <alignment wrapText="1"/>
    </xf>
    <xf numFmtId="0" fontId="12" fillId="0" borderId="0" xfId="0" applyFont="1" applyBorder="1" applyAlignment="1">
      <alignment horizontal="center" wrapText="1"/>
    </xf>
    <xf numFmtId="0" fontId="13" fillId="0" borderId="0" xfId="0" applyFont="1" applyAlignment="1">
      <alignment wrapText="1"/>
    </xf>
    <xf numFmtId="0" fontId="13" fillId="0" borderId="1" xfId="0" applyFont="1" applyBorder="1"/>
    <xf numFmtId="165" fontId="13" fillId="0" borderId="1" xfId="0" applyNumberFormat="1" applyFont="1" applyBorder="1" applyAlignment="1">
      <alignment horizontal="right"/>
    </xf>
    <xf numFmtId="0" fontId="13" fillId="0" borderId="0" xfId="0" applyFont="1" applyBorder="1"/>
    <xf numFmtId="165" fontId="13" fillId="0" borderId="0" xfId="0" applyNumberFormat="1" applyFont="1" applyFill="1" applyBorder="1" applyAlignment="1">
      <alignment horizontal="right"/>
    </xf>
    <xf numFmtId="165" fontId="13" fillId="0" borderId="0" xfId="0" applyNumberFormat="1" applyFont="1" applyBorder="1" applyAlignment="1">
      <alignment horizontal="right"/>
    </xf>
    <xf numFmtId="165" fontId="13" fillId="0" borderId="1" xfId="0" applyNumberFormat="1" applyFont="1" applyFill="1" applyBorder="1" applyAlignment="1">
      <alignment horizontal="right"/>
    </xf>
    <xf numFmtId="165" fontId="13" fillId="0" borderId="0" xfId="0" applyNumberFormat="1" applyFont="1" applyBorder="1"/>
    <xf numFmtId="165" fontId="16" fillId="0" borderId="0" xfId="0" applyNumberFormat="1" applyFont="1" applyBorder="1" applyAlignment="1">
      <alignment horizontal="left"/>
    </xf>
    <xf numFmtId="0" fontId="13" fillId="0" borderId="0" xfId="0" applyFont="1" applyBorder="1" applyAlignment="1">
      <alignment horizontal="right"/>
    </xf>
    <xf numFmtId="164" fontId="13" fillId="0" borderId="0" xfId="0" applyNumberFormat="1" applyFont="1" applyBorder="1" applyAlignment="1">
      <alignment horizontal="right"/>
    </xf>
    <xf numFmtId="165" fontId="12" fillId="0" borderId="0" xfId="0" applyNumberFormat="1" applyFont="1" applyBorder="1" applyAlignment="1">
      <alignment horizontal="right"/>
    </xf>
    <xf numFmtId="165" fontId="12" fillId="0" borderId="0" xfId="0" applyNumberFormat="1" applyFont="1" applyBorder="1" applyAlignment="1">
      <alignment horizontal="center"/>
    </xf>
    <xf numFmtId="165" fontId="12" fillId="0" borderId="1" xfId="0" applyNumberFormat="1" applyFont="1" applyBorder="1" applyAlignment="1">
      <alignment horizontal="right"/>
    </xf>
    <xf numFmtId="0" fontId="12" fillId="0" borderId="0" xfId="0" applyFont="1" applyFill="1" applyBorder="1" applyAlignment="1">
      <alignment horizontal="center" wrapText="1"/>
    </xf>
    <xf numFmtId="173" fontId="13" fillId="0" borderId="1" xfId="1" applyNumberFormat="1" applyFont="1" applyBorder="1"/>
    <xf numFmtId="169" fontId="13" fillId="0" borderId="1" xfId="0" applyNumberFormat="1" applyFont="1" applyFill="1" applyBorder="1" applyAlignment="1">
      <alignment horizontal="right"/>
    </xf>
    <xf numFmtId="173" fontId="13" fillId="0" borderId="1" xfId="1" applyNumberFormat="1" applyFont="1" applyFill="1" applyBorder="1" applyAlignment="1">
      <alignment horizontal="right"/>
    </xf>
    <xf numFmtId="173" fontId="13" fillId="0" borderId="0" xfId="0" applyNumberFormat="1" applyFont="1" applyBorder="1"/>
    <xf numFmtId="0" fontId="13" fillId="0" borderId="2" xfId="0" applyFont="1" applyBorder="1"/>
    <xf numFmtId="169" fontId="13" fillId="0" borderId="1" xfId="0" applyNumberFormat="1" applyFont="1" applyBorder="1" applyAlignment="1">
      <alignment horizontal="right"/>
    </xf>
    <xf numFmtId="169" fontId="13" fillId="0" borderId="1" xfId="0" applyNumberFormat="1" applyFont="1" applyBorder="1"/>
    <xf numFmtId="165" fontId="13" fillId="0" borderId="1" xfId="0" applyNumberFormat="1" applyFont="1" applyBorder="1"/>
    <xf numFmtId="165" fontId="13" fillId="0" borderId="3" xfId="0" applyNumberFormat="1" applyFont="1" applyBorder="1"/>
    <xf numFmtId="165" fontId="13" fillId="0" borderId="0" xfId="0" applyNumberFormat="1" applyFont="1"/>
    <xf numFmtId="0" fontId="13" fillId="0" borderId="2" xfId="0" applyFont="1" applyFill="1" applyBorder="1"/>
    <xf numFmtId="169" fontId="12" fillId="0" borderId="1" xfId="0" applyNumberFormat="1" applyFont="1" applyBorder="1" applyAlignment="1">
      <alignment horizontal="right"/>
    </xf>
    <xf numFmtId="169" fontId="13" fillId="0" borderId="0" xfId="0" applyNumberFormat="1" applyFont="1" applyBorder="1" applyAlignment="1">
      <alignment horizontal="right"/>
    </xf>
    <xf numFmtId="169" fontId="13" fillId="0" borderId="0" xfId="0" applyNumberFormat="1" applyFont="1" applyBorder="1" applyAlignment="1">
      <alignment horizontal="left"/>
    </xf>
    <xf numFmtId="169" fontId="13" fillId="0" borderId="0" xfId="0" applyNumberFormat="1" applyFont="1" applyBorder="1"/>
    <xf numFmtId="0" fontId="14" fillId="0" borderId="0" xfId="0" applyFont="1" applyFill="1" applyBorder="1"/>
    <xf numFmtId="173" fontId="12" fillId="0" borderId="1" xfId="0" applyNumberFormat="1" applyFont="1" applyBorder="1" applyAlignment="1">
      <alignment vertical="center"/>
    </xf>
    <xf numFmtId="0" fontId="12" fillId="0" borderId="1" xfId="0" applyFont="1" applyBorder="1" applyAlignment="1">
      <alignment horizontal="right" vertical="center"/>
    </xf>
    <xf numFmtId="0" fontId="12" fillId="3" borderId="1" xfId="0" applyNumberFormat="1" applyFont="1" applyFill="1" applyBorder="1" applyAlignment="1">
      <alignment horizontal="center" vertical="center" wrapText="1"/>
    </xf>
    <xf numFmtId="0" fontId="12" fillId="0" borderId="0" xfId="0" applyFont="1"/>
    <xf numFmtId="0" fontId="15" fillId="0" borderId="0" xfId="0" applyFont="1"/>
    <xf numFmtId="164" fontId="13" fillId="0" borderId="0" xfId="0" applyNumberFormat="1" applyFont="1" applyFill="1" applyBorder="1" applyAlignment="1">
      <alignment horizontal="right"/>
    </xf>
    <xf numFmtId="165" fontId="12" fillId="0" borderId="0" xfId="0" applyNumberFormat="1" applyFont="1" applyFill="1" applyBorder="1" applyAlignment="1">
      <alignment horizontal="right"/>
    </xf>
    <xf numFmtId="0" fontId="13" fillId="0" borderId="0" xfId="0" applyNumberFormat="1" applyFont="1" applyFill="1" applyBorder="1" applyAlignment="1">
      <alignment horizontal="right"/>
    </xf>
    <xf numFmtId="0" fontId="17" fillId="0" borderId="0" xfId="0" applyFont="1" applyFill="1" applyBorder="1" applyAlignment="1">
      <alignment horizontal="left" vertical="center"/>
    </xf>
    <xf numFmtId="165" fontId="13" fillId="0" borderId="0" xfId="0" applyNumberFormat="1" applyFont="1" applyBorder="1" applyAlignment="1">
      <alignment horizontal="center"/>
    </xf>
    <xf numFmtId="0" fontId="12" fillId="0" borderId="1" xfId="0" applyFont="1" applyBorder="1"/>
    <xf numFmtId="165" fontId="12" fillId="0" borderId="1" xfId="0" applyNumberFormat="1" applyFont="1" applyBorder="1"/>
    <xf numFmtId="169" fontId="13" fillId="0" borderId="0" xfId="0" applyNumberFormat="1" applyFont="1" applyBorder="1" applyAlignment="1">
      <alignment horizontal="center"/>
    </xf>
    <xf numFmtId="0" fontId="12" fillId="0" borderId="0" xfId="0" applyFont="1" applyBorder="1"/>
    <xf numFmtId="165" fontId="13" fillId="0" borderId="0" xfId="0" applyNumberFormat="1" applyFont="1" applyBorder="1" applyAlignment="1">
      <alignment horizontal="center" wrapText="1"/>
    </xf>
    <xf numFmtId="164" fontId="18" fillId="0" borderId="0" xfId="0" applyNumberFormat="1" applyFont="1" applyBorder="1" applyAlignment="1">
      <alignment horizontal="center"/>
    </xf>
    <xf numFmtId="165" fontId="13" fillId="0" borderId="0" xfId="1" applyNumberFormat="1" applyFont="1" applyBorder="1" applyAlignment="1">
      <alignment horizontal="center"/>
    </xf>
    <xf numFmtId="173" fontId="13" fillId="0" borderId="0" xfId="1" applyNumberFormat="1" applyFont="1" applyBorder="1" applyAlignment="1">
      <alignment horizontal="center"/>
    </xf>
    <xf numFmtId="173" fontId="16" fillId="0" borderId="0" xfId="1" applyNumberFormat="1" applyFont="1" applyBorder="1" applyAlignment="1">
      <alignment horizontal="left"/>
    </xf>
    <xf numFmtId="164" fontId="13" fillId="0" borderId="0" xfId="0" applyNumberFormat="1" applyFont="1" applyBorder="1" applyAlignment="1">
      <alignment horizontal="center"/>
    </xf>
    <xf numFmtId="165" fontId="13" fillId="0" borderId="0" xfId="3" applyNumberFormat="1" applyFont="1" applyBorder="1" applyAlignment="1">
      <alignment horizontal="center"/>
    </xf>
    <xf numFmtId="164" fontId="13" fillId="0" borderId="0" xfId="0" applyNumberFormat="1" applyFont="1" applyBorder="1"/>
    <xf numFmtId="164" fontId="13" fillId="0" borderId="0" xfId="0" applyNumberFormat="1" applyFont="1"/>
    <xf numFmtId="169" fontId="13" fillId="0" borderId="0" xfId="0" applyNumberFormat="1" applyFont="1"/>
    <xf numFmtId="4" fontId="13" fillId="0" borderId="0" xfId="0" applyNumberFormat="1" applyFont="1" applyBorder="1" applyAlignment="1">
      <alignment horizontal="right"/>
    </xf>
    <xf numFmtId="174" fontId="13" fillId="0" borderId="0" xfId="0" applyNumberFormat="1" applyFont="1"/>
    <xf numFmtId="165" fontId="13" fillId="0" borderId="1" xfId="0" applyNumberFormat="1" applyFont="1" applyBorder="1" applyAlignment="1">
      <alignment horizontal="right" wrapText="1"/>
    </xf>
    <xf numFmtId="0" fontId="13" fillId="0" borderId="0" xfId="0" applyFont="1" applyFill="1" applyBorder="1" applyAlignment="1">
      <alignment horizontal="left" wrapText="1"/>
    </xf>
    <xf numFmtId="171" fontId="19" fillId="0" borderId="0" xfId="0" applyNumberFormat="1" applyFont="1" applyBorder="1"/>
    <xf numFmtId="165" fontId="20" fillId="0" borderId="0" xfId="0" applyNumberFormat="1" applyFont="1" applyBorder="1"/>
    <xf numFmtId="0" fontId="18" fillId="0" borderId="0" xfId="0" applyNumberFormat="1" applyFont="1" applyBorder="1" applyAlignment="1">
      <alignment horizontal="center" wrapText="1"/>
    </xf>
    <xf numFmtId="0" fontId="12" fillId="0" borderId="5" xfId="0" applyNumberFormat="1" applyFont="1" applyFill="1" applyBorder="1" applyAlignment="1">
      <alignment horizontal="center" wrapText="1"/>
    </xf>
    <xf numFmtId="0" fontId="12" fillId="0" borderId="6" xfId="0" applyNumberFormat="1" applyFont="1" applyFill="1" applyBorder="1" applyAlignment="1">
      <alignment horizontal="center" wrapText="1"/>
    </xf>
    <xf numFmtId="0" fontId="12" fillId="0" borderId="7" xfId="0" applyNumberFormat="1" applyFont="1" applyFill="1" applyBorder="1" applyAlignment="1">
      <alignment horizontal="center" wrapText="1"/>
    </xf>
    <xf numFmtId="0" fontId="13" fillId="0" borderId="1" xfId="0" applyFont="1" applyFill="1" applyBorder="1" applyAlignment="1">
      <alignment horizontal="center"/>
    </xf>
    <xf numFmtId="0" fontId="13" fillId="0" borderId="3" xfId="0" applyFont="1" applyFill="1" applyBorder="1" applyAlignment="1">
      <alignment horizontal="center"/>
    </xf>
    <xf numFmtId="167" fontId="13" fillId="0" borderId="1" xfId="0" applyNumberFormat="1" applyFont="1" applyBorder="1"/>
    <xf numFmtId="173" fontId="13" fillId="0" borderId="1" xfId="1" applyNumberFormat="1" applyFont="1" applyFill="1" applyBorder="1"/>
    <xf numFmtId="0" fontId="13" fillId="0" borderId="8" xfId="0" applyFont="1" applyFill="1" applyBorder="1" applyAlignment="1">
      <alignment horizontal="center"/>
    </xf>
    <xf numFmtId="0" fontId="13" fillId="0" borderId="4" xfId="0" applyFont="1" applyFill="1" applyBorder="1" applyAlignment="1">
      <alignment horizontal="center"/>
    </xf>
    <xf numFmtId="0" fontId="19" fillId="0" borderId="0" xfId="0" applyFont="1" applyFill="1" applyBorder="1"/>
    <xf numFmtId="0" fontId="21" fillId="0" borderId="0" xfId="0" applyFont="1"/>
    <xf numFmtId="0" fontId="21" fillId="0" borderId="0" xfId="0" applyFont="1" applyFill="1" applyBorder="1"/>
    <xf numFmtId="0" fontId="13" fillId="0" borderId="0" xfId="0" applyFont="1" applyBorder="1" applyAlignment="1"/>
    <xf numFmtId="0" fontId="15" fillId="0" borderId="0" xfId="0" applyFont="1" applyFill="1" applyBorder="1"/>
    <xf numFmtId="173" fontId="4" fillId="0" borderId="0" xfId="0" applyNumberFormat="1" applyFont="1"/>
    <xf numFmtId="7" fontId="13" fillId="0" borderId="0" xfId="0" applyNumberFormat="1" applyFont="1" applyBorder="1"/>
    <xf numFmtId="7" fontId="13" fillId="0" borderId="0" xfId="0" applyNumberFormat="1" applyFont="1" applyFill="1" applyBorder="1" applyAlignment="1">
      <alignment horizontal="left" wrapText="1"/>
    </xf>
    <xf numFmtId="43" fontId="13" fillId="0" borderId="0" xfId="0" applyNumberFormat="1" applyFont="1" applyBorder="1"/>
    <xf numFmtId="0" fontId="13" fillId="0" borderId="0" xfId="0" applyFont="1" applyFill="1" applyBorder="1" applyAlignment="1"/>
    <xf numFmtId="173" fontId="13" fillId="0" borderId="1" xfId="1" applyNumberFormat="1" applyFont="1" applyBorder="1" applyAlignment="1">
      <alignment horizontal="right"/>
    </xf>
    <xf numFmtId="0" fontId="15" fillId="0" borderId="0" xfId="0" applyFont="1" applyFill="1"/>
    <xf numFmtId="0" fontId="16" fillId="0" borderId="0" xfId="0" applyFont="1"/>
    <xf numFmtId="0" fontId="16" fillId="0" borderId="0" xfId="0" applyFont="1" applyAlignment="1">
      <alignment horizontal="right"/>
    </xf>
    <xf numFmtId="0" fontId="12" fillId="0" borderId="6" xfId="0" applyFont="1" applyBorder="1" applyAlignment="1">
      <alignment horizontal="center" vertical="center" wrapText="1"/>
    </xf>
    <xf numFmtId="0" fontId="13" fillId="0" borderId="2" xfId="0" applyFont="1" applyBorder="1" applyAlignment="1">
      <alignment horizontal="left"/>
    </xf>
    <xf numFmtId="3" fontId="13" fillId="0" borderId="1" xfId="0" applyNumberFormat="1" applyFont="1" applyBorder="1" applyAlignment="1">
      <alignment horizontal="right"/>
    </xf>
    <xf numFmtId="0" fontId="13" fillId="0" borderId="1" xfId="0" applyNumberFormat="1" applyFont="1" applyBorder="1" applyAlignment="1">
      <alignment horizontal="right"/>
    </xf>
    <xf numFmtId="0" fontId="13" fillId="0" borderId="2" xfId="0" applyFont="1" applyFill="1" applyBorder="1" applyAlignment="1">
      <alignment horizontal="left"/>
    </xf>
    <xf numFmtId="164" fontId="13" fillId="0" borderId="1" xfId="1" applyNumberFormat="1" applyFont="1" applyBorder="1"/>
    <xf numFmtId="3" fontId="13" fillId="0" borderId="8" xfId="0" applyNumberFormat="1" applyFont="1" applyBorder="1" applyAlignment="1">
      <alignment horizontal="right"/>
    </xf>
    <xf numFmtId="0" fontId="13" fillId="0" borderId="0" xfId="0" applyFont="1" applyFill="1" applyBorder="1" applyAlignment="1">
      <alignment horizontal="left"/>
    </xf>
    <xf numFmtId="165" fontId="12" fillId="0" borderId="0" xfId="0" applyNumberFormat="1" applyFont="1" applyBorder="1"/>
    <xf numFmtId="0" fontId="18" fillId="0" borderId="0" xfId="0" applyFont="1" applyBorder="1"/>
    <xf numFmtId="164" fontId="13" fillId="0" borderId="0" xfId="0" applyNumberFormat="1" applyFont="1" applyAlignment="1">
      <alignment horizontal="left"/>
    </xf>
    <xf numFmtId="165" fontId="13" fillId="0" borderId="4" xfId="0" applyNumberFormat="1" applyFont="1" applyBorder="1" applyAlignment="1">
      <alignment horizontal="center" vertical="center"/>
    </xf>
    <xf numFmtId="164" fontId="13" fillId="0" borderId="2" xfId="0" applyNumberFormat="1" applyFont="1" applyBorder="1" applyAlignment="1">
      <alignment horizontal="right"/>
    </xf>
    <xf numFmtId="165" fontId="13" fillId="0" borderId="3" xfId="3" applyNumberFormat="1" applyFont="1" applyBorder="1" applyAlignment="1">
      <alignment horizontal="right"/>
    </xf>
    <xf numFmtId="169" fontId="13" fillId="0" borderId="2" xfId="0" applyNumberFormat="1" applyFont="1" applyBorder="1" applyAlignment="1">
      <alignment horizontal="right"/>
    </xf>
    <xf numFmtId="165" fontId="13" fillId="0" borderId="3" xfId="0" applyNumberFormat="1" applyFont="1" applyBorder="1" applyAlignment="1">
      <alignment horizontal="right"/>
    </xf>
    <xf numFmtId="173" fontId="13" fillId="0" borderId="2" xfId="1" applyNumberFormat="1" applyFont="1" applyBorder="1" applyAlignment="1">
      <alignment horizontal="right"/>
    </xf>
    <xf numFmtId="0" fontId="13" fillId="0" borderId="9" xfId="0" applyFont="1" applyFill="1" applyBorder="1"/>
    <xf numFmtId="164" fontId="13" fillId="0" borderId="10" xfId="0" applyNumberFormat="1" applyFont="1" applyBorder="1" applyAlignment="1">
      <alignment horizontal="right"/>
    </xf>
    <xf numFmtId="165" fontId="13" fillId="0" borderId="11" xfId="3" applyNumberFormat="1" applyFont="1" applyBorder="1" applyAlignment="1">
      <alignment horizontal="right"/>
    </xf>
    <xf numFmtId="164" fontId="12" fillId="0" borderId="12" xfId="0" applyNumberFormat="1" applyFont="1" applyBorder="1" applyAlignment="1">
      <alignment horizontal="right"/>
    </xf>
    <xf numFmtId="165" fontId="12" fillId="0" borderId="13" xfId="3" applyNumberFormat="1" applyFont="1" applyBorder="1" applyAlignment="1">
      <alignment horizontal="right"/>
    </xf>
    <xf numFmtId="169" fontId="13" fillId="0" borderId="12" xfId="0" applyNumberFormat="1" applyFont="1" applyBorder="1" applyAlignment="1">
      <alignment horizontal="right"/>
    </xf>
    <xf numFmtId="165" fontId="12" fillId="0" borderId="14" xfId="3" applyNumberFormat="1" applyFont="1" applyBorder="1" applyAlignment="1">
      <alignment horizontal="right"/>
    </xf>
    <xf numFmtId="44" fontId="12" fillId="0" borderId="14" xfId="3" applyFont="1" applyBorder="1" applyAlignment="1">
      <alignment horizontal="right"/>
    </xf>
    <xf numFmtId="44" fontId="12" fillId="0" borderId="13" xfId="3" applyFont="1" applyBorder="1" applyAlignment="1">
      <alignment horizontal="right"/>
    </xf>
    <xf numFmtId="165" fontId="13" fillId="0" borderId="9" xfId="0" applyNumberFormat="1" applyFont="1" applyBorder="1" applyAlignment="1">
      <alignment horizontal="center" wrapText="1"/>
    </xf>
    <xf numFmtId="165" fontId="13" fillId="0" borderId="4" xfId="3" applyNumberFormat="1" applyFont="1" applyBorder="1" applyAlignment="1">
      <alignment horizontal="center" vertical="center"/>
    </xf>
    <xf numFmtId="0" fontId="12" fillId="0" borderId="15" xfId="0" applyFont="1" applyBorder="1" applyAlignment="1">
      <alignment horizontal="center"/>
    </xf>
    <xf numFmtId="10" fontId="13" fillId="0" borderId="1" xfId="6" applyNumberFormat="1" applyFont="1" applyFill="1" applyBorder="1" applyAlignment="1">
      <alignment horizontal="right"/>
    </xf>
    <xf numFmtId="10" fontId="12" fillId="0" borderId="0" xfId="0" applyNumberFormat="1" applyFont="1" applyBorder="1" applyAlignment="1">
      <alignment horizontal="right"/>
    </xf>
    <xf numFmtId="164" fontId="13" fillId="0" borderId="1" xfId="0" applyNumberFormat="1" applyFont="1" applyBorder="1" applyAlignment="1">
      <alignment horizontal="right"/>
    </xf>
    <xf numFmtId="0" fontId="13" fillId="0" borderId="0" xfId="0" applyFont="1" applyBorder="1" applyAlignment="1">
      <alignment horizontal="left"/>
    </xf>
    <xf numFmtId="0" fontId="13" fillId="0" borderId="10" xfId="0" applyFont="1" applyBorder="1"/>
    <xf numFmtId="165" fontId="13" fillId="0" borderId="19" xfId="0" applyNumberFormat="1" applyFont="1" applyBorder="1"/>
    <xf numFmtId="165" fontId="13" fillId="0" borderId="11" xfId="0" applyNumberFormat="1" applyFont="1" applyBorder="1"/>
    <xf numFmtId="0" fontId="12" fillId="0" borderId="0" xfId="0" applyFont="1" applyFill="1" applyBorder="1" applyAlignment="1">
      <alignment horizontal="center"/>
    </xf>
    <xf numFmtId="164" fontId="12" fillId="0" borderId="0" xfId="0" applyNumberFormat="1" applyFont="1" applyFill="1" applyBorder="1" applyAlignment="1">
      <alignment horizontal="right"/>
    </xf>
    <xf numFmtId="164" fontId="12" fillId="0" borderId="0" xfId="0" applyNumberFormat="1" applyFont="1" applyBorder="1" applyAlignment="1">
      <alignment horizontal="right"/>
    </xf>
    <xf numFmtId="164" fontId="13" fillId="0" borderId="0" xfId="0" applyNumberFormat="1" applyFont="1" applyBorder="1" applyAlignment="1">
      <alignment horizontal="right" wrapText="1"/>
    </xf>
    <xf numFmtId="165" fontId="13" fillId="0" borderId="0" xfId="0" applyNumberFormat="1" applyFont="1" applyBorder="1" applyAlignment="1">
      <alignment horizontal="right" wrapText="1"/>
    </xf>
    <xf numFmtId="0" fontId="12" fillId="0" borderId="0" xfId="0" applyFont="1" applyBorder="1" applyAlignment="1">
      <alignment horizontal="center"/>
    </xf>
    <xf numFmtId="164" fontId="16" fillId="0" borderId="0" xfId="0" applyNumberFormat="1" applyFont="1" applyBorder="1" applyAlignment="1">
      <alignment horizontal="center" vertical="center" wrapText="1"/>
    </xf>
    <xf numFmtId="165" fontId="13" fillId="4" borderId="1" xfId="0" applyNumberFormat="1" applyFont="1" applyFill="1" applyBorder="1"/>
    <xf numFmtId="165" fontId="13" fillId="4" borderId="1" xfId="0" applyNumberFormat="1" applyFont="1" applyFill="1" applyBorder="1" applyAlignment="1">
      <alignment horizontal="right"/>
    </xf>
    <xf numFmtId="165" fontId="12" fillId="4" borderId="1" xfId="0" applyNumberFormat="1" applyFont="1" applyFill="1" applyBorder="1" applyAlignment="1">
      <alignment horizontal="right"/>
    </xf>
    <xf numFmtId="165" fontId="13" fillId="4" borderId="1" xfId="3" applyNumberFormat="1" applyFont="1" applyFill="1" applyBorder="1" applyAlignment="1">
      <alignment horizontal="right"/>
    </xf>
    <xf numFmtId="165" fontId="13" fillId="4" borderId="1" xfId="1" applyNumberFormat="1" applyFont="1" applyFill="1" applyBorder="1" applyAlignment="1">
      <alignment horizontal="right"/>
    </xf>
    <xf numFmtId="165" fontId="12" fillId="4" borderId="1" xfId="3" applyNumberFormat="1" applyFont="1" applyFill="1" applyBorder="1"/>
    <xf numFmtId="0" fontId="17" fillId="5" borderId="15" xfId="0" applyFont="1" applyFill="1" applyBorder="1" applyAlignment="1">
      <alignment horizontal="center"/>
    </xf>
    <xf numFmtId="0" fontId="17" fillId="6" borderId="19" xfId="0" applyFont="1" applyFill="1" applyBorder="1" applyAlignment="1">
      <alignment horizontal="center"/>
    </xf>
    <xf numFmtId="0" fontId="17" fillId="7" borderId="20" xfId="0" applyFont="1" applyFill="1" applyBorder="1" applyAlignment="1">
      <alignment horizontal="center"/>
    </xf>
    <xf numFmtId="0" fontId="12" fillId="0" borderId="1" xfId="0" applyNumberFormat="1" applyFont="1" applyFill="1" applyBorder="1" applyAlignment="1">
      <alignment horizontal="center" wrapText="1"/>
    </xf>
    <xf numFmtId="0" fontId="12" fillId="0" borderId="1" xfId="0" applyFont="1" applyBorder="1" applyAlignment="1">
      <alignment horizontal="center" vertical="center" wrapText="1"/>
    </xf>
    <xf numFmtId="164" fontId="13" fillId="0" borderId="1" xfId="0" applyNumberFormat="1" applyFont="1" applyBorder="1"/>
    <xf numFmtId="2" fontId="13" fillId="0" borderId="0" xfId="0" applyNumberFormat="1" applyFont="1" applyBorder="1" applyAlignment="1"/>
    <xf numFmtId="0" fontId="13" fillId="0" borderId="1" xfId="0" applyFont="1" applyBorder="1"/>
    <xf numFmtId="0" fontId="13" fillId="0" borderId="22" xfId="0" applyFont="1" applyFill="1" applyBorder="1" applyAlignment="1">
      <alignment horizontal="left"/>
    </xf>
    <xf numFmtId="0" fontId="12" fillId="0" borderId="1" xfId="0" applyFont="1" applyFill="1" applyBorder="1" applyAlignment="1">
      <alignment horizontal="right"/>
    </xf>
    <xf numFmtId="0" fontId="17" fillId="7" borderId="1" xfId="0" applyFont="1" applyFill="1" applyBorder="1" applyAlignment="1">
      <alignment horizontal="center"/>
    </xf>
    <xf numFmtId="0" fontId="13" fillId="0" borderId="1" xfId="0" applyFont="1" applyBorder="1" applyAlignment="1">
      <alignment wrapText="1"/>
    </xf>
    <xf numFmtId="166" fontId="13" fillId="0" borderId="1" xfId="6" applyNumberFormat="1" applyFont="1" applyFill="1" applyBorder="1" applyAlignment="1">
      <alignment horizontal="right"/>
    </xf>
    <xf numFmtId="168" fontId="13" fillId="0" borderId="1" xfId="6" applyNumberFormat="1" applyFont="1" applyFill="1" applyBorder="1" applyAlignment="1">
      <alignment horizontal="right"/>
    </xf>
    <xf numFmtId="167" fontId="13" fillId="0" borderId="1" xfId="6" applyNumberFormat="1" applyFont="1" applyBorder="1" applyAlignment="1">
      <alignment horizontal="right"/>
    </xf>
    <xf numFmtId="0" fontId="17" fillId="6" borderId="19" xfId="0" applyFont="1" applyFill="1" applyBorder="1" applyAlignment="1">
      <alignment horizontal="center" wrapText="1"/>
    </xf>
    <xf numFmtId="0" fontId="12" fillId="0" borderId="1" xfId="0" applyNumberFormat="1" applyFont="1" applyBorder="1" applyAlignment="1">
      <alignment horizontal="center" wrapText="1"/>
    </xf>
    <xf numFmtId="173" fontId="13" fillId="0" borderId="1" xfId="1" applyNumberFormat="1" applyFont="1" applyFill="1" applyBorder="1" applyAlignment="1"/>
    <xf numFmtId="173" fontId="12" fillId="0" borderId="1" xfId="1" applyNumberFormat="1" applyFont="1" applyFill="1" applyBorder="1" applyAlignment="1"/>
    <xf numFmtId="0" fontId="12" fillId="0" borderId="1" xfId="0" applyFont="1" applyFill="1" applyBorder="1"/>
    <xf numFmtId="173" fontId="12" fillId="0" borderId="1" xfId="1" applyNumberFormat="1" applyFont="1" applyFill="1" applyBorder="1"/>
    <xf numFmtId="173" fontId="12" fillId="0" borderId="1" xfId="1" applyNumberFormat="1" applyFont="1" applyBorder="1" applyAlignment="1">
      <alignment horizontal="left" indent="2"/>
    </xf>
    <xf numFmtId="0" fontId="17" fillId="9" borderId="1" xfId="0" applyFont="1" applyFill="1" applyBorder="1" applyAlignment="1">
      <alignment horizontal="center"/>
    </xf>
    <xf numFmtId="0" fontId="13" fillId="0" borderId="1" xfId="0" applyFont="1" applyBorder="1"/>
    <xf numFmtId="43" fontId="13" fillId="0" borderId="0" xfId="0" applyNumberFormat="1" applyFont="1"/>
    <xf numFmtId="0" fontId="12" fillId="0" borderId="1" xfId="0" applyFont="1" applyFill="1" applyBorder="1" applyAlignment="1">
      <alignment horizontal="center" vertical="center" wrapText="1"/>
    </xf>
    <xf numFmtId="44" fontId="12" fillId="0" borderId="1" xfId="3" applyFont="1" applyBorder="1" applyAlignment="1">
      <alignment horizontal="center" vertical="center" wrapText="1"/>
    </xf>
    <xf numFmtId="44" fontId="12" fillId="0" borderId="1" xfId="3" applyFont="1" applyFill="1" applyBorder="1" applyAlignment="1">
      <alignment horizontal="center" vertical="center" wrapText="1"/>
    </xf>
    <xf numFmtId="0" fontId="12" fillId="0" borderId="1" xfId="0" applyFont="1" applyBorder="1" applyAlignment="1">
      <alignment horizontal="center" vertical="center"/>
    </xf>
    <xf numFmtId="164" fontId="13" fillId="0" borderId="2" xfId="0" applyNumberFormat="1" applyFont="1" applyFill="1" applyBorder="1" applyAlignment="1">
      <alignment horizontal="right" vertical="center"/>
    </xf>
    <xf numFmtId="164" fontId="13" fillId="0" borderId="24" xfId="0" applyNumberFormat="1" applyFont="1" applyFill="1" applyBorder="1" applyAlignment="1">
      <alignment horizontal="right" vertical="center"/>
    </xf>
    <xf numFmtId="164" fontId="13" fillId="0" borderId="18" xfId="0" applyNumberFormat="1" applyFont="1" applyFill="1" applyBorder="1" applyAlignment="1">
      <alignment horizontal="right" vertical="center"/>
    </xf>
    <xf numFmtId="0" fontId="12" fillId="0" borderId="1" xfId="0" applyNumberFormat="1" applyFont="1" applyFill="1" applyBorder="1" applyAlignment="1">
      <alignment horizontal="center" vertical="center" wrapText="1"/>
    </xf>
    <xf numFmtId="164" fontId="13" fillId="0" borderId="27" xfId="0" applyNumberFormat="1" applyFont="1" applyBorder="1" applyAlignment="1">
      <alignment horizontal="right"/>
    </xf>
    <xf numFmtId="0" fontId="12" fillId="0" borderId="1"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Fill="1" applyBorder="1" applyAlignment="1">
      <alignment horizontal="center" vertical="center" wrapText="1"/>
    </xf>
    <xf numFmtId="0" fontId="19" fillId="0" borderId="0" xfId="0" applyFont="1" applyFill="1" applyBorder="1" applyAlignment="1">
      <alignment horizontal="left" vertical="center" wrapText="1"/>
    </xf>
    <xf numFmtId="43" fontId="16" fillId="0" borderId="0" xfId="0" applyNumberFormat="1" applyFont="1"/>
    <xf numFmtId="165" fontId="13" fillId="0" borderId="29" xfId="0" applyNumberFormat="1" applyFont="1" applyBorder="1" applyAlignment="1">
      <alignment horizontal="right"/>
    </xf>
    <xf numFmtId="164" fontId="13" fillId="0" borderId="31" xfId="0" applyNumberFormat="1" applyFont="1" applyBorder="1" applyAlignment="1">
      <alignment horizontal="right"/>
    </xf>
    <xf numFmtId="164" fontId="13" fillId="0" borderId="23" xfId="0" applyNumberFormat="1" applyFont="1" applyBorder="1" applyAlignment="1">
      <alignment horizontal="right"/>
    </xf>
    <xf numFmtId="165" fontId="12" fillId="0" borderId="34" xfId="0" applyNumberFormat="1" applyFont="1" applyBorder="1" applyAlignment="1">
      <alignment horizontal="center" vertical="center"/>
    </xf>
    <xf numFmtId="0" fontId="13" fillId="0" borderId="33" xfId="0" applyFont="1" applyBorder="1" applyAlignment="1">
      <alignment horizontal="right" vertical="center"/>
    </xf>
    <xf numFmtId="0" fontId="13" fillId="0" borderId="0" xfId="0" applyNumberFormat="1" applyFont="1" applyFill="1" applyBorder="1" applyAlignment="1">
      <alignment horizontal="left" wrapText="1"/>
    </xf>
    <xf numFmtId="0" fontId="18" fillId="0" borderId="0" xfId="0" applyFont="1" applyFill="1" applyAlignment="1">
      <alignment wrapText="1"/>
    </xf>
    <xf numFmtId="165" fontId="13" fillId="2" borderId="1" xfId="3" applyNumberFormat="1" applyFont="1" applyFill="1" applyBorder="1" applyAlignment="1">
      <alignment horizontal="right" vertical="center"/>
    </xf>
    <xf numFmtId="0" fontId="18" fillId="0" borderId="0" xfId="0" applyFont="1" applyFill="1"/>
    <xf numFmtId="0" fontId="13" fillId="0" borderId="0" xfId="0" applyFont="1" applyFill="1"/>
    <xf numFmtId="0" fontId="12" fillId="0" borderId="35"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18" xfId="0" applyFont="1" applyFill="1" applyBorder="1" applyAlignment="1">
      <alignment horizontal="left" vertical="center" wrapText="1"/>
    </xf>
    <xf numFmtId="164" fontId="13" fillId="0" borderId="1" xfId="1" applyNumberFormat="1" applyFont="1" applyBorder="1" applyAlignment="1">
      <alignment horizontal="right"/>
    </xf>
    <xf numFmtId="164" fontId="11" fillId="0" borderId="0" xfId="0" applyNumberFormat="1" applyFont="1" applyBorder="1" applyAlignment="1">
      <alignment horizontal="center" vertical="center" wrapText="1"/>
    </xf>
    <xf numFmtId="165" fontId="7" fillId="0" borderId="0" xfId="0" applyNumberFormat="1" applyFont="1" applyBorder="1" applyAlignment="1">
      <alignment horizontal="center"/>
    </xf>
    <xf numFmtId="10" fontId="5" fillId="0" borderId="0" xfId="0" applyNumberFormat="1" applyFont="1" applyBorder="1" applyAlignment="1">
      <alignment horizontal="right"/>
    </xf>
    <xf numFmtId="0" fontId="5" fillId="0" borderId="0" xfId="0" applyFont="1" applyFill="1" applyBorder="1" applyAlignment="1">
      <alignment horizontal="center" vertical="center" wrapText="1"/>
    </xf>
    <xf numFmtId="0" fontId="4" fillId="0" borderId="0" xfId="0" applyFont="1" applyBorder="1" applyAlignment="1">
      <alignment horizontal="center"/>
    </xf>
    <xf numFmtId="0" fontId="6" fillId="0" borderId="0" xfId="0" applyFont="1" applyFill="1" applyBorder="1" applyAlignment="1">
      <alignment horizontal="center" wrapText="1"/>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left" vertical="center" wrapText="1"/>
    </xf>
    <xf numFmtId="0" fontId="22" fillId="0" borderId="0" xfId="0" applyFont="1" applyAlignment="1">
      <alignment horizontal="left"/>
    </xf>
    <xf numFmtId="0" fontId="13" fillId="0" borderId="22" xfId="0" applyFont="1" applyFill="1" applyBorder="1" applyAlignment="1">
      <alignment horizontal="left"/>
    </xf>
    <xf numFmtId="164" fontId="13" fillId="0" borderId="1" xfId="1" applyNumberFormat="1" applyFont="1" applyFill="1" applyBorder="1" applyAlignment="1">
      <alignment horizontal="right"/>
    </xf>
    <xf numFmtId="0" fontId="13" fillId="0" borderId="23" xfId="0" applyFont="1" applyFill="1" applyBorder="1"/>
    <xf numFmtId="0" fontId="25" fillId="0" borderId="0" xfId="0" applyFont="1" applyFill="1" applyBorder="1" applyAlignment="1">
      <alignment horizontal="center" vertical="center"/>
    </xf>
    <xf numFmtId="0" fontId="13" fillId="0" borderId="0" xfId="0" applyNumberFormat="1" applyFont="1" applyFill="1" applyBorder="1" applyAlignment="1">
      <alignment horizontal="left" vertical="center"/>
    </xf>
    <xf numFmtId="0" fontId="12" fillId="0" borderId="1" xfId="0" applyFont="1" applyBorder="1" applyAlignment="1">
      <alignment horizontal="right"/>
    </xf>
    <xf numFmtId="164" fontId="26" fillId="0" borderId="0" xfId="0" applyNumberFormat="1" applyFont="1" applyBorder="1" applyAlignment="1">
      <alignment horizontal="center"/>
    </xf>
    <xf numFmtId="0" fontId="12" fillId="0" borderId="0" xfId="0" applyFont="1" applyBorder="1" applyAlignment="1">
      <alignment horizontal="right"/>
    </xf>
    <xf numFmtId="169" fontId="12" fillId="0" borderId="0" xfId="0" applyNumberFormat="1" applyFont="1" applyBorder="1" applyAlignment="1">
      <alignment horizontal="right"/>
    </xf>
    <xf numFmtId="0" fontId="23" fillId="0" borderId="0" xfId="0" applyFont="1" applyFill="1" applyBorder="1" applyAlignment="1">
      <alignment horizontal="left" vertical="center" wrapText="1"/>
    </xf>
    <xf numFmtId="0" fontId="13" fillId="0" borderId="10" xfId="0" applyFont="1" applyFill="1" applyBorder="1" applyAlignment="1">
      <alignment horizontal="left"/>
    </xf>
    <xf numFmtId="173" fontId="13" fillId="0" borderId="19" xfId="1" applyNumberFormat="1" applyFont="1" applyBorder="1"/>
    <xf numFmtId="164" fontId="13" fillId="0" borderId="19" xfId="1" applyNumberFormat="1" applyFont="1" applyBorder="1"/>
    <xf numFmtId="3" fontId="13" fillId="0" borderId="19" xfId="0" applyNumberFormat="1" applyFont="1" applyBorder="1" applyAlignment="1">
      <alignment horizontal="right"/>
    </xf>
    <xf numFmtId="0" fontId="13" fillId="0" borderId="51" xfId="0" applyFont="1" applyFill="1" applyBorder="1" applyAlignment="1">
      <alignment horizontal="left"/>
    </xf>
    <xf numFmtId="173" fontId="13" fillId="0" borderId="52" xfId="1" applyNumberFormat="1" applyFont="1" applyBorder="1"/>
    <xf numFmtId="164" fontId="13" fillId="0" borderId="52" xfId="1" applyNumberFormat="1" applyFont="1" applyBorder="1"/>
    <xf numFmtId="0" fontId="10" fillId="0" borderId="0" xfId="0" applyNumberFormat="1" applyFont="1" applyFill="1" applyBorder="1" applyAlignment="1">
      <alignment horizontal="center" vertical="center" wrapText="1"/>
    </xf>
    <xf numFmtId="169" fontId="13" fillId="0" borderId="52" xfId="0" applyNumberFormat="1" applyFont="1" applyBorder="1" applyAlignment="1">
      <alignment horizontal="right"/>
    </xf>
    <xf numFmtId="165" fontId="12" fillId="0" borderId="41" xfId="0" applyNumberFormat="1" applyFont="1" applyBorder="1" applyAlignment="1">
      <alignment horizontal="center" vertical="center"/>
    </xf>
    <xf numFmtId="165" fontId="4" fillId="0" borderId="0" xfId="0" applyNumberFormat="1" applyFont="1"/>
    <xf numFmtId="10" fontId="13" fillId="0" borderId="1" xfId="8" applyNumberFormat="1" applyFont="1" applyFill="1" applyBorder="1" applyAlignment="1">
      <alignment horizontal="right"/>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64" fontId="12" fillId="0" borderId="0" xfId="0" applyNumberFormat="1" applyFont="1" applyBorder="1" applyAlignment="1">
      <alignment horizontal="center" vertical="center" wrapText="1"/>
    </xf>
    <xf numFmtId="0" fontId="13" fillId="0" borderId="0" xfId="0" applyFont="1" applyBorder="1" applyAlignment="1">
      <alignment horizontal="center"/>
    </xf>
    <xf numFmtId="0" fontId="18" fillId="0" borderId="0" xfId="0" applyFont="1"/>
    <xf numFmtId="0" fontId="18" fillId="0" borderId="0" xfId="0" applyFont="1" applyBorder="1" applyAlignment="1">
      <alignment horizontal="center" vertical="center"/>
    </xf>
    <xf numFmtId="164" fontId="13" fillId="0" borderId="0" xfId="0" applyNumberFormat="1" applyFont="1" applyFill="1" applyBorder="1"/>
    <xf numFmtId="43" fontId="0" fillId="0" borderId="0" xfId="0" applyNumberFormat="1"/>
    <xf numFmtId="164" fontId="26" fillId="0" borderId="0" xfId="0" applyNumberFormat="1" applyFont="1" applyFill="1" applyBorder="1" applyAlignment="1">
      <alignment horizontal="left"/>
    </xf>
    <xf numFmtId="165" fontId="13" fillId="0" borderId="1" xfId="0" applyNumberFormat="1" applyFont="1" applyFill="1" applyBorder="1"/>
    <xf numFmtId="165" fontId="12" fillId="0" borderId="1" xfId="0" applyNumberFormat="1" applyFont="1" applyFill="1" applyBorder="1" applyAlignment="1">
      <alignment horizontal="right"/>
    </xf>
    <xf numFmtId="0" fontId="4" fillId="0" borderId="0" xfId="0" applyFont="1" applyFill="1" applyBorder="1" applyAlignment="1">
      <alignment horizontal="center"/>
    </xf>
    <xf numFmtId="165" fontId="13" fillId="0" borderId="0" xfId="0" applyNumberFormat="1" applyFont="1" applyFill="1" applyBorder="1"/>
    <xf numFmtId="165" fontId="16" fillId="0" borderId="0" xfId="0" applyNumberFormat="1" applyFont="1" applyBorder="1" applyAlignment="1">
      <alignment horizontal="right"/>
    </xf>
    <xf numFmtId="2" fontId="18" fillId="0" borderId="0" xfId="0" applyNumberFormat="1" applyFont="1" applyBorder="1" applyAlignment="1"/>
    <xf numFmtId="0" fontId="10" fillId="0" borderId="0" xfId="0" applyFont="1" applyBorder="1"/>
    <xf numFmtId="0" fontId="4" fillId="0" borderId="0" xfId="0" applyFont="1" applyBorder="1" applyAlignment="1">
      <alignment horizontal="center" vertical="center" wrapText="1"/>
    </xf>
    <xf numFmtId="0" fontId="12" fillId="0" borderId="0" xfId="0" applyFont="1" applyBorder="1" applyAlignment="1">
      <alignment horizontal="center" vertical="center" wrapText="1"/>
    </xf>
    <xf numFmtId="175" fontId="4" fillId="0" borderId="0" xfId="0" applyNumberFormat="1" applyFont="1" applyBorder="1" applyAlignment="1">
      <alignment horizontal="center"/>
    </xf>
    <xf numFmtId="178" fontId="4" fillId="0" borderId="0" xfId="0" applyNumberFormat="1" applyFont="1"/>
    <xf numFmtId="165" fontId="13" fillId="11" borderId="1" xfId="0" applyNumberFormat="1" applyFont="1" applyFill="1" applyBorder="1" applyAlignment="1">
      <alignment horizontal="right"/>
    </xf>
    <xf numFmtId="0" fontId="12" fillId="12" borderId="1" xfId="0" applyNumberFormat="1" applyFont="1" applyFill="1" applyBorder="1" applyAlignment="1">
      <alignment horizontal="center" wrapText="1"/>
    </xf>
    <xf numFmtId="165" fontId="13" fillId="12" borderId="1" xfId="0" applyNumberFormat="1" applyFont="1" applyFill="1" applyBorder="1" applyAlignment="1">
      <alignment horizontal="right"/>
    </xf>
    <xf numFmtId="173" fontId="13" fillId="0" borderId="1" xfId="1" applyNumberFormat="1" applyFont="1" applyBorder="1" applyAlignment="1"/>
    <xf numFmtId="44" fontId="16" fillId="0" borderId="48" xfId="3" applyFont="1" applyFill="1" applyBorder="1" applyAlignment="1">
      <alignment horizontal="center" vertical="center" wrapText="1"/>
    </xf>
    <xf numFmtId="179" fontId="4" fillId="0" borderId="0" xfId="0" applyNumberFormat="1" applyFont="1"/>
    <xf numFmtId="0" fontId="12" fillId="0" borderId="23" xfId="0" applyFont="1" applyBorder="1" applyAlignment="1">
      <alignment horizontal="center" vertical="center" wrapText="1"/>
    </xf>
    <xf numFmtId="169" fontId="13" fillId="0" borderId="23" xfId="0" applyNumberFormat="1" applyFont="1" applyBorder="1" applyAlignment="1">
      <alignment horizontal="right"/>
    </xf>
    <xf numFmtId="169" fontId="12" fillId="0" borderId="23" xfId="0" applyNumberFormat="1" applyFont="1" applyBorder="1" applyAlignment="1">
      <alignment horizontal="right"/>
    </xf>
    <xf numFmtId="0" fontId="12" fillId="0" borderId="27" xfId="0" applyFont="1" applyBorder="1" applyAlignment="1">
      <alignment horizontal="center" vertical="center" wrapText="1"/>
    </xf>
    <xf numFmtId="169" fontId="13" fillId="0" borderId="27" xfId="0" applyNumberFormat="1" applyFont="1" applyBorder="1" applyAlignment="1">
      <alignment horizontal="right"/>
    </xf>
    <xf numFmtId="169" fontId="12" fillId="0" borderId="27" xfId="0" applyNumberFormat="1" applyFont="1" applyBorder="1" applyAlignment="1">
      <alignment horizontal="right"/>
    </xf>
    <xf numFmtId="168" fontId="27" fillId="0" borderId="0" xfId="7" applyNumberFormat="1" applyFont="1" applyFill="1" applyBorder="1" applyAlignment="1">
      <alignment horizontal="center"/>
    </xf>
    <xf numFmtId="180" fontId="27" fillId="0" borderId="0" xfId="6" applyNumberFormat="1" applyFont="1" applyFill="1" applyBorder="1" applyAlignment="1">
      <alignment horizontal="center"/>
    </xf>
    <xf numFmtId="0" fontId="13" fillId="0" borderId="0" xfId="5" applyFont="1" applyFill="1" applyBorder="1" applyAlignment="1">
      <alignment horizontal="left"/>
    </xf>
    <xf numFmtId="0" fontId="27" fillId="0" borderId="0" xfId="5" applyFont="1" applyFill="1" applyBorder="1" applyAlignment="1">
      <alignment horizontal="center"/>
    </xf>
    <xf numFmtId="10" fontId="28" fillId="0" borderId="0" xfId="0" applyNumberFormat="1" applyFont="1" applyFill="1" applyBorder="1" applyAlignment="1">
      <alignment horizontal="center" vertical="center"/>
    </xf>
    <xf numFmtId="44" fontId="27" fillId="0" borderId="0" xfId="5" applyNumberFormat="1" applyFont="1" applyFill="1" applyBorder="1" applyAlignment="1">
      <alignment horizontal="center"/>
    </xf>
    <xf numFmtId="10" fontId="27" fillId="0" borderId="0" xfId="7" applyNumberFormat="1" applyFont="1" applyFill="1" applyBorder="1" applyAlignment="1">
      <alignment horizontal="center"/>
    </xf>
    <xf numFmtId="10" fontId="28" fillId="0" borderId="0" xfId="7" applyNumberFormat="1" applyFont="1" applyFill="1" applyBorder="1" applyAlignment="1">
      <alignment horizontal="center"/>
    </xf>
    <xf numFmtId="10" fontId="13" fillId="0" borderId="0" xfId="5" applyNumberFormat="1" applyFont="1" applyFill="1" applyBorder="1" applyAlignment="1">
      <alignment horizontal="left"/>
    </xf>
    <xf numFmtId="10" fontId="27" fillId="0" borderId="22" xfId="0" applyNumberFormat="1" applyFont="1" applyFill="1" applyBorder="1" applyAlignment="1">
      <alignment horizontal="right" vertical="center"/>
    </xf>
    <xf numFmtId="168" fontId="28" fillId="0" borderId="0" xfId="7" applyNumberFormat="1" applyFont="1" applyFill="1" applyBorder="1" applyAlignment="1">
      <alignment horizontal="left"/>
    </xf>
    <xf numFmtId="0" fontId="13" fillId="0" borderId="0" xfId="0" applyFont="1" applyFill="1" applyBorder="1" applyAlignment="1">
      <alignment horizontal="center"/>
    </xf>
    <xf numFmtId="181" fontId="4" fillId="0" borderId="0" xfId="0" applyNumberFormat="1" applyFont="1"/>
    <xf numFmtId="165" fontId="13" fillId="0" borderId="0" xfId="3" applyNumberFormat="1" applyFont="1" applyFill="1" applyBorder="1" applyAlignment="1">
      <alignment horizontal="right"/>
    </xf>
    <xf numFmtId="165" fontId="13" fillId="0" borderId="0" xfId="1" applyNumberFormat="1" applyFont="1" applyFill="1" applyBorder="1" applyAlignment="1">
      <alignment horizontal="right"/>
    </xf>
    <xf numFmtId="165" fontId="12" fillId="0" borderId="0" xfId="3" applyNumberFormat="1" applyFont="1" applyFill="1" applyBorder="1"/>
    <xf numFmtId="164" fontId="12" fillId="0" borderId="0" xfId="0" applyNumberFormat="1" applyFont="1" applyBorder="1" applyAlignment="1">
      <alignment horizontal="center"/>
    </xf>
    <xf numFmtId="164" fontId="13" fillId="0" borderId="1" xfId="0" applyNumberFormat="1" applyFont="1" applyFill="1" applyBorder="1"/>
    <xf numFmtId="164" fontId="12" fillId="0" borderId="1" xfId="0" applyNumberFormat="1" applyFont="1" applyFill="1" applyBorder="1"/>
    <xf numFmtId="0" fontId="17" fillId="8" borderId="19" xfId="0" applyFont="1" applyFill="1" applyBorder="1" applyAlignment="1">
      <alignment horizontal="center" vertical="center" wrapText="1"/>
    </xf>
    <xf numFmtId="164" fontId="13" fillId="0" borderId="52" xfId="1" applyNumberFormat="1" applyFont="1" applyFill="1" applyBorder="1" applyAlignment="1">
      <alignment horizontal="right"/>
    </xf>
    <xf numFmtId="165" fontId="12" fillId="0" borderId="15" xfId="0" applyNumberFormat="1" applyFont="1" applyBorder="1" applyAlignment="1">
      <alignment horizontal="center" vertical="center"/>
    </xf>
    <xf numFmtId="0" fontId="12" fillId="0" borderId="38" xfId="0" applyFont="1" applyFill="1" applyBorder="1" applyAlignment="1">
      <alignment horizontal="center" vertical="center" wrapText="1"/>
    </xf>
    <xf numFmtId="164" fontId="12" fillId="0" borderId="57" xfId="0" applyNumberFormat="1" applyFont="1" applyBorder="1" applyAlignment="1">
      <alignment horizontal="center" vertical="center" wrapText="1"/>
    </xf>
    <xf numFmtId="165" fontId="12" fillId="0" borderId="57" xfId="0" applyNumberFormat="1" applyFont="1" applyBorder="1" applyAlignment="1">
      <alignment horizontal="center" vertical="center" wrapText="1"/>
    </xf>
    <xf numFmtId="0" fontId="12" fillId="0" borderId="58" xfId="0" applyFont="1" applyBorder="1" applyAlignment="1">
      <alignment horizontal="center" vertical="center" wrapText="1"/>
    </xf>
    <xf numFmtId="164" fontId="12" fillId="0" borderId="51" xfId="0" applyNumberFormat="1" applyFont="1" applyBorder="1" applyAlignment="1">
      <alignment horizontal="right"/>
    </xf>
    <xf numFmtId="164" fontId="12" fillId="0" borderId="52" xfId="0" applyNumberFormat="1" applyFont="1" applyBorder="1" applyAlignment="1">
      <alignment horizontal="right"/>
    </xf>
    <xf numFmtId="165" fontId="12" fillId="0" borderId="53" xfId="0" applyNumberFormat="1" applyFont="1" applyBorder="1" applyAlignment="1">
      <alignment horizontal="right"/>
    </xf>
    <xf numFmtId="164" fontId="13" fillId="0" borderId="5" xfId="0" applyNumberFormat="1" applyFont="1" applyBorder="1" applyAlignment="1">
      <alignment horizontal="right"/>
    </xf>
    <xf numFmtId="164" fontId="13" fillId="0" borderId="6" xfId="0" applyNumberFormat="1" applyFont="1" applyBorder="1" applyAlignment="1">
      <alignment horizontal="right"/>
    </xf>
    <xf numFmtId="165" fontId="13" fillId="0" borderId="7" xfId="0" applyNumberFormat="1" applyFont="1" applyBorder="1"/>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5" fontId="13" fillId="0" borderId="4" xfId="0" applyNumberFormat="1" applyFont="1" applyBorder="1"/>
    <xf numFmtId="0" fontId="12" fillId="0" borderId="38" xfId="0" applyNumberFormat="1" applyFont="1" applyFill="1" applyBorder="1" applyAlignment="1">
      <alignment horizontal="center" vertical="center" wrapText="1"/>
    </xf>
    <xf numFmtId="0" fontId="13" fillId="0" borderId="36" xfId="5" applyFont="1" applyFill="1" applyBorder="1" applyAlignment="1">
      <alignment horizontal="left"/>
    </xf>
    <xf numFmtId="0" fontId="13" fillId="0" borderId="24" xfId="5" applyFont="1" applyFill="1" applyBorder="1" applyAlignment="1">
      <alignment horizontal="left"/>
    </xf>
    <xf numFmtId="0" fontId="13" fillId="0" borderId="25" xfId="5" applyFont="1" applyFill="1" applyBorder="1" applyAlignment="1">
      <alignment horizontal="left"/>
    </xf>
    <xf numFmtId="164" fontId="12" fillId="0" borderId="21" xfId="0" applyNumberFormat="1" applyFont="1" applyBorder="1" applyAlignment="1">
      <alignment horizontal="center" vertical="center" wrapText="1"/>
    </xf>
    <xf numFmtId="165" fontId="13" fillId="0" borderId="7" xfId="0" applyNumberFormat="1" applyFont="1" applyBorder="1" applyAlignment="1">
      <alignment horizontal="right"/>
    </xf>
    <xf numFmtId="165" fontId="13" fillId="0" borderId="4" xfId="0" applyNumberFormat="1" applyFont="1" applyBorder="1" applyAlignment="1">
      <alignment horizontal="right"/>
    </xf>
    <xf numFmtId="164" fontId="12" fillId="0" borderId="14" xfId="0" applyNumberFormat="1" applyFont="1" applyBorder="1" applyAlignment="1">
      <alignment horizontal="right"/>
    </xf>
    <xf numFmtId="165" fontId="12" fillId="0" borderId="13" xfId="0" applyNumberFormat="1" applyFont="1" applyBorder="1" applyAlignment="1">
      <alignment horizontal="right"/>
    </xf>
    <xf numFmtId="0" fontId="12" fillId="0" borderId="12" xfId="0" applyFont="1" applyFill="1" applyBorder="1" applyAlignment="1">
      <alignment horizontal="center" vertical="center" wrapText="1"/>
    </xf>
    <xf numFmtId="164" fontId="12" fillId="0" borderId="14" xfId="0" applyNumberFormat="1" applyFont="1" applyBorder="1" applyAlignment="1">
      <alignment horizontal="center" vertical="center" wrapText="1"/>
    </xf>
    <xf numFmtId="0" fontId="12" fillId="0" borderId="13" xfId="0" applyFont="1" applyBorder="1" applyAlignment="1">
      <alignment horizontal="center" vertical="center" wrapText="1"/>
    </xf>
    <xf numFmtId="165" fontId="12" fillId="0" borderId="21" xfId="0" applyNumberFormat="1" applyFont="1" applyBorder="1" applyAlignment="1">
      <alignment horizontal="center" vertical="center" wrapText="1"/>
    </xf>
    <xf numFmtId="0" fontId="12" fillId="0" borderId="41" xfId="0" applyFont="1" applyBorder="1" applyAlignment="1">
      <alignment horizontal="center" vertical="center" wrapText="1"/>
    </xf>
    <xf numFmtId="164" fontId="12" fillId="0" borderId="47" xfId="0" applyNumberFormat="1" applyFont="1" applyBorder="1" applyAlignment="1">
      <alignment horizontal="right"/>
    </xf>
    <xf numFmtId="164" fontId="12" fillId="0" borderId="59" xfId="0" applyNumberFormat="1" applyFont="1" applyBorder="1" applyAlignment="1">
      <alignment horizontal="right"/>
    </xf>
    <xf numFmtId="165" fontId="12" fillId="0" borderId="44" xfId="0" applyNumberFormat="1" applyFont="1" applyBorder="1" applyAlignment="1">
      <alignment horizontal="right"/>
    </xf>
    <xf numFmtId="164" fontId="13" fillId="0" borderId="54" xfId="0" applyNumberFormat="1" applyFont="1" applyBorder="1" applyAlignment="1">
      <alignment horizontal="right"/>
    </xf>
    <xf numFmtId="165" fontId="13" fillId="0" borderId="60" xfId="0" applyNumberFormat="1" applyFont="1" applyBorder="1" applyAlignment="1">
      <alignment horizontal="right"/>
    </xf>
    <xf numFmtId="164" fontId="13" fillId="0" borderId="26" xfId="0" applyNumberFormat="1" applyFont="1" applyBorder="1" applyAlignment="1">
      <alignment horizontal="right"/>
    </xf>
    <xf numFmtId="165" fontId="13" fillId="0" borderId="30" xfId="0" applyNumberFormat="1" applyFont="1" applyBorder="1" applyAlignment="1">
      <alignment horizontal="right"/>
    </xf>
    <xf numFmtId="165" fontId="12" fillId="0" borderId="55" xfId="0" applyNumberFormat="1" applyFont="1" applyBorder="1" applyAlignment="1">
      <alignment horizontal="center" vertical="center"/>
    </xf>
    <xf numFmtId="0" fontId="12" fillId="0" borderId="61"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48" xfId="0" applyFont="1" applyBorder="1" applyAlignment="1">
      <alignment horizontal="center" vertical="center" wrapText="1"/>
    </xf>
    <xf numFmtId="165" fontId="12" fillId="0" borderId="59" xfId="0" applyNumberFormat="1" applyFont="1" applyBorder="1" applyAlignment="1">
      <alignment horizontal="right"/>
    </xf>
    <xf numFmtId="164" fontId="12" fillId="0" borderId="35" xfId="0" applyNumberFormat="1" applyFont="1" applyBorder="1" applyAlignment="1">
      <alignment horizontal="center" vertical="center" wrapText="1"/>
    </xf>
    <xf numFmtId="164" fontId="12" fillId="0" borderId="62" xfId="0" applyNumberFormat="1" applyFont="1" applyBorder="1" applyAlignment="1">
      <alignment horizontal="center" vertical="center" wrapText="1"/>
    </xf>
    <xf numFmtId="164" fontId="12" fillId="0" borderId="56" xfId="0" applyNumberFormat="1" applyFont="1" applyBorder="1" applyAlignment="1">
      <alignment horizontal="center" vertical="center" wrapText="1"/>
    </xf>
    <xf numFmtId="0" fontId="12" fillId="0" borderId="34" xfId="0" applyFont="1" applyBorder="1" applyAlignment="1">
      <alignment horizontal="center" vertical="center" wrapText="1"/>
    </xf>
    <xf numFmtId="164" fontId="13" fillId="0" borderId="63" xfId="0" applyNumberFormat="1" applyFont="1" applyBorder="1" applyAlignment="1">
      <alignment horizontal="right"/>
    </xf>
    <xf numFmtId="164" fontId="13" fillId="0" borderId="64" xfId="0" applyNumberFormat="1" applyFont="1" applyBorder="1" applyAlignment="1">
      <alignment horizontal="right"/>
    </xf>
    <xf numFmtId="164" fontId="13" fillId="0" borderId="28" xfId="0" applyNumberFormat="1" applyFont="1" applyBorder="1" applyAlignment="1">
      <alignment horizontal="right"/>
    </xf>
    <xf numFmtId="164" fontId="13" fillId="0" borderId="65" xfId="0" applyNumberFormat="1" applyFont="1" applyBorder="1" applyAlignment="1">
      <alignment horizontal="right"/>
    </xf>
    <xf numFmtId="165" fontId="0" fillId="0" borderId="0" xfId="0" applyNumberFormat="1"/>
    <xf numFmtId="181" fontId="0" fillId="0" borderId="0" xfId="0" applyNumberFormat="1"/>
    <xf numFmtId="2" fontId="13" fillId="0" borderId="0" xfId="0" applyNumberFormat="1" applyFont="1" applyBorder="1"/>
    <xf numFmtId="0" fontId="12" fillId="11" borderId="6" xfId="0" applyNumberFormat="1" applyFont="1" applyFill="1" applyBorder="1" applyAlignment="1">
      <alignment horizontal="center" wrapText="1"/>
    </xf>
    <xf numFmtId="0" fontId="12" fillId="11" borderId="7" xfId="0" applyNumberFormat="1" applyFont="1" applyFill="1" applyBorder="1" applyAlignment="1">
      <alignment horizontal="center" wrapText="1"/>
    </xf>
    <xf numFmtId="165" fontId="13" fillId="11" borderId="3" xfId="0" applyNumberFormat="1" applyFont="1" applyFill="1" applyBorder="1" applyAlignment="1">
      <alignment horizontal="right"/>
    </xf>
    <xf numFmtId="165" fontId="13" fillId="11" borderId="19" xfId="0" applyNumberFormat="1" applyFont="1" applyFill="1" applyBorder="1" applyAlignment="1">
      <alignment horizontal="right"/>
    </xf>
    <xf numFmtId="165" fontId="13" fillId="11" borderId="11" xfId="0" applyNumberFormat="1" applyFont="1" applyFill="1" applyBorder="1" applyAlignment="1">
      <alignment horizontal="right"/>
    </xf>
    <xf numFmtId="0" fontId="12" fillId="13" borderId="7" xfId="0" applyFont="1" applyFill="1" applyBorder="1" applyAlignment="1">
      <alignment horizontal="center" vertical="center" wrapText="1"/>
    </xf>
    <xf numFmtId="164" fontId="13" fillId="13" borderId="3" xfId="1" applyNumberFormat="1" applyFont="1" applyFill="1" applyBorder="1" applyAlignment="1">
      <alignment horizontal="right"/>
    </xf>
    <xf numFmtId="164" fontId="13" fillId="13" borderId="11" xfId="1" applyNumberFormat="1" applyFont="1" applyFill="1" applyBorder="1" applyAlignment="1">
      <alignment horizontal="right"/>
    </xf>
    <xf numFmtId="164" fontId="13" fillId="13" borderId="53" xfId="1" applyNumberFormat="1" applyFont="1" applyFill="1" applyBorder="1" applyAlignment="1">
      <alignment horizontal="right"/>
    </xf>
    <xf numFmtId="0" fontId="12" fillId="13" borderId="37" xfId="0" applyFont="1" applyFill="1" applyBorder="1" applyAlignment="1">
      <alignment horizontal="right" vertical="center" wrapText="1"/>
    </xf>
    <xf numFmtId="164" fontId="12" fillId="13" borderId="9" xfId="0" applyNumberFormat="1" applyFont="1" applyFill="1" applyBorder="1" applyAlignment="1">
      <alignment horizontal="right" vertical="center"/>
    </xf>
    <xf numFmtId="164" fontId="12" fillId="13" borderId="25" xfId="0" applyNumberFormat="1" applyFont="1" applyFill="1" applyBorder="1" applyAlignment="1">
      <alignment horizontal="right" vertical="center"/>
    </xf>
    <xf numFmtId="0" fontId="12" fillId="0" borderId="35" xfId="0" applyFont="1" applyBorder="1" applyAlignment="1">
      <alignment horizontal="center" vertical="center"/>
    </xf>
    <xf numFmtId="0" fontId="12" fillId="0" borderId="57" xfId="0" applyFont="1" applyBorder="1" applyAlignment="1">
      <alignment horizontal="center" wrapText="1"/>
    </xf>
    <xf numFmtId="0" fontId="12" fillId="0" borderId="58" xfId="0" applyFont="1" applyBorder="1" applyAlignment="1">
      <alignment horizontal="center" wrapText="1"/>
    </xf>
    <xf numFmtId="0" fontId="13" fillId="0" borderId="51" xfId="0" applyFont="1" applyFill="1" applyBorder="1"/>
    <xf numFmtId="165" fontId="12" fillId="0" borderId="52" xfId="0" applyNumberFormat="1" applyFont="1" applyBorder="1"/>
    <xf numFmtId="165" fontId="12" fillId="0" borderId="53" xfId="0" applyNumberFormat="1" applyFont="1" applyBorder="1"/>
    <xf numFmtId="0" fontId="13" fillId="0" borderId="5" xfId="0" applyFont="1" applyBorder="1"/>
    <xf numFmtId="165" fontId="13" fillId="0" borderId="6" xfId="0" applyNumberFormat="1" applyFont="1" applyBorder="1"/>
    <xf numFmtId="0" fontId="13" fillId="0" borderId="9" xfId="0" applyFont="1" applyBorder="1"/>
    <xf numFmtId="165" fontId="13" fillId="0" borderId="8" xfId="0" applyNumberFormat="1" applyFont="1" applyBorder="1"/>
    <xf numFmtId="0" fontId="13" fillId="0" borderId="5" xfId="5" applyFont="1" applyFill="1" applyBorder="1" applyAlignment="1">
      <alignment horizontal="left"/>
    </xf>
    <xf numFmtId="10" fontId="27" fillId="0" borderId="39" xfId="0" applyNumberFormat="1" applyFont="1" applyFill="1" applyBorder="1" applyAlignment="1">
      <alignment horizontal="right" vertical="center"/>
    </xf>
    <xf numFmtId="10" fontId="13" fillId="0" borderId="6" xfId="8" applyNumberFormat="1" applyFont="1" applyFill="1" applyBorder="1" applyAlignment="1">
      <alignment horizontal="right"/>
    </xf>
    <xf numFmtId="10" fontId="13" fillId="0" borderId="6" xfId="6" applyNumberFormat="1" applyFont="1" applyFill="1" applyBorder="1" applyAlignment="1">
      <alignment horizontal="right"/>
    </xf>
    <xf numFmtId="10" fontId="13" fillId="0" borderId="7" xfId="6" applyNumberFormat="1" applyFont="1" applyFill="1" applyBorder="1" applyAlignment="1">
      <alignment horizontal="right"/>
    </xf>
    <xf numFmtId="0" fontId="13" fillId="0" borderId="2" xfId="5" applyFont="1" applyFill="1" applyBorder="1" applyAlignment="1">
      <alignment horizontal="left"/>
    </xf>
    <xf numFmtId="10" fontId="13" fillId="0" borderId="3" xfId="6" applyNumberFormat="1" applyFont="1" applyFill="1" applyBorder="1" applyAlignment="1">
      <alignment horizontal="right"/>
    </xf>
    <xf numFmtId="0" fontId="13" fillId="0" borderId="9" xfId="5" applyFont="1" applyFill="1" applyBorder="1" applyAlignment="1">
      <alignment horizontal="left"/>
    </xf>
    <xf numFmtId="10" fontId="27" fillId="0" borderId="65" xfId="7" applyNumberFormat="1" applyFont="1" applyFill="1" applyBorder="1" applyAlignment="1">
      <alignment horizontal="right"/>
    </xf>
    <xf numFmtId="10" fontId="13" fillId="0" borderId="8" xfId="8" applyNumberFormat="1" applyFont="1" applyFill="1" applyBorder="1" applyAlignment="1">
      <alignment horizontal="right"/>
    </xf>
    <xf numFmtId="10" fontId="13" fillId="0" borderId="8" xfId="6" applyNumberFormat="1" applyFont="1" applyFill="1" applyBorder="1" applyAlignment="1">
      <alignment horizontal="right"/>
    </xf>
    <xf numFmtId="10" fontId="13" fillId="0" borderId="4" xfId="6" applyNumberFormat="1" applyFont="1" applyFill="1" applyBorder="1" applyAlignment="1">
      <alignment horizontal="right"/>
    </xf>
    <xf numFmtId="0" fontId="12" fillId="0" borderId="12"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164" fontId="12" fillId="0" borderId="14" xfId="0" applyNumberFormat="1" applyFont="1" applyFill="1" applyBorder="1" applyAlignment="1">
      <alignment horizontal="center" vertical="center" wrapText="1"/>
    </xf>
    <xf numFmtId="164" fontId="12" fillId="0" borderId="13"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10" fontId="12" fillId="0" borderId="12" xfId="0" applyNumberFormat="1" applyFont="1" applyBorder="1" applyAlignment="1">
      <alignment horizontal="right"/>
    </xf>
    <xf numFmtId="10" fontId="12" fillId="0" borderId="14" xfId="0" applyNumberFormat="1" applyFont="1" applyBorder="1" applyAlignment="1">
      <alignment horizontal="right"/>
    </xf>
    <xf numFmtId="10" fontId="12" fillId="0" borderId="13" xfId="0" applyNumberFormat="1" applyFont="1" applyBorder="1" applyAlignment="1">
      <alignment horizontal="right"/>
    </xf>
    <xf numFmtId="0" fontId="19" fillId="0" borderId="48" xfId="0" applyFont="1" applyFill="1" applyBorder="1" applyAlignment="1">
      <alignment horizontal="left" vertical="center"/>
    </xf>
    <xf numFmtId="0" fontId="13" fillId="0" borderId="15" xfId="0" applyFont="1" applyBorder="1" applyAlignment="1">
      <alignment horizontal="center"/>
    </xf>
    <xf numFmtId="0" fontId="12" fillId="0" borderId="35" xfId="0" applyFont="1" applyFill="1" applyBorder="1" applyAlignment="1">
      <alignment horizontal="center" wrapText="1"/>
    </xf>
    <xf numFmtId="0" fontId="12" fillId="0" borderId="20" xfId="0" applyFont="1" applyFill="1" applyBorder="1" applyAlignment="1">
      <alignment horizontal="center" wrapText="1"/>
    </xf>
    <xf numFmtId="164" fontId="13" fillId="0" borderId="67" xfId="0" applyNumberFormat="1" applyFont="1" applyFill="1" applyBorder="1" applyAlignment="1">
      <alignment horizontal="right" vertical="center"/>
    </xf>
    <xf numFmtId="0" fontId="13" fillId="0" borderId="5" xfId="0" applyFont="1" applyBorder="1" applyAlignment="1">
      <alignment vertical="center"/>
    </xf>
    <xf numFmtId="0" fontId="13" fillId="0" borderId="36" xfId="0" applyFont="1" applyBorder="1" applyAlignment="1">
      <alignment vertical="center"/>
    </xf>
    <xf numFmtId="164" fontId="12" fillId="13" borderId="25" xfId="0" applyNumberFormat="1" applyFont="1" applyFill="1" applyBorder="1" applyAlignment="1">
      <alignment vertical="center"/>
    </xf>
    <xf numFmtId="164" fontId="13" fillId="0" borderId="5" xfId="0" applyNumberFormat="1" applyFont="1" applyFill="1" applyBorder="1" applyAlignment="1">
      <alignment horizontal="right" vertical="center"/>
    </xf>
    <xf numFmtId="164" fontId="13" fillId="0" borderId="36" xfId="0" applyNumberFormat="1" applyFont="1" applyFill="1" applyBorder="1" applyAlignment="1">
      <alignment horizontal="right" vertical="center"/>
    </xf>
    <xf numFmtId="0" fontId="13" fillId="0" borderId="33" xfId="0" applyFont="1" applyBorder="1" applyAlignment="1">
      <alignment vertical="top" wrapText="1"/>
    </xf>
    <xf numFmtId="0" fontId="12" fillId="0" borderId="66" xfId="0" applyFont="1" applyBorder="1" applyAlignment="1">
      <alignment horizontal="left" vertical="center" wrapText="1"/>
    </xf>
    <xf numFmtId="0" fontId="13" fillId="0" borderId="68" xfId="0" applyFont="1" applyBorder="1" applyAlignment="1">
      <alignment vertical="center"/>
    </xf>
    <xf numFmtId="164" fontId="12" fillId="0" borderId="5" xfId="0" applyNumberFormat="1" applyFont="1" applyFill="1" applyBorder="1" applyAlignment="1">
      <alignment horizontal="right" vertical="center"/>
    </xf>
    <xf numFmtId="0" fontId="12" fillId="0" borderId="36" xfId="0" applyFont="1" applyFill="1" applyBorder="1" applyAlignment="1">
      <alignment vertical="center"/>
    </xf>
    <xf numFmtId="44" fontId="4" fillId="0" borderId="0" xfId="3" applyFont="1"/>
    <xf numFmtId="44" fontId="4" fillId="0" borderId="0" xfId="0" applyNumberFormat="1" applyFont="1"/>
    <xf numFmtId="43" fontId="13" fillId="0" borderId="0" xfId="1" applyFont="1" applyFill="1" applyBorder="1" applyAlignment="1">
      <alignment horizontal="right"/>
    </xf>
    <xf numFmtId="44" fontId="13" fillId="0" borderId="0" xfId="3" applyFont="1"/>
    <xf numFmtId="44" fontId="13" fillId="0" borderId="0" xfId="0" applyNumberFormat="1" applyFont="1"/>
    <xf numFmtId="176" fontId="13" fillId="4" borderId="1" xfId="0" applyNumberFormat="1" applyFont="1" applyFill="1" applyBorder="1" applyAlignment="1">
      <alignment horizontal="right"/>
    </xf>
    <xf numFmtId="43" fontId="13" fillId="0" borderId="0" xfId="1" applyFont="1" applyBorder="1"/>
    <xf numFmtId="14" fontId="5" fillId="0" borderId="0" xfId="0" applyNumberFormat="1" applyFont="1"/>
    <xf numFmtId="44" fontId="4" fillId="0" borderId="0" xfId="3" applyFont="1" applyBorder="1"/>
    <xf numFmtId="44" fontId="4" fillId="0" borderId="0" xfId="0" applyNumberFormat="1" applyFont="1" applyBorder="1"/>
    <xf numFmtId="0" fontId="22" fillId="2" borderId="1" xfId="0" applyFont="1" applyFill="1" applyBorder="1" applyAlignment="1">
      <alignment horizontal="center" vertical="center"/>
    </xf>
    <xf numFmtId="0" fontId="15" fillId="0" borderId="0" xfId="0" applyFont="1"/>
    <xf numFmtId="0" fontId="0" fillId="0" borderId="0" xfId="0" applyFill="1" applyBorder="1" applyAlignment="1">
      <alignment horizontal="center"/>
    </xf>
    <xf numFmtId="0" fontId="0" fillId="0" borderId="0" xfId="0" applyBorder="1" applyAlignment="1">
      <alignment horizontal="center"/>
    </xf>
    <xf numFmtId="0" fontId="17" fillId="10" borderId="1" xfId="0" applyFont="1" applyFill="1" applyBorder="1" applyAlignment="1">
      <alignment horizontal="center"/>
    </xf>
    <xf numFmtId="0" fontId="17" fillId="7" borderId="19" xfId="0" applyFont="1" applyFill="1" applyBorder="1" applyAlignment="1">
      <alignment horizontal="center" vertical="center"/>
    </xf>
    <xf numFmtId="0" fontId="17" fillId="6" borderId="1" xfId="0" applyFont="1" applyFill="1" applyBorder="1" applyAlignment="1">
      <alignment horizontal="center"/>
    </xf>
    <xf numFmtId="0" fontId="17" fillId="6" borderId="23" xfId="0" applyFont="1" applyFill="1" applyBorder="1" applyAlignment="1">
      <alignment horizontal="center"/>
    </xf>
    <xf numFmtId="0" fontId="17" fillId="9" borderId="23" xfId="0" applyFont="1" applyFill="1" applyBorder="1" applyAlignment="1">
      <alignment horizontal="center"/>
    </xf>
    <xf numFmtId="0" fontId="17" fillId="9" borderId="31" xfId="0" applyFont="1" applyFill="1" applyBorder="1" applyAlignment="1">
      <alignment horizontal="center"/>
    </xf>
    <xf numFmtId="0" fontId="17" fillId="5" borderId="46" xfId="0" applyFont="1" applyFill="1" applyBorder="1" applyAlignment="1">
      <alignment horizontal="center"/>
    </xf>
    <xf numFmtId="0" fontId="17" fillId="5" borderId="50" xfId="0" applyFont="1" applyFill="1" applyBorder="1" applyAlignment="1">
      <alignment horizontal="center"/>
    </xf>
    <xf numFmtId="165" fontId="13" fillId="0" borderId="22" xfId="1" applyNumberFormat="1" applyFont="1" applyBorder="1" applyAlignment="1">
      <alignment horizontal="left" wrapText="1"/>
    </xf>
    <xf numFmtId="165" fontId="13" fillId="0" borderId="0" xfId="1" applyNumberFormat="1" applyFont="1" applyBorder="1" applyAlignment="1">
      <alignment horizontal="left" wrapText="1"/>
    </xf>
    <xf numFmtId="0" fontId="12" fillId="0" borderId="5" xfId="0" applyFont="1" applyBorder="1" applyAlignment="1">
      <alignment horizontal="center"/>
    </xf>
    <xf numFmtId="0" fontId="12" fillId="0" borderId="7" xfId="0" applyFont="1" applyBorder="1" applyAlignment="1">
      <alignment horizontal="center"/>
    </xf>
    <xf numFmtId="0" fontId="17" fillId="6" borderId="38"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41" xfId="0" applyFont="1" applyFill="1" applyBorder="1" applyAlignment="1">
      <alignment horizontal="center" vertical="center" wrapText="1"/>
    </xf>
    <xf numFmtId="0" fontId="17" fillId="6" borderId="42"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2" fillId="0" borderId="16" xfId="0" applyFont="1" applyFill="1" applyBorder="1" applyAlignment="1">
      <alignment horizontal="right"/>
    </xf>
    <xf numFmtId="0" fontId="12" fillId="0" borderId="45" xfId="0" applyFont="1" applyFill="1" applyBorder="1" applyAlignment="1">
      <alignment horizontal="right"/>
    </xf>
    <xf numFmtId="0" fontId="12" fillId="0" borderId="32" xfId="0" applyFont="1" applyFill="1" applyBorder="1" applyAlignment="1">
      <alignment horizontal="right"/>
    </xf>
    <xf numFmtId="165" fontId="12" fillId="0" borderId="16"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165" fontId="12" fillId="0" borderId="32" xfId="0" applyNumberFormat="1" applyFont="1" applyBorder="1" applyAlignment="1">
      <alignment horizontal="center" vertical="center" wrapText="1"/>
    </xf>
    <xf numFmtId="0" fontId="12" fillId="0" borderId="16"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16" xfId="0" applyFont="1" applyBorder="1" applyAlignment="1">
      <alignment horizontal="right" vertical="center" wrapText="1"/>
    </xf>
    <xf numFmtId="0" fontId="13" fillId="0" borderId="45" xfId="0" applyFont="1" applyBorder="1" applyAlignment="1">
      <alignment horizontal="right" vertical="center" wrapText="1"/>
    </xf>
    <xf numFmtId="0" fontId="13" fillId="0" borderId="32" xfId="0" applyFont="1" applyBorder="1" applyAlignment="1">
      <alignment horizontal="right" vertical="center" wrapText="1"/>
    </xf>
    <xf numFmtId="0" fontId="17" fillId="7" borderId="20" xfId="0" applyFont="1" applyFill="1" applyBorder="1" applyAlignment="1">
      <alignment horizontal="center" vertical="center" wrapText="1"/>
    </xf>
    <xf numFmtId="0" fontId="24" fillId="7" borderId="49" xfId="0" applyFont="1" applyFill="1" applyBorder="1"/>
    <xf numFmtId="0" fontId="13" fillId="0" borderId="16" xfId="0" applyFont="1" applyBorder="1" applyAlignment="1">
      <alignment horizontal="right" vertical="center"/>
    </xf>
    <xf numFmtId="0" fontId="13" fillId="0" borderId="45" xfId="0" applyFont="1" applyBorder="1" applyAlignment="1">
      <alignment horizontal="right" vertical="center"/>
    </xf>
    <xf numFmtId="0" fontId="13" fillId="0" borderId="32" xfId="0" applyFont="1" applyBorder="1" applyAlignment="1">
      <alignment horizontal="right" vertical="center"/>
    </xf>
    <xf numFmtId="0" fontId="17" fillId="9" borderId="20"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7" fillId="9" borderId="4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12" xfId="0" applyFont="1" applyBorder="1" applyAlignment="1">
      <alignment horizontal="right" vertical="center" wrapText="1"/>
    </xf>
    <xf numFmtId="0" fontId="13" fillId="0" borderId="14" xfId="0" applyFont="1" applyBorder="1" applyAlignment="1">
      <alignment horizontal="right" vertical="center" wrapText="1"/>
    </xf>
    <xf numFmtId="0" fontId="13" fillId="0" borderId="13" xfId="0" applyFont="1" applyBorder="1" applyAlignment="1">
      <alignment horizontal="right" vertical="center" wrapText="1"/>
    </xf>
    <xf numFmtId="0" fontId="13" fillId="0" borderId="12" xfId="0" applyFont="1" applyBorder="1" applyAlignment="1">
      <alignment horizontal="right" vertical="center"/>
    </xf>
    <xf numFmtId="0" fontId="13" fillId="0" borderId="14" xfId="0" applyFont="1" applyBorder="1" applyAlignment="1">
      <alignment horizontal="right" vertical="center"/>
    </xf>
    <xf numFmtId="0" fontId="13" fillId="0" borderId="13" xfId="0" applyFont="1" applyBorder="1" applyAlignment="1">
      <alignment horizontal="right" vertical="center"/>
    </xf>
    <xf numFmtId="0" fontId="19" fillId="0" borderId="48" xfId="0" applyFont="1" applyFill="1" applyBorder="1" applyAlignment="1">
      <alignment horizontal="left" vertical="center" wrapText="1"/>
    </xf>
    <xf numFmtId="0" fontId="19" fillId="0" borderId="0" xfId="0" applyFont="1" applyFill="1" applyBorder="1" applyAlignment="1">
      <alignment horizontal="left" vertical="center" wrapText="1"/>
    </xf>
  </cellXfs>
  <cellStyles count="9">
    <cellStyle name="Comma" xfId="1" builtinId="3"/>
    <cellStyle name="Comma 2" xfId="2"/>
    <cellStyle name="Currency" xfId="3" builtinId="4"/>
    <cellStyle name="Currency 2" xfId="4"/>
    <cellStyle name="Normal" xfId="0" builtinId="0"/>
    <cellStyle name="Normal 2" xfId="5"/>
    <cellStyle name="Percent" xfId="6" builtinId="5"/>
    <cellStyle name="Percent 2" xfId="7"/>
    <cellStyle name="Percent 2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tabSelected="1" workbookViewId="0">
      <pane xSplit="1" topLeftCell="B1" activePane="topRight" state="frozen"/>
      <selection pane="topRight" sqref="A1:E1"/>
    </sheetView>
  </sheetViews>
  <sheetFormatPr defaultRowHeight="12.75" x14ac:dyDescent="0.2"/>
  <cols>
    <col min="1" max="1" width="14.5703125" customWidth="1"/>
    <col min="2" max="2" width="14" bestFit="1" customWidth="1"/>
    <col min="3" max="3" width="14.7109375" bestFit="1" customWidth="1"/>
    <col min="4" max="4" width="12.85546875" bestFit="1" customWidth="1"/>
    <col min="5" max="5" width="14.7109375" bestFit="1" customWidth="1"/>
    <col min="6" max="6" width="15.7109375" customWidth="1"/>
  </cols>
  <sheetData>
    <row r="1" spans="1:6" ht="18.75" x14ac:dyDescent="0.3">
      <c r="A1" s="435" t="s">
        <v>162</v>
      </c>
      <c r="B1" s="435"/>
      <c r="C1" s="435"/>
      <c r="D1" s="435"/>
      <c r="E1" s="435"/>
      <c r="F1" s="431">
        <v>42878</v>
      </c>
    </row>
    <row r="2" spans="1:6" s="23" customFormat="1" ht="15.75" x14ac:dyDescent="0.25">
      <c r="A2" s="239" t="s">
        <v>186</v>
      </c>
    </row>
    <row r="4" spans="1:6" ht="18.75" x14ac:dyDescent="0.2">
      <c r="A4" s="37" t="s">
        <v>110</v>
      </c>
      <c r="B4" s="38"/>
      <c r="C4" s="38"/>
      <c r="D4" s="20"/>
      <c r="E4" s="20"/>
    </row>
    <row r="5" spans="1:6" ht="15.75" x14ac:dyDescent="0.2">
      <c r="A5" s="22"/>
      <c r="B5" s="434" t="s">
        <v>111</v>
      </c>
      <c r="C5" s="434"/>
      <c r="D5" s="23"/>
      <c r="E5" s="23"/>
    </row>
    <row r="6" spans="1:6" ht="38.25" x14ac:dyDescent="0.2">
      <c r="A6" s="39" t="s">
        <v>130</v>
      </c>
      <c r="B6" s="24" t="s">
        <v>114</v>
      </c>
      <c r="C6" s="24" t="s">
        <v>187</v>
      </c>
      <c r="D6" s="23"/>
      <c r="E6" s="23"/>
      <c r="F6" s="19" t="s">
        <v>24</v>
      </c>
    </row>
    <row r="7" spans="1:6" x14ac:dyDescent="0.2">
      <c r="A7" s="25" t="s">
        <v>142</v>
      </c>
      <c r="B7" s="26">
        <f>'BRA Resource Clearing Results'!F26</f>
        <v>165109.19999999998</v>
      </c>
      <c r="C7" s="27">
        <f>'BRA Resource Clearing Results'!D5</f>
        <v>76.53</v>
      </c>
      <c r="D7" s="23"/>
      <c r="E7" s="201" t="s">
        <v>24</v>
      </c>
    </row>
    <row r="8" spans="1:6" x14ac:dyDescent="0.2">
      <c r="A8" s="25" t="s">
        <v>29</v>
      </c>
      <c r="B8" s="26">
        <f>'BRA Resource Clearing Results'!F27</f>
        <v>65817.900000000009</v>
      </c>
      <c r="C8" s="27">
        <f>'BRA Resource Clearing Results'!D6</f>
        <v>86.04</v>
      </c>
      <c r="D8" s="23"/>
      <c r="E8" s="23"/>
    </row>
    <row r="9" spans="1:6" x14ac:dyDescent="0.2">
      <c r="A9" s="25" t="s">
        <v>35</v>
      </c>
      <c r="B9" s="26">
        <f>'BRA Resource Clearing Results'!F28</f>
        <v>29608.2</v>
      </c>
      <c r="C9" s="27">
        <f>'BRA Resource Clearing Results'!D7</f>
        <v>187.87</v>
      </c>
      <c r="D9" s="23"/>
      <c r="E9" s="23"/>
    </row>
    <row r="10" spans="1:6" x14ac:dyDescent="0.2">
      <c r="A10" s="25" t="s">
        <v>5</v>
      </c>
      <c r="B10" s="26">
        <f>'BRA Resource Clearing Results'!F29</f>
        <v>10354.4</v>
      </c>
      <c r="C10" s="27">
        <f>'BRA Resource Clearing Results'!D8</f>
        <v>86.04</v>
      </c>
      <c r="D10" s="23"/>
      <c r="E10" s="23"/>
    </row>
    <row r="11" spans="1:6" x14ac:dyDescent="0.2">
      <c r="A11" s="25" t="s">
        <v>8</v>
      </c>
      <c r="B11" s="26">
        <f>'BRA Resource Clearing Results'!F30</f>
        <v>5097.2</v>
      </c>
      <c r="C11" s="27">
        <f>'BRA Resource Clearing Results'!D9</f>
        <v>187.87</v>
      </c>
      <c r="D11" s="23"/>
      <c r="E11" s="23"/>
    </row>
    <row r="12" spans="1:6" x14ac:dyDescent="0.2">
      <c r="A12" s="25" t="s">
        <v>36</v>
      </c>
      <c r="B12" s="26">
        <f>'BRA Resource Clearing Results'!F31</f>
        <v>2975.4</v>
      </c>
      <c r="C12" s="27">
        <f>'BRA Resource Clearing Results'!D10</f>
        <v>187.87</v>
      </c>
      <c r="D12" s="23"/>
      <c r="E12" s="23"/>
    </row>
    <row r="13" spans="1:6" x14ac:dyDescent="0.2">
      <c r="A13" s="25" t="s">
        <v>37</v>
      </c>
      <c r="B13" s="26">
        <f>'BRA Resource Clearing Results'!F32</f>
        <v>1647.2</v>
      </c>
      <c r="C13" s="27">
        <f>'BRA Resource Clearing Results'!D11</f>
        <v>187.87</v>
      </c>
      <c r="D13" s="23"/>
      <c r="E13" s="23"/>
    </row>
    <row r="14" spans="1:6" x14ac:dyDescent="0.2">
      <c r="A14" s="25" t="s">
        <v>15</v>
      </c>
      <c r="B14" s="26">
        <f>'BRA Resource Clearing Results'!F33</f>
        <v>5918.6</v>
      </c>
      <c r="C14" s="27">
        <f>'BRA Resource Clearing Results'!D12</f>
        <v>86.04</v>
      </c>
      <c r="D14" s="23"/>
      <c r="E14" s="23"/>
    </row>
    <row r="15" spans="1:6" x14ac:dyDescent="0.2">
      <c r="A15" s="28" t="s">
        <v>45</v>
      </c>
      <c r="B15" s="29">
        <f>'BRA Resource Clearing Results'!F34</f>
        <v>9925.1</v>
      </c>
      <c r="C15" s="27">
        <f>'BRA Resource Clearing Results'!D13</f>
        <v>76.53</v>
      </c>
      <c r="D15" s="23"/>
      <c r="E15" s="23"/>
    </row>
    <row r="16" spans="1:6" x14ac:dyDescent="0.2">
      <c r="A16" s="28" t="s">
        <v>118</v>
      </c>
      <c r="B16" s="29">
        <f>'BRA Resource Clearing Results'!F35</f>
        <v>1857.9</v>
      </c>
      <c r="C16" s="27">
        <f>'BRA Resource Clearing Results'!D14</f>
        <v>76.53</v>
      </c>
      <c r="D16" s="23"/>
      <c r="E16" s="23"/>
    </row>
    <row r="17" spans="1:8" x14ac:dyDescent="0.2">
      <c r="A17" s="28" t="s">
        <v>20</v>
      </c>
      <c r="B17" s="29">
        <f>'BRA Resource Clearing Results'!F36</f>
        <v>23960.300000000003</v>
      </c>
      <c r="C17" s="27">
        <f>'BRA Resource Clearing Results'!D15</f>
        <v>188.12</v>
      </c>
      <c r="D17" s="23"/>
      <c r="E17" s="23"/>
    </row>
    <row r="18" spans="1:8" x14ac:dyDescent="0.2">
      <c r="A18" s="28" t="s">
        <v>11</v>
      </c>
      <c r="B18" s="29">
        <f>'BRA Resource Clearing Results'!F37</f>
        <v>2296.9</v>
      </c>
      <c r="C18" s="27">
        <f>'BRA Resource Clearing Results'!D16</f>
        <v>86.04</v>
      </c>
      <c r="D18" s="23"/>
      <c r="E18" s="23"/>
    </row>
    <row r="19" spans="1:8" x14ac:dyDescent="0.2">
      <c r="A19" s="28" t="s">
        <v>10</v>
      </c>
      <c r="B19" s="29">
        <f>'BRA Resource Clearing Results'!F38</f>
        <v>10345</v>
      </c>
      <c r="C19" s="27">
        <f>'BRA Resource Clearing Results'!D17</f>
        <v>86.04</v>
      </c>
      <c r="D19" s="23"/>
      <c r="E19" s="23"/>
    </row>
    <row r="20" spans="1:8" x14ac:dyDescent="0.2">
      <c r="A20" s="28" t="s">
        <v>21</v>
      </c>
      <c r="B20" s="31">
        <f>'BRA Resource Clearing Results'!F39</f>
        <v>1527.1</v>
      </c>
      <c r="C20" s="223">
        <f>'BRA Resource Clearing Results'!D18</f>
        <v>76.53</v>
      </c>
      <c r="D20" s="23"/>
      <c r="E20" s="23"/>
    </row>
    <row r="21" spans="1:8" x14ac:dyDescent="0.2">
      <c r="A21" s="28" t="s">
        <v>52</v>
      </c>
      <c r="B21" s="31">
        <f>'BRA Resource Clearing Results'!F40</f>
        <v>2430.3000000000002</v>
      </c>
      <c r="C21" s="223">
        <f>'BRA Resource Clearing Results'!D19</f>
        <v>130</v>
      </c>
      <c r="D21" s="23"/>
      <c r="E21" s="23"/>
    </row>
    <row r="22" spans="1:8" x14ac:dyDescent="0.2">
      <c r="A22" s="185" t="s">
        <v>223</v>
      </c>
      <c r="B22" s="185"/>
      <c r="C22" s="185"/>
      <c r="D22" s="135"/>
      <c r="E22" s="135"/>
      <c r="F22" s="135"/>
    </row>
    <row r="23" spans="1:8" s="2" customFormat="1" ht="18.75" x14ac:dyDescent="0.25">
      <c r="A23" s="37" t="s">
        <v>112</v>
      </c>
      <c r="B23" s="38"/>
      <c r="C23" s="38"/>
      <c r="D23" s="38"/>
      <c r="E23" s="38"/>
    </row>
    <row r="24" spans="1:8" ht="15.75" x14ac:dyDescent="0.2">
      <c r="A24" s="22"/>
      <c r="B24" s="434" t="s">
        <v>111</v>
      </c>
      <c r="C24" s="434"/>
      <c r="D24" s="434"/>
      <c r="E24" s="434"/>
    </row>
    <row r="25" spans="1:8" ht="54.95" customHeight="1" x14ac:dyDescent="0.2">
      <c r="A25" s="76" t="s">
        <v>7</v>
      </c>
      <c r="B25" s="24" t="s">
        <v>115</v>
      </c>
      <c r="C25" s="24" t="s">
        <v>219</v>
      </c>
      <c r="D25" s="24" t="s">
        <v>113</v>
      </c>
      <c r="E25" s="24" t="s">
        <v>116</v>
      </c>
    </row>
    <row r="26" spans="1:8" x14ac:dyDescent="0.2">
      <c r="A26" s="25" t="s">
        <v>16</v>
      </c>
      <c r="B26" s="26">
        <f>'BRA Load Pricing Results'!J40</f>
        <v>2758.9201152163369</v>
      </c>
      <c r="C26" s="33">
        <f>'BRA Load Pricing Results'!L40</f>
        <v>188.41298703136172</v>
      </c>
      <c r="D26" s="27">
        <f>'BRA CTRs'!AE23</f>
        <v>13.560210846388653</v>
      </c>
      <c r="E26" s="34">
        <f>C26-D26</f>
        <v>174.85277618497307</v>
      </c>
      <c r="F26" s="364"/>
      <c r="G26" s="364"/>
      <c r="H26" s="364"/>
    </row>
    <row r="27" spans="1:8" x14ac:dyDescent="0.2">
      <c r="A27" s="25" t="s">
        <v>230</v>
      </c>
      <c r="B27" s="26">
        <f>'BRA Load Pricing Results'!J41</f>
        <v>12824.489222942249</v>
      </c>
      <c r="C27" s="33">
        <f>'BRA Load Pricing Results'!L41</f>
        <v>76.834806909883383</v>
      </c>
      <c r="D27" s="27">
        <f>'BRA CTRs'!AE24</f>
        <v>0</v>
      </c>
      <c r="E27" s="34">
        <f>C27-D27</f>
        <v>76.834806909883383</v>
      </c>
      <c r="F27" s="364"/>
      <c r="G27" s="364"/>
      <c r="H27" s="364"/>
    </row>
    <row r="28" spans="1:8" x14ac:dyDescent="0.2">
      <c r="A28" s="25" t="s">
        <v>19</v>
      </c>
      <c r="B28" s="26">
        <f>'BRA Load Pricing Results'!J42</f>
        <v>10039.533206427015</v>
      </c>
      <c r="C28" s="33">
        <f>'BRA Load Pricing Results'!L42</f>
        <v>76.834806909883383</v>
      </c>
      <c r="D28" s="27">
        <f>'BRA CTRs'!AE25</f>
        <v>0</v>
      </c>
      <c r="E28" s="34">
        <f>C28-D28</f>
        <v>76.834806909883383</v>
      </c>
      <c r="F28" s="364"/>
      <c r="G28" s="364"/>
      <c r="H28" s="364"/>
    </row>
    <row r="29" spans="1:8" x14ac:dyDescent="0.2">
      <c r="A29" s="25" t="s">
        <v>45</v>
      </c>
      <c r="B29" s="26">
        <f>'BRA Load Pricing Results'!J43</f>
        <v>14572.877027502507</v>
      </c>
      <c r="C29" s="33">
        <f>'BRA Load Pricing Results'!L43</f>
        <v>76.834806909883383</v>
      </c>
      <c r="D29" s="27">
        <f>'BRA CTRs'!AE26</f>
        <v>0</v>
      </c>
      <c r="E29" s="34">
        <f>C29-D29</f>
        <v>76.834806909883383</v>
      </c>
      <c r="F29" s="364"/>
      <c r="G29" s="364"/>
      <c r="H29" s="364"/>
    </row>
    <row r="30" spans="1:8" x14ac:dyDescent="0.2">
      <c r="A30" s="25" t="s">
        <v>11</v>
      </c>
      <c r="B30" s="26">
        <f>'BRA Load Pricing Results'!J44</f>
        <v>7649.9448802831348</v>
      </c>
      <c r="C30" s="33">
        <f>'BRA Load Pricing Results'!L44</f>
        <v>86.516831631282031</v>
      </c>
      <c r="D30" s="27">
        <f>'BRA CTRs'!AE27</f>
        <v>-0.11035705448360567</v>
      </c>
      <c r="E30" s="34">
        <f t="shared" ref="E30:E44" si="0">C30-D30</f>
        <v>86.627188685765631</v>
      </c>
      <c r="F30" s="364"/>
      <c r="G30" s="364"/>
      <c r="H30" s="364"/>
    </row>
    <row r="31" spans="1:8" x14ac:dyDescent="0.2">
      <c r="A31" s="25" t="s">
        <v>20</v>
      </c>
      <c r="B31" s="26">
        <f>'BRA Load Pricing Results'!J45</f>
        <v>25153.009445694886</v>
      </c>
      <c r="C31" s="33">
        <f>'BRA Load Pricing Results'!L45</f>
        <v>188.43108714774252</v>
      </c>
      <c r="D31" s="27">
        <f>'BRA CTRs'!AE28</f>
        <v>5.2913925601006806</v>
      </c>
      <c r="E31" s="34">
        <f t="shared" si="0"/>
        <v>183.13969458764183</v>
      </c>
      <c r="F31" s="364"/>
      <c r="G31" s="364"/>
      <c r="H31" s="364"/>
    </row>
    <row r="32" spans="1:8" x14ac:dyDescent="0.2">
      <c r="A32" s="25" t="s">
        <v>21</v>
      </c>
      <c r="B32" s="26">
        <f>'BRA Load Pricing Results'!J46</f>
        <v>3850.6042993200977</v>
      </c>
      <c r="C32" s="33">
        <f>'BRA Load Pricing Results'!L46</f>
        <v>76.834806909883383</v>
      </c>
      <c r="D32" s="27">
        <f>'BRA CTRs'!AE29</f>
        <v>0</v>
      </c>
      <c r="E32" s="34">
        <f t="shared" si="0"/>
        <v>76.834806909883383</v>
      </c>
      <c r="F32" s="364"/>
      <c r="G32" s="364"/>
      <c r="H32" s="364"/>
    </row>
    <row r="33" spans="1:8" x14ac:dyDescent="0.2">
      <c r="A33" s="25" t="s">
        <v>231</v>
      </c>
      <c r="B33" s="26">
        <f>'BRA Load Pricing Results'!J47</f>
        <v>5204.9821298477664</v>
      </c>
      <c r="C33" s="33">
        <f>'BRA Load Pricing Results'!L47</f>
        <v>130.30480690988338</v>
      </c>
      <c r="D33" s="27">
        <f>'BRA CTRs'!AE30</f>
        <v>26.911601229081818</v>
      </c>
      <c r="E33" s="34">
        <f t="shared" si="0"/>
        <v>103.39320568080157</v>
      </c>
      <c r="F33" s="364"/>
      <c r="G33" s="364"/>
      <c r="H33" s="364"/>
    </row>
    <row r="34" spans="1:8" x14ac:dyDescent="0.2">
      <c r="A34" s="25" t="s">
        <v>44</v>
      </c>
      <c r="B34" s="26">
        <f>'BRA Load Pricing Results'!J48</f>
        <v>3228.4491719866842</v>
      </c>
      <c r="C34" s="33">
        <f>'BRA Load Pricing Results'!L48</f>
        <v>76.834806909883383</v>
      </c>
      <c r="D34" s="27">
        <f>'BRA CTRs'!AE31</f>
        <v>0</v>
      </c>
      <c r="E34" s="34">
        <f t="shared" si="0"/>
        <v>76.834806909883383</v>
      </c>
      <c r="F34" s="364"/>
      <c r="G34" s="364"/>
      <c r="H34" s="364"/>
    </row>
    <row r="35" spans="1:8" x14ac:dyDescent="0.2">
      <c r="A35" s="25" t="s">
        <v>31</v>
      </c>
      <c r="B35" s="26">
        <f>'BRA Load Pricing Results'!J49</f>
        <v>22635.261823658355</v>
      </c>
      <c r="C35" s="33">
        <f>'BRA Load Pricing Results'!L49</f>
        <v>76.834806909883383</v>
      </c>
      <c r="D35" s="27">
        <f>'BRA CTRs'!AE32</f>
        <v>0</v>
      </c>
      <c r="E35" s="34">
        <f t="shared" si="0"/>
        <v>76.834806909883383</v>
      </c>
      <c r="F35" s="364"/>
      <c r="G35" s="364"/>
      <c r="H35" s="364"/>
    </row>
    <row r="36" spans="1:8" x14ac:dyDescent="0.2">
      <c r="A36" s="25" t="s">
        <v>17</v>
      </c>
      <c r="B36" s="26">
        <f>'BRA Load Pricing Results'!J50</f>
        <v>4478.5848491940869</v>
      </c>
      <c r="C36" s="33">
        <f>'BRA Load Pricing Results'!L50</f>
        <v>188.41298703136172</v>
      </c>
      <c r="D36" s="27">
        <f>'BRA CTRs'!AE33</f>
        <v>13.560210846388651</v>
      </c>
      <c r="E36" s="34">
        <f t="shared" si="0"/>
        <v>174.85277618497307</v>
      </c>
      <c r="F36" s="364"/>
      <c r="G36" s="364"/>
      <c r="H36" s="364"/>
    </row>
    <row r="37" spans="1:8" x14ac:dyDescent="0.2">
      <c r="A37" s="25" t="s">
        <v>232</v>
      </c>
      <c r="B37" s="26">
        <f>'BRA Load Pricing Results'!J51</f>
        <v>2461.2839084184634</v>
      </c>
      <c r="C37" s="33">
        <f>'BRA Load Pricing Results'!L51</f>
        <v>76.834806909883383</v>
      </c>
      <c r="D37" s="27">
        <f>'BRA CTRs'!AE34</f>
        <v>0</v>
      </c>
      <c r="E37" s="34">
        <f t="shared" si="0"/>
        <v>76.834806909883383</v>
      </c>
      <c r="F37" s="364"/>
      <c r="G37" s="364"/>
      <c r="H37" s="364"/>
    </row>
    <row r="38" spans="1:8" x14ac:dyDescent="0.2">
      <c r="A38" s="25" t="s">
        <v>12</v>
      </c>
      <c r="B38" s="26">
        <f>'BRA Load Pricing Results'!J52</f>
        <v>6774.9664146887644</v>
      </c>
      <c r="C38" s="33">
        <f>'BRA Load Pricing Results'!L52</f>
        <v>188.41298703136172</v>
      </c>
      <c r="D38" s="27">
        <f>'BRA CTRs'!AE35</f>
        <v>13.560210846388653</v>
      </c>
      <c r="E38" s="34">
        <f t="shared" si="0"/>
        <v>174.85277618497307</v>
      </c>
      <c r="F38" s="364"/>
      <c r="G38" s="364"/>
      <c r="H38" s="364"/>
    </row>
    <row r="39" spans="1:8" x14ac:dyDescent="0.2">
      <c r="A39" s="25" t="s">
        <v>13</v>
      </c>
      <c r="B39" s="26">
        <f>'BRA Load Pricing Results'!J53</f>
        <v>3337.9671157494945</v>
      </c>
      <c r="C39" s="33">
        <f>'BRA Load Pricing Results'!L53</f>
        <v>86.516831631282031</v>
      </c>
      <c r="D39" s="27">
        <f>'BRA CTRs'!AE36</f>
        <v>-0.11035705448360569</v>
      </c>
      <c r="E39" s="34">
        <f t="shared" si="0"/>
        <v>86.627188685765631</v>
      </c>
      <c r="F39" s="364"/>
      <c r="G39" s="364"/>
      <c r="H39" s="364"/>
    </row>
    <row r="40" spans="1:8" x14ac:dyDescent="0.2">
      <c r="A40" s="25" t="s">
        <v>9</v>
      </c>
      <c r="B40" s="26">
        <f>'BRA Load Pricing Results'!J54</f>
        <v>9676.0268398951321</v>
      </c>
      <c r="C40" s="33">
        <f>'BRA Load Pricing Results'!L54</f>
        <v>188.41298703136172</v>
      </c>
      <c r="D40" s="27">
        <f>'BRA CTRs'!AE37</f>
        <v>13.560210846388653</v>
      </c>
      <c r="E40" s="34">
        <f t="shared" si="0"/>
        <v>174.85277618497307</v>
      </c>
      <c r="F40" s="364"/>
      <c r="G40" s="364"/>
      <c r="H40" s="364"/>
    </row>
    <row r="41" spans="1:8" x14ac:dyDescent="0.2">
      <c r="A41" s="25" t="s">
        <v>14</v>
      </c>
      <c r="B41" s="26">
        <f>'BRA Load Pricing Results'!J55</f>
        <v>3228.4491719866842</v>
      </c>
      <c r="C41" s="33">
        <f>'BRA Load Pricing Results'!L55</f>
        <v>86.516831631282031</v>
      </c>
      <c r="D41" s="27">
        <f>'BRA CTRs'!AE38</f>
        <v>-0.11035705448360567</v>
      </c>
      <c r="E41" s="34">
        <f t="shared" si="0"/>
        <v>86.627188685765631</v>
      </c>
      <c r="F41" s="364"/>
      <c r="G41" s="364"/>
      <c r="H41" s="364"/>
    </row>
    <row r="42" spans="1:8" x14ac:dyDescent="0.2">
      <c r="A42" s="25" t="s">
        <v>15</v>
      </c>
      <c r="B42" s="26">
        <f>'BRA Load Pricing Results'!J56</f>
        <v>7314.4005419460136</v>
      </c>
      <c r="C42" s="33">
        <f>'BRA Load Pricing Results'!L56</f>
        <v>86.516831631282031</v>
      </c>
      <c r="D42" s="27">
        <f>'BRA CTRs'!AE39</f>
        <v>-0.11035705448360567</v>
      </c>
      <c r="E42" s="34">
        <f t="shared" si="0"/>
        <v>86.627188685765631</v>
      </c>
      <c r="F42" s="364"/>
      <c r="G42" s="364"/>
      <c r="H42" s="364"/>
    </row>
    <row r="43" spans="1:8" x14ac:dyDescent="0.2">
      <c r="A43" s="25" t="s">
        <v>10</v>
      </c>
      <c r="B43" s="26">
        <f>'BRA Load Pricing Results'!J57</f>
        <v>8238.3125568812138</v>
      </c>
      <c r="C43" s="33">
        <f>'BRA Load Pricing Results'!L57</f>
        <v>86.516831631282031</v>
      </c>
      <c r="D43" s="27">
        <f>'BRA CTRs'!AE40</f>
        <v>-0.11035705448360568</v>
      </c>
      <c r="E43" s="34">
        <f t="shared" si="0"/>
        <v>86.627188685765631</v>
      </c>
      <c r="F43" s="364"/>
      <c r="G43" s="364"/>
      <c r="H43" s="364"/>
    </row>
    <row r="44" spans="1:8" x14ac:dyDescent="0.2">
      <c r="A44" s="25" t="s">
        <v>8</v>
      </c>
      <c r="B44" s="26">
        <f>'BRA Load Pricing Results'!J58</f>
        <v>11232.579742736783</v>
      </c>
      <c r="C44" s="33">
        <f>'BRA Load Pricing Results'!L58</f>
        <v>188.41298703136172</v>
      </c>
      <c r="D44" s="27">
        <f>'BRA CTRs'!AE41</f>
        <v>13.560210846388655</v>
      </c>
      <c r="E44" s="34">
        <f t="shared" si="0"/>
        <v>174.85277618497307</v>
      </c>
      <c r="F44" s="364"/>
      <c r="G44" s="364"/>
      <c r="H44" s="364"/>
    </row>
    <row r="45" spans="1:8" x14ac:dyDescent="0.2">
      <c r="A45" s="25" t="s">
        <v>18</v>
      </c>
      <c r="B45" s="26">
        <f>'BRA Load Pricing Results'!J59</f>
        <v>448.55753562427765</v>
      </c>
      <c r="C45" s="33">
        <f>'BRA Load Pricing Results'!L59</f>
        <v>188.41298703136172</v>
      </c>
      <c r="D45" s="27">
        <f>'BRA CTRs'!AE42</f>
        <v>13.560210846388651</v>
      </c>
      <c r="E45" s="34">
        <f>C45-D45</f>
        <v>174.85277618497307</v>
      </c>
      <c r="F45" s="364"/>
      <c r="G45" s="364"/>
      <c r="H45" s="364"/>
    </row>
    <row r="46" spans="1:8" x14ac:dyDescent="0.2">
      <c r="A46" s="75" t="s">
        <v>50</v>
      </c>
      <c r="B46" s="74">
        <f>SUM(B26:B45)</f>
        <v>165109.19999999995</v>
      </c>
      <c r="C46" s="35"/>
      <c r="D46" s="35"/>
      <c r="E46" s="35"/>
    </row>
    <row r="47" spans="1:8" x14ac:dyDescent="0.2">
      <c r="A47" s="36" t="s">
        <v>235</v>
      </c>
      <c r="B47" s="35"/>
      <c r="C47" s="35"/>
      <c r="D47" s="35"/>
      <c r="E47" s="35"/>
    </row>
  </sheetData>
  <mergeCells count="3">
    <mergeCell ref="B5:C5"/>
    <mergeCell ref="B24:E24"/>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2"/>
  <sheetViews>
    <sheetView zoomScaleNormal="100" workbookViewId="0">
      <pane xSplit="1" topLeftCell="B1" activePane="topRight" state="frozen"/>
      <selection pane="topRight"/>
    </sheetView>
  </sheetViews>
  <sheetFormatPr defaultRowHeight="12.75" x14ac:dyDescent="0.2"/>
  <cols>
    <col min="1" max="12" width="16.7109375" style="4" customWidth="1"/>
    <col min="13" max="22" width="14.7109375" style="4" customWidth="1"/>
    <col min="23" max="16384" width="9.140625" style="4"/>
  </cols>
  <sheetData>
    <row r="1" spans="1:17" ht="18.75" x14ac:dyDescent="0.3">
      <c r="A1" s="78" t="s">
        <v>163</v>
      </c>
    </row>
    <row r="2" spans="1:17" ht="15" customHeight="1" x14ac:dyDescent="0.3">
      <c r="A2" s="73"/>
      <c r="B2" s="7"/>
      <c r="E2" s="21"/>
      <c r="F2" s="277"/>
      <c r="G2" s="7"/>
      <c r="H2" s="7"/>
      <c r="I2" s="7"/>
      <c r="J2" s="7"/>
      <c r="K2" s="7"/>
      <c r="L2" s="7"/>
      <c r="M2" s="7"/>
      <c r="N2" s="235"/>
      <c r="O2" s="235"/>
      <c r="P2" s="235"/>
      <c r="Q2" s="235"/>
    </row>
    <row r="3" spans="1:17" ht="15.75" x14ac:dyDescent="0.2">
      <c r="A3" s="439" t="s">
        <v>54</v>
      </c>
      <c r="B3" s="439"/>
      <c r="C3" s="82"/>
      <c r="D3" s="243" t="s">
        <v>24</v>
      </c>
      <c r="F3" s="7"/>
      <c r="G3" s="7"/>
      <c r="H3" s="7"/>
      <c r="I3" s="7"/>
      <c r="J3" s="7"/>
      <c r="K3" s="7"/>
      <c r="L3" s="7"/>
      <c r="M3" s="7"/>
      <c r="N3" s="235"/>
      <c r="O3" s="235"/>
      <c r="P3" s="235"/>
      <c r="Q3" s="235"/>
    </row>
    <row r="4" spans="1:17" s="6" customFormat="1" ht="50.1" customHeight="1" x14ac:dyDescent="0.2">
      <c r="A4" s="202" t="s">
        <v>3</v>
      </c>
      <c r="B4" s="181" t="s">
        <v>134</v>
      </c>
      <c r="C4" s="181" t="s">
        <v>165</v>
      </c>
      <c r="D4" s="202" t="s">
        <v>188</v>
      </c>
      <c r="E4" s="41"/>
      <c r="F4" s="278"/>
      <c r="G4" s="279"/>
      <c r="H4" s="279"/>
      <c r="I4" s="279"/>
      <c r="J4" s="279"/>
      <c r="K4" s="279"/>
      <c r="L4" s="279"/>
      <c r="M4" s="278"/>
      <c r="N4" s="278"/>
      <c r="O4" s="278"/>
      <c r="P4" s="278"/>
      <c r="Q4" s="278"/>
    </row>
    <row r="5" spans="1:17" x14ac:dyDescent="0.2">
      <c r="A5" s="44" t="s">
        <v>6</v>
      </c>
      <c r="B5" s="45">
        <v>76.53</v>
      </c>
      <c r="C5" s="45">
        <v>0</v>
      </c>
      <c r="D5" s="49">
        <f>B5+C5</f>
        <v>76.53</v>
      </c>
      <c r="E5" s="46"/>
      <c r="F5" s="7"/>
      <c r="G5" s="235"/>
      <c r="H5" s="235"/>
      <c r="I5" s="280"/>
      <c r="J5" s="280"/>
      <c r="K5" s="235"/>
      <c r="L5" s="235"/>
      <c r="M5" s="280"/>
      <c r="N5" s="280"/>
      <c r="O5" s="280"/>
      <c r="P5" s="280"/>
      <c r="Q5" s="280"/>
    </row>
    <row r="6" spans="1:17" x14ac:dyDescent="0.2">
      <c r="A6" s="44" t="s">
        <v>29</v>
      </c>
      <c r="B6" s="45">
        <f>$B$5</f>
        <v>76.53</v>
      </c>
      <c r="C6" s="45">
        <v>9.51</v>
      </c>
      <c r="D6" s="49">
        <f>B6+C6</f>
        <v>86.04</v>
      </c>
      <c r="E6" s="46"/>
      <c r="F6" s="7"/>
      <c r="G6" s="235"/>
      <c r="H6" s="235"/>
      <c r="I6" s="280"/>
      <c r="J6" s="280"/>
      <c r="K6" s="235"/>
      <c r="L6" s="235"/>
      <c r="M6" s="280"/>
      <c r="N6" s="280"/>
      <c r="O6" s="280"/>
      <c r="P6" s="280"/>
      <c r="Q6" s="280"/>
    </row>
    <row r="7" spans="1:17" x14ac:dyDescent="0.2">
      <c r="A7" s="44" t="s">
        <v>35</v>
      </c>
      <c r="B7" s="45">
        <f t="shared" ref="B7:B19" si="0">$B$5</f>
        <v>76.53</v>
      </c>
      <c r="C7" s="45">
        <v>101.83</v>
      </c>
      <c r="D7" s="49">
        <f>B7+C6+C7</f>
        <v>187.87</v>
      </c>
      <c r="E7" s="46" t="s">
        <v>24</v>
      </c>
      <c r="F7" s="7"/>
      <c r="G7" s="235"/>
      <c r="H7" s="235"/>
      <c r="I7" s="280"/>
      <c r="J7" s="280"/>
      <c r="K7" s="235"/>
      <c r="L7" s="235"/>
      <c r="M7" s="280"/>
      <c r="N7" s="280"/>
      <c r="O7" s="280"/>
      <c r="P7" s="280"/>
      <c r="Q7" s="280"/>
    </row>
    <row r="8" spans="1:17" x14ac:dyDescent="0.2">
      <c r="A8" s="44" t="s">
        <v>5</v>
      </c>
      <c r="B8" s="45">
        <f t="shared" si="0"/>
        <v>76.53</v>
      </c>
      <c r="C8" s="45">
        <v>0</v>
      </c>
      <c r="D8" s="49">
        <f>B8+C6+C8</f>
        <v>86.04</v>
      </c>
      <c r="E8" s="46" t="s">
        <v>24</v>
      </c>
      <c r="F8" s="7"/>
      <c r="G8" s="235"/>
      <c r="H8" s="235"/>
      <c r="I8" s="280"/>
      <c r="J8" s="280"/>
      <c r="K8" s="235"/>
      <c r="L8" s="235"/>
      <c r="M8" s="280"/>
      <c r="N8" s="280"/>
      <c r="O8" s="280"/>
      <c r="P8" s="280"/>
      <c r="Q8" s="280"/>
    </row>
    <row r="9" spans="1:17" x14ac:dyDescent="0.2">
      <c r="A9" s="44" t="s">
        <v>8</v>
      </c>
      <c r="B9" s="45">
        <f t="shared" si="0"/>
        <v>76.53</v>
      </c>
      <c r="C9" s="45">
        <v>0</v>
      </c>
      <c r="D9" s="49">
        <f>B9+C6+C7+C9</f>
        <v>187.87</v>
      </c>
      <c r="E9" s="46"/>
      <c r="F9" s="7"/>
      <c r="G9" s="7"/>
      <c r="H9" s="7"/>
      <c r="I9" s="7"/>
      <c r="J9" s="7"/>
      <c r="K9" s="9"/>
      <c r="L9" s="7"/>
      <c r="M9" s="7"/>
      <c r="N9" s="280"/>
      <c r="O9" s="280"/>
      <c r="P9" s="7"/>
      <c r="Q9" s="7"/>
    </row>
    <row r="10" spans="1:17" x14ac:dyDescent="0.2">
      <c r="A10" s="44" t="s">
        <v>36</v>
      </c>
      <c r="B10" s="45">
        <f t="shared" si="0"/>
        <v>76.53</v>
      </c>
      <c r="C10" s="45">
        <v>0</v>
      </c>
      <c r="D10" s="49">
        <f>B10+C6+C7+C9+C10</f>
        <v>187.87</v>
      </c>
      <c r="E10" s="46"/>
      <c r="F10" s="7"/>
      <c r="G10" s="7"/>
      <c r="H10" s="7"/>
      <c r="I10" s="7"/>
      <c r="J10" s="7"/>
      <c r="K10" s="7"/>
      <c r="L10" s="7"/>
      <c r="M10" s="7"/>
      <c r="N10" s="7"/>
      <c r="O10" s="7"/>
      <c r="P10" s="7"/>
      <c r="Q10" s="7"/>
    </row>
    <row r="11" spans="1:17" x14ac:dyDescent="0.2">
      <c r="A11" s="44" t="s">
        <v>37</v>
      </c>
      <c r="B11" s="45">
        <f t="shared" si="0"/>
        <v>76.53</v>
      </c>
      <c r="C11" s="45">
        <v>0</v>
      </c>
      <c r="D11" s="49">
        <f>B11+C6+C7+C11</f>
        <v>187.87</v>
      </c>
      <c r="E11" s="46" t="s">
        <v>24</v>
      </c>
    </row>
    <row r="12" spans="1:17" x14ac:dyDescent="0.2">
      <c r="A12" s="30" t="s">
        <v>15</v>
      </c>
      <c r="B12" s="45">
        <f t="shared" si="0"/>
        <v>76.53</v>
      </c>
      <c r="C12" s="49">
        <v>0</v>
      </c>
      <c r="D12" s="49">
        <f>B12+C6+C8+C12</f>
        <v>86.04</v>
      </c>
      <c r="E12" s="46" t="s">
        <v>24</v>
      </c>
      <c r="M12" s="4" t="s">
        <v>24</v>
      </c>
    </row>
    <row r="13" spans="1:17" x14ac:dyDescent="0.2">
      <c r="A13" s="30" t="s">
        <v>45</v>
      </c>
      <c r="B13" s="45">
        <f t="shared" si="0"/>
        <v>76.53</v>
      </c>
      <c r="C13" s="49">
        <v>0</v>
      </c>
      <c r="D13" s="49">
        <f>B13+C13</f>
        <v>76.53</v>
      </c>
      <c r="E13" s="46"/>
      <c r="M13" s="4" t="s">
        <v>24</v>
      </c>
    </row>
    <row r="14" spans="1:17" x14ac:dyDescent="0.2">
      <c r="A14" s="30" t="s">
        <v>118</v>
      </c>
      <c r="B14" s="45">
        <f t="shared" si="0"/>
        <v>76.53</v>
      </c>
      <c r="C14" s="49">
        <v>0</v>
      </c>
      <c r="D14" s="49">
        <f>B14+C13+C14</f>
        <v>76.53</v>
      </c>
      <c r="E14" s="46"/>
      <c r="F14" s="46" t="s">
        <v>24</v>
      </c>
      <c r="Q14" s="4" t="s">
        <v>24</v>
      </c>
    </row>
    <row r="15" spans="1:17" x14ac:dyDescent="0.2">
      <c r="A15" s="30" t="s">
        <v>20</v>
      </c>
      <c r="B15" s="45">
        <f t="shared" si="0"/>
        <v>76.53</v>
      </c>
      <c r="C15" s="49">
        <v>111.59</v>
      </c>
      <c r="D15" s="49">
        <f>B15+C15</f>
        <v>188.12</v>
      </c>
      <c r="E15" s="46" t="s">
        <v>24</v>
      </c>
      <c r="F15" s="50" t="s">
        <v>24</v>
      </c>
    </row>
    <row r="16" spans="1:17" x14ac:dyDescent="0.2">
      <c r="A16" s="30" t="s">
        <v>11</v>
      </c>
      <c r="B16" s="45">
        <f t="shared" si="0"/>
        <v>76.53</v>
      </c>
      <c r="C16" s="49">
        <v>0</v>
      </c>
      <c r="D16" s="49">
        <f>B16+C6+C8+C16</f>
        <v>86.04</v>
      </c>
      <c r="E16" s="46"/>
      <c r="F16" s="46"/>
    </row>
    <row r="17" spans="1:13" x14ac:dyDescent="0.2">
      <c r="A17" s="30" t="s">
        <v>10</v>
      </c>
      <c r="B17" s="45">
        <f t="shared" si="0"/>
        <v>76.53</v>
      </c>
      <c r="C17" s="49">
        <v>0</v>
      </c>
      <c r="D17" s="49">
        <f>B17+C6+C17</f>
        <v>86.04</v>
      </c>
      <c r="E17" s="46" t="s">
        <v>24</v>
      </c>
      <c r="F17" s="46"/>
    </row>
    <row r="18" spans="1:13" x14ac:dyDescent="0.2">
      <c r="A18" s="30" t="s">
        <v>21</v>
      </c>
      <c r="B18" s="45">
        <f t="shared" si="0"/>
        <v>76.53</v>
      </c>
      <c r="C18" s="49">
        <v>0</v>
      </c>
      <c r="D18" s="49">
        <f>B18+C18</f>
        <v>76.53</v>
      </c>
      <c r="E18" s="137" t="s">
        <v>24</v>
      </c>
      <c r="F18" s="46"/>
      <c r="G18"/>
    </row>
    <row r="19" spans="1:13" x14ac:dyDescent="0.2">
      <c r="A19" s="30" t="s">
        <v>52</v>
      </c>
      <c r="B19" s="45">
        <f t="shared" si="0"/>
        <v>76.53</v>
      </c>
      <c r="C19" s="49">
        <v>53.47</v>
      </c>
      <c r="D19" s="49">
        <f>B19+C19</f>
        <v>130</v>
      </c>
      <c r="E19" s="46"/>
      <c r="F19" s="46"/>
      <c r="G19"/>
    </row>
    <row r="20" spans="1:13" ht="15" customHeight="1" x14ac:dyDescent="0.2">
      <c r="A20" s="36" t="s">
        <v>150</v>
      </c>
      <c r="B20" s="48"/>
      <c r="C20" s="47"/>
      <c r="D20" s="47"/>
      <c r="E20" s="47"/>
      <c r="F20" s="47"/>
      <c r="G20" s="47"/>
      <c r="H20" s="47"/>
      <c r="I20" s="46"/>
      <c r="J20" s="46"/>
      <c r="K20"/>
    </row>
    <row r="21" spans="1:13" ht="15" customHeight="1" x14ac:dyDescent="0.2">
      <c r="A21" s="244" t="s">
        <v>164</v>
      </c>
      <c r="B21" s="238"/>
      <c r="C21" s="238"/>
      <c r="D21" s="238"/>
      <c r="E21" s="238"/>
      <c r="F21" s="238"/>
      <c r="G21" s="238"/>
      <c r="H21" s="238"/>
      <c r="I21" s="81" t="s">
        <v>24</v>
      </c>
      <c r="J21" s="54"/>
      <c r="K21"/>
    </row>
    <row r="22" spans="1:13" ht="12.75" customHeight="1" x14ac:dyDescent="0.2">
      <c r="A22" s="237"/>
      <c r="B22" s="221"/>
      <c r="C22" s="221"/>
      <c r="D22" s="221"/>
      <c r="E22" s="221"/>
      <c r="F22" s="221"/>
      <c r="G22" s="221"/>
      <c r="H22" s="221"/>
      <c r="I22" s="81"/>
      <c r="J22" s="54"/>
      <c r="K22"/>
    </row>
    <row r="23" spans="1:13" x14ac:dyDescent="0.2">
      <c r="A23" s="32"/>
      <c r="B23" s="48"/>
      <c r="C23" s="48"/>
      <c r="D23" s="48"/>
      <c r="E23" s="52"/>
      <c r="F23" s="53"/>
      <c r="G23" s="53"/>
      <c r="H23" s="53"/>
      <c r="I23" s="54"/>
      <c r="J23" s="54"/>
      <c r="K23"/>
    </row>
    <row r="24" spans="1:13" ht="15.75" x14ac:dyDescent="0.25">
      <c r="A24" s="440" t="s">
        <v>55</v>
      </c>
      <c r="B24" s="441"/>
      <c r="C24" s="267" t="s">
        <v>24</v>
      </c>
      <c r="D24" s="267"/>
      <c r="E24" s="267" t="s">
        <v>24</v>
      </c>
      <c r="F24" s="267"/>
      <c r="G24" s="54"/>
      <c r="H24"/>
    </row>
    <row r="25" spans="1:13" ht="60" customHeight="1" x14ac:dyDescent="0.2">
      <c r="A25" s="202" t="s">
        <v>3</v>
      </c>
      <c r="B25" s="181" t="s">
        <v>166</v>
      </c>
      <c r="C25" s="181" t="s">
        <v>189</v>
      </c>
      <c r="D25" s="181" t="s">
        <v>190</v>
      </c>
      <c r="E25" s="181" t="s">
        <v>191</v>
      </c>
      <c r="F25" s="181" t="s">
        <v>172</v>
      </c>
      <c r="G25" s="181" t="s">
        <v>171</v>
      </c>
      <c r="H25" s="263"/>
      <c r="I25" s="57" t="s">
        <v>24</v>
      </c>
    </row>
    <row r="26" spans="1:13" x14ac:dyDescent="0.2">
      <c r="A26" s="44" t="s">
        <v>222</v>
      </c>
      <c r="B26" s="124">
        <v>164711.29999999999</v>
      </c>
      <c r="C26" s="230">
        <v>397.9</v>
      </c>
      <c r="D26" s="230">
        <v>397.9</v>
      </c>
      <c r="E26" s="230">
        <f>MIN(C26:D26)</f>
        <v>397.9</v>
      </c>
      <c r="F26" s="64">
        <f>B26+E26</f>
        <v>165109.19999999998</v>
      </c>
      <c r="G26" s="182">
        <v>0</v>
      </c>
      <c r="H26" s="46"/>
      <c r="I26" s="268"/>
      <c r="J26" s="268"/>
      <c r="K26" s="14"/>
    </row>
    <row r="27" spans="1:13" x14ac:dyDescent="0.2">
      <c r="A27" s="44" t="s">
        <v>29</v>
      </c>
      <c r="B27" s="124">
        <v>65727.3</v>
      </c>
      <c r="C27" s="230">
        <v>223.1</v>
      </c>
      <c r="D27" s="230">
        <v>90.6</v>
      </c>
      <c r="E27" s="230">
        <f t="shared" ref="E27:E40" si="1">MIN(C27:D27)</f>
        <v>90.6</v>
      </c>
      <c r="F27" s="64">
        <f t="shared" ref="F27:F40" si="2">B27+E27</f>
        <v>65817.900000000009</v>
      </c>
      <c r="G27" s="182">
        <v>0</v>
      </c>
      <c r="H27" s="61"/>
      <c r="I27" s="268"/>
      <c r="J27" s="268"/>
      <c r="K27" s="14"/>
    </row>
    <row r="28" spans="1:13" x14ac:dyDescent="0.2">
      <c r="A28" s="44" t="s">
        <v>35</v>
      </c>
      <c r="B28" s="124">
        <v>29608.2</v>
      </c>
      <c r="C28" s="230">
        <v>67.599999999999994</v>
      </c>
      <c r="D28" s="230">
        <v>0</v>
      </c>
      <c r="E28" s="230">
        <f t="shared" si="1"/>
        <v>0</v>
      </c>
      <c r="F28" s="64">
        <f t="shared" si="2"/>
        <v>29608.2</v>
      </c>
      <c r="G28" s="182">
        <v>0</v>
      </c>
      <c r="H28" s="46"/>
      <c r="I28" s="268"/>
      <c r="J28" s="268"/>
      <c r="K28" s="14"/>
    </row>
    <row r="29" spans="1:13" x14ac:dyDescent="0.2">
      <c r="A29" s="44" t="s">
        <v>5</v>
      </c>
      <c r="B29" s="124">
        <v>10354.4</v>
      </c>
      <c r="C29" s="230">
        <v>152.19999999999999</v>
      </c>
      <c r="D29" s="230">
        <v>0</v>
      </c>
      <c r="E29" s="230">
        <f t="shared" si="1"/>
        <v>0</v>
      </c>
      <c r="F29" s="64">
        <f t="shared" si="2"/>
        <v>10354.4</v>
      </c>
      <c r="G29" s="182">
        <v>0</v>
      </c>
      <c r="H29" s="61"/>
      <c r="I29" s="268"/>
      <c r="J29" s="268"/>
      <c r="K29" s="14"/>
    </row>
    <row r="30" spans="1:13" x14ac:dyDescent="0.2">
      <c r="A30" s="44" t="s">
        <v>8</v>
      </c>
      <c r="B30" s="124">
        <v>5097.2</v>
      </c>
      <c r="C30" s="230">
        <v>4.7</v>
      </c>
      <c r="D30" s="230">
        <v>0</v>
      </c>
      <c r="E30" s="230">
        <f t="shared" si="1"/>
        <v>0</v>
      </c>
      <c r="F30" s="64">
        <f t="shared" si="2"/>
        <v>5097.2</v>
      </c>
      <c r="G30" s="182">
        <v>0</v>
      </c>
      <c r="H30" s="46"/>
      <c r="I30" s="268"/>
      <c r="J30" s="268"/>
      <c r="K30" s="14"/>
    </row>
    <row r="31" spans="1:13" x14ac:dyDescent="0.2">
      <c r="A31" s="44" t="s">
        <v>36</v>
      </c>
      <c r="B31" s="124">
        <v>2975.4</v>
      </c>
      <c r="C31" s="230">
        <v>0</v>
      </c>
      <c r="D31" s="230">
        <v>0</v>
      </c>
      <c r="E31" s="230">
        <f t="shared" si="1"/>
        <v>0</v>
      </c>
      <c r="F31" s="64">
        <f t="shared" si="2"/>
        <v>2975.4</v>
      </c>
      <c r="G31" s="182">
        <v>0</v>
      </c>
      <c r="H31" s="46"/>
      <c r="I31" s="268"/>
      <c r="J31" s="268"/>
      <c r="K31" s="14"/>
    </row>
    <row r="32" spans="1:13" x14ac:dyDescent="0.2">
      <c r="A32" s="44" t="s">
        <v>37</v>
      </c>
      <c r="B32" s="124">
        <v>1647.2</v>
      </c>
      <c r="C32" s="230">
        <v>0</v>
      </c>
      <c r="D32" s="230">
        <v>0</v>
      </c>
      <c r="E32" s="230">
        <f t="shared" si="1"/>
        <v>0</v>
      </c>
      <c r="F32" s="64">
        <f t="shared" si="2"/>
        <v>1647.2</v>
      </c>
      <c r="G32" s="182">
        <v>0</v>
      </c>
      <c r="H32" s="32"/>
      <c r="I32" s="268"/>
      <c r="J32" s="268"/>
      <c r="K32" s="14"/>
      <c r="L32" s="119" t="s">
        <v>24</v>
      </c>
      <c r="M32" s="119" t="s">
        <v>24</v>
      </c>
    </row>
    <row r="33" spans="1:13" x14ac:dyDescent="0.2">
      <c r="A33" s="30" t="s">
        <v>15</v>
      </c>
      <c r="B33" s="124">
        <v>5918.6</v>
      </c>
      <c r="C33" s="230">
        <v>68.5</v>
      </c>
      <c r="D33" s="230">
        <v>0</v>
      </c>
      <c r="E33" s="230">
        <f t="shared" si="1"/>
        <v>0</v>
      </c>
      <c r="F33" s="64">
        <f t="shared" si="2"/>
        <v>5918.6</v>
      </c>
      <c r="G33" s="182">
        <v>0</v>
      </c>
      <c r="H33" s="61"/>
      <c r="I33" s="268"/>
      <c r="J33" s="268"/>
      <c r="K33" s="14"/>
      <c r="M33" s="4" t="s">
        <v>24</v>
      </c>
    </row>
    <row r="34" spans="1:13" x14ac:dyDescent="0.2">
      <c r="A34" s="30" t="s">
        <v>45</v>
      </c>
      <c r="B34" s="124">
        <v>9925.1</v>
      </c>
      <c r="C34" s="230">
        <v>1.6</v>
      </c>
      <c r="D34" s="230">
        <v>0</v>
      </c>
      <c r="E34" s="230">
        <f t="shared" si="1"/>
        <v>0</v>
      </c>
      <c r="F34" s="64">
        <f t="shared" si="2"/>
        <v>9925.1</v>
      </c>
      <c r="G34" s="182">
        <v>0</v>
      </c>
      <c r="H34" s="46"/>
      <c r="I34" s="268"/>
      <c r="J34" s="268"/>
      <c r="K34" s="14"/>
    </row>
    <row r="35" spans="1:13" x14ac:dyDescent="0.2">
      <c r="A35" s="30" t="s">
        <v>118</v>
      </c>
      <c r="B35" s="124">
        <v>1857.9</v>
      </c>
      <c r="C35" s="230">
        <v>0</v>
      </c>
      <c r="D35" s="230">
        <v>0</v>
      </c>
      <c r="E35" s="230">
        <f t="shared" si="1"/>
        <v>0</v>
      </c>
      <c r="F35" s="64">
        <f t="shared" si="2"/>
        <v>1857.9</v>
      </c>
      <c r="G35" s="182">
        <v>0</v>
      </c>
      <c r="H35" s="46"/>
      <c r="I35" s="268"/>
      <c r="J35" s="268"/>
      <c r="K35" s="14"/>
    </row>
    <row r="36" spans="1:13" x14ac:dyDescent="0.2">
      <c r="A36" s="30" t="s">
        <v>20</v>
      </c>
      <c r="B36" s="124">
        <v>23811.4</v>
      </c>
      <c r="C36" s="230">
        <v>148.9</v>
      </c>
      <c r="D36" s="230">
        <v>148.9</v>
      </c>
      <c r="E36" s="230">
        <f t="shared" si="1"/>
        <v>148.9</v>
      </c>
      <c r="F36" s="64">
        <f t="shared" si="2"/>
        <v>23960.300000000003</v>
      </c>
      <c r="G36" s="182">
        <v>0</v>
      </c>
      <c r="H36" s="46"/>
      <c r="I36" s="268"/>
      <c r="J36" s="268"/>
      <c r="K36" s="14"/>
    </row>
    <row r="37" spans="1:13" x14ac:dyDescent="0.2">
      <c r="A37" s="30" t="s">
        <v>11</v>
      </c>
      <c r="B37" s="124">
        <v>2296.9</v>
      </c>
      <c r="C37" s="230">
        <v>83.7</v>
      </c>
      <c r="D37" s="230">
        <v>0</v>
      </c>
      <c r="E37" s="230">
        <f t="shared" si="1"/>
        <v>0</v>
      </c>
      <c r="F37" s="64">
        <f t="shared" si="2"/>
        <v>2296.9</v>
      </c>
      <c r="G37" s="182">
        <v>0</v>
      </c>
      <c r="H37" s="46"/>
      <c r="I37" s="268"/>
      <c r="J37" s="268"/>
      <c r="K37" s="14"/>
    </row>
    <row r="38" spans="1:13" x14ac:dyDescent="0.2">
      <c r="A38" s="30" t="s">
        <v>10</v>
      </c>
      <c r="B38" s="124">
        <v>10343.799999999999</v>
      </c>
      <c r="C38" s="230">
        <v>1.2</v>
      </c>
      <c r="D38" s="230">
        <v>25.1</v>
      </c>
      <c r="E38" s="230">
        <f t="shared" si="1"/>
        <v>1.2</v>
      </c>
      <c r="F38" s="64">
        <f t="shared" si="2"/>
        <v>10345</v>
      </c>
      <c r="G38" s="182">
        <v>0</v>
      </c>
      <c r="H38" s="46"/>
      <c r="I38" s="268"/>
      <c r="J38" s="268"/>
      <c r="K38" s="14"/>
    </row>
    <row r="39" spans="1:13" x14ac:dyDescent="0.2">
      <c r="A39" s="30" t="s">
        <v>21</v>
      </c>
      <c r="B39" s="124">
        <v>1527.1</v>
      </c>
      <c r="C39" s="230">
        <v>0.9</v>
      </c>
      <c r="D39" s="230">
        <v>0</v>
      </c>
      <c r="E39" s="230">
        <f t="shared" si="1"/>
        <v>0</v>
      </c>
      <c r="F39" s="64">
        <f t="shared" si="2"/>
        <v>1527.1</v>
      </c>
      <c r="G39" s="241">
        <v>0</v>
      </c>
      <c r="H39" s="46"/>
      <c r="I39" s="268"/>
      <c r="J39" s="268"/>
      <c r="K39" s="14"/>
    </row>
    <row r="40" spans="1:13" x14ac:dyDescent="0.2">
      <c r="A40" s="30" t="s">
        <v>52</v>
      </c>
      <c r="B40" s="124">
        <v>2430.3000000000002</v>
      </c>
      <c r="C40" s="230">
        <v>14.8</v>
      </c>
      <c r="D40" s="230">
        <v>0</v>
      </c>
      <c r="E40" s="230">
        <f t="shared" si="1"/>
        <v>0</v>
      </c>
      <c r="F40" s="64">
        <f t="shared" si="2"/>
        <v>2430.3000000000002</v>
      </c>
      <c r="G40" s="241">
        <v>0</v>
      </c>
      <c r="H40" s="46"/>
      <c r="I40" s="268"/>
      <c r="J40" s="268"/>
      <c r="K40" s="14"/>
    </row>
    <row r="41" spans="1:13" x14ac:dyDescent="0.2">
      <c r="A41" s="240" t="s">
        <v>223</v>
      </c>
      <c r="B41" s="240"/>
      <c r="C41" s="240"/>
      <c r="D41" s="240"/>
      <c r="E41" s="240"/>
      <c r="F41" s="240"/>
      <c r="G41" s="240"/>
      <c r="H41" s="135"/>
      <c r="I41" s="135"/>
      <c r="J41" s="95"/>
      <c r="K41" s="269"/>
    </row>
    <row r="42" spans="1:13" x14ac:dyDescent="0.2">
      <c r="A42" s="32"/>
      <c r="B42" s="48"/>
      <c r="C42" s="48"/>
      <c r="D42" s="48"/>
      <c r="E42" s="48"/>
      <c r="F42" s="53"/>
      <c r="G42" s="79"/>
      <c r="H42" s="80"/>
      <c r="I42" s="80"/>
      <c r="J42" s="436"/>
      <c r="K42" s="436"/>
      <c r="L42" s="7"/>
    </row>
    <row r="43" spans="1:13" ht="15.75" x14ac:dyDescent="0.25">
      <c r="A43" s="442" t="s">
        <v>53</v>
      </c>
      <c r="B43" s="443"/>
      <c r="C43" s="267" t="s">
        <v>24</v>
      </c>
      <c r="D43" s="267"/>
      <c r="E43" s="267"/>
      <c r="F43" s="246"/>
      <c r="G43" s="270" t="s">
        <v>24</v>
      </c>
      <c r="H43" s="80"/>
      <c r="I43" s="80"/>
      <c r="J43" s="273"/>
      <c r="K43" s="273"/>
      <c r="L43" s="7"/>
    </row>
    <row r="44" spans="1:13" ht="60" customHeight="1" x14ac:dyDescent="0.2">
      <c r="A44" s="202" t="s">
        <v>3</v>
      </c>
      <c r="B44" s="288" t="s">
        <v>166</v>
      </c>
      <c r="C44" s="291" t="s">
        <v>191</v>
      </c>
      <c r="D44" s="181" t="s">
        <v>172</v>
      </c>
      <c r="E44" s="202" t="s">
        <v>192</v>
      </c>
      <c r="F44" s="263"/>
      <c r="G44" s="263"/>
      <c r="H44" s="263"/>
      <c r="I44" s="263"/>
      <c r="J44" s="263"/>
    </row>
    <row r="45" spans="1:13" x14ac:dyDescent="0.2">
      <c r="A45" s="44" t="s">
        <v>46</v>
      </c>
      <c r="B45" s="289">
        <f>B26-B27-B34-B36-B39-B40</f>
        <v>61290.099999999977</v>
      </c>
      <c r="C45" s="292">
        <f>E26-E27-E34-E36-E39-E40</f>
        <v>158.39999999999995</v>
      </c>
      <c r="D45" s="64">
        <f t="shared" ref="D45:D59" si="3">B45+C45</f>
        <v>61448.499999999978</v>
      </c>
      <c r="E45" s="271">
        <f t="shared" ref="E45:E59" si="4">D45*D5</f>
        <v>4702653.7049999982</v>
      </c>
      <c r="F45" s="70"/>
      <c r="G45" s="274"/>
      <c r="H45" s="274"/>
      <c r="I45" s="274"/>
      <c r="J45" s="50"/>
      <c r="K45" s="260" t="s">
        <v>24</v>
      </c>
    </row>
    <row r="46" spans="1:13" x14ac:dyDescent="0.2">
      <c r="A46" s="44" t="s">
        <v>49</v>
      </c>
      <c r="B46" s="289">
        <f>B27-B28-B29-B38</f>
        <v>15420.900000000005</v>
      </c>
      <c r="C46" s="292">
        <f>E27-E28-E29-E38</f>
        <v>89.399999999999991</v>
      </c>
      <c r="D46" s="64">
        <f t="shared" si="3"/>
        <v>15510.300000000005</v>
      </c>
      <c r="E46" s="271">
        <f t="shared" si="4"/>
        <v>1334506.2120000005</v>
      </c>
      <c r="F46" s="70"/>
      <c r="G46" s="274"/>
      <c r="H46" s="274"/>
      <c r="I46" s="274"/>
      <c r="J46" s="50"/>
      <c r="K46" s="260" t="s">
        <v>24</v>
      </c>
    </row>
    <row r="47" spans="1:13" x14ac:dyDescent="0.2">
      <c r="A47" s="44" t="s">
        <v>48</v>
      </c>
      <c r="B47" s="289">
        <f>B28-B30-B32</f>
        <v>22863.8</v>
      </c>
      <c r="C47" s="292">
        <f>E28-E30-E32</f>
        <v>0</v>
      </c>
      <c r="D47" s="64">
        <f t="shared" si="3"/>
        <v>22863.8</v>
      </c>
      <c r="E47" s="271">
        <f t="shared" si="4"/>
        <v>4295422.1059999997</v>
      </c>
      <c r="F47" s="70"/>
      <c r="G47" s="274"/>
      <c r="H47" s="274"/>
      <c r="I47" s="274"/>
      <c r="J47" s="50"/>
      <c r="K47" s="260" t="s">
        <v>24</v>
      </c>
    </row>
    <row r="48" spans="1:13" x14ac:dyDescent="0.2">
      <c r="A48" s="44" t="s">
        <v>47</v>
      </c>
      <c r="B48" s="289">
        <f>B29-B33-B37</f>
        <v>2138.8999999999992</v>
      </c>
      <c r="C48" s="292">
        <f>E29-E33-E37</f>
        <v>0</v>
      </c>
      <c r="D48" s="64">
        <f t="shared" si="3"/>
        <v>2138.8999999999992</v>
      </c>
      <c r="E48" s="271">
        <f t="shared" si="4"/>
        <v>184030.95599999995</v>
      </c>
      <c r="F48" s="70"/>
      <c r="G48" s="274"/>
      <c r="H48" s="274"/>
      <c r="I48" s="274"/>
      <c r="J48" s="50"/>
      <c r="K48" s="260" t="s">
        <v>24</v>
      </c>
    </row>
    <row r="49" spans="1:13" x14ac:dyDescent="0.2">
      <c r="A49" s="44" t="s">
        <v>39</v>
      </c>
      <c r="B49" s="289">
        <f>B30-B31</f>
        <v>2121.7999999999997</v>
      </c>
      <c r="C49" s="292">
        <f>E30-E31</f>
        <v>0</v>
      </c>
      <c r="D49" s="64">
        <f t="shared" si="3"/>
        <v>2121.7999999999997</v>
      </c>
      <c r="E49" s="271">
        <f t="shared" si="4"/>
        <v>398622.56599999993</v>
      </c>
      <c r="F49" s="70"/>
      <c r="G49" s="274"/>
      <c r="H49" s="274"/>
      <c r="I49" s="274"/>
      <c r="J49" s="50"/>
      <c r="K49" s="260" t="s">
        <v>24</v>
      </c>
    </row>
    <row r="50" spans="1:13" x14ac:dyDescent="0.2">
      <c r="A50" s="44" t="s">
        <v>36</v>
      </c>
      <c r="B50" s="289">
        <f t="shared" ref="B50:B52" si="5">B31</f>
        <v>2975.4</v>
      </c>
      <c r="C50" s="292">
        <f>E31</f>
        <v>0</v>
      </c>
      <c r="D50" s="64">
        <f t="shared" si="3"/>
        <v>2975.4</v>
      </c>
      <c r="E50" s="271">
        <f t="shared" si="4"/>
        <v>558988.39800000004</v>
      </c>
      <c r="F50" s="70"/>
      <c r="G50" s="274"/>
      <c r="H50" s="274"/>
      <c r="I50" s="274"/>
      <c r="J50" s="50"/>
      <c r="K50" s="260" t="s">
        <v>24</v>
      </c>
    </row>
    <row r="51" spans="1:13" x14ac:dyDescent="0.2">
      <c r="A51" s="44" t="s">
        <v>37</v>
      </c>
      <c r="B51" s="289">
        <f t="shared" si="5"/>
        <v>1647.2</v>
      </c>
      <c r="C51" s="292">
        <f>E32</f>
        <v>0</v>
      </c>
      <c r="D51" s="64">
        <f t="shared" si="3"/>
        <v>1647.2</v>
      </c>
      <c r="E51" s="271">
        <f t="shared" si="4"/>
        <v>309459.46400000004</v>
      </c>
      <c r="F51" s="70"/>
      <c r="G51" s="274"/>
      <c r="H51" s="274"/>
      <c r="I51" s="274"/>
      <c r="J51" s="50"/>
      <c r="K51" s="260" t="s">
        <v>24</v>
      </c>
    </row>
    <row r="52" spans="1:13" x14ac:dyDescent="0.2">
      <c r="A52" s="44" t="s">
        <v>15</v>
      </c>
      <c r="B52" s="289">
        <f t="shared" si="5"/>
        <v>5918.6</v>
      </c>
      <c r="C52" s="292">
        <f>E33</f>
        <v>0</v>
      </c>
      <c r="D52" s="64">
        <f t="shared" si="3"/>
        <v>5918.6</v>
      </c>
      <c r="E52" s="271">
        <f t="shared" si="4"/>
        <v>509236.34400000004</v>
      </c>
      <c r="F52" s="70"/>
      <c r="G52" s="274"/>
      <c r="H52" s="274"/>
      <c r="I52" s="274"/>
      <c r="J52" s="50"/>
      <c r="K52" s="260" t="s">
        <v>24</v>
      </c>
    </row>
    <row r="53" spans="1:13" x14ac:dyDescent="0.2">
      <c r="A53" s="44" t="s">
        <v>119</v>
      </c>
      <c r="B53" s="289">
        <f>B34-B35</f>
        <v>8067.2000000000007</v>
      </c>
      <c r="C53" s="292">
        <f>E34-E35</f>
        <v>0</v>
      </c>
      <c r="D53" s="64">
        <f t="shared" si="3"/>
        <v>8067.2000000000007</v>
      </c>
      <c r="E53" s="271">
        <f t="shared" si="4"/>
        <v>617382.81600000011</v>
      </c>
      <c r="F53" s="70"/>
      <c r="G53" s="274"/>
      <c r="H53" s="274"/>
      <c r="I53" s="274"/>
      <c r="J53" s="50"/>
      <c r="K53" s="260" t="s">
        <v>24</v>
      </c>
    </row>
    <row r="54" spans="1:13" x14ac:dyDescent="0.2">
      <c r="A54" s="30" t="s">
        <v>118</v>
      </c>
      <c r="B54" s="289">
        <f t="shared" ref="B54:B59" si="6">B35</f>
        <v>1857.9</v>
      </c>
      <c r="C54" s="292">
        <f t="shared" ref="C54:C59" si="7">E35</f>
        <v>0</v>
      </c>
      <c r="D54" s="64">
        <f t="shared" si="3"/>
        <v>1857.9</v>
      </c>
      <c r="E54" s="271">
        <f t="shared" si="4"/>
        <v>142185.087</v>
      </c>
      <c r="F54" s="70"/>
      <c r="G54" s="274" t="s">
        <v>24</v>
      </c>
      <c r="H54" s="274"/>
      <c r="I54" s="274"/>
      <c r="J54" s="50"/>
      <c r="K54" s="260" t="s">
        <v>24</v>
      </c>
    </row>
    <row r="55" spans="1:13" x14ac:dyDescent="0.2">
      <c r="A55" s="30" t="s">
        <v>20</v>
      </c>
      <c r="B55" s="289">
        <f t="shared" si="6"/>
        <v>23811.4</v>
      </c>
      <c r="C55" s="292">
        <f t="shared" si="7"/>
        <v>148.9</v>
      </c>
      <c r="D55" s="64">
        <f t="shared" si="3"/>
        <v>23960.300000000003</v>
      </c>
      <c r="E55" s="271">
        <f t="shared" si="4"/>
        <v>4507411.6360000009</v>
      </c>
      <c r="F55" s="70"/>
      <c r="G55" s="274"/>
      <c r="H55" s="274"/>
      <c r="I55" s="274"/>
      <c r="J55" s="50"/>
      <c r="K55" s="260" t="s">
        <v>24</v>
      </c>
    </row>
    <row r="56" spans="1:13" x14ac:dyDescent="0.2">
      <c r="A56" s="30" t="s">
        <v>11</v>
      </c>
      <c r="B56" s="289">
        <f t="shared" si="6"/>
        <v>2296.9</v>
      </c>
      <c r="C56" s="292">
        <f t="shared" si="7"/>
        <v>0</v>
      </c>
      <c r="D56" s="64">
        <f t="shared" si="3"/>
        <v>2296.9</v>
      </c>
      <c r="E56" s="271">
        <f t="shared" si="4"/>
        <v>197625.27600000001</v>
      </c>
      <c r="F56" s="70"/>
      <c r="G56" s="274"/>
      <c r="H56" s="274"/>
      <c r="I56" s="274"/>
      <c r="J56" s="50"/>
      <c r="K56" s="260" t="s">
        <v>24</v>
      </c>
    </row>
    <row r="57" spans="1:13" x14ac:dyDescent="0.2">
      <c r="A57" s="30" t="s">
        <v>10</v>
      </c>
      <c r="B57" s="289">
        <f t="shared" si="6"/>
        <v>10343.799999999999</v>
      </c>
      <c r="C57" s="292">
        <f t="shared" si="7"/>
        <v>1.2</v>
      </c>
      <c r="D57" s="64">
        <f t="shared" si="3"/>
        <v>10345</v>
      </c>
      <c r="E57" s="271">
        <f t="shared" si="4"/>
        <v>890083.8</v>
      </c>
      <c r="F57" s="70"/>
      <c r="G57" s="274"/>
      <c r="H57" s="274"/>
      <c r="I57" s="274"/>
      <c r="J57" s="50"/>
      <c r="K57" s="260" t="s">
        <v>24</v>
      </c>
    </row>
    <row r="58" spans="1:13" x14ac:dyDescent="0.2">
      <c r="A58" s="30" t="s">
        <v>21</v>
      </c>
      <c r="B58" s="289">
        <f t="shared" si="6"/>
        <v>1527.1</v>
      </c>
      <c r="C58" s="292">
        <f t="shared" si="7"/>
        <v>0</v>
      </c>
      <c r="D58" s="64">
        <f t="shared" si="3"/>
        <v>1527.1</v>
      </c>
      <c r="E58" s="271">
        <f t="shared" si="4"/>
        <v>116868.96299999999</v>
      </c>
      <c r="F58" s="70"/>
      <c r="G58" s="274"/>
      <c r="H58" s="274"/>
      <c r="I58" s="274"/>
      <c r="J58" s="50"/>
      <c r="K58" s="260" t="s">
        <v>24</v>
      </c>
    </row>
    <row r="59" spans="1:13" x14ac:dyDescent="0.2">
      <c r="A59" s="30" t="s">
        <v>52</v>
      </c>
      <c r="B59" s="289">
        <f t="shared" si="6"/>
        <v>2430.3000000000002</v>
      </c>
      <c r="C59" s="292">
        <f t="shared" si="7"/>
        <v>0</v>
      </c>
      <c r="D59" s="64">
        <f t="shared" si="3"/>
        <v>2430.3000000000002</v>
      </c>
      <c r="E59" s="271">
        <f t="shared" si="4"/>
        <v>315939</v>
      </c>
      <c r="F59" s="70"/>
      <c r="G59" s="274"/>
      <c r="H59" s="274"/>
      <c r="I59" s="274"/>
      <c r="J59" s="50"/>
      <c r="K59" s="260" t="s">
        <v>24</v>
      </c>
    </row>
    <row r="60" spans="1:13" x14ac:dyDescent="0.2">
      <c r="A60" s="245" t="s">
        <v>50</v>
      </c>
      <c r="B60" s="290">
        <f t="shared" ref="B60:C60" si="8">SUM(B45:B59)</f>
        <v>164711.29999999996</v>
      </c>
      <c r="C60" s="293">
        <f t="shared" si="8"/>
        <v>397.89999999999992</v>
      </c>
      <c r="D60" s="69">
        <f>SUM(D45:D59)</f>
        <v>165109.19999999995</v>
      </c>
      <c r="E60" s="272">
        <f>SUM(E45:E59)</f>
        <v>19080416.329</v>
      </c>
      <c r="F60" s="248"/>
      <c r="G60" s="80"/>
      <c r="H60" s="80"/>
      <c r="I60" s="80"/>
      <c r="J60" s="275"/>
      <c r="K60" s="260" t="s">
        <v>24</v>
      </c>
      <c r="L60" s="260" t="s">
        <v>24</v>
      </c>
    </row>
    <row r="61" spans="1:13" x14ac:dyDescent="0.2">
      <c r="A61" s="247"/>
      <c r="B61" s="248"/>
      <c r="C61" s="248"/>
      <c r="D61" s="248"/>
      <c r="E61" s="248"/>
      <c r="F61" s="248"/>
      <c r="G61" s="248"/>
      <c r="H61" s="80"/>
      <c r="I61" s="80"/>
      <c r="J61" s="80"/>
      <c r="K61" s="54"/>
      <c r="L61" s="54"/>
      <c r="M61" s="54"/>
    </row>
    <row r="62" spans="1:13" x14ac:dyDescent="0.2">
      <c r="A62" s="46"/>
      <c r="B62" s="70"/>
      <c r="C62" s="70"/>
      <c r="D62" s="437"/>
      <c r="E62" s="437"/>
      <c r="F62" s="51" t="s">
        <v>24</v>
      </c>
      <c r="G62" s="50"/>
      <c r="H62" s="70"/>
    </row>
    <row r="63" spans="1:13" ht="15.75" x14ac:dyDescent="0.25">
      <c r="A63" s="444" t="s">
        <v>131</v>
      </c>
      <c r="B63" s="445"/>
      <c r="C63" s="48"/>
      <c r="D63" s="235"/>
      <c r="E63" s="235"/>
      <c r="F63" s="50"/>
    </row>
    <row r="64" spans="1:13" ht="60" customHeight="1" x14ac:dyDescent="0.2">
      <c r="A64" s="202" t="s">
        <v>3</v>
      </c>
      <c r="B64" s="181" t="s">
        <v>167</v>
      </c>
      <c r="C64" s="203" t="s">
        <v>168</v>
      </c>
      <c r="D64" s="203" t="s">
        <v>169</v>
      </c>
      <c r="E64" s="203" t="s">
        <v>170</v>
      </c>
      <c r="F64" s="204" t="s">
        <v>135</v>
      </c>
      <c r="G64" s="202" t="s">
        <v>173</v>
      </c>
      <c r="H64" s="286" t="s">
        <v>24</v>
      </c>
      <c r="I64" s="7"/>
    </row>
    <row r="65" spans="1:8" x14ac:dyDescent="0.2">
      <c r="A65" s="200" t="s">
        <v>46</v>
      </c>
      <c r="B65" s="63">
        <f>G26-G27-G34-G36</f>
        <v>0</v>
      </c>
      <c r="C65" s="45">
        <f>B65*D5</f>
        <v>0</v>
      </c>
      <c r="D65" s="45">
        <v>0</v>
      </c>
      <c r="E65" s="45">
        <v>755.81</v>
      </c>
      <c r="F65" s="45">
        <v>0</v>
      </c>
      <c r="G65" s="65">
        <f>C65+D65*184/365+E65*181/365+F65</f>
        <v>374.79893150684927</v>
      </c>
      <c r="H65" s="18" t="s">
        <v>24</v>
      </c>
    </row>
    <row r="66" spans="1:8" x14ac:dyDescent="0.2">
      <c r="A66" s="200" t="s">
        <v>49</v>
      </c>
      <c r="B66" s="63">
        <f>G27-G28-G29-G38</f>
        <v>0</v>
      </c>
      <c r="C66" s="45">
        <f t="shared" ref="C66:C77" si="9">B66*D6</f>
        <v>0</v>
      </c>
      <c r="D66" s="45">
        <v>0</v>
      </c>
      <c r="E66" s="45">
        <v>736.63</v>
      </c>
      <c r="F66" s="45">
        <v>0</v>
      </c>
      <c r="G66" s="65">
        <f t="shared" ref="G66:G79" si="10">C66+D66*184/365+E66*181/365+F66</f>
        <v>365.28775342465752</v>
      </c>
    </row>
    <row r="67" spans="1:8" x14ac:dyDescent="0.2">
      <c r="A67" s="200" t="s">
        <v>48</v>
      </c>
      <c r="B67" s="63">
        <f>G28-G30-G32</f>
        <v>0</v>
      </c>
      <c r="C67" s="45">
        <f t="shared" si="9"/>
        <v>0</v>
      </c>
      <c r="D67" s="45">
        <v>0</v>
      </c>
      <c r="E67" s="45">
        <v>0</v>
      </c>
      <c r="F67" s="45">
        <v>0</v>
      </c>
      <c r="G67" s="65">
        <f t="shared" si="10"/>
        <v>0</v>
      </c>
    </row>
    <row r="68" spans="1:8" x14ac:dyDescent="0.2">
      <c r="A68" s="200" t="s">
        <v>47</v>
      </c>
      <c r="B68" s="63">
        <f>G29-G33-G37</f>
        <v>0</v>
      </c>
      <c r="C68" s="45">
        <f t="shared" si="9"/>
        <v>0</v>
      </c>
      <c r="D68" s="45">
        <v>0</v>
      </c>
      <c r="E68" s="45">
        <v>0</v>
      </c>
      <c r="F68" s="45">
        <v>0</v>
      </c>
      <c r="G68" s="65">
        <f t="shared" si="10"/>
        <v>0</v>
      </c>
    </row>
    <row r="69" spans="1:8" x14ac:dyDescent="0.2">
      <c r="A69" s="200" t="s">
        <v>39</v>
      </c>
      <c r="B69" s="63">
        <f>G30-G31</f>
        <v>0</v>
      </c>
      <c r="C69" s="45">
        <f t="shared" si="9"/>
        <v>0</v>
      </c>
      <c r="D69" s="45">
        <v>0</v>
      </c>
      <c r="E69" s="45">
        <v>0</v>
      </c>
      <c r="F69" s="45">
        <v>0</v>
      </c>
      <c r="G69" s="65">
        <f t="shared" si="10"/>
        <v>0</v>
      </c>
    </row>
    <row r="70" spans="1:8" x14ac:dyDescent="0.2">
      <c r="A70" s="200" t="s">
        <v>36</v>
      </c>
      <c r="B70" s="63">
        <f>G31</f>
        <v>0</v>
      </c>
      <c r="C70" s="45">
        <f t="shared" si="9"/>
        <v>0</v>
      </c>
      <c r="D70" s="45">
        <v>0</v>
      </c>
      <c r="E70" s="45">
        <v>0</v>
      </c>
      <c r="F70" s="45">
        <v>0</v>
      </c>
      <c r="G70" s="65">
        <f t="shared" si="10"/>
        <v>0</v>
      </c>
    </row>
    <row r="71" spans="1:8" x14ac:dyDescent="0.2">
      <c r="A71" s="200" t="s">
        <v>37</v>
      </c>
      <c r="B71" s="63">
        <f>G32</f>
        <v>0</v>
      </c>
      <c r="C71" s="45">
        <f t="shared" si="9"/>
        <v>0</v>
      </c>
      <c r="D71" s="45">
        <v>0</v>
      </c>
      <c r="E71" s="45">
        <v>0</v>
      </c>
      <c r="F71" s="45">
        <v>0</v>
      </c>
      <c r="G71" s="65">
        <f t="shared" si="10"/>
        <v>0</v>
      </c>
    </row>
    <row r="72" spans="1:8" x14ac:dyDescent="0.2">
      <c r="A72" s="200" t="s">
        <v>15</v>
      </c>
      <c r="B72" s="63">
        <f>G33</f>
        <v>0</v>
      </c>
      <c r="C72" s="45">
        <f t="shared" si="9"/>
        <v>0</v>
      </c>
      <c r="D72" s="45">
        <v>0</v>
      </c>
      <c r="E72" s="45">
        <v>0</v>
      </c>
      <c r="F72" s="45">
        <v>0</v>
      </c>
      <c r="G72" s="65">
        <f t="shared" si="10"/>
        <v>0</v>
      </c>
    </row>
    <row r="73" spans="1:8" x14ac:dyDescent="0.2">
      <c r="A73" s="200" t="s">
        <v>119</v>
      </c>
      <c r="B73" s="63">
        <f>G34-G35</f>
        <v>0</v>
      </c>
      <c r="C73" s="45">
        <f t="shared" si="9"/>
        <v>0</v>
      </c>
      <c r="D73" s="45">
        <v>0</v>
      </c>
      <c r="E73" s="45">
        <v>0</v>
      </c>
      <c r="F73" s="45">
        <v>0</v>
      </c>
      <c r="G73" s="65">
        <f t="shared" si="10"/>
        <v>0</v>
      </c>
    </row>
    <row r="74" spans="1:8" x14ac:dyDescent="0.2">
      <c r="A74" s="200" t="s">
        <v>118</v>
      </c>
      <c r="B74" s="63">
        <f t="shared" ref="B74:B79" si="11">G35</f>
        <v>0</v>
      </c>
      <c r="C74" s="45">
        <f t="shared" si="9"/>
        <v>0</v>
      </c>
      <c r="D74" s="45">
        <v>0</v>
      </c>
      <c r="E74" s="45">
        <v>0</v>
      </c>
      <c r="F74" s="45">
        <v>0</v>
      </c>
      <c r="G74" s="65">
        <f t="shared" si="10"/>
        <v>0</v>
      </c>
    </row>
    <row r="75" spans="1:8" x14ac:dyDescent="0.2">
      <c r="A75" s="30" t="s">
        <v>20</v>
      </c>
      <c r="B75" s="63">
        <f t="shared" si="11"/>
        <v>0</v>
      </c>
      <c r="C75" s="45">
        <f t="shared" si="9"/>
        <v>0</v>
      </c>
      <c r="D75" s="45">
        <v>0</v>
      </c>
      <c r="E75" s="45">
        <v>318.55199999999991</v>
      </c>
      <c r="F75" s="45">
        <v>0</v>
      </c>
      <c r="G75" s="65">
        <f t="shared" si="10"/>
        <v>157.96688219178077</v>
      </c>
    </row>
    <row r="76" spans="1:8" x14ac:dyDescent="0.2">
      <c r="A76" s="30" t="s">
        <v>11</v>
      </c>
      <c r="B76" s="63">
        <f t="shared" si="11"/>
        <v>0</v>
      </c>
      <c r="C76" s="45">
        <f t="shared" si="9"/>
        <v>0</v>
      </c>
      <c r="D76" s="45">
        <v>0</v>
      </c>
      <c r="E76" s="45">
        <v>0</v>
      </c>
      <c r="F76" s="45">
        <v>0</v>
      </c>
      <c r="G76" s="65">
        <f t="shared" si="10"/>
        <v>0</v>
      </c>
    </row>
    <row r="77" spans="1:8" x14ac:dyDescent="0.2">
      <c r="A77" s="30" t="s">
        <v>10</v>
      </c>
      <c r="B77" s="63">
        <f t="shared" si="11"/>
        <v>0</v>
      </c>
      <c r="C77" s="45">
        <f t="shared" si="9"/>
        <v>0</v>
      </c>
      <c r="D77" s="45">
        <v>0</v>
      </c>
      <c r="E77" s="45">
        <v>0</v>
      </c>
      <c r="F77" s="45">
        <v>0</v>
      </c>
      <c r="G77" s="65">
        <f t="shared" si="10"/>
        <v>0</v>
      </c>
    </row>
    <row r="78" spans="1:8" x14ac:dyDescent="0.2">
      <c r="A78" s="30" t="s">
        <v>21</v>
      </c>
      <c r="B78" s="63">
        <f t="shared" si="11"/>
        <v>0</v>
      </c>
      <c r="C78" s="45">
        <v>0</v>
      </c>
      <c r="D78" s="45">
        <v>0</v>
      </c>
      <c r="E78" s="45">
        <v>0</v>
      </c>
      <c r="F78" s="45">
        <v>0</v>
      </c>
      <c r="G78" s="65">
        <f t="shared" si="10"/>
        <v>0</v>
      </c>
    </row>
    <row r="79" spans="1:8" x14ac:dyDescent="0.2">
      <c r="A79" s="30" t="s">
        <v>52</v>
      </c>
      <c r="B79" s="63">
        <f t="shared" si="11"/>
        <v>0</v>
      </c>
      <c r="C79" s="45">
        <v>0</v>
      </c>
      <c r="D79" s="45">
        <v>0</v>
      </c>
      <c r="E79" s="45">
        <v>0</v>
      </c>
      <c r="F79" s="45">
        <v>0</v>
      </c>
      <c r="G79" s="65">
        <f t="shared" si="10"/>
        <v>0</v>
      </c>
    </row>
    <row r="80" spans="1:8" x14ac:dyDescent="0.2">
      <c r="A80" s="245" t="s">
        <v>50</v>
      </c>
      <c r="B80" s="69">
        <f>SUM(B65:B79)</f>
        <v>0</v>
      </c>
      <c r="C80" s="56">
        <f>SUM(C65:C79)</f>
        <v>0</v>
      </c>
      <c r="D80" s="56">
        <f>SUM(D65:D79)</f>
        <v>0</v>
      </c>
      <c r="E80" s="56">
        <f>SUM(E65:E77)</f>
        <v>1810.992</v>
      </c>
      <c r="F80" s="56">
        <f>SUM(F65:F79)</f>
        <v>0</v>
      </c>
      <c r="G80" s="56">
        <f>SUM(G65:G79)</f>
        <v>898.05356712328762</v>
      </c>
      <c r="H80" s="260" t="s">
        <v>24</v>
      </c>
    </row>
    <row r="81" spans="1:10" x14ac:dyDescent="0.2">
      <c r="A81" s="46"/>
      <c r="B81" s="70"/>
      <c r="C81" s="70"/>
      <c r="D81" s="70"/>
      <c r="E81" s="72"/>
      <c r="F81" s="48"/>
      <c r="G81" s="48"/>
      <c r="H81" s="48"/>
      <c r="I81" s="50"/>
      <c r="J81" s="70"/>
    </row>
    <row r="82" spans="1:10" ht="15.75" x14ac:dyDescent="0.25">
      <c r="A82" s="438" t="s">
        <v>132</v>
      </c>
      <c r="B82" s="438"/>
      <c r="C82" s="438"/>
      <c r="D82" s="438"/>
      <c r="E82" s="23"/>
      <c r="F82" s="23"/>
      <c r="G82" s="23"/>
      <c r="H82" s="23"/>
      <c r="I82" s="23"/>
      <c r="J82" s="23"/>
    </row>
    <row r="83" spans="1:10" ht="80.099999999999994" customHeight="1" x14ac:dyDescent="0.2">
      <c r="A83" s="40" t="s">
        <v>62</v>
      </c>
      <c r="B83" s="40" t="s">
        <v>133</v>
      </c>
      <c r="C83" s="40" t="s">
        <v>224</v>
      </c>
      <c r="D83" s="40" t="s">
        <v>63</v>
      </c>
      <c r="E83" s="23"/>
      <c r="F83" s="23"/>
      <c r="G83" s="23"/>
      <c r="H83" s="23"/>
      <c r="I83" s="23"/>
      <c r="J83" s="23"/>
    </row>
    <row r="84" spans="1:10" x14ac:dyDescent="0.2">
      <c r="A84" s="184" t="s">
        <v>29</v>
      </c>
      <c r="B84" s="184">
        <v>0</v>
      </c>
      <c r="C84" s="65">
        <f t="shared" ref="C84:C96" si="12">C6</f>
        <v>9.51</v>
      </c>
      <c r="D84" s="65">
        <f t="shared" ref="D84:D95" si="13">B84*C84</f>
        <v>0</v>
      </c>
      <c r="E84" s="23"/>
      <c r="F84" s="23"/>
      <c r="G84" s="23"/>
      <c r="H84" s="23"/>
      <c r="I84" s="23"/>
      <c r="J84" s="23"/>
    </row>
    <row r="85" spans="1:10" x14ac:dyDescent="0.2">
      <c r="A85" s="184" t="s">
        <v>35</v>
      </c>
      <c r="B85" s="184">
        <v>0</v>
      </c>
      <c r="C85" s="65">
        <f t="shared" si="12"/>
        <v>101.83</v>
      </c>
      <c r="D85" s="65">
        <f t="shared" si="13"/>
        <v>0</v>
      </c>
      <c r="E85" s="23"/>
      <c r="F85" s="23"/>
      <c r="G85" s="23"/>
      <c r="H85" s="23"/>
      <c r="I85" s="23"/>
      <c r="J85" s="23"/>
    </row>
    <row r="86" spans="1:10" x14ac:dyDescent="0.2">
      <c r="A86" s="184" t="s">
        <v>5</v>
      </c>
      <c r="B86" s="184">
        <v>0</v>
      </c>
      <c r="C86" s="65">
        <f t="shared" si="12"/>
        <v>0</v>
      </c>
      <c r="D86" s="65">
        <f t="shared" si="13"/>
        <v>0</v>
      </c>
      <c r="E86" s="23"/>
      <c r="F86" s="23"/>
      <c r="G86" s="23"/>
      <c r="H86" s="23"/>
      <c r="I86" s="23"/>
      <c r="J86" s="23"/>
    </row>
    <row r="87" spans="1:10" x14ac:dyDescent="0.2">
      <c r="A87" s="184" t="s">
        <v>8</v>
      </c>
      <c r="B87" s="184">
        <v>0</v>
      </c>
      <c r="C87" s="65">
        <f t="shared" si="12"/>
        <v>0</v>
      </c>
      <c r="D87" s="65">
        <f t="shared" si="13"/>
        <v>0</v>
      </c>
      <c r="E87" s="23"/>
      <c r="F87" s="23" t="s">
        <v>24</v>
      </c>
      <c r="G87" s="23"/>
      <c r="H87" s="23"/>
      <c r="I87" s="23"/>
      <c r="J87" s="23"/>
    </row>
    <row r="88" spans="1:10" x14ac:dyDescent="0.2">
      <c r="A88" s="184" t="s">
        <v>36</v>
      </c>
      <c r="B88" s="184">
        <v>0</v>
      </c>
      <c r="C88" s="65">
        <f t="shared" si="12"/>
        <v>0</v>
      </c>
      <c r="D88" s="65">
        <f t="shared" si="13"/>
        <v>0</v>
      </c>
      <c r="E88" s="23"/>
      <c r="F88" s="23"/>
      <c r="G88" s="23"/>
      <c r="H88" s="23"/>
      <c r="I88" s="23"/>
      <c r="J88" s="23"/>
    </row>
    <row r="89" spans="1:10" x14ac:dyDescent="0.2">
      <c r="A89" s="184" t="s">
        <v>37</v>
      </c>
      <c r="B89" s="184">
        <v>0</v>
      </c>
      <c r="C89" s="65">
        <f t="shared" si="12"/>
        <v>0</v>
      </c>
      <c r="D89" s="65">
        <f t="shared" si="13"/>
        <v>0</v>
      </c>
      <c r="E89" s="23"/>
      <c r="F89" s="23"/>
      <c r="G89" s="23"/>
      <c r="H89" s="23"/>
      <c r="I89" s="23"/>
      <c r="J89" s="23"/>
    </row>
    <row r="90" spans="1:10" x14ac:dyDescent="0.2">
      <c r="A90" s="30" t="s">
        <v>15</v>
      </c>
      <c r="B90" s="184">
        <v>0</v>
      </c>
      <c r="C90" s="65">
        <f t="shared" si="12"/>
        <v>0</v>
      </c>
      <c r="D90" s="65">
        <f t="shared" si="13"/>
        <v>0</v>
      </c>
      <c r="E90" s="23"/>
      <c r="F90" s="23"/>
      <c r="G90" s="23"/>
      <c r="H90" s="23"/>
      <c r="I90" s="23"/>
      <c r="J90" s="23"/>
    </row>
    <row r="91" spans="1:10" x14ac:dyDescent="0.2">
      <c r="A91" s="30" t="s">
        <v>45</v>
      </c>
      <c r="B91" s="184">
        <v>0</v>
      </c>
      <c r="C91" s="65">
        <f t="shared" si="12"/>
        <v>0</v>
      </c>
      <c r="D91" s="65">
        <f t="shared" si="13"/>
        <v>0</v>
      </c>
      <c r="E91" s="23"/>
      <c r="F91" s="23"/>
      <c r="G91" s="23"/>
      <c r="H91" s="23"/>
      <c r="I91" s="23"/>
      <c r="J91" s="23"/>
    </row>
    <row r="92" spans="1:10" x14ac:dyDescent="0.2">
      <c r="A92" s="30" t="s">
        <v>118</v>
      </c>
      <c r="B92" s="184">
        <v>0</v>
      </c>
      <c r="C92" s="65">
        <f t="shared" si="12"/>
        <v>0</v>
      </c>
      <c r="D92" s="65">
        <f t="shared" si="13"/>
        <v>0</v>
      </c>
      <c r="E92" s="23"/>
      <c r="F92" s="23"/>
      <c r="G92" s="23"/>
      <c r="H92" s="23"/>
      <c r="I92" s="23"/>
      <c r="J92" s="23"/>
    </row>
    <row r="93" spans="1:10" x14ac:dyDescent="0.2">
      <c r="A93" s="30" t="s">
        <v>20</v>
      </c>
      <c r="B93" s="184">
        <v>0</v>
      </c>
      <c r="C93" s="65">
        <f t="shared" si="12"/>
        <v>111.59</v>
      </c>
      <c r="D93" s="65">
        <f t="shared" si="13"/>
        <v>0</v>
      </c>
      <c r="E93" s="23"/>
      <c r="F93" s="23"/>
      <c r="G93" s="23"/>
      <c r="H93" s="23"/>
      <c r="I93" s="23"/>
      <c r="J93" s="23"/>
    </row>
    <row r="94" spans="1:10" x14ac:dyDescent="0.2">
      <c r="A94" s="30" t="s">
        <v>11</v>
      </c>
      <c r="B94" s="184">
        <v>0</v>
      </c>
      <c r="C94" s="65">
        <f t="shared" si="12"/>
        <v>0</v>
      </c>
      <c r="D94" s="65">
        <f t="shared" si="13"/>
        <v>0</v>
      </c>
      <c r="E94" s="23"/>
      <c r="F94" s="23"/>
      <c r="G94" s="23"/>
      <c r="H94" s="23"/>
      <c r="I94" s="23"/>
      <c r="J94" s="23"/>
    </row>
    <row r="95" spans="1:10" x14ac:dyDescent="0.2">
      <c r="A95" s="30" t="s">
        <v>10</v>
      </c>
      <c r="B95" s="184">
        <v>0</v>
      </c>
      <c r="C95" s="65">
        <f t="shared" si="12"/>
        <v>0</v>
      </c>
      <c r="D95" s="65">
        <f t="shared" si="13"/>
        <v>0</v>
      </c>
      <c r="E95" s="23"/>
      <c r="F95" s="23"/>
      <c r="G95" s="23"/>
      <c r="H95" s="23"/>
      <c r="I95" s="23"/>
      <c r="J95" s="23"/>
    </row>
    <row r="96" spans="1:10" x14ac:dyDescent="0.2">
      <c r="A96" s="242" t="s">
        <v>21</v>
      </c>
      <c r="B96" s="200">
        <v>0</v>
      </c>
      <c r="C96" s="65">
        <f t="shared" si="12"/>
        <v>0</v>
      </c>
      <c r="D96" s="65">
        <f t="shared" ref="D96:D97" si="14">B96*C96</f>
        <v>0</v>
      </c>
      <c r="E96" s="23"/>
      <c r="F96" s="23"/>
      <c r="G96" s="23"/>
      <c r="H96" s="23"/>
      <c r="I96" s="23"/>
      <c r="J96" s="23"/>
    </row>
    <row r="97" spans="1:10" x14ac:dyDescent="0.2">
      <c r="A97" s="242" t="s">
        <v>52</v>
      </c>
      <c r="B97" s="200">
        <v>0</v>
      </c>
      <c r="C97" s="65">
        <f>C19</f>
        <v>53.47</v>
      </c>
      <c r="D97" s="65">
        <f t="shared" si="14"/>
        <v>0</v>
      </c>
      <c r="E97" s="23"/>
      <c r="F97" s="23"/>
      <c r="G97" s="23"/>
      <c r="H97" s="23"/>
      <c r="I97" s="23"/>
      <c r="J97" s="23"/>
    </row>
    <row r="98" spans="1:10" x14ac:dyDescent="0.2">
      <c r="A98" s="186" t="s">
        <v>50</v>
      </c>
      <c r="B98" s="184" t="s">
        <v>24</v>
      </c>
      <c r="C98" s="184"/>
      <c r="D98" s="85">
        <f>SUM(D84:D95)</f>
        <v>0</v>
      </c>
      <c r="E98" s="23"/>
      <c r="F98" s="23"/>
      <c r="G98" s="23"/>
      <c r="H98" s="23"/>
      <c r="I98" s="23"/>
      <c r="J98" s="23"/>
    </row>
    <row r="99" spans="1:10" x14ac:dyDescent="0.2">
      <c r="A99" s="32" t="s">
        <v>225</v>
      </c>
      <c r="B99" s="23"/>
      <c r="C99" s="23"/>
      <c r="D99" s="23"/>
      <c r="E99" s="23"/>
      <c r="F99" s="23"/>
      <c r="G99" s="23"/>
      <c r="H99" s="23"/>
      <c r="I99" s="23"/>
      <c r="J99" s="23"/>
    </row>
    <row r="100" spans="1:10" x14ac:dyDescent="0.2">
      <c r="A100" s="23"/>
      <c r="B100" s="23" t="s">
        <v>24</v>
      </c>
      <c r="C100" s="23"/>
      <c r="D100" s="23"/>
      <c r="E100" s="23"/>
      <c r="F100" s="23"/>
      <c r="G100" s="23"/>
      <c r="H100" s="23"/>
      <c r="I100" s="23"/>
      <c r="J100" s="23"/>
    </row>
    <row r="101" spans="1:10" x14ac:dyDescent="0.2">
      <c r="B101" s="4" t="s">
        <v>24</v>
      </c>
    </row>
    <row r="102" spans="1:10" x14ac:dyDescent="0.2">
      <c r="B102" s="4" t="s">
        <v>24</v>
      </c>
    </row>
  </sheetData>
  <mergeCells count="7">
    <mergeCell ref="J42:K42"/>
    <mergeCell ref="D62:E62"/>
    <mergeCell ref="A82:D82"/>
    <mergeCell ref="A3:B3"/>
    <mergeCell ref="A24:B24"/>
    <mergeCell ref="A43:B43"/>
    <mergeCell ref="A63:B63"/>
  </mergeCells>
  <pageMargins left="0.5" right="0.5" top="0.5" bottom="0.5" header="0" footer="0"/>
  <pageSetup paperSize="1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82"/>
  <sheetViews>
    <sheetView zoomScaleNormal="100" workbookViewId="0">
      <pane xSplit="1" topLeftCell="B1" activePane="topRight" state="frozen"/>
      <selection pane="topRight"/>
    </sheetView>
  </sheetViews>
  <sheetFormatPr defaultRowHeight="12.75" x14ac:dyDescent="0.2"/>
  <cols>
    <col min="1" max="1" width="31" style="4" customWidth="1"/>
    <col min="2" max="2" width="12.85546875" style="4" customWidth="1"/>
    <col min="3" max="3" width="14.42578125" style="4" customWidth="1"/>
    <col min="4" max="4" width="15.5703125" style="4" customWidth="1"/>
    <col min="5" max="5" width="17.140625" style="4" customWidth="1"/>
    <col min="6" max="6" width="17.5703125" style="4" customWidth="1"/>
    <col min="7" max="7" width="20" style="4" customWidth="1"/>
    <col min="8" max="8" width="18.42578125" style="4" customWidth="1"/>
    <col min="9" max="9" width="18.140625" style="4" customWidth="1"/>
    <col min="10" max="10" width="18.42578125" style="4" customWidth="1"/>
    <col min="11" max="14" width="16.7109375" style="4" customWidth="1"/>
    <col min="15" max="15" width="15.7109375" style="4" customWidth="1"/>
    <col min="16" max="16" width="12.7109375" style="4" customWidth="1"/>
    <col min="17" max="16384" width="9.140625" style="4"/>
  </cols>
  <sheetData>
    <row r="1" spans="1:16" ht="18.75" x14ac:dyDescent="0.3">
      <c r="A1" s="118" t="s">
        <v>174</v>
      </c>
      <c r="E1" s="16" t="s">
        <v>24</v>
      </c>
      <c r="F1" s="16" t="s">
        <v>24</v>
      </c>
      <c r="G1" s="16" t="s">
        <v>24</v>
      </c>
    </row>
    <row r="2" spans="1:16" x14ac:dyDescent="0.2">
      <c r="A2" s="20"/>
    </row>
    <row r="3" spans="1:16" ht="15.75" x14ac:dyDescent="0.25">
      <c r="A3" s="187" t="s">
        <v>0</v>
      </c>
      <c r="B3" s="23"/>
      <c r="C3" s="23"/>
      <c r="D3" s="115" t="s">
        <v>24</v>
      </c>
      <c r="E3" s="23"/>
      <c r="F3" s="23"/>
      <c r="G3" s="23"/>
      <c r="H3" s="23"/>
      <c r="I3" s="23"/>
      <c r="J3" s="23"/>
      <c r="K3" s="23"/>
      <c r="L3" s="23"/>
      <c r="M3" s="23"/>
      <c r="N3" s="23"/>
      <c r="O3" s="23"/>
      <c r="P3" s="23"/>
    </row>
    <row r="4" spans="1:16" ht="12.75" customHeight="1" x14ac:dyDescent="0.2">
      <c r="A4" s="184" t="s">
        <v>1</v>
      </c>
      <c r="B4" s="189">
        <v>0.16600000000000001</v>
      </c>
      <c r="C4" s="23"/>
      <c r="D4" s="87" t="s">
        <v>24</v>
      </c>
      <c r="E4" s="42" t="s">
        <v>24</v>
      </c>
      <c r="F4" s="42" t="s">
        <v>24</v>
      </c>
      <c r="G4" s="42" t="s">
        <v>24</v>
      </c>
      <c r="H4" s="42" t="s">
        <v>24</v>
      </c>
      <c r="I4" s="42" t="s">
        <v>24</v>
      </c>
      <c r="J4" s="42" t="s">
        <v>24</v>
      </c>
      <c r="K4" s="23"/>
      <c r="L4" s="23"/>
      <c r="M4" s="23"/>
      <c r="N4" s="23"/>
      <c r="O4" s="42" t="s">
        <v>24</v>
      </c>
      <c r="P4" s="23"/>
    </row>
    <row r="5" spans="1:16" ht="12.75" customHeight="1" x14ac:dyDescent="0.2">
      <c r="A5" s="188" t="s">
        <v>2</v>
      </c>
      <c r="B5" s="157">
        <v>6.59E-2</v>
      </c>
      <c r="C5" s="23"/>
      <c r="D5" s="46" t="s">
        <v>24</v>
      </c>
      <c r="E5" s="86" t="s">
        <v>24</v>
      </c>
      <c r="F5" s="88" t="s">
        <v>24</v>
      </c>
      <c r="G5" s="88" t="s">
        <v>24</v>
      </c>
      <c r="H5" s="88" t="s">
        <v>24</v>
      </c>
      <c r="I5" s="88" t="s">
        <v>24</v>
      </c>
      <c r="J5" s="42" t="s">
        <v>24</v>
      </c>
      <c r="K5" s="42" t="s">
        <v>24</v>
      </c>
      <c r="L5" s="42"/>
      <c r="M5" s="42"/>
      <c r="N5" s="42"/>
      <c r="O5" s="86" t="s">
        <v>24</v>
      </c>
      <c r="P5" s="23"/>
    </row>
    <row r="6" spans="1:16" ht="12.75" customHeight="1" x14ac:dyDescent="0.2">
      <c r="A6" s="184" t="s">
        <v>4</v>
      </c>
      <c r="B6" s="190">
        <v>1.0891999999999999</v>
      </c>
      <c r="C6" s="23"/>
      <c r="D6" s="46" t="s">
        <v>24</v>
      </c>
      <c r="E6" s="89" t="s">
        <v>24</v>
      </c>
      <c r="F6" s="83" t="s">
        <v>24</v>
      </c>
      <c r="G6" s="90" t="s">
        <v>24</v>
      </c>
      <c r="H6" s="91" t="s">
        <v>24</v>
      </c>
      <c r="I6" s="91" t="s">
        <v>24</v>
      </c>
      <c r="J6" s="91" t="s">
        <v>24</v>
      </c>
      <c r="K6" s="92" t="s">
        <v>24</v>
      </c>
      <c r="L6" s="92"/>
      <c r="M6" s="92"/>
      <c r="N6" s="92"/>
      <c r="O6" s="93" t="s">
        <v>24</v>
      </c>
      <c r="P6" s="23"/>
    </row>
    <row r="7" spans="1:16" ht="12.75" customHeight="1" x14ac:dyDescent="0.2">
      <c r="A7" s="184" t="s">
        <v>207</v>
      </c>
      <c r="B7" s="241">
        <f>154355.3+2492-607.8</f>
        <v>156239.5</v>
      </c>
      <c r="C7" s="201" t="s">
        <v>24</v>
      </c>
      <c r="D7" s="46" t="s">
        <v>24</v>
      </c>
      <c r="E7" s="86" t="s">
        <v>24</v>
      </c>
      <c r="F7" s="94" t="s">
        <v>24</v>
      </c>
      <c r="G7" s="83" t="s">
        <v>24</v>
      </c>
      <c r="H7" s="83" t="s">
        <v>24</v>
      </c>
      <c r="I7" s="83" t="s">
        <v>24</v>
      </c>
      <c r="J7" s="90" t="s">
        <v>24</v>
      </c>
      <c r="K7" s="91"/>
      <c r="L7" s="91"/>
      <c r="M7" s="91"/>
      <c r="N7" s="91"/>
      <c r="O7" s="86" t="s">
        <v>24</v>
      </c>
      <c r="P7" s="23"/>
    </row>
    <row r="8" spans="1:16" ht="12.75" customHeight="1" x14ac:dyDescent="0.2">
      <c r="A8" s="184" t="s">
        <v>23</v>
      </c>
      <c r="B8" s="191">
        <f>'BRA Resource Clearing Results'!D60/('BRA Load Pricing Results'!G60*'BRA Load Pricing Results'!B6)</f>
        <v>1.0696699486917067</v>
      </c>
      <c r="C8" s="46" t="s">
        <v>24</v>
      </c>
      <c r="D8" s="95" t="s">
        <v>24</v>
      </c>
      <c r="E8" s="86" t="s">
        <v>24</v>
      </c>
      <c r="F8" s="94" t="s">
        <v>24</v>
      </c>
      <c r="G8" s="90" t="s">
        <v>24</v>
      </c>
      <c r="H8" s="90" t="s">
        <v>24</v>
      </c>
      <c r="I8" s="90" t="s">
        <v>24</v>
      </c>
      <c r="J8" s="90" t="s">
        <v>24</v>
      </c>
      <c r="K8" s="91" t="s">
        <v>24</v>
      </c>
      <c r="L8" s="91"/>
      <c r="M8" s="91"/>
      <c r="N8" s="91"/>
      <c r="O8" s="86" t="s">
        <v>24</v>
      </c>
      <c r="P8" s="23"/>
    </row>
    <row r="9" spans="1:16" x14ac:dyDescent="0.2">
      <c r="A9" s="23" t="s">
        <v>208</v>
      </c>
      <c r="B9" s="23"/>
      <c r="C9" s="23"/>
      <c r="D9" s="32" t="s">
        <v>24</v>
      </c>
      <c r="E9" s="96"/>
      <c r="F9" s="77"/>
      <c r="G9" s="96"/>
      <c r="H9" s="97" t="s">
        <v>24</v>
      </c>
      <c r="I9" s="23"/>
      <c r="J9" s="23"/>
      <c r="K9" s="23"/>
      <c r="L9" s="23"/>
      <c r="M9" s="23"/>
      <c r="N9" s="23"/>
      <c r="O9" s="23" t="s">
        <v>24</v>
      </c>
      <c r="P9" s="23"/>
    </row>
    <row r="10" spans="1:16" x14ac:dyDescent="0.2">
      <c r="A10" s="32"/>
      <c r="B10" s="48"/>
      <c r="C10" s="48"/>
      <c r="D10" s="48"/>
      <c r="E10" s="52" t="s">
        <v>24</v>
      </c>
      <c r="F10" s="53"/>
      <c r="G10" s="53"/>
      <c r="H10" s="53"/>
      <c r="I10" s="54"/>
      <c r="J10" s="54"/>
      <c r="K10" s="54"/>
      <c r="L10" s="54"/>
      <c r="M10" s="54"/>
      <c r="N10" s="54"/>
      <c r="O10" s="55"/>
      <c r="P10" s="23"/>
    </row>
    <row r="11" spans="1:16" ht="15.75" x14ac:dyDescent="0.25">
      <c r="A11" s="178" t="s">
        <v>137</v>
      </c>
      <c r="B11" s="48"/>
      <c r="C11" s="48"/>
      <c r="D11" s="48"/>
      <c r="E11" s="54"/>
      <c r="F11" s="55"/>
      <c r="G11" s="23"/>
    </row>
    <row r="12" spans="1:16" ht="69.95" customHeight="1" x14ac:dyDescent="0.2">
      <c r="A12" s="202" t="s">
        <v>3</v>
      </c>
      <c r="B12" s="202" t="s">
        <v>57</v>
      </c>
      <c r="C12" s="202" t="s">
        <v>143</v>
      </c>
      <c r="D12" s="202" t="s">
        <v>226</v>
      </c>
      <c r="E12" s="202" t="s">
        <v>144</v>
      </c>
      <c r="F12" s="202" t="s">
        <v>84</v>
      </c>
      <c r="G12" s="23"/>
    </row>
    <row r="13" spans="1:16" x14ac:dyDescent="0.2">
      <c r="A13" s="44" t="s">
        <v>6</v>
      </c>
      <c r="B13" s="60">
        <f>J60</f>
        <v>165109.19999999995</v>
      </c>
      <c r="C13" s="172">
        <f>'BRA Resource Clearing Results'!B5</f>
        <v>76.53</v>
      </c>
      <c r="D13" s="172">
        <f>'BRA Resource Clearing Results'!C5</f>
        <v>0</v>
      </c>
      <c r="E13" s="429">
        <f>'BRA Resource Clearing Results'!G65/B13</f>
        <v>2.2700063443275684E-3</v>
      </c>
      <c r="F13" s="173">
        <f t="shared" ref="F13:F22" si="0">C13+D13+E13</f>
        <v>76.532270006344334</v>
      </c>
      <c r="G13" s="23"/>
    </row>
    <row r="14" spans="1:16" x14ac:dyDescent="0.2">
      <c r="A14" s="44" t="s">
        <v>29</v>
      </c>
      <c r="B14" s="60">
        <f>J40+J44+J50+(SUM(J52:J59))</f>
        <v>65138.709764201922</v>
      </c>
      <c r="C14" s="172">
        <f>'BRA Resource Clearing Results'!B6</f>
        <v>76.53</v>
      </c>
      <c r="D14" s="172">
        <f>'BRA Resource Clearing Results'!C6</f>
        <v>9.51</v>
      </c>
      <c r="E14" s="429">
        <f>E13+'BRA Resource Clearing Results'!G66/B14</f>
        <v>7.8778508157175686E-3</v>
      </c>
      <c r="F14" s="173">
        <f t="shared" si="0"/>
        <v>86.047877850815723</v>
      </c>
      <c r="G14" s="23"/>
    </row>
    <row r="15" spans="1:16" x14ac:dyDescent="0.2">
      <c r="A15" s="44" t="s">
        <v>35</v>
      </c>
      <c r="B15" s="60">
        <f>J40+J50+J52+J54+J58+J59</f>
        <v>35369.635497355383</v>
      </c>
      <c r="C15" s="172">
        <f>'BRA Resource Clearing Results'!B7</f>
        <v>76.53</v>
      </c>
      <c r="D15" s="172">
        <f>'BRA Resource Clearing Results'!C6+'BRA Resource Clearing Results'!C7</f>
        <v>111.34</v>
      </c>
      <c r="E15" s="429">
        <f>E14+'BRA Resource Clearing Results'!G67/B15</f>
        <v>7.8778508157175686E-3</v>
      </c>
      <c r="F15" s="173">
        <f t="shared" si="0"/>
        <v>187.87787785081574</v>
      </c>
      <c r="G15" s="23"/>
    </row>
    <row r="16" spans="1:16" x14ac:dyDescent="0.2">
      <c r="A16" s="44" t="s">
        <v>5</v>
      </c>
      <c r="B16" s="60">
        <f>J44+J56</f>
        <v>14964.345422229148</v>
      </c>
      <c r="C16" s="172">
        <f>'BRA Resource Clearing Results'!B8</f>
        <v>76.53</v>
      </c>
      <c r="D16" s="172">
        <f>'BRA Resource Clearing Results'!C6+'BRA Resource Clearing Results'!C8</f>
        <v>9.51</v>
      </c>
      <c r="E16" s="429">
        <f>E14+'BRA Resource Clearing Results'!G68/B16</f>
        <v>7.8778508157175686E-3</v>
      </c>
      <c r="F16" s="173">
        <f t="shared" si="0"/>
        <v>86.047877850815723</v>
      </c>
      <c r="G16" s="23"/>
    </row>
    <row r="17" spans="1:16" x14ac:dyDescent="0.2">
      <c r="A17" s="44" t="s">
        <v>15</v>
      </c>
      <c r="B17" s="60">
        <f>J56</f>
        <v>7314.4005419460136</v>
      </c>
      <c r="C17" s="172">
        <f>'BRA Resource Clearing Results'!B12</f>
        <v>76.53</v>
      </c>
      <c r="D17" s="172">
        <f>'BRA Resource Clearing Results'!C6+'BRA Resource Clearing Results'!C8+'BRA Resource Clearing Results'!C12</f>
        <v>9.51</v>
      </c>
      <c r="E17" s="429">
        <f>E16+'BRA Resource Clearing Results'!G72/B17</f>
        <v>7.8778508157175686E-3</v>
      </c>
      <c r="F17" s="173">
        <f t="shared" si="0"/>
        <v>86.047877850815723</v>
      </c>
      <c r="G17" s="23"/>
    </row>
    <row r="18" spans="1:16" x14ac:dyDescent="0.2">
      <c r="A18" s="30" t="s">
        <v>20</v>
      </c>
      <c r="B18" s="60">
        <f>J45</f>
        <v>25153.009445694886</v>
      </c>
      <c r="C18" s="172">
        <f>'BRA Resource Clearing Results'!B15</f>
        <v>76.53</v>
      </c>
      <c r="D18" s="172">
        <f>'BRA Resource Clearing Results'!C15</f>
        <v>111.59</v>
      </c>
      <c r="E18" s="429">
        <f>E13+'BRA Resource Clearing Results'!G75/B18</f>
        <v>8.5502442034525294E-3</v>
      </c>
      <c r="F18" s="173">
        <f t="shared" si="0"/>
        <v>188.12855024420347</v>
      </c>
      <c r="G18" s="23"/>
    </row>
    <row r="19" spans="1:16" x14ac:dyDescent="0.2">
      <c r="A19" s="30" t="s">
        <v>11</v>
      </c>
      <c r="B19" s="60">
        <f>J44</f>
        <v>7649.9448802831348</v>
      </c>
      <c r="C19" s="172">
        <f>'BRA Resource Clearing Results'!B16</f>
        <v>76.53</v>
      </c>
      <c r="D19" s="172">
        <f>'BRA Resource Clearing Results'!C6+'BRA Resource Clearing Results'!C8+'BRA Resource Clearing Results'!C16</f>
        <v>9.51</v>
      </c>
      <c r="E19" s="429">
        <f>E16+'BRA Resource Clearing Results'!G76/B19</f>
        <v>7.8778508157175686E-3</v>
      </c>
      <c r="F19" s="173">
        <f t="shared" si="0"/>
        <v>86.047877850815723</v>
      </c>
      <c r="G19" s="23"/>
    </row>
    <row r="20" spans="1:16" x14ac:dyDescent="0.2">
      <c r="A20" s="30" t="s">
        <v>10</v>
      </c>
      <c r="B20" s="60">
        <f>J57</f>
        <v>8238.3125568812138</v>
      </c>
      <c r="C20" s="172">
        <f>'BRA Resource Clearing Results'!B17</f>
        <v>76.53</v>
      </c>
      <c r="D20" s="172">
        <f>'BRA Resource Clearing Results'!C6+'BRA Resource Clearing Results'!C17</f>
        <v>9.51</v>
      </c>
      <c r="E20" s="429">
        <f>E14+'BRA Resource Clearing Results'!G77/B20</f>
        <v>7.8778508157175686E-3</v>
      </c>
      <c r="F20" s="173">
        <f t="shared" si="0"/>
        <v>86.047877850815723</v>
      </c>
      <c r="G20" s="23"/>
    </row>
    <row r="21" spans="1:16" x14ac:dyDescent="0.2">
      <c r="A21" s="30" t="s">
        <v>21</v>
      </c>
      <c r="B21" s="60">
        <f>J46</f>
        <v>3850.6042993200977</v>
      </c>
      <c r="C21" s="172">
        <f>'BRA Resource Clearing Results'!B18</f>
        <v>76.53</v>
      </c>
      <c r="D21" s="172">
        <f>'BRA Resource Clearing Results'!C18</f>
        <v>0</v>
      </c>
      <c r="E21" s="429">
        <f>E13+'BRA Resource Clearing Results'!G78/B21</f>
        <v>2.2700063443275684E-3</v>
      </c>
      <c r="F21" s="173">
        <f t="shared" si="0"/>
        <v>76.532270006344334</v>
      </c>
      <c r="G21" s="23"/>
    </row>
    <row r="22" spans="1:16" x14ac:dyDescent="0.2">
      <c r="A22" s="30" t="s">
        <v>52</v>
      </c>
      <c r="B22" s="60">
        <f>J47</f>
        <v>5204.9821298477664</v>
      </c>
      <c r="C22" s="172">
        <f>'BRA Resource Clearing Results'!B19</f>
        <v>76.53</v>
      </c>
      <c r="D22" s="172">
        <f>'BRA Resource Clearing Results'!C19</f>
        <v>53.47</v>
      </c>
      <c r="E22" s="429">
        <f>E13+'BRA Resource Clearing Results'!G79/B22</f>
        <v>2.2700063443275684E-3</v>
      </c>
      <c r="F22" s="173">
        <f t="shared" si="0"/>
        <v>130.00227000634433</v>
      </c>
      <c r="G22" s="23"/>
    </row>
    <row r="23" spans="1:16" s="7" customFormat="1" x14ac:dyDescent="0.2">
      <c r="A23" s="32" t="s">
        <v>227</v>
      </c>
      <c r="B23" s="48"/>
      <c r="C23" s="70"/>
      <c r="D23" s="70"/>
      <c r="E23" s="70"/>
      <c r="F23" s="72"/>
      <c r="G23" s="120"/>
      <c r="H23" s="48"/>
      <c r="I23" s="48"/>
      <c r="J23" s="70"/>
      <c r="K23" s="48"/>
      <c r="L23" s="48"/>
      <c r="M23" s="48"/>
      <c r="N23" s="48"/>
      <c r="O23" s="83"/>
      <c r="P23" s="46"/>
    </row>
    <row r="24" spans="1:16" s="7" customFormat="1" x14ac:dyDescent="0.2">
      <c r="A24" s="32"/>
      <c r="B24" s="48"/>
      <c r="C24" s="70"/>
      <c r="D24" s="98" t="s">
        <v>24</v>
      </c>
      <c r="E24" s="98" t="s">
        <v>24</v>
      </c>
      <c r="F24" s="72"/>
      <c r="G24" s="46"/>
      <c r="H24" s="48"/>
      <c r="I24" s="48"/>
      <c r="J24" s="70"/>
      <c r="K24" s="48"/>
      <c r="L24" s="48"/>
      <c r="M24" s="48"/>
      <c r="N24" s="48"/>
      <c r="O24" s="83"/>
      <c r="P24" s="46"/>
    </row>
    <row r="25" spans="1:16" ht="31.5" x14ac:dyDescent="0.25">
      <c r="A25" s="192" t="s">
        <v>123</v>
      </c>
      <c r="B25" s="23"/>
      <c r="C25" s="222" t="s">
        <v>24</v>
      </c>
      <c r="D25" s="23"/>
      <c r="E25" s="77" t="s">
        <v>24</v>
      </c>
      <c r="F25" s="305" t="s">
        <v>24</v>
      </c>
      <c r="G25" s="305"/>
      <c r="H25" s="313" t="s">
        <v>209</v>
      </c>
      <c r="I25" s="23"/>
      <c r="J25" s="222" t="s">
        <v>24</v>
      </c>
      <c r="K25" s="23"/>
      <c r="L25" s="77" t="s">
        <v>24</v>
      </c>
      <c r="M25" s="305" t="s">
        <v>24</v>
      </c>
      <c r="N25" s="99"/>
      <c r="O25" s="23"/>
      <c r="P25" s="23"/>
    </row>
    <row r="26" spans="1:16" ht="80.099999999999994" customHeight="1" x14ac:dyDescent="0.2">
      <c r="A26" s="205" t="s">
        <v>56</v>
      </c>
      <c r="B26" s="202" t="s">
        <v>228</v>
      </c>
      <c r="C26" s="181" t="s">
        <v>79</v>
      </c>
      <c r="D26" s="181" t="s">
        <v>124</v>
      </c>
      <c r="E26" s="181" t="s">
        <v>139</v>
      </c>
      <c r="F26" s="181" t="s">
        <v>136</v>
      </c>
      <c r="G26" s="23"/>
      <c r="H26" s="211" t="s">
        <v>7</v>
      </c>
      <c r="I26" s="209" t="s">
        <v>210</v>
      </c>
      <c r="J26" s="209" t="s">
        <v>211</v>
      </c>
      <c r="K26" s="263"/>
      <c r="L26" s="263"/>
      <c r="M26" s="263"/>
    </row>
    <row r="27" spans="1:16" x14ac:dyDescent="0.2">
      <c r="A27" s="184" t="s">
        <v>39</v>
      </c>
      <c r="B27" s="184"/>
      <c r="C27" s="124">
        <f>'BRA Resource Clearing Results'!D49</f>
        <v>2121.7999999999997</v>
      </c>
      <c r="D27" s="45">
        <f>'BRA Resource Clearing Results'!C9</f>
        <v>0</v>
      </c>
      <c r="E27" s="184"/>
      <c r="F27" s="184"/>
      <c r="G27" s="23"/>
      <c r="H27" s="30" t="s">
        <v>11</v>
      </c>
      <c r="I27" s="311">
        <v>330</v>
      </c>
      <c r="J27" s="49">
        <f>L44*$B$6*I27*I44/F44</f>
        <v>33263.808674184358</v>
      </c>
      <c r="K27" s="426"/>
      <c r="L27" s="32"/>
      <c r="M27" s="32"/>
    </row>
    <row r="28" spans="1:16" x14ac:dyDescent="0.2">
      <c r="A28" s="184" t="s">
        <v>36</v>
      </c>
      <c r="B28" s="184"/>
      <c r="C28" s="63">
        <f>'BRA Resource Clearing Results'!D50</f>
        <v>2975.4</v>
      </c>
      <c r="D28" s="45">
        <f>'BRA Resource Clearing Results'!C9+'BRA Resource Clearing Results'!C10</f>
        <v>0</v>
      </c>
      <c r="E28" s="184"/>
      <c r="F28" s="184"/>
      <c r="G28" s="23"/>
      <c r="H28" s="30" t="s">
        <v>17</v>
      </c>
      <c r="I28" s="311">
        <v>58</v>
      </c>
      <c r="J28" s="49">
        <f>L50*$B$6*I28*I50/F50</f>
        <v>12731.98903443897</v>
      </c>
      <c r="K28" s="426"/>
      <c r="L28" s="32"/>
      <c r="M28" s="32"/>
    </row>
    <row r="29" spans="1:16" x14ac:dyDescent="0.2">
      <c r="A29" s="84" t="s">
        <v>8</v>
      </c>
      <c r="B29" s="171">
        <f>F15</f>
        <v>187.87787785081574</v>
      </c>
      <c r="C29" s="63">
        <f>C28+C27</f>
        <v>5097.2</v>
      </c>
      <c r="D29" s="174">
        <f>(C28*D28+C27*D27)/C29</f>
        <v>0</v>
      </c>
      <c r="E29" s="175">
        <f>('BRA Resource Clearing Results'!G69+'BRA Resource Clearing Results'!G70)/J58</f>
        <v>0</v>
      </c>
      <c r="F29" s="176">
        <f>B29+D29+E29</f>
        <v>187.87787785081574</v>
      </c>
      <c r="G29" s="23"/>
      <c r="H29" s="30" t="s">
        <v>15</v>
      </c>
      <c r="I29" s="311">
        <v>170</v>
      </c>
      <c r="J29" s="49">
        <f>L56*$B$6*I29*I56/F56</f>
        <v>17135.901438216184</v>
      </c>
      <c r="K29" s="307"/>
      <c r="L29" s="308"/>
      <c r="M29" s="309"/>
    </row>
    <row r="30" spans="1:16" x14ac:dyDescent="0.2">
      <c r="A30" s="184" t="s">
        <v>38</v>
      </c>
      <c r="B30" s="184"/>
      <c r="C30" s="59">
        <v>3726</v>
      </c>
      <c r="D30" s="45">
        <v>0</v>
      </c>
      <c r="E30" s="184"/>
      <c r="F30" s="184"/>
      <c r="G30" s="266" t="s">
        <v>24</v>
      </c>
      <c r="H30" s="196" t="s">
        <v>212</v>
      </c>
      <c r="I30" s="312">
        <f>SUM(I27:I29)</f>
        <v>558</v>
      </c>
      <c r="J30" s="272">
        <f>SUM(J27:J29)</f>
        <v>63131.699146839514</v>
      </c>
    </row>
    <row r="31" spans="1:16" x14ac:dyDescent="0.2">
      <c r="A31" s="184" t="s">
        <v>37</v>
      </c>
      <c r="B31" s="184"/>
      <c r="C31" s="63">
        <f>'BRA Resource Clearing Results'!D51</f>
        <v>1647.2</v>
      </c>
      <c r="D31" s="100">
        <f>'BRA Resource Clearing Results'!C11</f>
        <v>0</v>
      </c>
      <c r="E31" s="184"/>
      <c r="F31" s="184"/>
      <c r="G31" s="23"/>
      <c r="H31" s="23"/>
    </row>
    <row r="32" spans="1:16" x14ac:dyDescent="0.2">
      <c r="A32" s="84" t="s">
        <v>17</v>
      </c>
      <c r="B32" s="171">
        <f>F15</f>
        <v>187.87787785081574</v>
      </c>
      <c r="C32" s="59">
        <f>C30+C31</f>
        <v>5373.2</v>
      </c>
      <c r="D32" s="174">
        <f>(C31*D31+C30*D30)/C32</f>
        <v>0</v>
      </c>
      <c r="E32" s="175">
        <f>'BRA Resource Clearing Results'!G71/'BRA Load Pricing Results'!J50</f>
        <v>0</v>
      </c>
      <c r="F32" s="176">
        <f>B32+D32+E32</f>
        <v>187.87787785081574</v>
      </c>
      <c r="G32" s="23"/>
      <c r="H32" s="23"/>
    </row>
    <row r="33" spans="1:16" x14ac:dyDescent="0.2">
      <c r="A33" s="184" t="s">
        <v>119</v>
      </c>
      <c r="B33" s="184"/>
      <c r="C33" s="285">
        <f>'BRA Resource Clearing Results'!D53</f>
        <v>8067.2000000000007</v>
      </c>
      <c r="D33" s="45">
        <f>'BRA Resource Clearing Results'!C13</f>
        <v>0</v>
      </c>
      <c r="E33" s="184"/>
      <c r="F33" s="184"/>
      <c r="G33" s="23"/>
      <c r="H33" s="23"/>
    </row>
    <row r="34" spans="1:16" x14ac:dyDescent="0.2">
      <c r="A34" s="184" t="s">
        <v>118</v>
      </c>
      <c r="B34" s="184"/>
      <c r="C34" s="63">
        <f>'BRA Resource Clearing Results'!D54</f>
        <v>1857.9</v>
      </c>
      <c r="D34" s="45">
        <f>'BRA Resource Clearing Results'!C13+'BRA Resource Clearing Results'!C14</f>
        <v>0</v>
      </c>
      <c r="E34" s="184"/>
      <c r="F34" s="184"/>
      <c r="G34" s="23"/>
      <c r="H34" s="23"/>
    </row>
    <row r="35" spans="1:16" x14ac:dyDescent="0.2">
      <c r="A35" s="84" t="s">
        <v>45</v>
      </c>
      <c r="B35" s="171">
        <f>F13</f>
        <v>76.532270006344334</v>
      </c>
      <c r="C35" s="63">
        <f>C34+C33</f>
        <v>9925.1</v>
      </c>
      <c r="D35" s="174">
        <f>(C34*D34+C33*D33)/C35</f>
        <v>0</v>
      </c>
      <c r="E35" s="175">
        <f>('BRA Resource Clearing Results'!G73+'BRA Resource Clearing Results'!G74)/'BRA Load Pricing Results'!J43</f>
        <v>0</v>
      </c>
      <c r="F35" s="176">
        <f>B35+D35+E35</f>
        <v>76.532270006344334</v>
      </c>
      <c r="G35" s="23"/>
      <c r="H35" s="23"/>
    </row>
    <row r="36" spans="1:16" ht="12.75" customHeight="1" x14ac:dyDescent="0.2">
      <c r="A36" s="123" t="s">
        <v>229</v>
      </c>
      <c r="B36" s="123"/>
      <c r="C36" s="101"/>
      <c r="D36" s="101"/>
      <c r="E36" s="101"/>
      <c r="F36" s="101"/>
      <c r="G36" s="121"/>
      <c r="H36" s="23"/>
      <c r="I36" s="23"/>
      <c r="J36" s="23"/>
      <c r="K36" s="23"/>
      <c r="L36" s="23"/>
      <c r="M36" s="23"/>
      <c r="N36" s="23"/>
      <c r="O36" s="23"/>
      <c r="P36" s="23"/>
    </row>
    <row r="37" spans="1:16" x14ac:dyDescent="0.2">
      <c r="A37" s="46"/>
      <c r="B37" s="50"/>
      <c r="C37" s="50"/>
      <c r="D37" s="50" t="s">
        <v>24</v>
      </c>
      <c r="E37" s="61"/>
      <c r="F37" s="102" t="s">
        <v>24</v>
      </c>
      <c r="G37" s="95"/>
      <c r="H37" s="95"/>
      <c r="I37" s="95"/>
      <c r="J37" s="95"/>
      <c r="K37" s="95"/>
      <c r="L37" s="95"/>
      <c r="M37" s="95" t="s">
        <v>24</v>
      </c>
      <c r="N37" s="95"/>
      <c r="O37" s="103"/>
      <c r="P37" s="23"/>
    </row>
    <row r="38" spans="1:16" s="2" customFormat="1" ht="18" x14ac:dyDescent="0.25">
      <c r="A38" s="199" t="s">
        <v>41</v>
      </c>
      <c r="B38" s="116"/>
      <c r="C38" s="23"/>
      <c r="D38" s="23"/>
      <c r="E38" s="104"/>
      <c r="F38" s="104"/>
      <c r="G38" s="104"/>
      <c r="H38" s="104"/>
      <c r="I38" s="104"/>
      <c r="J38" s="104"/>
      <c r="K38" s="104"/>
      <c r="L38" s="104"/>
      <c r="M38" s="104"/>
      <c r="O38" s="117"/>
      <c r="P38" s="23"/>
    </row>
    <row r="39" spans="1:16" ht="54.95" customHeight="1" x14ac:dyDescent="0.2">
      <c r="A39" s="180" t="s">
        <v>7</v>
      </c>
      <c r="B39" s="180" t="s">
        <v>28</v>
      </c>
      <c r="C39" s="180" t="s">
        <v>27</v>
      </c>
      <c r="D39" s="180" t="s">
        <v>33</v>
      </c>
      <c r="E39" s="180" t="s">
        <v>175</v>
      </c>
      <c r="F39" s="180" t="s">
        <v>22</v>
      </c>
      <c r="G39" s="180" t="s">
        <v>176</v>
      </c>
      <c r="H39" s="193" t="s">
        <v>23</v>
      </c>
      <c r="I39" s="193" t="s">
        <v>25</v>
      </c>
      <c r="J39" s="180" t="s">
        <v>26</v>
      </c>
      <c r="K39" s="283" t="s">
        <v>34</v>
      </c>
      <c r="L39" s="283" t="s">
        <v>236</v>
      </c>
      <c r="M39" s="180" t="s">
        <v>7</v>
      </c>
    </row>
    <row r="40" spans="1:16" x14ac:dyDescent="0.2">
      <c r="A40" s="184" t="s">
        <v>16</v>
      </c>
      <c r="B40" s="108" t="s">
        <v>29</v>
      </c>
      <c r="C40" s="108" t="s">
        <v>35</v>
      </c>
      <c r="D40" s="108"/>
      <c r="E40" s="194">
        <v>2460</v>
      </c>
      <c r="F40" s="110">
        <f>G40/E40</f>
        <v>0.9626016260162602</v>
      </c>
      <c r="G40" s="111">
        <v>2368</v>
      </c>
      <c r="H40" s="110">
        <f>$B$8</f>
        <v>1.0696699486917067</v>
      </c>
      <c r="I40" s="110">
        <f t="shared" ref="I40:I59" si="1">H40*F40</f>
        <v>1.0296660319113666</v>
      </c>
      <c r="J40" s="111">
        <f t="shared" ref="J40:J59" si="2">E40*I40*$B$6</f>
        <v>2758.9201152163369</v>
      </c>
      <c r="K40" s="284">
        <f>F15</f>
        <v>187.87787785081574</v>
      </c>
      <c r="L40" s="284">
        <v>188.41298703136172</v>
      </c>
      <c r="M40" s="184" t="s">
        <v>16</v>
      </c>
      <c r="O40" s="432"/>
      <c r="P40" s="433"/>
    </row>
    <row r="41" spans="1:16" x14ac:dyDescent="0.2">
      <c r="A41" s="30" t="s">
        <v>230</v>
      </c>
      <c r="B41" s="108"/>
      <c r="C41" s="108"/>
      <c r="D41" s="108"/>
      <c r="E41" s="194">
        <v>11010.8</v>
      </c>
      <c r="F41" s="110">
        <v>0.99968637992831544</v>
      </c>
      <c r="G41" s="111">
        <f>E41*F41</f>
        <v>11007.346792114695</v>
      </c>
      <c r="H41" s="110">
        <f t="shared" ref="H41:H47" si="3">$B$8</f>
        <v>1.0696699486917067</v>
      </c>
      <c r="I41" s="110">
        <f t="shared" si="1"/>
        <v>1.0693344787257193</v>
      </c>
      <c r="J41" s="111">
        <f t="shared" si="2"/>
        <v>12824.489222942249</v>
      </c>
      <c r="K41" s="284">
        <f>F13</f>
        <v>76.532270006344334</v>
      </c>
      <c r="L41" s="284">
        <v>76.834806909883383</v>
      </c>
      <c r="M41" s="184" t="s">
        <v>230</v>
      </c>
      <c r="O41" s="432"/>
      <c r="P41" s="433"/>
    </row>
    <row r="42" spans="1:16" x14ac:dyDescent="0.2">
      <c r="A42" s="184" t="s">
        <v>19</v>
      </c>
      <c r="B42" s="108" t="s">
        <v>24</v>
      </c>
      <c r="C42" s="108"/>
      <c r="D42" s="108"/>
      <c r="E42" s="194">
        <v>8440</v>
      </c>
      <c r="F42" s="110">
        <f t="shared" ref="F42:F59" si="4">G42/E42</f>
        <v>1.0209715639810426</v>
      </c>
      <c r="G42" s="111">
        <v>8617</v>
      </c>
      <c r="H42" s="110">
        <f t="shared" si="3"/>
        <v>1.0696699486917067</v>
      </c>
      <c r="I42" s="110">
        <f t="shared" si="1"/>
        <v>1.0921026004592935</v>
      </c>
      <c r="J42" s="111">
        <f t="shared" si="2"/>
        <v>10039.533206427015</v>
      </c>
      <c r="K42" s="284">
        <f>F13</f>
        <v>76.532270006344334</v>
      </c>
      <c r="L42" s="284">
        <v>76.834806909883383</v>
      </c>
      <c r="M42" s="184" t="s">
        <v>19</v>
      </c>
      <c r="O42" s="432"/>
      <c r="P42" s="433"/>
    </row>
    <row r="43" spans="1:16" x14ac:dyDescent="0.2">
      <c r="A43" s="184" t="s">
        <v>45</v>
      </c>
      <c r="B43" s="108"/>
      <c r="C43" s="108"/>
      <c r="D43" s="108" t="s">
        <v>45</v>
      </c>
      <c r="E43" s="194">
        <v>12660</v>
      </c>
      <c r="F43" s="110">
        <f t="shared" si="4"/>
        <v>0.9879936808846761</v>
      </c>
      <c r="G43" s="111">
        <v>12508</v>
      </c>
      <c r="H43" s="110">
        <f t="shared" si="3"/>
        <v>1.0696699486917067</v>
      </c>
      <c r="I43" s="110">
        <f t="shared" si="1"/>
        <v>1.056827149939642</v>
      </c>
      <c r="J43" s="111">
        <f t="shared" si="2"/>
        <v>14572.877027502507</v>
      </c>
      <c r="K43" s="284">
        <f>F35</f>
        <v>76.532270006344334</v>
      </c>
      <c r="L43" s="284">
        <v>76.834806909883383</v>
      </c>
      <c r="M43" s="184" t="s">
        <v>45</v>
      </c>
      <c r="O43" s="432"/>
      <c r="P43" s="433"/>
    </row>
    <row r="44" spans="1:16" x14ac:dyDescent="0.2">
      <c r="A44" s="184" t="s">
        <v>11</v>
      </c>
      <c r="B44" s="108" t="s">
        <v>29</v>
      </c>
      <c r="C44" s="108" t="s">
        <v>5</v>
      </c>
      <c r="D44" s="108" t="s">
        <v>11</v>
      </c>
      <c r="E44" s="194">
        <v>6330</v>
      </c>
      <c r="F44" s="110">
        <f t="shared" si="4"/>
        <v>1.0372827804107425</v>
      </c>
      <c r="G44" s="111">
        <v>6566</v>
      </c>
      <c r="H44" s="110">
        <f t="shared" si="3"/>
        <v>1.0696699486917067</v>
      </c>
      <c r="I44" s="110">
        <f t="shared" si="1"/>
        <v>1.1095502185007498</v>
      </c>
      <c r="J44" s="111">
        <f>E44*I44*$B$6</f>
        <v>7649.9448802831348</v>
      </c>
      <c r="K44" s="284">
        <f>F19</f>
        <v>86.047877850815723</v>
      </c>
      <c r="L44" s="284">
        <v>86.516831631282031</v>
      </c>
      <c r="M44" s="184" t="s">
        <v>11</v>
      </c>
      <c r="O44" s="432"/>
      <c r="P44" s="433"/>
    </row>
    <row r="45" spans="1:16" x14ac:dyDescent="0.2">
      <c r="A45" s="184" t="s">
        <v>20</v>
      </c>
      <c r="B45" s="108"/>
      <c r="C45" s="108"/>
      <c r="D45" s="108" t="s">
        <v>20</v>
      </c>
      <c r="E45" s="194">
        <v>20560</v>
      </c>
      <c r="F45" s="110">
        <f t="shared" si="4"/>
        <v>1.0500486381322958</v>
      </c>
      <c r="G45" s="111">
        <v>21589</v>
      </c>
      <c r="H45" s="110">
        <f t="shared" si="3"/>
        <v>1.0696699486917067</v>
      </c>
      <c r="I45" s="110">
        <f t="shared" si="1"/>
        <v>1.1232054728747694</v>
      </c>
      <c r="J45" s="111">
        <f t="shared" si="2"/>
        <v>25153.009445694886</v>
      </c>
      <c r="K45" s="284">
        <f>F18</f>
        <v>188.12855024420347</v>
      </c>
      <c r="L45" s="284">
        <v>188.43108714774252</v>
      </c>
      <c r="M45" s="184" t="s">
        <v>20</v>
      </c>
      <c r="O45" s="432"/>
      <c r="P45" s="433"/>
    </row>
    <row r="46" spans="1:16" x14ac:dyDescent="0.2">
      <c r="A46" s="184" t="s">
        <v>21</v>
      </c>
      <c r="B46" s="108"/>
      <c r="C46" s="108"/>
      <c r="D46" s="108" t="s">
        <v>21</v>
      </c>
      <c r="E46" s="194">
        <v>3270</v>
      </c>
      <c r="F46" s="110">
        <f t="shared" si="4"/>
        <v>1.010703363914373</v>
      </c>
      <c r="G46" s="111">
        <v>3305</v>
      </c>
      <c r="H46" s="110">
        <f t="shared" si="3"/>
        <v>1.0696699486917067</v>
      </c>
      <c r="I46" s="110">
        <f t="shared" si="1"/>
        <v>1.0811190154208228</v>
      </c>
      <c r="J46" s="111">
        <f t="shared" si="2"/>
        <v>3850.6042993200977</v>
      </c>
      <c r="K46" s="284">
        <f>F21</f>
        <v>76.532270006344334</v>
      </c>
      <c r="L46" s="284">
        <v>76.834806909883383</v>
      </c>
      <c r="M46" s="184" t="s">
        <v>21</v>
      </c>
      <c r="O46" s="424"/>
      <c r="P46" s="425"/>
    </row>
    <row r="47" spans="1:16" x14ac:dyDescent="0.2">
      <c r="A47" s="184" t="s">
        <v>231</v>
      </c>
      <c r="B47" s="108"/>
      <c r="C47" s="108"/>
      <c r="D47" s="108" t="s">
        <v>52</v>
      </c>
      <c r="E47" s="194">
        <v>4197.3999999999996</v>
      </c>
      <c r="F47" s="110">
        <v>1.0643426294820717</v>
      </c>
      <c r="G47" s="111">
        <f>E47*F47</f>
        <v>4467.4717529880472</v>
      </c>
      <c r="H47" s="110">
        <f t="shared" si="3"/>
        <v>1.0696699486917067</v>
      </c>
      <c r="I47" s="110">
        <f t="shared" si="1"/>
        <v>1.1384953258684838</v>
      </c>
      <c r="J47" s="111">
        <f t="shared" si="2"/>
        <v>5204.9821298477664</v>
      </c>
      <c r="K47" s="284">
        <f>F22</f>
        <v>130.00227000634433</v>
      </c>
      <c r="L47" s="284">
        <v>130.30480690988338</v>
      </c>
      <c r="M47" s="184" t="s">
        <v>231</v>
      </c>
      <c r="O47" s="424"/>
      <c r="P47" s="425"/>
    </row>
    <row r="48" spans="1:16" x14ac:dyDescent="0.2">
      <c r="A48" s="184" t="s">
        <v>44</v>
      </c>
      <c r="B48" s="108"/>
      <c r="C48" s="108"/>
      <c r="D48" s="108"/>
      <c r="E48" s="194">
        <v>2750</v>
      </c>
      <c r="F48" s="110">
        <f t="shared" si="4"/>
        <v>1.0076363636363637</v>
      </c>
      <c r="G48" s="111">
        <v>2771</v>
      </c>
      <c r="H48" s="110">
        <f t="shared" ref="H48:H59" si="5">$B$8</f>
        <v>1.0696699486917067</v>
      </c>
      <c r="I48" s="110">
        <f t="shared" si="1"/>
        <v>1.0778383373908071</v>
      </c>
      <c r="J48" s="111">
        <f t="shared" si="2"/>
        <v>3228.4491719866842</v>
      </c>
      <c r="K48" s="284">
        <f>F13</f>
        <v>76.532270006344334</v>
      </c>
      <c r="L48" s="284">
        <v>76.834806909883383</v>
      </c>
      <c r="M48" s="184" t="s">
        <v>44</v>
      </c>
      <c r="O48" s="424"/>
      <c r="P48" s="425"/>
    </row>
    <row r="49" spans="1:16" x14ac:dyDescent="0.2">
      <c r="A49" s="184" t="s">
        <v>31</v>
      </c>
      <c r="B49" s="108"/>
      <c r="C49" s="108"/>
      <c r="D49" s="108"/>
      <c r="E49" s="194">
        <v>18450</v>
      </c>
      <c r="F49" s="110">
        <f t="shared" si="4"/>
        <v>1.0530081300813008</v>
      </c>
      <c r="G49" s="111">
        <v>19428</v>
      </c>
      <c r="H49" s="110">
        <f t="shared" si="5"/>
        <v>1.0696699486917067</v>
      </c>
      <c r="I49" s="110">
        <f t="shared" si="1"/>
        <v>1.1263711524760152</v>
      </c>
      <c r="J49" s="111">
        <f t="shared" si="2"/>
        <v>22635.261823658355</v>
      </c>
      <c r="K49" s="284">
        <f>F13</f>
        <v>76.532270006344334</v>
      </c>
      <c r="L49" s="284">
        <v>76.834806909883383</v>
      </c>
      <c r="M49" s="184" t="s">
        <v>31</v>
      </c>
      <c r="O49" s="424"/>
      <c r="P49" s="425"/>
    </row>
    <row r="50" spans="1:16" x14ac:dyDescent="0.2">
      <c r="A50" s="184" t="s">
        <v>17</v>
      </c>
      <c r="B50" s="108" t="s">
        <v>29</v>
      </c>
      <c r="C50" s="108" t="s">
        <v>35</v>
      </c>
      <c r="D50" s="108" t="s">
        <v>17</v>
      </c>
      <c r="E50" s="194">
        <v>3740</v>
      </c>
      <c r="F50" s="110">
        <f t="shared" si="4"/>
        <v>1.0278074866310161</v>
      </c>
      <c r="G50" s="111">
        <v>3844</v>
      </c>
      <c r="H50" s="110">
        <f t="shared" si="5"/>
        <v>1.0696699486917067</v>
      </c>
      <c r="I50" s="110">
        <f t="shared" si="1"/>
        <v>1.099414781489551</v>
      </c>
      <c r="J50" s="111">
        <f t="shared" si="2"/>
        <v>4478.5848491940869</v>
      </c>
      <c r="K50" s="284">
        <f>F32</f>
        <v>187.87787785081574</v>
      </c>
      <c r="L50" s="284">
        <v>188.41298703136172</v>
      </c>
      <c r="M50" s="184" t="s">
        <v>17</v>
      </c>
      <c r="O50" s="424"/>
      <c r="P50" s="425"/>
    </row>
    <row r="51" spans="1:16" x14ac:dyDescent="0.2">
      <c r="A51" s="184" t="s">
        <v>232</v>
      </c>
      <c r="B51" s="108"/>
      <c r="C51" s="108"/>
      <c r="D51" s="108"/>
      <c r="E51" s="194">
        <v>2089.1999999999998</v>
      </c>
      <c r="F51" s="110">
        <v>1.0111702127659574</v>
      </c>
      <c r="G51" s="111">
        <f>E51*F51</f>
        <v>2112.5368085106379</v>
      </c>
      <c r="H51" s="110">
        <f t="shared" si="5"/>
        <v>1.0696699486917067</v>
      </c>
      <c r="I51" s="110">
        <f t="shared" si="1"/>
        <v>1.0816183896079439</v>
      </c>
      <c r="J51" s="111">
        <f t="shared" si="2"/>
        <v>2461.2839084184634</v>
      </c>
      <c r="K51" s="284">
        <f>F13</f>
        <v>76.532270006344334</v>
      </c>
      <c r="L51" s="284">
        <v>76.834806909883383</v>
      </c>
      <c r="M51" s="184" t="s">
        <v>232</v>
      </c>
      <c r="O51" s="424"/>
      <c r="P51" s="425"/>
    </row>
    <row r="52" spans="1:16" x14ac:dyDescent="0.2">
      <c r="A52" s="184" t="s">
        <v>12</v>
      </c>
      <c r="B52" s="108" t="s">
        <v>29</v>
      </c>
      <c r="C52" s="108" t="s">
        <v>35</v>
      </c>
      <c r="D52" s="108"/>
      <c r="E52" s="194">
        <v>5650</v>
      </c>
      <c r="F52" s="110">
        <f t="shared" si="4"/>
        <v>1.0292035398230088</v>
      </c>
      <c r="G52" s="111">
        <v>5815</v>
      </c>
      <c r="H52" s="110">
        <f t="shared" si="5"/>
        <v>1.0696699486917067</v>
      </c>
      <c r="I52" s="110">
        <f t="shared" si="1"/>
        <v>1.1009080976358008</v>
      </c>
      <c r="J52" s="111">
        <f t="shared" si="2"/>
        <v>6774.9664146887644</v>
      </c>
      <c r="K52" s="284">
        <f>F15</f>
        <v>187.87787785081574</v>
      </c>
      <c r="L52" s="284">
        <v>188.41298703136172</v>
      </c>
      <c r="M52" s="184" t="s">
        <v>12</v>
      </c>
      <c r="O52" s="424"/>
      <c r="P52" s="425"/>
    </row>
    <row r="53" spans="1:16" x14ac:dyDescent="0.2">
      <c r="A53" s="184" t="s">
        <v>13</v>
      </c>
      <c r="B53" s="108" t="s">
        <v>29</v>
      </c>
      <c r="C53" s="108"/>
      <c r="D53" s="108"/>
      <c r="E53" s="194">
        <v>2850</v>
      </c>
      <c r="F53" s="110">
        <f t="shared" si="4"/>
        <v>1.0052631578947369</v>
      </c>
      <c r="G53" s="111">
        <v>2865</v>
      </c>
      <c r="H53" s="110">
        <f t="shared" si="5"/>
        <v>1.0696699486917067</v>
      </c>
      <c r="I53" s="110">
        <f t="shared" si="1"/>
        <v>1.0752997905269261</v>
      </c>
      <c r="J53" s="111">
        <f t="shared" si="2"/>
        <v>3337.9671157494945</v>
      </c>
      <c r="K53" s="284">
        <f>F14</f>
        <v>86.047877850815723</v>
      </c>
      <c r="L53" s="284">
        <v>86.516831631282031</v>
      </c>
      <c r="M53" s="184" t="s">
        <v>13</v>
      </c>
      <c r="O53" s="424"/>
      <c r="P53" s="425"/>
    </row>
    <row r="54" spans="1:16" x14ac:dyDescent="0.2">
      <c r="A54" s="184" t="s">
        <v>9</v>
      </c>
      <c r="B54" s="108" t="s">
        <v>29</v>
      </c>
      <c r="C54" s="108" t="s">
        <v>35</v>
      </c>
      <c r="D54" s="108"/>
      <c r="E54" s="194">
        <v>8120</v>
      </c>
      <c r="F54" s="110">
        <f t="shared" si="4"/>
        <v>1.0227832512315271</v>
      </c>
      <c r="G54" s="111">
        <v>8305</v>
      </c>
      <c r="H54" s="110">
        <f t="shared" si="5"/>
        <v>1.0696699486917067</v>
      </c>
      <c r="I54" s="110">
        <f t="shared" si="1"/>
        <v>1.0940405078675646</v>
      </c>
      <c r="J54" s="111">
        <f t="shared" si="2"/>
        <v>9676.0268398951321</v>
      </c>
      <c r="K54" s="284">
        <f>F15</f>
        <v>187.87787785081574</v>
      </c>
      <c r="L54" s="284">
        <v>188.41298703136172</v>
      </c>
      <c r="M54" s="184" t="s">
        <v>9</v>
      </c>
      <c r="O54" s="424"/>
      <c r="P54" s="425"/>
    </row>
    <row r="55" spans="1:16" x14ac:dyDescent="0.2">
      <c r="A55" s="184" t="s">
        <v>14</v>
      </c>
      <c r="B55" s="108" t="s">
        <v>29</v>
      </c>
      <c r="C55" s="108"/>
      <c r="D55" s="108"/>
      <c r="E55" s="194">
        <v>2770</v>
      </c>
      <c r="F55" s="110">
        <f t="shared" si="4"/>
        <v>1.0003610108303249</v>
      </c>
      <c r="G55" s="111">
        <v>2771</v>
      </c>
      <c r="H55" s="110">
        <f t="shared" si="5"/>
        <v>1.0696699486917067</v>
      </c>
      <c r="I55" s="110">
        <f t="shared" si="1"/>
        <v>1.0700561111280575</v>
      </c>
      <c r="J55" s="111">
        <f t="shared" si="2"/>
        <v>3228.4491719866842</v>
      </c>
      <c r="K55" s="284">
        <f>F14</f>
        <v>86.047877850815723</v>
      </c>
      <c r="L55" s="284">
        <v>86.516831631282031</v>
      </c>
      <c r="M55" s="184" t="s">
        <v>14</v>
      </c>
      <c r="O55" s="424"/>
      <c r="P55" s="425"/>
    </row>
    <row r="56" spans="1:16" x14ac:dyDescent="0.2">
      <c r="A56" s="184" t="s">
        <v>15</v>
      </c>
      <c r="B56" s="108" t="s">
        <v>29</v>
      </c>
      <c r="C56" s="108" t="s">
        <v>5</v>
      </c>
      <c r="D56" s="108" t="s">
        <v>15</v>
      </c>
      <c r="E56" s="194">
        <v>6030</v>
      </c>
      <c r="F56" s="110">
        <f t="shared" si="4"/>
        <v>1.0411276948590382</v>
      </c>
      <c r="G56" s="111">
        <v>6278</v>
      </c>
      <c r="H56" s="110">
        <f t="shared" si="5"/>
        <v>1.0696699486917067</v>
      </c>
      <c r="I56" s="110">
        <f t="shared" si="1"/>
        <v>1.1136630079413823</v>
      </c>
      <c r="J56" s="111">
        <f t="shared" si="2"/>
        <v>7314.4005419460136</v>
      </c>
      <c r="K56" s="284">
        <f>F17</f>
        <v>86.047877850815723</v>
      </c>
      <c r="L56" s="284">
        <v>86.516831631282031</v>
      </c>
      <c r="M56" s="184" t="s">
        <v>15</v>
      </c>
      <c r="O56" s="424"/>
      <c r="P56" s="425"/>
    </row>
    <row r="57" spans="1:16" x14ac:dyDescent="0.2">
      <c r="A57" s="184" t="s">
        <v>10</v>
      </c>
      <c r="B57" s="108" t="s">
        <v>29</v>
      </c>
      <c r="C57" s="108"/>
      <c r="D57" s="108" t="s">
        <v>10</v>
      </c>
      <c r="E57" s="194">
        <f>6680+190</f>
        <v>6870</v>
      </c>
      <c r="F57" s="110">
        <f t="shared" si="4"/>
        <v>1.0292576419213975</v>
      </c>
      <c r="G57" s="111">
        <v>7071</v>
      </c>
      <c r="H57" s="110">
        <f t="shared" si="5"/>
        <v>1.0696699486917067</v>
      </c>
      <c r="I57" s="110">
        <f t="shared" si="1"/>
        <v>1.1009659690246083</v>
      </c>
      <c r="J57" s="111">
        <f t="shared" si="2"/>
        <v>8238.3125568812138</v>
      </c>
      <c r="K57" s="284">
        <f>F20</f>
        <v>86.047877850815723</v>
      </c>
      <c r="L57" s="284">
        <v>86.516831631282031</v>
      </c>
      <c r="M57" s="184" t="s">
        <v>10</v>
      </c>
      <c r="O57" s="424"/>
      <c r="P57" s="425"/>
    </row>
    <row r="58" spans="1:16" x14ac:dyDescent="0.2">
      <c r="A58" s="184" t="s">
        <v>8</v>
      </c>
      <c r="B58" s="108" t="s">
        <v>29</v>
      </c>
      <c r="C58" s="108" t="s">
        <v>35</v>
      </c>
      <c r="D58" s="108" t="s">
        <v>8</v>
      </c>
      <c r="E58" s="194">
        <v>9530</v>
      </c>
      <c r="F58" s="110">
        <f t="shared" si="4"/>
        <v>1.0116474291710389</v>
      </c>
      <c r="G58" s="111">
        <v>9641</v>
      </c>
      <c r="H58" s="110">
        <f t="shared" si="5"/>
        <v>1.0696699486917067</v>
      </c>
      <c r="I58" s="110">
        <f t="shared" si="1"/>
        <v>1.0821288536554823</v>
      </c>
      <c r="J58" s="111">
        <f t="shared" si="2"/>
        <v>11232.579742736783</v>
      </c>
      <c r="K58" s="284">
        <f>F29</f>
        <v>187.87787785081574</v>
      </c>
      <c r="L58" s="284">
        <v>188.41298703136172</v>
      </c>
      <c r="M58" s="184" t="s">
        <v>8</v>
      </c>
      <c r="O58" s="424"/>
      <c r="P58" s="425"/>
    </row>
    <row r="59" spans="1:16" x14ac:dyDescent="0.2">
      <c r="A59" s="184" t="s">
        <v>18</v>
      </c>
      <c r="B59" s="108" t="s">
        <v>29</v>
      </c>
      <c r="C59" s="108" t="s">
        <v>35</v>
      </c>
      <c r="D59" s="108"/>
      <c r="E59" s="194">
        <v>385</v>
      </c>
      <c r="F59" s="110">
        <f t="shared" si="4"/>
        <v>1</v>
      </c>
      <c r="G59" s="111">
        <v>385</v>
      </c>
      <c r="H59" s="110">
        <f t="shared" si="5"/>
        <v>1.0696699486917067</v>
      </c>
      <c r="I59" s="110">
        <f t="shared" si="1"/>
        <v>1.0696699486917067</v>
      </c>
      <c r="J59" s="111">
        <f t="shared" si="2"/>
        <v>448.55753562427765</v>
      </c>
      <c r="K59" s="284">
        <f>F15</f>
        <v>187.87787785081574</v>
      </c>
      <c r="L59" s="284">
        <v>188.41298703136172</v>
      </c>
      <c r="M59" s="200" t="s">
        <v>18</v>
      </c>
      <c r="O59" s="424"/>
      <c r="P59" s="425"/>
    </row>
    <row r="60" spans="1:16" ht="12.75" customHeight="1" x14ac:dyDescent="0.2">
      <c r="A60" s="114" t="s">
        <v>69</v>
      </c>
      <c r="B60" s="32"/>
      <c r="C60" s="46"/>
      <c r="D60" s="46"/>
      <c r="E60" s="195">
        <f>SUM(E40:E59)</f>
        <v>138162.4</v>
      </c>
      <c r="F60" s="196"/>
      <c r="G60" s="197">
        <f>SUM(G40:G59)</f>
        <v>141714.35535361338</v>
      </c>
      <c r="H60" s="84"/>
      <c r="I60" s="84"/>
      <c r="J60" s="198">
        <f>SUM(J40:J59)</f>
        <v>165109.19999999995</v>
      </c>
      <c r="K60" s="310"/>
      <c r="L60" s="446" t="s">
        <v>234</v>
      </c>
      <c r="M60" s="446"/>
      <c r="O60" s="425"/>
    </row>
    <row r="61" spans="1:16" x14ac:dyDescent="0.2">
      <c r="A61" s="114" t="s">
        <v>233</v>
      </c>
      <c r="B61" s="46"/>
      <c r="C61" s="46"/>
      <c r="D61" s="46"/>
      <c r="E61" s="46"/>
      <c r="F61" s="46"/>
      <c r="G61" s="122" t="s">
        <v>24</v>
      </c>
      <c r="H61" s="46"/>
      <c r="I61" s="46"/>
      <c r="J61" s="46"/>
      <c r="K61" s="46"/>
      <c r="L61" s="447"/>
      <c r="M61" s="447"/>
      <c r="N61" s="46"/>
      <c r="O61" s="46"/>
      <c r="P61" s="23"/>
    </row>
    <row r="62" spans="1:16" ht="12.75" customHeight="1" x14ac:dyDescent="0.2">
      <c r="A62" s="405" t="s">
        <v>237</v>
      </c>
      <c r="B62" s="249"/>
      <c r="C62" s="249"/>
      <c r="D62" s="249"/>
      <c r="E62" s="249"/>
      <c r="F62" s="249"/>
      <c r="G62" s="249"/>
      <c r="H62" s="249"/>
      <c r="I62" s="249"/>
      <c r="J62" s="249"/>
      <c r="K62" s="249"/>
      <c r="L62" s="447"/>
      <c r="M62" s="447"/>
      <c r="N62" s="249"/>
      <c r="O62" s="249"/>
      <c r="P62" s="23"/>
    </row>
    <row r="63" spans="1:16" x14ac:dyDescent="0.2">
      <c r="A63" s="9"/>
      <c r="C63" s="5"/>
      <c r="D63" s="5"/>
      <c r="E63" s="8"/>
      <c r="F63" s="5"/>
      <c r="G63" s="5"/>
      <c r="I63" s="5"/>
      <c r="J63" s="5" t="s">
        <v>24</v>
      </c>
      <c r="M63" s="306" t="s">
        <v>24</v>
      </c>
    </row>
    <row r="64" spans="1:16" x14ac:dyDescent="0.2">
      <c r="A64" s="9"/>
      <c r="C64" s="5"/>
      <c r="D64" s="5"/>
      <c r="E64" s="8"/>
      <c r="F64" s="5"/>
      <c r="G64" s="5"/>
      <c r="H64" s="12" t="s">
        <v>24</v>
      </c>
      <c r="I64" s="5"/>
      <c r="J64" s="5"/>
      <c r="K64" s="119"/>
      <c r="L64" s="119"/>
      <c r="M64" s="287" t="s">
        <v>24</v>
      </c>
      <c r="N64" s="119"/>
    </row>
    <row r="65" spans="1:13" x14ac:dyDescent="0.2">
      <c r="G65" s="119"/>
      <c r="H65" s="12"/>
      <c r="M65" s="281" t="s">
        <v>24</v>
      </c>
    </row>
    <row r="66" spans="1:13" ht="15" x14ac:dyDescent="0.25">
      <c r="A66" s="17"/>
      <c r="H66" s="12"/>
    </row>
    <row r="67" spans="1:13" x14ac:dyDescent="0.2">
      <c r="H67" s="12"/>
    </row>
    <row r="77" spans="1:13" x14ac:dyDescent="0.2">
      <c r="B77" s="4" t="s">
        <v>24</v>
      </c>
    </row>
    <row r="78" spans="1:13" x14ac:dyDescent="0.2">
      <c r="B78" s="4" t="s">
        <v>24</v>
      </c>
    </row>
    <row r="79" spans="1:13" x14ac:dyDescent="0.2">
      <c r="B79" s="4" t="s">
        <v>24</v>
      </c>
      <c r="C79" s="4" t="s">
        <v>24</v>
      </c>
      <c r="D79" s="4" t="s">
        <v>24</v>
      </c>
    </row>
    <row r="80" spans="1:13" x14ac:dyDescent="0.2">
      <c r="B80" s="4" t="s">
        <v>24</v>
      </c>
    </row>
    <row r="81" spans="2:2" x14ac:dyDescent="0.2">
      <c r="B81" s="4" t="s">
        <v>24</v>
      </c>
    </row>
    <row r="82" spans="2:2" x14ac:dyDescent="0.2">
      <c r="B82" s="4" t="s">
        <v>24</v>
      </c>
    </row>
  </sheetData>
  <mergeCells count="1">
    <mergeCell ref="L60:M62"/>
  </mergeCells>
  <phoneticPr fontId="0" type="noConversion"/>
  <pageMargins left="0.5" right="0.5" top="0.5" bottom="0.5" header="0" footer="0"/>
  <pageSetup paperSize="17"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zoomScaleNormal="100" workbookViewId="0"/>
  </sheetViews>
  <sheetFormatPr defaultRowHeight="12.75" x14ac:dyDescent="0.2"/>
  <cols>
    <col min="1" max="1" width="17.5703125" customWidth="1"/>
    <col min="2" max="3" width="12.7109375" customWidth="1"/>
    <col min="4" max="4" width="15.42578125" customWidth="1"/>
    <col min="5" max="10" width="15.7109375" customWidth="1"/>
    <col min="11" max="11" width="17.28515625" bestFit="1" customWidth="1"/>
    <col min="12" max="26" width="15.7109375" customWidth="1"/>
    <col min="27" max="27" width="17.28515625" customWidth="1"/>
    <col min="28" max="32" width="15.7109375" customWidth="1"/>
    <col min="35" max="35" width="12.85546875" customWidth="1"/>
    <col min="37" max="37" width="12.7109375" customWidth="1"/>
  </cols>
  <sheetData>
    <row r="1" spans="1:28" ht="18.75" x14ac:dyDescent="0.3">
      <c r="A1" s="125" t="s">
        <v>177</v>
      </c>
      <c r="B1" s="4"/>
      <c r="C1" s="4"/>
      <c r="D1" s="4"/>
      <c r="E1" s="4"/>
      <c r="F1" s="4"/>
      <c r="G1" s="4"/>
      <c r="H1" s="4"/>
      <c r="I1" s="4"/>
      <c r="J1" s="4"/>
      <c r="K1" s="4"/>
      <c r="L1" s="4"/>
      <c r="M1" s="4"/>
      <c r="N1" s="4"/>
      <c r="O1" s="4"/>
      <c r="P1" s="4"/>
      <c r="Q1" s="4"/>
      <c r="R1" s="4"/>
      <c r="S1" s="4"/>
      <c r="T1" s="4"/>
      <c r="U1" s="4"/>
      <c r="V1" s="4"/>
      <c r="W1" s="4"/>
      <c r="X1" s="4"/>
      <c r="Y1" s="4"/>
    </row>
    <row r="2" spans="1:28" ht="19.5" thickBot="1" x14ac:dyDescent="0.35">
      <c r="A2" s="1" t="s">
        <v>24</v>
      </c>
      <c r="B2" s="4"/>
      <c r="C2" s="4"/>
      <c r="D2" s="14" t="s">
        <v>24</v>
      </c>
      <c r="E2" s="5" t="s">
        <v>24</v>
      </c>
      <c r="F2" s="4"/>
      <c r="G2" s="4"/>
      <c r="H2" s="4"/>
      <c r="I2" s="4"/>
      <c r="J2" s="4"/>
      <c r="K2" s="4"/>
      <c r="L2" s="4"/>
      <c r="M2" s="4"/>
      <c r="N2" s="4"/>
      <c r="O2" s="4"/>
      <c r="P2" s="4"/>
      <c r="Q2" s="4"/>
      <c r="R2" s="4"/>
      <c r="S2" s="4"/>
      <c r="T2" s="4"/>
      <c r="U2" s="4"/>
      <c r="V2" s="4"/>
      <c r="W2" s="4"/>
      <c r="X2" s="4"/>
      <c r="Y2" s="4"/>
    </row>
    <row r="3" spans="1:28" ht="16.5" thickBot="1" x14ac:dyDescent="0.3">
      <c r="A3" s="179" t="s">
        <v>64</v>
      </c>
      <c r="B3" s="115"/>
      <c r="C3" s="115"/>
      <c r="D3" s="224"/>
      <c r="E3" s="224"/>
      <c r="F3" s="225"/>
      <c r="G3" s="23"/>
      <c r="H3" s="126" t="s">
        <v>24</v>
      </c>
      <c r="I3" s="127"/>
      <c r="J3" s="215" t="s">
        <v>24</v>
      </c>
      <c r="K3" s="126"/>
      <c r="L3" s="126"/>
      <c r="M3" s="23"/>
      <c r="N3" s="23"/>
      <c r="O3" s="23"/>
      <c r="P3" s="23"/>
      <c r="Q3" s="23"/>
      <c r="R3" s="23"/>
      <c r="S3" s="23"/>
      <c r="T3" s="23"/>
      <c r="U3" s="23"/>
      <c r="V3" s="23"/>
      <c r="W3" s="23"/>
      <c r="X3" s="23"/>
      <c r="Y3" s="126"/>
      <c r="Z3" s="23"/>
      <c r="AA3" s="23"/>
      <c r="AB3" s="23"/>
    </row>
    <row r="4" spans="1:28" ht="114.75" x14ac:dyDescent="0.2">
      <c r="A4" s="212" t="s">
        <v>3</v>
      </c>
      <c r="B4" s="213" t="s">
        <v>65</v>
      </c>
      <c r="C4" s="213" t="s">
        <v>66</v>
      </c>
      <c r="D4" s="213" t="s">
        <v>85</v>
      </c>
      <c r="E4" s="128" t="s">
        <v>67</v>
      </c>
      <c r="F4" s="128" t="s">
        <v>104</v>
      </c>
      <c r="G4" s="128" t="s">
        <v>75</v>
      </c>
      <c r="H4" s="128" t="s">
        <v>105</v>
      </c>
      <c r="I4" s="372" t="s">
        <v>109</v>
      </c>
      <c r="J4" s="42"/>
      <c r="K4" s="23"/>
      <c r="L4" s="23"/>
      <c r="M4" s="42"/>
      <c r="N4" s="23"/>
      <c r="O4" s="23"/>
      <c r="P4" s="23"/>
      <c r="Q4" s="23"/>
      <c r="R4" s="23"/>
      <c r="S4" s="23"/>
      <c r="T4" s="23"/>
      <c r="U4" s="23"/>
      <c r="V4" s="23"/>
      <c r="W4" s="23"/>
      <c r="X4" s="23"/>
      <c r="Y4" s="23"/>
      <c r="Z4" s="23"/>
      <c r="AA4" s="23"/>
    </row>
    <row r="5" spans="1:28" x14ac:dyDescent="0.2">
      <c r="A5" s="129" t="s">
        <v>29</v>
      </c>
      <c r="B5" s="58">
        <f>'BRA Load Pricing Results'!B14</f>
        <v>65138.709764201922</v>
      </c>
      <c r="C5" s="58">
        <f>'BRA Resource Clearing Results'!F27</f>
        <v>65817.900000000009</v>
      </c>
      <c r="D5" s="241">
        <f>B5-C5-76.7</f>
        <v>-755.89023579808713</v>
      </c>
      <c r="E5" s="130">
        <f>'BRA Resource Clearing Results'!B84</f>
        <v>0</v>
      </c>
      <c r="F5" s="63">
        <f t="shared" ref="F5:F16" si="0">D5-E5</f>
        <v>-755.89023579808713</v>
      </c>
      <c r="G5" s="63">
        <f>'BRA ICTRs'!C31</f>
        <v>0</v>
      </c>
      <c r="H5" s="63">
        <f>'BRA ICTRs'!C13+'BRA ICTRs'!C21</f>
        <v>0</v>
      </c>
      <c r="I5" s="373">
        <f t="shared" ref="I5:I13" si="1">F5-G5-H5</f>
        <v>-755.89023579808713</v>
      </c>
      <c r="J5" s="276" t="s">
        <v>24</v>
      </c>
      <c r="K5" s="427"/>
      <c r="L5" s="23"/>
      <c r="M5" s="430"/>
      <c r="N5" s="23"/>
      <c r="O5" s="23"/>
      <c r="P5" s="23"/>
      <c r="Q5" s="23"/>
      <c r="R5" s="23"/>
      <c r="S5" s="23"/>
      <c r="T5" s="23"/>
      <c r="U5" s="23"/>
      <c r="V5" s="23"/>
      <c r="W5" s="23"/>
      <c r="X5" s="23"/>
      <c r="Y5" s="23"/>
      <c r="Z5" s="23"/>
      <c r="AA5" s="23"/>
    </row>
    <row r="6" spans="1:28" x14ac:dyDescent="0.2">
      <c r="A6" s="129" t="s">
        <v>35</v>
      </c>
      <c r="B6" s="58">
        <f>'BRA Load Pricing Results'!B15</f>
        <v>35369.635497355383</v>
      </c>
      <c r="C6" s="58">
        <f>'BRA Resource Clearing Results'!F28</f>
        <v>29608.2</v>
      </c>
      <c r="D6" s="60">
        <f>B6-C6-25.1</f>
        <v>5736.3354973553814</v>
      </c>
      <c r="E6" s="130">
        <f>'BRA Resource Clearing Results'!B85</f>
        <v>0</v>
      </c>
      <c r="F6" s="63">
        <f t="shared" si="0"/>
        <v>5736.3354973553814</v>
      </c>
      <c r="G6" s="63">
        <f>'BRA ICTRs'!D31</f>
        <v>40</v>
      </c>
      <c r="H6" s="63">
        <f>'BRA ICTRs'!D13+'BRA ICTRs'!D21</f>
        <v>948</v>
      </c>
      <c r="I6" s="373">
        <f t="shared" si="1"/>
        <v>4748.3354973553814</v>
      </c>
      <c r="J6" s="183"/>
      <c r="K6" s="427"/>
      <c r="L6" s="23"/>
      <c r="M6" s="430"/>
      <c r="N6" s="23"/>
      <c r="O6" s="23"/>
      <c r="P6" s="23"/>
      <c r="Q6" s="23"/>
      <c r="R6" s="23"/>
      <c r="S6" s="23"/>
      <c r="T6" s="23"/>
      <c r="U6" s="23"/>
      <c r="V6" s="23"/>
      <c r="W6" s="23"/>
      <c r="X6" s="23"/>
      <c r="Y6" s="23"/>
      <c r="Z6" s="23"/>
      <c r="AA6" s="23"/>
    </row>
    <row r="7" spans="1:28" x14ac:dyDescent="0.2">
      <c r="A7" s="129" t="s">
        <v>5</v>
      </c>
      <c r="B7" s="58">
        <f>'BRA Load Pricing Results'!B16</f>
        <v>14964.345422229148</v>
      </c>
      <c r="C7" s="58">
        <f>'BRA Resource Clearing Results'!F29</f>
        <v>10354.4</v>
      </c>
      <c r="D7" s="60">
        <f>B7-C7</f>
        <v>4609.9454222291479</v>
      </c>
      <c r="E7" s="130">
        <f>'BRA Resource Clearing Results'!B86</f>
        <v>0</v>
      </c>
      <c r="F7" s="63">
        <f t="shared" si="0"/>
        <v>4609.9454222291479</v>
      </c>
      <c r="G7" s="130">
        <f>'BRA ICTRs'!E31</f>
        <v>0</v>
      </c>
      <c r="H7" s="63">
        <f>'BRA ICTRs'!E13+'BRA ICTRs'!E21</f>
        <v>1044</v>
      </c>
      <c r="I7" s="373">
        <f t="shared" si="1"/>
        <v>3565.9454222291479</v>
      </c>
      <c r="J7" s="183"/>
      <c r="K7" s="427"/>
      <c r="L7" s="23"/>
      <c r="M7" s="50"/>
      <c r="N7" s="23"/>
      <c r="O7" s="23"/>
      <c r="P7" s="23"/>
      <c r="Q7" s="23"/>
      <c r="R7" s="23"/>
      <c r="S7" s="23"/>
      <c r="T7" s="23"/>
      <c r="U7" s="23"/>
      <c r="V7" s="23"/>
      <c r="W7" s="23"/>
      <c r="X7" s="23"/>
      <c r="Y7" s="23"/>
      <c r="Z7" s="23"/>
      <c r="AA7" s="23"/>
    </row>
    <row r="8" spans="1:28" x14ac:dyDescent="0.2">
      <c r="A8" s="129" t="s">
        <v>42</v>
      </c>
      <c r="B8" s="58">
        <f>'BRA Load Pricing Results'!J58</f>
        <v>11232.579742736783</v>
      </c>
      <c r="C8" s="58">
        <f>'BRA Load Pricing Results'!C29</f>
        <v>5097.2</v>
      </c>
      <c r="D8" s="60">
        <f>B8-C8</f>
        <v>6135.3797427367836</v>
      </c>
      <c r="E8" s="130">
        <f>IF('BRA Resource Clearing Results'!D87+'BRA Resource Clearing Results'!D88=0,0,('BRA Resource Clearing Results'!D87+'BRA Resource Clearing Results'!D88)/'BRA Load Pricing Results'!D29)</f>
        <v>0</v>
      </c>
      <c r="F8" s="63">
        <f t="shared" si="0"/>
        <v>6135.3797427367836</v>
      </c>
      <c r="G8" s="63">
        <f>'BRA ICTRs'!F31+'BRA ICTRs'!G31</f>
        <v>62</v>
      </c>
      <c r="H8" s="63">
        <f>'BRA ICTRs'!F13+'BRA ICTRs'!G13+'BRA ICTRs'!F21+'BRA ICTRs'!G21</f>
        <v>1099.4000000000001</v>
      </c>
      <c r="I8" s="373">
        <f t="shared" si="1"/>
        <v>4973.979742736783</v>
      </c>
      <c r="J8" s="183" t="s">
        <v>24</v>
      </c>
      <c r="K8" s="427"/>
      <c r="L8" s="23"/>
      <c r="M8" s="50"/>
      <c r="N8" s="23"/>
      <c r="O8" s="23"/>
      <c r="P8" s="23"/>
      <c r="Q8" s="23"/>
      <c r="R8" s="23"/>
      <c r="S8" s="23"/>
      <c r="T8" s="23"/>
      <c r="U8" s="23"/>
      <c r="V8" s="23"/>
      <c r="W8" s="23"/>
      <c r="X8" s="23"/>
      <c r="Y8" s="23"/>
      <c r="Z8" s="23"/>
      <c r="AA8" s="23"/>
    </row>
    <row r="9" spans="1:28" x14ac:dyDescent="0.2">
      <c r="A9" s="129" t="s">
        <v>40</v>
      </c>
      <c r="B9" s="58">
        <f>'BRA Load Pricing Results'!J50</f>
        <v>4478.5848491940869</v>
      </c>
      <c r="C9" s="58">
        <f>'BRA Load Pricing Results'!C32</f>
        <v>5373.2</v>
      </c>
      <c r="D9" s="241">
        <f t="shared" ref="D9:D14" si="2">B9-C9</f>
        <v>-894.61515080591289</v>
      </c>
      <c r="E9" s="130">
        <f>IF('BRA Resource Clearing Results'!D89=0,0,('BRA Resource Clearing Results'!D89/'BRA Load Pricing Results'!D32))</f>
        <v>0</v>
      </c>
      <c r="F9" s="130">
        <f t="shared" si="0"/>
        <v>-894.61515080591289</v>
      </c>
      <c r="G9" s="130">
        <f>'BRA ICTRs'!I24+'BRA ICTRs'!I27</f>
        <v>0</v>
      </c>
      <c r="H9" s="131">
        <f>'BRA ICTRs'!I13+'BRA ICTRs'!I21</f>
        <v>0</v>
      </c>
      <c r="I9" s="373">
        <f t="shared" si="1"/>
        <v>-894.61515080591289</v>
      </c>
      <c r="J9" s="183"/>
      <c r="K9" s="427"/>
      <c r="L9" s="23"/>
      <c r="M9" s="50"/>
      <c r="N9" s="23"/>
      <c r="O9" s="23"/>
      <c r="P9" s="23"/>
      <c r="Q9" s="23"/>
      <c r="R9" s="23"/>
      <c r="S9" s="23"/>
      <c r="T9" s="23"/>
      <c r="U9" s="23"/>
      <c r="V9" s="23"/>
      <c r="W9" s="23"/>
      <c r="X9" s="23"/>
      <c r="Y9" s="23"/>
      <c r="Z9" s="23"/>
      <c r="AA9" s="23"/>
    </row>
    <row r="10" spans="1:28" x14ac:dyDescent="0.2">
      <c r="A10" s="129" t="s">
        <v>15</v>
      </c>
      <c r="B10" s="58">
        <f>'BRA Load Pricing Results'!J56</f>
        <v>7314.4005419460136</v>
      </c>
      <c r="C10" s="58">
        <f>'BRA Resource Clearing Results'!F33</f>
        <v>5918.6</v>
      </c>
      <c r="D10" s="60">
        <f t="shared" si="2"/>
        <v>1395.8005419460133</v>
      </c>
      <c r="E10" s="130">
        <f>'BRA Resource Clearing Results'!B90</f>
        <v>0</v>
      </c>
      <c r="F10" s="63">
        <f t="shared" si="0"/>
        <v>1395.8005419460133</v>
      </c>
      <c r="G10" s="130">
        <f>'BRA ICTRs'!J31</f>
        <v>0</v>
      </c>
      <c r="H10" s="63">
        <f>'BRA ICTRs'!J13+'BRA ICTRs'!J21</f>
        <v>490</v>
      </c>
      <c r="I10" s="373">
        <f t="shared" si="1"/>
        <v>905.80054194601325</v>
      </c>
      <c r="J10" s="183"/>
      <c r="K10" s="427"/>
      <c r="L10" s="23"/>
      <c r="M10" s="50"/>
      <c r="N10" s="23"/>
      <c r="O10" s="23"/>
      <c r="P10" s="23"/>
      <c r="Q10" s="23"/>
      <c r="R10" s="23"/>
      <c r="S10" s="23"/>
      <c r="T10" s="23"/>
      <c r="U10" s="23"/>
      <c r="V10" s="23"/>
      <c r="W10" s="23"/>
      <c r="X10" s="23"/>
      <c r="Y10" s="23"/>
      <c r="Z10" s="23"/>
      <c r="AA10" s="23"/>
    </row>
    <row r="11" spans="1:28" x14ac:dyDescent="0.2">
      <c r="A11" s="129" t="s">
        <v>120</v>
      </c>
      <c r="B11" s="58">
        <f>'BRA Load Pricing Results'!J43</f>
        <v>14572.877027502507</v>
      </c>
      <c r="C11" s="58">
        <f>'BRA Load Pricing Results'!C35</f>
        <v>9925.1</v>
      </c>
      <c r="D11" s="60">
        <f t="shared" si="2"/>
        <v>4647.7770275025068</v>
      </c>
      <c r="E11" s="130">
        <f>IF('BRA Resource Clearing Results'!D91+'BRA Resource Clearing Results'!D92=0,0,('BRA Resource Clearing Results'!D91+'BRA Resource Clearing Results'!D92)/'BRA Load Pricing Results'!D35)</f>
        <v>0</v>
      </c>
      <c r="F11" s="63">
        <f t="shared" si="0"/>
        <v>4647.7770275025068</v>
      </c>
      <c r="G11" s="130">
        <v>0</v>
      </c>
      <c r="H11" s="130">
        <v>0</v>
      </c>
      <c r="I11" s="373">
        <f t="shared" si="1"/>
        <v>4647.7770275025068</v>
      </c>
      <c r="J11" s="183"/>
      <c r="K11" s="427"/>
      <c r="L11" s="23"/>
      <c r="M11" s="50"/>
      <c r="N11" s="23"/>
      <c r="O11" s="23"/>
      <c r="P11" s="23"/>
      <c r="Q11" s="23"/>
      <c r="R11" s="23"/>
      <c r="S11" s="23"/>
      <c r="T11" s="23"/>
      <c r="U11" s="23"/>
      <c r="V11" s="23"/>
      <c r="W11" s="23"/>
      <c r="X11" s="23"/>
      <c r="Y11" s="23"/>
      <c r="Z11" s="23"/>
      <c r="AA11" s="23"/>
    </row>
    <row r="12" spans="1:28" x14ac:dyDescent="0.2">
      <c r="A12" s="132" t="s">
        <v>20</v>
      </c>
      <c r="B12" s="58">
        <f>'BRA Load Pricing Results'!J45</f>
        <v>25153.009445694886</v>
      </c>
      <c r="C12" s="58">
        <f>'BRA Resource Clearing Results'!F36</f>
        <v>23960.300000000003</v>
      </c>
      <c r="D12" s="60">
        <f t="shared" si="2"/>
        <v>1192.7094456948835</v>
      </c>
      <c r="E12" s="130">
        <f>'BRA Resource Clearing Results'!B93</f>
        <v>0</v>
      </c>
      <c r="F12" s="63">
        <f t="shared" si="0"/>
        <v>1192.7094456948835</v>
      </c>
      <c r="G12" s="130">
        <v>0</v>
      </c>
      <c r="H12" s="130">
        <v>0</v>
      </c>
      <c r="I12" s="373">
        <f t="shared" si="1"/>
        <v>1192.7094456948835</v>
      </c>
      <c r="J12" s="183"/>
      <c r="K12" s="427"/>
      <c r="L12" s="23"/>
      <c r="M12" s="50"/>
      <c r="N12" s="23"/>
      <c r="O12" s="23"/>
      <c r="P12" s="23"/>
      <c r="Q12" s="23"/>
      <c r="R12" s="23"/>
      <c r="S12" s="23"/>
      <c r="T12" s="23"/>
      <c r="U12" s="23"/>
      <c r="V12" s="23"/>
      <c r="W12" s="23"/>
      <c r="X12" s="23"/>
      <c r="Y12" s="23"/>
      <c r="Z12" s="23"/>
      <c r="AA12" s="23"/>
    </row>
    <row r="13" spans="1:28" x14ac:dyDescent="0.2">
      <c r="A13" s="132" t="s">
        <v>11</v>
      </c>
      <c r="B13" s="58">
        <f>'BRA Load Pricing Results'!J44</f>
        <v>7649.9448802831348</v>
      </c>
      <c r="C13" s="133">
        <f>'BRA Resource Clearing Results'!F37</f>
        <v>2296.9</v>
      </c>
      <c r="D13" s="60">
        <f t="shared" si="2"/>
        <v>5353.0448802831343</v>
      </c>
      <c r="E13" s="130">
        <f>'BRA Resource Clearing Results'!B94</f>
        <v>0</v>
      </c>
      <c r="F13" s="63">
        <f t="shared" si="0"/>
        <v>5353.0448802831343</v>
      </c>
      <c r="G13" s="63">
        <f>'BRA ICTRs'!K31</f>
        <v>65.7</v>
      </c>
      <c r="H13" s="63">
        <f>'BRA ICTRs'!K13+'BRA ICTRs'!K21</f>
        <v>306</v>
      </c>
      <c r="I13" s="373">
        <f t="shared" si="1"/>
        <v>4981.3448802831344</v>
      </c>
      <c r="J13" s="183"/>
      <c r="K13" s="427"/>
      <c r="L13" s="23"/>
      <c r="M13" s="50"/>
      <c r="N13" s="23"/>
      <c r="O13" s="23"/>
      <c r="P13" s="23"/>
      <c r="Q13" s="23"/>
      <c r="R13" s="23"/>
      <c r="S13" s="23"/>
      <c r="T13" s="23"/>
      <c r="U13" s="23"/>
      <c r="V13" s="23"/>
      <c r="W13" s="23"/>
      <c r="X13" s="23"/>
      <c r="Y13" s="23"/>
      <c r="Z13" s="23"/>
      <c r="AA13" s="23"/>
    </row>
    <row r="14" spans="1:28" x14ac:dyDescent="0.2">
      <c r="A14" s="250" t="s">
        <v>10</v>
      </c>
      <c r="B14" s="251">
        <f>'BRA Load Pricing Results'!J57</f>
        <v>8238.3125568812138</v>
      </c>
      <c r="C14" s="252">
        <f>'BRA Resource Clearing Results'!D57</f>
        <v>10345</v>
      </c>
      <c r="D14" s="241">
        <f t="shared" si="2"/>
        <v>-2106.6874431187862</v>
      </c>
      <c r="E14" s="130">
        <f>'BRA Resource Clearing Results'!B95</f>
        <v>0</v>
      </c>
      <c r="F14" s="253">
        <f t="shared" ref="F14:F15" si="3">D14-E14</f>
        <v>-2106.6874431187862</v>
      </c>
      <c r="G14" s="253">
        <v>0</v>
      </c>
      <c r="H14" s="253">
        <v>0</v>
      </c>
      <c r="I14" s="374">
        <f t="shared" ref="I14:I15" si="4">F14-G14-H14</f>
        <v>-2106.6874431187862</v>
      </c>
      <c r="J14" s="183"/>
      <c r="K14" s="427"/>
      <c r="L14" s="23"/>
      <c r="M14" s="50"/>
      <c r="N14" s="23"/>
      <c r="O14" s="23"/>
      <c r="P14" s="23"/>
      <c r="Q14" s="23"/>
      <c r="R14" s="23"/>
      <c r="S14" s="23"/>
      <c r="T14" s="23"/>
      <c r="U14" s="23"/>
      <c r="V14" s="23"/>
      <c r="W14" s="23"/>
      <c r="X14" s="23"/>
      <c r="Y14" s="23"/>
      <c r="Z14" s="23"/>
      <c r="AA14" s="23"/>
    </row>
    <row r="15" spans="1:28" x14ac:dyDescent="0.2">
      <c r="A15" s="132" t="s">
        <v>21</v>
      </c>
      <c r="B15" s="58">
        <f>'BRA Load Pricing Results'!J46</f>
        <v>3850.6042993200977</v>
      </c>
      <c r="C15" s="133">
        <f>'BRA Resource Clearing Results'!D58</f>
        <v>1527.1</v>
      </c>
      <c r="D15" s="241">
        <f>B15-C15</f>
        <v>2323.5042993200977</v>
      </c>
      <c r="E15" s="130">
        <f>'BRA Resource Clearing Results'!B96</f>
        <v>0</v>
      </c>
      <c r="F15" s="63">
        <f t="shared" si="3"/>
        <v>2323.5042993200977</v>
      </c>
      <c r="G15" s="130">
        <v>0</v>
      </c>
      <c r="H15" s="130">
        <v>0</v>
      </c>
      <c r="I15" s="373">
        <f t="shared" si="4"/>
        <v>2323.5042993200977</v>
      </c>
      <c r="J15" s="183"/>
      <c r="K15" s="427"/>
      <c r="L15" s="23"/>
      <c r="M15" s="50"/>
      <c r="N15" s="23"/>
      <c r="O15" s="23"/>
      <c r="P15" s="23"/>
      <c r="Q15" s="23"/>
      <c r="R15" s="23"/>
      <c r="S15" s="23"/>
      <c r="T15" s="23"/>
      <c r="U15" s="23"/>
      <c r="V15" s="23"/>
      <c r="W15" s="23"/>
      <c r="X15" s="23"/>
      <c r="Y15" s="23"/>
      <c r="Z15" s="23"/>
      <c r="AA15" s="23"/>
    </row>
    <row r="16" spans="1:28" ht="13.5" thickBot="1" x14ac:dyDescent="0.25">
      <c r="A16" s="254" t="s">
        <v>52</v>
      </c>
      <c r="B16" s="255">
        <f>'BRA Load Pricing Results'!J47</f>
        <v>5204.9821298477664</v>
      </c>
      <c r="C16" s="256">
        <f>'BRA Resource Clearing Results'!D59</f>
        <v>2430.3000000000002</v>
      </c>
      <c r="D16" s="314">
        <f>B16-C16</f>
        <v>2774.6821298477662</v>
      </c>
      <c r="E16" s="134">
        <f>'BRA Resource Clearing Results'!B97</f>
        <v>0</v>
      </c>
      <c r="F16" s="258">
        <f t="shared" si="0"/>
        <v>2774.6821298477662</v>
      </c>
      <c r="G16" s="258">
        <f>'BRA ICTRs'!L31</f>
        <v>155</v>
      </c>
      <c r="H16" s="134">
        <f>'BRA ICTRs'!L13+'BRA ICTRs'!L21</f>
        <v>0</v>
      </c>
      <c r="I16" s="375">
        <f>F16-G16-H16</f>
        <v>2619.6821298477662</v>
      </c>
      <c r="J16" s="183"/>
      <c r="K16" s="427"/>
      <c r="L16" s="23"/>
      <c r="M16" s="50"/>
      <c r="N16" s="23"/>
      <c r="O16" s="23"/>
      <c r="P16" s="23"/>
      <c r="Q16" s="23"/>
      <c r="R16" s="23"/>
      <c r="S16" s="23"/>
      <c r="T16" s="23"/>
      <c r="U16" s="23"/>
      <c r="V16" s="23"/>
      <c r="W16" s="23"/>
      <c r="X16" s="23"/>
      <c r="Y16" s="23"/>
      <c r="Z16" s="23"/>
      <c r="AA16" s="23"/>
    </row>
    <row r="17" spans="1:37" x14ac:dyDescent="0.2">
      <c r="A17" s="46" t="s">
        <v>86</v>
      </c>
      <c r="B17" s="46"/>
      <c r="C17" s="46"/>
      <c r="E17" s="46"/>
      <c r="F17" s="70"/>
      <c r="G17" s="71"/>
      <c r="H17" s="91"/>
      <c r="I17" s="71"/>
      <c r="J17" s="53"/>
      <c r="K17" s="136"/>
      <c r="L17" s="428"/>
      <c r="M17" s="23"/>
      <c r="N17" s="50"/>
      <c r="O17" s="23"/>
      <c r="P17" s="23"/>
      <c r="Q17" s="23"/>
      <c r="R17" s="23"/>
      <c r="S17" s="23"/>
      <c r="T17" s="23"/>
      <c r="U17" s="23"/>
      <c r="V17" s="23"/>
      <c r="W17" s="23"/>
      <c r="X17" s="23"/>
      <c r="Y17" s="23"/>
      <c r="Z17" s="23"/>
      <c r="AA17" s="23"/>
      <c r="AB17" s="23"/>
    </row>
    <row r="18" spans="1:37" ht="12.75" customHeight="1" thickBot="1" x14ac:dyDescent="0.25">
      <c r="A18" s="135"/>
      <c r="B18" s="46"/>
      <c r="C18" s="46"/>
      <c r="D18" s="70"/>
      <c r="E18" s="137"/>
      <c r="F18" s="70"/>
      <c r="G18" s="71"/>
      <c r="H18" s="91"/>
      <c r="I18" s="71"/>
      <c r="J18" s="53"/>
      <c r="K18" s="136"/>
      <c r="L18" s="23"/>
      <c r="M18" s="23"/>
      <c r="N18" s="50"/>
      <c r="O18" s="23"/>
      <c r="P18" s="23"/>
      <c r="Q18" s="23"/>
      <c r="R18" s="23"/>
      <c r="S18" s="23"/>
      <c r="T18" s="23"/>
      <c r="U18" s="23"/>
      <c r="V18" s="23"/>
      <c r="W18" s="23"/>
      <c r="X18" s="23"/>
      <c r="Y18" s="23"/>
      <c r="Z18" s="23"/>
      <c r="AA18" s="23"/>
      <c r="AB18" s="23"/>
    </row>
    <row r="19" spans="1:37" ht="15" customHeight="1" thickBot="1" x14ac:dyDescent="0.25">
      <c r="A19" s="450" t="s">
        <v>83</v>
      </c>
      <c r="B19" s="451"/>
      <c r="C19" s="451"/>
      <c r="D19" s="452"/>
      <c r="E19" s="138"/>
      <c r="F19" s="23"/>
      <c r="G19" s="23"/>
      <c r="H19" s="23"/>
      <c r="I19" s="23"/>
      <c r="J19" s="23"/>
      <c r="K19" s="23"/>
      <c r="L19" s="23"/>
      <c r="M19" s="23"/>
      <c r="N19" s="23"/>
      <c r="O19" s="23"/>
      <c r="P19" s="23"/>
      <c r="Q19" s="23"/>
      <c r="R19" s="23"/>
      <c r="S19" s="23"/>
      <c r="T19" s="23"/>
      <c r="U19" s="23"/>
      <c r="V19" s="23"/>
      <c r="W19" s="23"/>
      <c r="X19" s="23"/>
      <c r="Y19" s="23"/>
      <c r="Z19" s="23"/>
      <c r="AA19" s="23"/>
      <c r="AB19" s="23"/>
    </row>
    <row r="20" spans="1:37" x14ac:dyDescent="0.2">
      <c r="A20" s="453"/>
      <c r="B20" s="454"/>
      <c r="C20" s="454"/>
      <c r="D20" s="455"/>
      <c r="E20" s="448" t="s">
        <v>29</v>
      </c>
      <c r="F20" s="449"/>
      <c r="G20" s="448" t="s">
        <v>35</v>
      </c>
      <c r="H20" s="449"/>
      <c r="I20" s="448" t="s">
        <v>5</v>
      </c>
      <c r="J20" s="449"/>
      <c r="K20" s="448" t="s">
        <v>42</v>
      </c>
      <c r="L20" s="449"/>
      <c r="M20" s="448" t="s">
        <v>40</v>
      </c>
      <c r="N20" s="449"/>
      <c r="O20" s="448" t="s">
        <v>15</v>
      </c>
      <c r="P20" s="449"/>
      <c r="Q20" s="448" t="s">
        <v>120</v>
      </c>
      <c r="R20" s="449"/>
      <c r="S20" s="448" t="s">
        <v>20</v>
      </c>
      <c r="T20" s="449"/>
      <c r="U20" s="448" t="s">
        <v>11</v>
      </c>
      <c r="V20" s="449"/>
      <c r="W20" s="448" t="s">
        <v>10</v>
      </c>
      <c r="X20" s="449"/>
      <c r="Y20" s="448" t="s">
        <v>21</v>
      </c>
      <c r="Z20" s="449"/>
      <c r="AA20" s="448" t="s">
        <v>52</v>
      </c>
      <c r="AB20" s="449"/>
      <c r="AC20" s="23"/>
      <c r="AD20" s="23"/>
      <c r="AE20" s="23"/>
      <c r="AF20" s="23"/>
    </row>
    <row r="21" spans="1:37" ht="30.75" customHeight="1" thickBot="1" x14ac:dyDescent="0.25">
      <c r="A21" s="456"/>
      <c r="B21" s="457"/>
      <c r="C21" s="457"/>
      <c r="D21" s="458"/>
      <c r="E21" s="154" t="s">
        <v>43</v>
      </c>
      <c r="F21" s="139">
        <f>'BRA Resource Clearing Results'!C6</f>
        <v>9.51</v>
      </c>
      <c r="G21" s="154" t="s">
        <v>43</v>
      </c>
      <c r="H21" s="139">
        <f>'BRA Resource Clearing Results'!C7</f>
        <v>101.83</v>
      </c>
      <c r="I21" s="154" t="s">
        <v>43</v>
      </c>
      <c r="J21" s="139">
        <f>'BRA Resource Clearing Results'!C8</f>
        <v>0</v>
      </c>
      <c r="K21" s="154" t="s">
        <v>43</v>
      </c>
      <c r="L21" s="139">
        <f>'BRA Load Pricing Results'!D29</f>
        <v>0</v>
      </c>
      <c r="M21" s="154" t="s">
        <v>43</v>
      </c>
      <c r="N21" s="155">
        <f>'BRA Load Pricing Results'!D32</f>
        <v>0</v>
      </c>
      <c r="O21" s="154" t="s">
        <v>43</v>
      </c>
      <c r="P21" s="155">
        <f>'BRA Resource Clearing Results'!C12</f>
        <v>0</v>
      </c>
      <c r="Q21" s="154" t="s">
        <v>43</v>
      </c>
      <c r="R21" s="155">
        <f>'BRA Load Pricing Results'!D35</f>
        <v>0</v>
      </c>
      <c r="S21" s="154" t="s">
        <v>43</v>
      </c>
      <c r="T21" s="155">
        <f>'BRA Resource Clearing Results'!C15</f>
        <v>111.59</v>
      </c>
      <c r="U21" s="154" t="s">
        <v>43</v>
      </c>
      <c r="V21" s="155">
        <f>'BRA Resource Clearing Results'!C16</f>
        <v>0</v>
      </c>
      <c r="W21" s="154" t="s">
        <v>43</v>
      </c>
      <c r="X21" s="155">
        <f>'BRA Resource Clearing Results'!C17</f>
        <v>0</v>
      </c>
      <c r="Y21" s="154" t="s">
        <v>43</v>
      </c>
      <c r="Z21" s="155">
        <f>'BRA Resource Clearing Results'!C18</f>
        <v>0</v>
      </c>
      <c r="AA21" s="154" t="s">
        <v>43</v>
      </c>
      <c r="AB21" s="155">
        <f>'BRA Resource Clearing Results'!C19</f>
        <v>53.47</v>
      </c>
      <c r="AC21" s="23"/>
      <c r="AD21" s="23"/>
      <c r="AE21" s="23"/>
      <c r="AF21" s="126"/>
    </row>
    <row r="22" spans="1:37" ht="63.75" x14ac:dyDescent="0.2">
      <c r="A22" s="105" t="s">
        <v>7</v>
      </c>
      <c r="B22" s="106" t="s">
        <v>28</v>
      </c>
      <c r="C22" s="106" t="s">
        <v>27</v>
      </c>
      <c r="D22" s="107" t="s">
        <v>33</v>
      </c>
      <c r="E22" s="105" t="s">
        <v>151</v>
      </c>
      <c r="F22" s="107" t="s">
        <v>152</v>
      </c>
      <c r="G22" s="105" t="s">
        <v>151</v>
      </c>
      <c r="H22" s="107" t="s">
        <v>152</v>
      </c>
      <c r="I22" s="105" t="s">
        <v>151</v>
      </c>
      <c r="J22" s="107" t="s">
        <v>152</v>
      </c>
      <c r="K22" s="105" t="s">
        <v>153</v>
      </c>
      <c r="L22" s="107" t="s">
        <v>152</v>
      </c>
      <c r="M22" s="105" t="s">
        <v>151</v>
      </c>
      <c r="N22" s="107" t="s">
        <v>154</v>
      </c>
      <c r="O22" s="105" t="s">
        <v>151</v>
      </c>
      <c r="P22" s="107" t="s">
        <v>154</v>
      </c>
      <c r="Q22" s="105" t="s">
        <v>151</v>
      </c>
      <c r="R22" s="107" t="s">
        <v>154</v>
      </c>
      <c r="S22" s="105" t="s">
        <v>151</v>
      </c>
      <c r="T22" s="107" t="s">
        <v>154</v>
      </c>
      <c r="U22" s="105" t="s">
        <v>151</v>
      </c>
      <c r="V22" s="107" t="s">
        <v>154</v>
      </c>
      <c r="W22" s="105" t="s">
        <v>151</v>
      </c>
      <c r="X22" s="107" t="s">
        <v>152</v>
      </c>
      <c r="Y22" s="105" t="s">
        <v>151</v>
      </c>
      <c r="Z22" s="107" t="s">
        <v>154</v>
      </c>
      <c r="AA22" s="105" t="s">
        <v>151</v>
      </c>
      <c r="AB22" s="107" t="s">
        <v>152</v>
      </c>
      <c r="AC22" s="105" t="s">
        <v>80</v>
      </c>
      <c r="AD22" s="106" t="s">
        <v>155</v>
      </c>
      <c r="AE22" s="367" t="s">
        <v>51</v>
      </c>
      <c r="AF22" s="368" t="s">
        <v>156</v>
      </c>
      <c r="AG22" s="10"/>
    </row>
    <row r="23" spans="1:37" x14ac:dyDescent="0.2">
      <c r="A23" s="68" t="s">
        <v>16</v>
      </c>
      <c r="B23" s="108" t="s">
        <v>29</v>
      </c>
      <c r="C23" s="108" t="s">
        <v>35</v>
      </c>
      <c r="D23" s="109"/>
      <c r="E23" s="140">
        <f>IF(B23="MAAC",$I$5*'BRA Load Pricing Results'!J40/'BRA Load Pricing Results'!$B$14,0)</f>
        <v>-32.01538354057255</v>
      </c>
      <c r="F23" s="141">
        <f>E23*$F$21</f>
        <v>-304.46629747084495</v>
      </c>
      <c r="G23" s="140">
        <f>IF(C23="EMAAC",$I$6*'BRA Load Pricing Results'!J40/'BRA Load Pricing Results'!$B$15,0)</f>
        <v>370.382056055654</v>
      </c>
      <c r="H23" s="141">
        <f>G23*$H$21</f>
        <v>37716.00476814725</v>
      </c>
      <c r="I23" s="140">
        <f>IF(C23="SWMAAC",$I$7*'BRA Load Pricing Results'!J40/'BRA Load Pricing Results'!$B$16,0)</f>
        <v>0</v>
      </c>
      <c r="J23" s="141">
        <f>I23*$J$21</f>
        <v>0</v>
      </c>
      <c r="K23" s="140">
        <f>IF(D23="PS",$I$8*'BRA Load Pricing Results'!J40/'BRA Load Pricing Results'!$J$58,0)</f>
        <v>0</v>
      </c>
      <c r="L23" s="141">
        <f>K23*$L$21</f>
        <v>0</v>
      </c>
      <c r="M23" s="140">
        <f>IF(D23="DPL",$I$9*'BRA Load Pricing Results'!J40/'BRA Load Pricing Results'!$J$50,0)</f>
        <v>0</v>
      </c>
      <c r="N23" s="141">
        <f>M23*$N$21</f>
        <v>0</v>
      </c>
      <c r="O23" s="140">
        <f>IF(D23="PEPCO",$I$10*'BRA Load Pricing Results'!J40/'BRA Load Pricing Results'!$J$56,0)</f>
        <v>0</v>
      </c>
      <c r="P23" s="141">
        <f>O23*$P$21</f>
        <v>0</v>
      </c>
      <c r="Q23" s="140">
        <f>IF(D23="ATSI",$I$11*'BRA Load Pricing Results'!J40/'BRA Load Pricing Results'!$J$43,0)</f>
        <v>0</v>
      </c>
      <c r="R23" s="141">
        <f>Q23*$R$21</f>
        <v>0</v>
      </c>
      <c r="S23" s="140">
        <f>IF(D23="COMED",$I$12*'BRA Load Pricing Results'!J40/'BRA Load Pricing Results'!$J$45,0)</f>
        <v>0</v>
      </c>
      <c r="T23" s="141">
        <f>S23*$T$21</f>
        <v>0</v>
      </c>
      <c r="U23" s="140">
        <f>IF(D23="BGE",$I$13*'BRA Load Pricing Results'!J40/'BRA Load Pricing Results'!$J$44,0)</f>
        <v>0</v>
      </c>
      <c r="V23" s="141">
        <f>U23*$V$21</f>
        <v>0</v>
      </c>
      <c r="W23" s="140">
        <f>IF(D23="PL",$I$14*'BRA Load Pricing Results'!J40/'BRA Load Pricing Results'!$J$57,0)</f>
        <v>0</v>
      </c>
      <c r="X23" s="141">
        <f>W23*$X$21</f>
        <v>0</v>
      </c>
      <c r="Y23" s="140">
        <f>IF(D23="DAYTON",$I$15*'BRA Load Pricing Results'!J40/'BRA Load Pricing Results'!$J$46,0)</f>
        <v>0</v>
      </c>
      <c r="Z23" s="141">
        <f>Y23*$Z$21</f>
        <v>0</v>
      </c>
      <c r="AA23" s="140">
        <f>IF(D23="DEOK",$I$16*'BRA Load Pricing Results'!J40/'BRA Load Pricing Results'!$J$47,0)</f>
        <v>0</v>
      </c>
      <c r="AB23" s="141">
        <f>AA23*$AB$21</f>
        <v>0</v>
      </c>
      <c r="AC23" s="142">
        <f t="shared" ref="AC23:AC24" si="5">MAX(E23,G23,I23,K23,M23,O23,Q23+S23+U23+W23+Y23+AA23)</f>
        <v>370.382056055654</v>
      </c>
      <c r="AD23" s="45">
        <f t="shared" ref="AD23:AD26" si="6">F23+H23+J23+L23+N23+P23+R23+T23+V23+X23+Z23+AB23</f>
        <v>37411.538470676402</v>
      </c>
      <c r="AE23" s="282">
        <f>AD23/'BRA Load Pricing Results'!J40</f>
        <v>13.560210846388653</v>
      </c>
      <c r="AF23" s="369">
        <f>IF(AC23=0,0,AD23/AC23)</f>
        <v>101.00796693308195</v>
      </c>
      <c r="AG23" s="366"/>
      <c r="AH23" s="268"/>
      <c r="AI23" s="364"/>
      <c r="AJ23" s="364"/>
      <c r="AK23" s="365"/>
    </row>
    <row r="24" spans="1:37" x14ac:dyDescent="0.2">
      <c r="A24" s="68" t="s">
        <v>30</v>
      </c>
      <c r="B24" s="108"/>
      <c r="C24" s="108"/>
      <c r="D24" s="109"/>
      <c r="E24" s="140">
        <f>IF(B24="MAAC",$I$5*'BRA Load Pricing Results'!J41/'BRA Load Pricing Results'!$B$14,0)</f>
        <v>0</v>
      </c>
      <c r="F24" s="141">
        <f t="shared" ref="F24:F32" si="7">E24*$F$21</f>
        <v>0</v>
      </c>
      <c r="G24" s="140">
        <f>IF(C24="EMAAC",$I$6*'BRA Load Pricing Results'!J41/'BRA Load Pricing Results'!$B$15,0)</f>
        <v>0</v>
      </c>
      <c r="H24" s="141">
        <f>G24*$H$21</f>
        <v>0</v>
      </c>
      <c r="I24" s="140">
        <f>IF(C24="SWMAAC",$I$7*'BRA Load Pricing Results'!J41/'BRA Load Pricing Results'!$B$16,0)</f>
        <v>0</v>
      </c>
      <c r="J24" s="141">
        <f>I24*$J$21</f>
        <v>0</v>
      </c>
      <c r="K24" s="140">
        <f>IF(D24="PS",$I$8*'BRA Load Pricing Results'!J41/'BRA Load Pricing Results'!$J$58,0)</f>
        <v>0</v>
      </c>
      <c r="L24" s="141">
        <f>K24*$L$21</f>
        <v>0</v>
      </c>
      <c r="M24" s="140">
        <f>IF(D24="DPL",$I$9*'BRA Load Pricing Results'!J41/'BRA Load Pricing Results'!$J$50,0)</f>
        <v>0</v>
      </c>
      <c r="N24" s="141">
        <f t="shared" ref="N24:N38" si="8">M24*$N$21</f>
        <v>0</v>
      </c>
      <c r="O24" s="140">
        <f>IF(D24="PEPCO",$I$10*'BRA Load Pricing Results'!J41/'BRA Load Pricing Results'!$J$56,0)</f>
        <v>0</v>
      </c>
      <c r="P24" s="141">
        <f>O24*$P$21</f>
        <v>0</v>
      </c>
      <c r="Q24" s="140">
        <f>IF(D24="ATSI",$I$11*'BRA Load Pricing Results'!J41/'BRA Load Pricing Results'!$J$43,0)</f>
        <v>0</v>
      </c>
      <c r="R24" s="141">
        <f t="shared" ref="R24:R42" si="9">Q24*$R$21</f>
        <v>0</v>
      </c>
      <c r="S24" s="140">
        <f>IF(D24="COMED",$I$12*'BRA Load Pricing Results'!J41/'BRA Load Pricing Results'!$J$45,0)</f>
        <v>0</v>
      </c>
      <c r="T24" s="141">
        <f t="shared" ref="T24:T42" si="10">S24*$T$21</f>
        <v>0</v>
      </c>
      <c r="U24" s="140">
        <f>IF(D24="BGE",$I$13*'BRA Load Pricing Results'!J41/'BRA Load Pricing Results'!$J$44,0)</f>
        <v>0</v>
      </c>
      <c r="V24" s="141">
        <f>U24*$V$21</f>
        <v>0</v>
      </c>
      <c r="W24" s="140">
        <f>IF(D24="PL",$I$14*'BRA Load Pricing Results'!J41/'BRA Load Pricing Results'!$J$57,0)</f>
        <v>0</v>
      </c>
      <c r="X24" s="141">
        <f>W24*$X$21</f>
        <v>0</v>
      </c>
      <c r="Y24" s="140">
        <f>IF(D24="DAYTON",$I$15*'BRA Load Pricing Results'!J41/'BRA Load Pricing Results'!$J$46,0)</f>
        <v>0</v>
      </c>
      <c r="Z24" s="141">
        <f t="shared" ref="Z24:Z41" si="11">Y24*$Z$21</f>
        <v>0</v>
      </c>
      <c r="AA24" s="140">
        <f>IF(D24="DEOK",$I$16*'BRA Load Pricing Results'!J41/'BRA Load Pricing Results'!$J$47,0)</f>
        <v>0</v>
      </c>
      <c r="AB24" s="141">
        <f t="shared" ref="AB24:AB39" si="12">AA24*$AB$21</f>
        <v>0</v>
      </c>
      <c r="AC24" s="142">
        <f t="shared" si="5"/>
        <v>0</v>
      </c>
      <c r="AD24" s="45">
        <f t="shared" si="6"/>
        <v>0</v>
      </c>
      <c r="AE24" s="282">
        <f>AD24/'BRA Load Pricing Results'!J41</f>
        <v>0</v>
      </c>
      <c r="AF24" s="369">
        <f>IF(AC24=0,0,AD24/AC24)</f>
        <v>0</v>
      </c>
      <c r="AG24" s="366"/>
      <c r="AH24" s="268"/>
      <c r="AI24" s="364"/>
      <c r="AJ24" s="364"/>
      <c r="AK24" s="365"/>
    </row>
    <row r="25" spans="1:37" x14ac:dyDescent="0.2">
      <c r="A25" s="68" t="s">
        <v>19</v>
      </c>
      <c r="B25" s="108" t="s">
        <v>24</v>
      </c>
      <c r="C25" s="108"/>
      <c r="D25" s="109"/>
      <c r="E25" s="140">
        <f>IF(B25="MAAC",$I$5*'BRA Load Pricing Results'!J42/'BRA Load Pricing Results'!$B$14,0)</f>
        <v>0</v>
      </c>
      <c r="F25" s="141">
        <f t="shared" si="7"/>
        <v>0</v>
      </c>
      <c r="G25" s="140">
        <f>IF(C25="EMAAC",$I$6*'BRA Load Pricing Results'!J42/'BRA Load Pricing Results'!$B$15,0)</f>
        <v>0</v>
      </c>
      <c r="H25" s="141">
        <f>G25*$H$21</f>
        <v>0</v>
      </c>
      <c r="I25" s="140">
        <f>IF(C25="SWMAAC",$I$7*'BRA Load Pricing Results'!J42/'BRA Load Pricing Results'!$B$16,0)</f>
        <v>0</v>
      </c>
      <c r="J25" s="141">
        <f t="shared" ref="J25:J42" si="13">I25*$J$21</f>
        <v>0</v>
      </c>
      <c r="K25" s="140">
        <f>IF(D25="PS",$I$8*'BRA Load Pricing Results'!J42/'BRA Load Pricing Results'!$J$58,0)</f>
        <v>0</v>
      </c>
      <c r="L25" s="141">
        <f>K25*$L$21</f>
        <v>0</v>
      </c>
      <c r="M25" s="140">
        <f>IF(D25="DPL",$I$9*'BRA Load Pricing Results'!J42/'BRA Load Pricing Results'!$J$50,0)</f>
        <v>0</v>
      </c>
      <c r="N25" s="141">
        <f t="shared" si="8"/>
        <v>0</v>
      </c>
      <c r="O25" s="140">
        <f>IF(D25="PEPCO",$I$10*'BRA Load Pricing Results'!J42/'BRA Load Pricing Results'!$J$56,0)</f>
        <v>0</v>
      </c>
      <c r="P25" s="141">
        <f>O25*$P$21</f>
        <v>0</v>
      </c>
      <c r="Q25" s="140">
        <f>IF(D25="ATSI",$I$11*'BRA Load Pricing Results'!J42/'BRA Load Pricing Results'!$J$43,0)</f>
        <v>0</v>
      </c>
      <c r="R25" s="141">
        <f t="shared" si="9"/>
        <v>0</v>
      </c>
      <c r="S25" s="140">
        <f>IF(D25="COMED",$I$12*'BRA Load Pricing Results'!J42/'BRA Load Pricing Results'!$J$45,0)</f>
        <v>0</v>
      </c>
      <c r="T25" s="141">
        <f t="shared" si="10"/>
        <v>0</v>
      </c>
      <c r="U25" s="140">
        <f>IF(D25="BGE",$I$13*'BRA Load Pricing Results'!J42/'BRA Load Pricing Results'!$J$44,0)</f>
        <v>0</v>
      </c>
      <c r="V25" s="141">
        <f>U25*$V$21</f>
        <v>0</v>
      </c>
      <c r="W25" s="140">
        <f>IF(D25="PL",$I$14*'BRA Load Pricing Results'!J42/'BRA Load Pricing Results'!$J$57,0)</f>
        <v>0</v>
      </c>
      <c r="X25" s="141">
        <f>W25*$X$21</f>
        <v>0</v>
      </c>
      <c r="Y25" s="140">
        <f>IF(D25="DAYTON",$I$15*'BRA Load Pricing Results'!J42/'BRA Load Pricing Results'!$J$46,0)</f>
        <v>0</v>
      </c>
      <c r="Z25" s="141">
        <f t="shared" si="11"/>
        <v>0</v>
      </c>
      <c r="AA25" s="140">
        <f>IF(D25="DEOK",$I$16*'BRA Load Pricing Results'!J42/'BRA Load Pricing Results'!$J$47,0)</f>
        <v>0</v>
      </c>
      <c r="AB25" s="141">
        <f t="shared" si="12"/>
        <v>0</v>
      </c>
      <c r="AC25" s="142">
        <f>MAX(E25,G25,I25,K25,M25,O25,Q25+S25+U25+W25+Y25+AA25)</f>
        <v>0</v>
      </c>
      <c r="AD25" s="45">
        <f t="shared" si="6"/>
        <v>0</v>
      </c>
      <c r="AE25" s="282">
        <f>AD25/'BRA Load Pricing Results'!J42</f>
        <v>0</v>
      </c>
      <c r="AF25" s="369">
        <f>IF(AC25=0,0,AD25/AC25)</f>
        <v>0</v>
      </c>
      <c r="AG25" s="366"/>
      <c r="AH25" s="268"/>
      <c r="AI25" s="364"/>
      <c r="AJ25" s="364"/>
      <c r="AK25" s="365"/>
    </row>
    <row r="26" spans="1:37" x14ac:dyDescent="0.2">
      <c r="A26" s="68" t="s">
        <v>45</v>
      </c>
      <c r="B26" s="108"/>
      <c r="C26" s="108"/>
      <c r="D26" s="109" t="s">
        <v>45</v>
      </c>
      <c r="E26" s="140">
        <f>IF(B26="MAAC",$I$5*'BRA Load Pricing Results'!J43/'BRA Load Pricing Results'!$B$14,0)</f>
        <v>0</v>
      </c>
      <c r="F26" s="141">
        <f t="shared" si="7"/>
        <v>0</v>
      </c>
      <c r="G26" s="140">
        <f>IF(C26="EMAAC",$I$6*'BRA Load Pricing Results'!J43/'BRA Load Pricing Results'!$B$15,0)</f>
        <v>0</v>
      </c>
      <c r="H26" s="141">
        <f>G26*$H$21</f>
        <v>0</v>
      </c>
      <c r="I26" s="140">
        <f>IF(C26="SWMAAC",$I$7*'BRA Load Pricing Results'!J43/'BRA Load Pricing Results'!$B$16,0)</f>
        <v>0</v>
      </c>
      <c r="J26" s="141">
        <f t="shared" si="13"/>
        <v>0</v>
      </c>
      <c r="K26" s="140">
        <f>IF(D26="PS",$I$8*'BRA Load Pricing Results'!J43/'BRA Load Pricing Results'!$J$58,0)</f>
        <v>0</v>
      </c>
      <c r="L26" s="141">
        <f t="shared" ref="L26:L42" si="14">K26*$L$21</f>
        <v>0</v>
      </c>
      <c r="M26" s="140">
        <f>IF(D26="DPL",$I$9*'BRA Load Pricing Results'!J43/'BRA Load Pricing Results'!$J$50,0)</f>
        <v>0</v>
      </c>
      <c r="N26" s="141">
        <f t="shared" si="8"/>
        <v>0</v>
      </c>
      <c r="O26" s="140">
        <f>IF(D26="PEPCO",$I$10*'BRA Load Pricing Results'!J43/'BRA Load Pricing Results'!$J$56,0)</f>
        <v>0</v>
      </c>
      <c r="P26" s="141">
        <f t="shared" ref="P26:P38" si="15">O26*$P$21</f>
        <v>0</v>
      </c>
      <c r="Q26" s="140">
        <f>IF(D26="ATSI",$I$11*'BRA Load Pricing Results'!J43/'BRA Load Pricing Results'!$J$43,0)</f>
        <v>4647.7770275025068</v>
      </c>
      <c r="R26" s="141">
        <f>Q26*$R$21</f>
        <v>0</v>
      </c>
      <c r="S26" s="140">
        <f>IF(D26="COMED",$I$12*'BRA Load Pricing Results'!J43/'BRA Load Pricing Results'!$J$45,0)</f>
        <v>0</v>
      </c>
      <c r="T26" s="141">
        <f t="shared" si="10"/>
        <v>0</v>
      </c>
      <c r="U26" s="140">
        <f>IF(D26="BGE",$I$13*'BRA Load Pricing Results'!J43/'BRA Load Pricing Results'!$J$44,0)</f>
        <v>0</v>
      </c>
      <c r="V26" s="141">
        <f>U26*$V$21</f>
        <v>0</v>
      </c>
      <c r="W26" s="140">
        <f>IF(D26="PL",$I$14*'BRA Load Pricing Results'!J43/'BRA Load Pricing Results'!$J$57,0)</f>
        <v>0</v>
      </c>
      <c r="X26" s="141">
        <f>W26*$X$21</f>
        <v>0</v>
      </c>
      <c r="Y26" s="140">
        <f>IF(D26="DAYTON",$I$15*'BRA Load Pricing Results'!J43/'BRA Load Pricing Results'!$J$46,0)</f>
        <v>0</v>
      </c>
      <c r="Z26" s="141">
        <f t="shared" si="11"/>
        <v>0</v>
      </c>
      <c r="AA26" s="140">
        <f>IF(D26="DEOK",$I$16*'BRA Load Pricing Results'!J43/'BRA Load Pricing Results'!$J$47,0)</f>
        <v>0</v>
      </c>
      <c r="AB26" s="141">
        <f t="shared" si="12"/>
        <v>0</v>
      </c>
      <c r="AC26" s="142">
        <f t="shared" ref="AC26:AC41" si="16">MAX(E26,G26,I26,K26,M26,O26,Q26+S26+U26+W26+Y26+AA26)</f>
        <v>4647.7770275025068</v>
      </c>
      <c r="AD26" s="45">
        <f t="shared" si="6"/>
        <v>0</v>
      </c>
      <c r="AE26" s="282">
        <f>AD26/'BRA Load Pricing Results'!J43</f>
        <v>0</v>
      </c>
      <c r="AF26" s="369">
        <f>IF(AC26=0,0,AD26/AC26)</f>
        <v>0</v>
      </c>
      <c r="AG26" s="366"/>
      <c r="AH26" s="268"/>
      <c r="AI26" s="364"/>
      <c r="AJ26" s="364"/>
      <c r="AK26" s="365"/>
    </row>
    <row r="27" spans="1:37" x14ac:dyDescent="0.2">
      <c r="A27" s="68" t="s">
        <v>11</v>
      </c>
      <c r="B27" s="108" t="s">
        <v>29</v>
      </c>
      <c r="C27" s="108" t="s">
        <v>5</v>
      </c>
      <c r="D27" s="109" t="s">
        <v>11</v>
      </c>
      <c r="E27" s="140">
        <f>IF(B27="MAAC",$I$5*'BRA Load Pricing Results'!J44/'BRA Load Pricing Results'!$B$14,0)</f>
        <v>-88.772385273394974</v>
      </c>
      <c r="F27" s="141">
        <f>E27*$F$21</f>
        <v>-844.22538394998617</v>
      </c>
      <c r="G27" s="140">
        <f>IF(C27="EMAAC",$I$6*'BRA Load Pricing Results'!J44/'BRA Load Pricing Results'!$B$15,0)</f>
        <v>0</v>
      </c>
      <c r="H27" s="141">
        <f t="shared" ref="H27:H40" si="17">G27*$H$21</f>
        <v>0</v>
      </c>
      <c r="I27" s="140">
        <f>IF(C27="SWMAAC",$I$7*'BRA Load Pricing Results'!J44/'BRA Load Pricing Results'!$B$16,0)</f>
        <v>1822.9521677325276</v>
      </c>
      <c r="J27" s="141">
        <f>I27*$J$21</f>
        <v>0</v>
      </c>
      <c r="K27" s="140">
        <f>IF(D27="PS",$I$8*'BRA Load Pricing Results'!J44/'BRA Load Pricing Results'!$J$58,0)</f>
        <v>0</v>
      </c>
      <c r="L27" s="141">
        <f t="shared" si="14"/>
        <v>0</v>
      </c>
      <c r="M27" s="140">
        <f>IF(D27="DPL",$I$9*'BRA Load Pricing Results'!J44/'BRA Load Pricing Results'!$J$50,0)</f>
        <v>0</v>
      </c>
      <c r="N27" s="141">
        <f t="shared" si="8"/>
        <v>0</v>
      </c>
      <c r="O27" s="140">
        <f>IF(D27="PEPCO",$I$10*'BRA Load Pricing Results'!J44/'BRA Load Pricing Results'!$J$56,0)</f>
        <v>0</v>
      </c>
      <c r="P27" s="141">
        <f t="shared" si="15"/>
        <v>0</v>
      </c>
      <c r="Q27" s="140">
        <f>IF(D27="ATSI",$I$11*'BRA Load Pricing Results'!J44/'BRA Load Pricing Results'!$J$43,0)</f>
        <v>0</v>
      </c>
      <c r="R27" s="141">
        <f t="shared" si="9"/>
        <v>0</v>
      </c>
      <c r="S27" s="140">
        <f>IF(D27="COMED",$I$12*'BRA Load Pricing Results'!J44/'BRA Load Pricing Results'!$J$45,0)</f>
        <v>0</v>
      </c>
      <c r="T27" s="141">
        <f t="shared" si="10"/>
        <v>0</v>
      </c>
      <c r="U27" s="140">
        <f>IF(D27="BGE",$I$13*'BRA Load Pricing Results'!J44/'BRA Load Pricing Results'!$J$44,0)</f>
        <v>4981.3448802831344</v>
      </c>
      <c r="V27" s="141">
        <f>U27*$V$21</f>
        <v>0</v>
      </c>
      <c r="W27" s="140">
        <f>IF(D27="PL",$I$14*'BRA Load Pricing Results'!J44/'BRA Load Pricing Results'!$J$57,0)</f>
        <v>0</v>
      </c>
      <c r="X27" s="141">
        <f t="shared" ref="X27:X39" si="18">W27*$X$21</f>
        <v>0</v>
      </c>
      <c r="Y27" s="140">
        <f>IF(D27="DAYTON",$I$15*'BRA Load Pricing Results'!J44/'BRA Load Pricing Results'!$J$46,0)</f>
        <v>0</v>
      </c>
      <c r="Z27" s="141">
        <f t="shared" si="11"/>
        <v>0</v>
      </c>
      <c r="AA27" s="140">
        <f>IF(D27="DEOK",$I$16*'BRA Load Pricing Results'!J44/'BRA Load Pricing Results'!$J$47,0)</f>
        <v>0</v>
      </c>
      <c r="AB27" s="141">
        <f t="shared" si="12"/>
        <v>0</v>
      </c>
      <c r="AC27" s="142">
        <f t="shared" si="16"/>
        <v>4981.3448802831344</v>
      </c>
      <c r="AD27" s="45">
        <f>F27+H27+J27+L27+N27+P27+R27+T27+V27+X27+Z27+AB27</f>
        <v>-844.22538394998617</v>
      </c>
      <c r="AE27" s="282">
        <f>AD27/'BRA Load Pricing Results'!J44</f>
        <v>-0.11035705448360567</v>
      </c>
      <c r="AF27" s="369">
        <f>IF(AC27=0,0,AD27/AC27)</f>
        <v>-0.16947740103110492</v>
      </c>
      <c r="AG27" s="366"/>
      <c r="AH27" s="268"/>
      <c r="AI27" s="364"/>
      <c r="AJ27" s="364"/>
      <c r="AK27" s="365"/>
    </row>
    <row r="28" spans="1:37" x14ac:dyDescent="0.2">
      <c r="A28" s="68" t="s">
        <v>20</v>
      </c>
      <c r="B28" s="108"/>
      <c r="C28" s="108"/>
      <c r="D28" s="109" t="s">
        <v>20</v>
      </c>
      <c r="E28" s="140">
        <f>IF(B28="MAAC",$I$5*'BRA Load Pricing Results'!J45/'BRA Load Pricing Results'!$B$14,0)</f>
        <v>0</v>
      </c>
      <c r="F28" s="141">
        <f t="shared" si="7"/>
        <v>0</v>
      </c>
      <c r="G28" s="140">
        <f>IF(C28="EMAAC",$I$6*'BRA Load Pricing Results'!J45/'BRA Load Pricing Results'!$B$15,0)</f>
        <v>0</v>
      </c>
      <c r="H28" s="141">
        <f t="shared" si="17"/>
        <v>0</v>
      </c>
      <c r="I28" s="140">
        <f>IF(C28="SWMAAC",$I$7*'BRA Load Pricing Results'!J45/'BRA Load Pricing Results'!$B$16,0)</f>
        <v>0</v>
      </c>
      <c r="J28" s="141">
        <f t="shared" si="13"/>
        <v>0</v>
      </c>
      <c r="K28" s="140">
        <f>IF(D28="PS",$I$8*'BRA Load Pricing Results'!J45/'BRA Load Pricing Results'!$J$58,0)</f>
        <v>0</v>
      </c>
      <c r="L28" s="141">
        <f t="shared" si="14"/>
        <v>0</v>
      </c>
      <c r="M28" s="140">
        <f>IF(D28="DPL",$I$9*'BRA Load Pricing Results'!J45/'BRA Load Pricing Results'!$J$50,0)</f>
        <v>0</v>
      </c>
      <c r="N28" s="141">
        <f t="shared" si="8"/>
        <v>0</v>
      </c>
      <c r="O28" s="140">
        <f>IF(D28="PEPCO",$I$10*'BRA Load Pricing Results'!J45/'BRA Load Pricing Results'!$J$56,0)</f>
        <v>0</v>
      </c>
      <c r="P28" s="141">
        <f t="shared" si="15"/>
        <v>0</v>
      </c>
      <c r="Q28" s="140">
        <f>IF(D28="ATSI",$I$11*'BRA Load Pricing Results'!J45/'BRA Load Pricing Results'!$J$43,0)</f>
        <v>0</v>
      </c>
      <c r="R28" s="141">
        <f t="shared" si="9"/>
        <v>0</v>
      </c>
      <c r="S28" s="144">
        <f>IF(D28="COMED",$I$12*'BRA Load Pricing Results'!J45/'BRA Load Pricing Results'!$J$45,0)</f>
        <v>1192.7094456948835</v>
      </c>
      <c r="T28" s="141">
        <f>S28*$T$21</f>
        <v>133094.44704509206</v>
      </c>
      <c r="U28" s="140">
        <f>IF(D28="BGE",$I$13*'BRA Load Pricing Results'!J45/'BRA Load Pricing Results'!$J$44,0)</f>
        <v>0</v>
      </c>
      <c r="V28" s="141">
        <f t="shared" ref="V28:V42" si="19">U28*$V$21</f>
        <v>0</v>
      </c>
      <c r="W28" s="140">
        <f>IF(D28="PL",$I$14*'BRA Load Pricing Results'!J45/'BRA Load Pricing Results'!$J$57,0)</f>
        <v>0</v>
      </c>
      <c r="X28" s="141">
        <f t="shared" si="18"/>
        <v>0</v>
      </c>
      <c r="Y28" s="140">
        <f>IF(D28="DAYTON",$I$15*'BRA Load Pricing Results'!J45/'BRA Load Pricing Results'!$J$46,0)</f>
        <v>0</v>
      </c>
      <c r="Z28" s="141">
        <f t="shared" si="11"/>
        <v>0</v>
      </c>
      <c r="AA28" s="140">
        <f>IF(D28="DEOK",$I$16*'BRA Load Pricing Results'!J45/'BRA Load Pricing Results'!$J$47,0)</f>
        <v>0</v>
      </c>
      <c r="AB28" s="141">
        <f t="shared" si="12"/>
        <v>0</v>
      </c>
      <c r="AC28" s="142">
        <f t="shared" si="16"/>
        <v>1192.7094456948835</v>
      </c>
      <c r="AD28" s="45">
        <f t="shared" ref="AD28:AD41" si="20">F28+H28+J28+L28+N28+P28+R28+T28+V28+X28+Z28+AB28</f>
        <v>133094.44704509206</v>
      </c>
      <c r="AE28" s="282">
        <f>AD28/'BRA Load Pricing Results'!J45</f>
        <v>5.2913925601006806</v>
      </c>
      <c r="AF28" s="369">
        <f t="shared" ref="AF28:AF42" si="21">IF(AC28=0,0,AD28/AC28)</f>
        <v>111.59000000000002</v>
      </c>
      <c r="AG28" s="366"/>
      <c r="AH28" s="268"/>
      <c r="AI28" s="364"/>
      <c r="AJ28" s="364"/>
      <c r="AK28" s="365"/>
    </row>
    <row r="29" spans="1:37" x14ac:dyDescent="0.2">
      <c r="A29" s="68" t="s">
        <v>21</v>
      </c>
      <c r="B29" s="108"/>
      <c r="C29" s="108"/>
      <c r="D29" s="109" t="s">
        <v>21</v>
      </c>
      <c r="E29" s="140">
        <f>IF(B29="MAAC",$I$5*'BRA Load Pricing Results'!J46/'BRA Load Pricing Results'!$B$14,0)</f>
        <v>0</v>
      </c>
      <c r="F29" s="141">
        <f t="shared" si="7"/>
        <v>0</v>
      </c>
      <c r="G29" s="140">
        <f>IF(C29="EMAAC",$I$6*'BRA Load Pricing Results'!J46/'BRA Load Pricing Results'!$B$15,0)</f>
        <v>0</v>
      </c>
      <c r="H29" s="141">
        <f>G29*$H$21</f>
        <v>0</v>
      </c>
      <c r="I29" s="140">
        <f>IF(C29="SWMAAC",$I$7*'BRA Load Pricing Results'!J46/'BRA Load Pricing Results'!$B$16,0)</f>
        <v>0</v>
      </c>
      <c r="J29" s="141">
        <f>I29*$J$21</f>
        <v>0</v>
      </c>
      <c r="K29" s="140">
        <f>IF(D29="PS",$I$8*'BRA Load Pricing Results'!J46/'BRA Load Pricing Results'!$J$58,0)</f>
        <v>0</v>
      </c>
      <c r="L29" s="141">
        <f t="shared" si="14"/>
        <v>0</v>
      </c>
      <c r="M29" s="140">
        <f>IF(D29="DPL",$I$9*'BRA Load Pricing Results'!J46/'BRA Load Pricing Results'!$J$50,0)</f>
        <v>0</v>
      </c>
      <c r="N29" s="141">
        <f t="shared" si="8"/>
        <v>0</v>
      </c>
      <c r="O29" s="140">
        <f>IF(D29="PEPCO",$I$10*'BRA Load Pricing Results'!J46/'BRA Load Pricing Results'!$J$56,0)</f>
        <v>0</v>
      </c>
      <c r="P29" s="141">
        <f t="shared" si="15"/>
        <v>0</v>
      </c>
      <c r="Q29" s="140">
        <f>IF(D29="ATSI",$I$11*'BRA Load Pricing Results'!J46/'BRA Load Pricing Results'!$J$43,0)</f>
        <v>0</v>
      </c>
      <c r="R29" s="141">
        <f t="shared" si="9"/>
        <v>0</v>
      </c>
      <c r="S29" s="140">
        <f>IF(D29="COMED",$I$12*'BRA Load Pricing Results'!J46/'BRA Load Pricing Results'!$J$45,0)</f>
        <v>0</v>
      </c>
      <c r="T29" s="141">
        <f t="shared" si="10"/>
        <v>0</v>
      </c>
      <c r="U29" s="140">
        <f>IF(D29="BGE",$I$13*'BRA Load Pricing Results'!J46/'BRA Load Pricing Results'!$J$44,0)</f>
        <v>0</v>
      </c>
      <c r="V29" s="141">
        <f t="shared" si="19"/>
        <v>0</v>
      </c>
      <c r="W29" s="140">
        <f>IF(D29="PL",$I$14*'BRA Load Pricing Results'!J46/'BRA Load Pricing Results'!$J$57,0)</f>
        <v>0</v>
      </c>
      <c r="X29" s="141">
        <f t="shared" si="18"/>
        <v>0</v>
      </c>
      <c r="Y29" s="140">
        <f>IF(D29="DAYTON",$I$15*'BRA Load Pricing Results'!J46/'BRA Load Pricing Results'!$J$46,0)</f>
        <v>2323.5042993200977</v>
      </c>
      <c r="Z29" s="141">
        <f t="shared" si="11"/>
        <v>0</v>
      </c>
      <c r="AA29" s="140">
        <f>IF(D29="DEOK",$I$16*'BRA Load Pricing Results'!J46/'BRA Load Pricing Results'!$J$47,0)</f>
        <v>0</v>
      </c>
      <c r="AB29" s="141">
        <f t="shared" si="12"/>
        <v>0</v>
      </c>
      <c r="AC29" s="142">
        <f t="shared" si="16"/>
        <v>2323.5042993200977</v>
      </c>
      <c r="AD29" s="45">
        <f t="shared" si="20"/>
        <v>0</v>
      </c>
      <c r="AE29" s="282">
        <f>AD29/'BRA Load Pricing Results'!J46</f>
        <v>0</v>
      </c>
      <c r="AF29" s="369">
        <f t="shared" si="21"/>
        <v>0</v>
      </c>
      <c r="AG29" s="366"/>
      <c r="AH29" s="268"/>
      <c r="AI29" s="364"/>
      <c r="AJ29" s="364"/>
      <c r="AK29" s="365"/>
    </row>
    <row r="30" spans="1:37" x14ac:dyDescent="0.2">
      <c r="A30" s="68" t="s">
        <v>52</v>
      </c>
      <c r="B30" s="108"/>
      <c r="C30" s="108"/>
      <c r="D30" s="109" t="s">
        <v>52</v>
      </c>
      <c r="E30" s="140">
        <f>IF(B30="MAAC",$I$5*'BRA Load Pricing Results'!J47/'BRA Load Pricing Results'!$B$14,0)</f>
        <v>0</v>
      </c>
      <c r="F30" s="141">
        <f t="shared" si="7"/>
        <v>0</v>
      </c>
      <c r="G30" s="140">
        <f>IF(C30="EMAAC",$I$6*'BRA Load Pricing Results'!J47/'BRA Load Pricing Results'!$B$15,0)</f>
        <v>0</v>
      </c>
      <c r="H30" s="141">
        <f>G30*$H$21</f>
        <v>0</v>
      </c>
      <c r="I30" s="140">
        <f>IF(C30="SWMAAC",$I$7*'BRA Load Pricing Results'!J47/'BRA Load Pricing Results'!$B$16,0)</f>
        <v>0</v>
      </c>
      <c r="J30" s="141">
        <f>I30*$J$21</f>
        <v>0</v>
      </c>
      <c r="K30" s="140">
        <f>IF(D30="PS",$I$8*'BRA Load Pricing Results'!J47/'BRA Load Pricing Results'!$J$58,0)</f>
        <v>0</v>
      </c>
      <c r="L30" s="141">
        <f>K30*$L$21</f>
        <v>0</v>
      </c>
      <c r="M30" s="140">
        <f>IF(D30="DPL",$I$9*'BRA Load Pricing Results'!J47/'BRA Load Pricing Results'!$J$50,0)</f>
        <v>0</v>
      </c>
      <c r="N30" s="141">
        <f>M30*$N$21</f>
        <v>0</v>
      </c>
      <c r="O30" s="140">
        <f>IF(D30="PEPCO",$I$10*'BRA Load Pricing Results'!J47/'BRA Load Pricing Results'!$J$56,0)</f>
        <v>0</v>
      </c>
      <c r="P30" s="141">
        <f>O30*$P$21</f>
        <v>0</v>
      </c>
      <c r="Q30" s="140">
        <f>IF(D30="ATSI",$I$11*'BRA Load Pricing Results'!J47/'BRA Load Pricing Results'!$J$43,0)</f>
        <v>0</v>
      </c>
      <c r="R30" s="141">
        <f t="shared" si="9"/>
        <v>0</v>
      </c>
      <c r="S30" s="140">
        <f>IF(D30="COMED",$I$12*'BRA Load Pricing Results'!J47/'BRA Load Pricing Results'!$J$45,0)</f>
        <v>0</v>
      </c>
      <c r="T30" s="141">
        <f t="shared" si="10"/>
        <v>0</v>
      </c>
      <c r="U30" s="140">
        <f>IF(D30="BGE",$I$13*'BRA Load Pricing Results'!J47/'BRA Load Pricing Results'!$J$44,0)</f>
        <v>0</v>
      </c>
      <c r="V30" s="141">
        <f t="shared" si="19"/>
        <v>0</v>
      </c>
      <c r="W30" s="140">
        <f>IF(D30="PL",$I$14*'BRA Load Pricing Results'!J47/'BRA Load Pricing Results'!$J$57,0)</f>
        <v>0</v>
      </c>
      <c r="X30" s="141">
        <f t="shared" si="18"/>
        <v>0</v>
      </c>
      <c r="Y30" s="140">
        <f>IF(D30="DAYTON",$I$15*'BRA Load Pricing Results'!J47/'BRA Load Pricing Results'!$J$46,0)</f>
        <v>0</v>
      </c>
      <c r="Z30" s="141">
        <f t="shared" si="11"/>
        <v>0</v>
      </c>
      <c r="AA30" s="140">
        <f>IF(D30="DEOK",$I$16*'BRA Load Pricing Results'!J47/'BRA Load Pricing Results'!$J$47,0)</f>
        <v>2619.6821298477662</v>
      </c>
      <c r="AB30" s="141">
        <f t="shared" si="12"/>
        <v>140074.40348296004</v>
      </c>
      <c r="AC30" s="142">
        <f t="shared" si="16"/>
        <v>2619.6821298477662</v>
      </c>
      <c r="AD30" s="45">
        <f t="shared" si="20"/>
        <v>140074.40348296004</v>
      </c>
      <c r="AE30" s="282">
        <f>AD30/'BRA Load Pricing Results'!J47</f>
        <v>26.911601229081818</v>
      </c>
      <c r="AF30" s="369">
        <f t="shared" si="21"/>
        <v>53.469999999999992</v>
      </c>
      <c r="AG30" s="366"/>
      <c r="AH30" s="268"/>
      <c r="AI30" s="364"/>
      <c r="AJ30" s="364"/>
      <c r="AK30" s="365"/>
    </row>
    <row r="31" spans="1:37" x14ac:dyDescent="0.2">
      <c r="A31" s="68" t="s">
        <v>44</v>
      </c>
      <c r="B31" s="108"/>
      <c r="C31" s="108"/>
      <c r="D31" s="109"/>
      <c r="E31" s="140">
        <f>IF(B31="MAAC",$I$5*'BRA Load Pricing Results'!J48/'BRA Load Pricing Results'!$B$14,0)</f>
        <v>0</v>
      </c>
      <c r="F31" s="141">
        <f t="shared" si="7"/>
        <v>0</v>
      </c>
      <c r="G31" s="140">
        <f>IF(C31="EMAAC",$I$6*'BRA Load Pricing Results'!J48/'BRA Load Pricing Results'!$B$15,0)</f>
        <v>0</v>
      </c>
      <c r="H31" s="141">
        <f>G31*$H$21</f>
        <v>0</v>
      </c>
      <c r="I31" s="140">
        <f>IF(C31="SWMAAC",$I$7*'BRA Load Pricing Results'!J48/'BRA Load Pricing Results'!$B$16,0)</f>
        <v>0</v>
      </c>
      <c r="J31" s="141">
        <f>I31*$J$21</f>
        <v>0</v>
      </c>
      <c r="K31" s="140">
        <f>IF(D31="PS",$I$8*'BRA Load Pricing Results'!J48/'BRA Load Pricing Results'!$J$58,0)</f>
        <v>0</v>
      </c>
      <c r="L31" s="141">
        <f>K31*$L$21</f>
        <v>0</v>
      </c>
      <c r="M31" s="140">
        <f>IF(D31="DPL",$I$9*'BRA Load Pricing Results'!J48/'BRA Load Pricing Results'!$J$50,0)</f>
        <v>0</v>
      </c>
      <c r="N31" s="141">
        <f>M31*$N$21</f>
        <v>0</v>
      </c>
      <c r="O31" s="140">
        <f>IF(D31="PEPCO",$I$10*'BRA Load Pricing Results'!#REF!/'BRA Load Pricing Results'!$J$56,0)</f>
        <v>0</v>
      </c>
      <c r="P31" s="141">
        <f>O31*$P$21</f>
        <v>0</v>
      </c>
      <c r="Q31" s="140">
        <f>IF(D31="ATSI",$I$11*'BRA Load Pricing Results'!J48/'BRA Load Pricing Results'!$J$43,0)</f>
        <v>0</v>
      </c>
      <c r="R31" s="141">
        <f t="shared" si="9"/>
        <v>0</v>
      </c>
      <c r="S31" s="140">
        <f>IF(D31="COMED",$I$12*'BRA Load Pricing Results'!J48/'BRA Load Pricing Results'!$J$45,0)</f>
        <v>0</v>
      </c>
      <c r="T31" s="141">
        <f t="shared" si="10"/>
        <v>0</v>
      </c>
      <c r="U31" s="140">
        <f>IF(D31="BGE",$I$13*'BRA Load Pricing Results'!J48/'BRA Load Pricing Results'!$J$44,0)</f>
        <v>0</v>
      </c>
      <c r="V31" s="141">
        <f t="shared" si="19"/>
        <v>0</v>
      </c>
      <c r="W31" s="140">
        <f>IF(D31="PL",$I$14*'BRA Load Pricing Results'!J48/'BRA Load Pricing Results'!$J$57,0)</f>
        <v>0</v>
      </c>
      <c r="X31" s="141">
        <f t="shared" si="18"/>
        <v>0</v>
      </c>
      <c r="Y31" s="140">
        <f>IF(D31="DAYTON",$I$15*'BRA Load Pricing Results'!J48/'BRA Load Pricing Results'!$J$46,0)</f>
        <v>0</v>
      </c>
      <c r="Z31" s="141">
        <f t="shared" si="11"/>
        <v>0</v>
      </c>
      <c r="AA31" s="140">
        <f>IF(D31="DEOK",$I$16*'BRA Load Pricing Results'!J48/'BRA Load Pricing Results'!$J$47,0)</f>
        <v>0</v>
      </c>
      <c r="AB31" s="141">
        <f t="shared" si="12"/>
        <v>0</v>
      </c>
      <c r="AC31" s="142">
        <f t="shared" si="16"/>
        <v>0</v>
      </c>
      <c r="AD31" s="45">
        <f t="shared" si="20"/>
        <v>0</v>
      </c>
      <c r="AE31" s="282">
        <f>AD31/'BRA Load Pricing Results'!J48</f>
        <v>0</v>
      </c>
      <c r="AF31" s="369">
        <f t="shared" si="21"/>
        <v>0</v>
      </c>
      <c r="AG31" s="366"/>
      <c r="AH31" s="268"/>
      <c r="AI31" s="364"/>
      <c r="AJ31" s="364"/>
      <c r="AK31" s="365"/>
    </row>
    <row r="32" spans="1:37" x14ac:dyDescent="0.2">
      <c r="A32" s="68" t="s">
        <v>31</v>
      </c>
      <c r="B32" s="108"/>
      <c r="C32" s="108"/>
      <c r="D32" s="109"/>
      <c r="E32" s="140">
        <f>IF(B32="MAAC",$I$5*'BRA Load Pricing Results'!J49/'BRA Load Pricing Results'!$B$14,0)</f>
        <v>0</v>
      </c>
      <c r="F32" s="141">
        <f t="shared" si="7"/>
        <v>0</v>
      </c>
      <c r="G32" s="140">
        <f>IF(C32="EMAAC",$I$6*'BRA Load Pricing Results'!J49/'BRA Load Pricing Results'!$B$15,0)</f>
        <v>0</v>
      </c>
      <c r="H32" s="141">
        <f t="shared" si="17"/>
        <v>0</v>
      </c>
      <c r="I32" s="140">
        <f>IF(C32="SWMAAC",$I$7*'BRA Load Pricing Results'!J49/'BRA Load Pricing Results'!$B$16,0)</f>
        <v>0</v>
      </c>
      <c r="J32" s="141">
        <f t="shared" si="13"/>
        <v>0</v>
      </c>
      <c r="K32" s="140">
        <f>IF(D32="PS",$I$8*'BRA Load Pricing Results'!J49/'BRA Load Pricing Results'!$J$58,0)</f>
        <v>0</v>
      </c>
      <c r="L32" s="141">
        <f t="shared" si="14"/>
        <v>0</v>
      </c>
      <c r="M32" s="140">
        <f>IF(D32="DPL",$I$9*'BRA Load Pricing Results'!J49/'BRA Load Pricing Results'!$J$50,0)</f>
        <v>0</v>
      </c>
      <c r="N32" s="141">
        <f t="shared" si="8"/>
        <v>0</v>
      </c>
      <c r="O32" s="140">
        <f>IF(D32="PEPCO",$I$10*'BRA Load Pricing Results'!J49/'BRA Load Pricing Results'!$J$56,0)</f>
        <v>0</v>
      </c>
      <c r="P32" s="141">
        <f t="shared" si="15"/>
        <v>0</v>
      </c>
      <c r="Q32" s="140">
        <f>IF(D32="ATSI",$I$11*'BRA Load Pricing Results'!J49/'BRA Load Pricing Results'!$J$43,0)</f>
        <v>0</v>
      </c>
      <c r="R32" s="141">
        <f t="shared" si="9"/>
        <v>0</v>
      </c>
      <c r="S32" s="140">
        <f>IF(D32="COMED",$I$12*'BRA Load Pricing Results'!J49/'BRA Load Pricing Results'!$J$45,0)</f>
        <v>0</v>
      </c>
      <c r="T32" s="141">
        <f t="shared" si="10"/>
        <v>0</v>
      </c>
      <c r="U32" s="140">
        <f>IF(D32="BGE",$I$13*'BRA Load Pricing Results'!J49/'BRA Load Pricing Results'!$J$44,0)</f>
        <v>0</v>
      </c>
      <c r="V32" s="141">
        <f t="shared" si="19"/>
        <v>0</v>
      </c>
      <c r="W32" s="140">
        <f>IF(D32="PL",$I$14*'BRA Load Pricing Results'!J49/'BRA Load Pricing Results'!$J$57,0)</f>
        <v>0</v>
      </c>
      <c r="X32" s="141">
        <f t="shared" si="18"/>
        <v>0</v>
      </c>
      <c r="Y32" s="140">
        <f>IF(D32="DAYTON",$I$15*'BRA Load Pricing Results'!J49/'BRA Load Pricing Results'!$J$46,0)</f>
        <v>0</v>
      </c>
      <c r="Z32" s="141">
        <f t="shared" si="11"/>
        <v>0</v>
      </c>
      <c r="AA32" s="140">
        <f>IF(D32="DEOK",$I$16*'BRA Load Pricing Results'!J49/'BRA Load Pricing Results'!$J$47,0)</f>
        <v>0</v>
      </c>
      <c r="AB32" s="141">
        <f t="shared" si="12"/>
        <v>0</v>
      </c>
      <c r="AC32" s="142">
        <f t="shared" si="16"/>
        <v>0</v>
      </c>
      <c r="AD32" s="45">
        <f t="shared" si="20"/>
        <v>0</v>
      </c>
      <c r="AE32" s="282">
        <f>AD32/'BRA Load Pricing Results'!J49</f>
        <v>0</v>
      </c>
      <c r="AF32" s="369">
        <f t="shared" si="21"/>
        <v>0</v>
      </c>
      <c r="AG32" s="366"/>
      <c r="AH32" s="268"/>
      <c r="AI32" s="364"/>
      <c r="AJ32" s="364"/>
      <c r="AK32" s="365"/>
    </row>
    <row r="33" spans="1:37" x14ac:dyDescent="0.2">
      <c r="A33" s="68" t="s">
        <v>17</v>
      </c>
      <c r="B33" s="108" t="s">
        <v>29</v>
      </c>
      <c r="C33" s="108" t="s">
        <v>35</v>
      </c>
      <c r="D33" s="109" t="s">
        <v>17</v>
      </c>
      <c r="E33" s="140">
        <f>IF(B33="MAAC",$I$5*'BRA Load Pricing Results'!J50/'BRA Load Pricing Results'!$B$14,0)</f>
        <v>-51.970918213665904</v>
      </c>
      <c r="F33" s="141">
        <f t="shared" ref="F33:F42" si="22">E33*$F$21</f>
        <v>-494.24343221196273</v>
      </c>
      <c r="G33" s="140">
        <f>IF(C33="EMAAC",$I$6*'BRA Load Pricing Results'!J50/'BRA Load Pricing Results'!$B$15,0)</f>
        <v>601.24519572547877</v>
      </c>
      <c r="H33" s="141">
        <f>G33*$H$21</f>
        <v>61224.798280725503</v>
      </c>
      <c r="I33" s="140">
        <f>IF(C33="SWMAAC",$I$7*'BRA Load Pricing Results'!J50/'BRA Load Pricing Results'!$B$16,0)</f>
        <v>0</v>
      </c>
      <c r="J33" s="141">
        <f t="shared" si="13"/>
        <v>0</v>
      </c>
      <c r="K33" s="140">
        <f>IF(D33="PS",$I$8*'BRA Load Pricing Results'!J50/'BRA Load Pricing Results'!$J$58,0)</f>
        <v>0</v>
      </c>
      <c r="L33" s="141">
        <f t="shared" si="14"/>
        <v>0</v>
      </c>
      <c r="M33" s="140">
        <f>IF(D33="DPL",$I$9*'BRA Load Pricing Results'!J50/'BRA Load Pricing Results'!$J$50,0)</f>
        <v>-894.61515080591289</v>
      </c>
      <c r="N33" s="141">
        <f t="shared" si="8"/>
        <v>0</v>
      </c>
      <c r="O33" s="140">
        <f>IF(D33="PEPCO",$I$10*'BRA Load Pricing Results'!J50/'BRA Load Pricing Results'!$J$56,0)</f>
        <v>0</v>
      </c>
      <c r="P33" s="141">
        <f t="shared" si="15"/>
        <v>0</v>
      </c>
      <c r="Q33" s="140">
        <f>IF(D33="ATSI",$I$11*'BRA Load Pricing Results'!J50/'BRA Load Pricing Results'!$J$43,0)</f>
        <v>0</v>
      </c>
      <c r="R33" s="141">
        <f t="shared" si="9"/>
        <v>0</v>
      </c>
      <c r="S33" s="140">
        <f>IF(D33="COMED",$I$12*'BRA Load Pricing Results'!J50/'BRA Load Pricing Results'!$J$45,0)</f>
        <v>0</v>
      </c>
      <c r="T33" s="141">
        <f t="shared" si="10"/>
        <v>0</v>
      </c>
      <c r="U33" s="140">
        <f>IF(D33="BGE",$I$13*'BRA Load Pricing Results'!J50/'BRA Load Pricing Results'!$J$44,0)</f>
        <v>0</v>
      </c>
      <c r="V33" s="141">
        <f t="shared" si="19"/>
        <v>0</v>
      </c>
      <c r="W33" s="140">
        <f>IF(D33="PL",$I$14*'BRA Load Pricing Results'!J50/'BRA Load Pricing Results'!$J$57,0)</f>
        <v>0</v>
      </c>
      <c r="X33" s="141">
        <f t="shared" si="18"/>
        <v>0</v>
      </c>
      <c r="Y33" s="140">
        <f>IF(D33="DAYTON",$I$15*'BRA Load Pricing Results'!J50/'BRA Load Pricing Results'!$J$46,0)</f>
        <v>0</v>
      </c>
      <c r="Z33" s="141">
        <f t="shared" si="11"/>
        <v>0</v>
      </c>
      <c r="AA33" s="140">
        <f>IF(D33="DEOK",$I$16*'BRA Load Pricing Results'!J50/'BRA Load Pricing Results'!$J$47,0)</f>
        <v>0</v>
      </c>
      <c r="AB33" s="141">
        <f t="shared" si="12"/>
        <v>0</v>
      </c>
      <c r="AC33" s="142">
        <f t="shared" si="16"/>
        <v>601.24519572547877</v>
      </c>
      <c r="AD33" s="45">
        <f t="shared" si="20"/>
        <v>60730.554848513537</v>
      </c>
      <c r="AE33" s="282">
        <f>AD33/'BRA Load Pricing Results'!J50</f>
        <v>13.560210846388651</v>
      </c>
      <c r="AF33" s="369">
        <f t="shared" si="21"/>
        <v>101.00796693308193</v>
      </c>
      <c r="AG33" s="366"/>
      <c r="AH33" s="268"/>
      <c r="AI33" s="364"/>
      <c r="AJ33" s="364"/>
      <c r="AK33" s="365"/>
    </row>
    <row r="34" spans="1:37" x14ac:dyDescent="0.2">
      <c r="A34" s="68" t="s">
        <v>121</v>
      </c>
      <c r="B34" s="108"/>
      <c r="C34" s="108"/>
      <c r="D34" s="109"/>
      <c r="E34" s="140">
        <f>IF(B34="MAAC",$I$5*'BRA Load Pricing Results'!J51/'BRA Load Pricing Results'!$B$14,0)</f>
        <v>0</v>
      </c>
      <c r="F34" s="141">
        <f t="shared" si="22"/>
        <v>0</v>
      </c>
      <c r="G34" s="140">
        <f>IF(C34="EMAAC",$I$6*'BRA Load Pricing Results'!J51/'BRA Load Pricing Results'!$B$15,0)</f>
        <v>0</v>
      </c>
      <c r="H34" s="141">
        <f>G34*$H$21</f>
        <v>0</v>
      </c>
      <c r="I34" s="140">
        <f>IF(C34="SWMAAC",$I$7*'BRA Load Pricing Results'!J51/'BRA Load Pricing Results'!$B$16,0)</f>
        <v>0</v>
      </c>
      <c r="J34" s="141">
        <f>I34*$J$21</f>
        <v>0</v>
      </c>
      <c r="K34" s="140">
        <f>IF(D34="PS",$I$8*'BRA Load Pricing Results'!J51/'BRA Load Pricing Results'!$J$58,0)</f>
        <v>0</v>
      </c>
      <c r="L34" s="141">
        <f>K34*$L$21</f>
        <v>0</v>
      </c>
      <c r="M34" s="140">
        <f>IF(D34="DPL",$I$9*'BRA Load Pricing Results'!J51/'BRA Load Pricing Results'!$J$50,0)</f>
        <v>0</v>
      </c>
      <c r="N34" s="141">
        <f>M34*$N$21</f>
        <v>0</v>
      </c>
      <c r="O34" s="140">
        <f>IF(D34="PEPCO",$I$10*'BRA Load Pricing Results'!J51/'BRA Load Pricing Results'!$J$56,0)</f>
        <v>0</v>
      </c>
      <c r="P34" s="141">
        <f>O34*$P$21</f>
        <v>0</v>
      </c>
      <c r="Q34" s="140">
        <f>IF(D34="ATSI",$I$11*'BRA Load Pricing Results'!J51/'BRA Load Pricing Results'!$J$43,0)</f>
        <v>0</v>
      </c>
      <c r="R34" s="141">
        <f>Q34*$R$21</f>
        <v>0</v>
      </c>
      <c r="S34" s="140">
        <f>IF(D34="COMED",$I$12*'BRA Load Pricing Results'!J51/'BRA Load Pricing Results'!$J$45,0)</f>
        <v>0</v>
      </c>
      <c r="T34" s="141">
        <f t="shared" si="10"/>
        <v>0</v>
      </c>
      <c r="U34" s="140">
        <f>IF(D34="BGE",$I$13*'BRA Load Pricing Results'!J51/'BRA Load Pricing Results'!$J$44,0)</f>
        <v>0</v>
      </c>
      <c r="V34" s="141">
        <f t="shared" si="19"/>
        <v>0</v>
      </c>
      <c r="W34" s="140">
        <f>IF(D34="PL",$I$14*'BRA Load Pricing Results'!J51/'BRA Load Pricing Results'!$J$57,0)</f>
        <v>0</v>
      </c>
      <c r="X34" s="141">
        <f t="shared" si="18"/>
        <v>0</v>
      </c>
      <c r="Y34" s="140">
        <f>IF(D34="DAYTON",$I$15*'BRA Load Pricing Results'!J51/'BRA Load Pricing Results'!$J$46,0)</f>
        <v>0</v>
      </c>
      <c r="Z34" s="141">
        <f t="shared" si="11"/>
        <v>0</v>
      </c>
      <c r="AA34" s="140">
        <f>IF(D34="DEOK",$I$16*'BRA Load Pricing Results'!J51/'BRA Load Pricing Results'!$J$47,0)</f>
        <v>0</v>
      </c>
      <c r="AB34" s="141">
        <f t="shared" si="12"/>
        <v>0</v>
      </c>
      <c r="AC34" s="142">
        <f t="shared" si="16"/>
        <v>0</v>
      </c>
      <c r="AD34" s="45">
        <f t="shared" si="20"/>
        <v>0</v>
      </c>
      <c r="AE34" s="282">
        <f>AD34/'BRA Load Pricing Results'!J51</f>
        <v>0</v>
      </c>
      <c r="AF34" s="369">
        <f>IF(AC34=0,0,AD34/AC34)</f>
        <v>0</v>
      </c>
      <c r="AG34" s="366"/>
      <c r="AH34" s="268"/>
      <c r="AI34" s="364"/>
      <c r="AJ34" s="364"/>
      <c r="AK34" s="365"/>
    </row>
    <row r="35" spans="1:37" x14ac:dyDescent="0.2">
      <c r="A35" s="68" t="s">
        <v>12</v>
      </c>
      <c r="B35" s="108" t="s">
        <v>29</v>
      </c>
      <c r="C35" s="108" t="s">
        <v>35</v>
      </c>
      <c r="D35" s="109"/>
      <c r="E35" s="140">
        <f>IF(B35="MAAC",$I$5*'BRA Load Pricing Results'!J52/'BRA Load Pricing Results'!$B$14,0)</f>
        <v>-78.618857807613736</v>
      </c>
      <c r="F35" s="141">
        <f t="shared" si="22"/>
        <v>-747.66533775040659</v>
      </c>
      <c r="G35" s="140">
        <f>IF(C35="EMAAC",$I$6*'BRA Load Pricing Results'!J52/'BRA Load Pricing Results'!$B$15,0)</f>
        <v>909.53194930896427</v>
      </c>
      <c r="H35" s="141">
        <f>G35*$H$21</f>
        <v>92617.638398131836</v>
      </c>
      <c r="I35" s="140">
        <f>IF(C35="SWMAAC",$I$7*'BRA Load Pricing Results'!J52/'BRA Load Pricing Results'!$B$16,0)</f>
        <v>0</v>
      </c>
      <c r="J35" s="141">
        <f t="shared" si="13"/>
        <v>0</v>
      </c>
      <c r="K35" s="140">
        <f>IF(D35="PS",$I$8*'BRA Load Pricing Results'!J52/'BRA Load Pricing Results'!$J$58,0)</f>
        <v>0</v>
      </c>
      <c r="L35" s="141">
        <f t="shared" si="14"/>
        <v>0</v>
      </c>
      <c r="M35" s="140">
        <f>IF(D35="DPL",$I$9*'BRA Load Pricing Results'!J52/'BRA Load Pricing Results'!$J$50,0)</f>
        <v>0</v>
      </c>
      <c r="N35" s="141">
        <f t="shared" si="8"/>
        <v>0</v>
      </c>
      <c r="O35" s="140">
        <f>IF(D35="PEPCO",$I$10*'BRA Load Pricing Results'!J52/'BRA Load Pricing Results'!$J$56,0)</f>
        <v>0</v>
      </c>
      <c r="P35" s="141">
        <f t="shared" si="15"/>
        <v>0</v>
      </c>
      <c r="Q35" s="140">
        <f>IF(D35="ATSI",$I$11*'BRA Load Pricing Results'!J52/'BRA Load Pricing Results'!$J$43,0)</f>
        <v>0</v>
      </c>
      <c r="R35" s="141">
        <f t="shared" si="9"/>
        <v>0</v>
      </c>
      <c r="S35" s="140">
        <f>IF(D35="COMED",$I$12*'BRA Load Pricing Results'!J52/'BRA Load Pricing Results'!$J$45,0)</f>
        <v>0</v>
      </c>
      <c r="T35" s="141">
        <f t="shared" si="10"/>
        <v>0</v>
      </c>
      <c r="U35" s="140">
        <f>IF(D35="BGE",$I$13*'BRA Load Pricing Results'!J52/'BRA Load Pricing Results'!$J$44,0)</f>
        <v>0</v>
      </c>
      <c r="V35" s="141">
        <f t="shared" si="19"/>
        <v>0</v>
      </c>
      <c r="W35" s="140">
        <f>IF(D35="PL",$I$14*'BRA Load Pricing Results'!J52/'BRA Load Pricing Results'!$J$57,0)</f>
        <v>0</v>
      </c>
      <c r="X35" s="141">
        <f t="shared" si="18"/>
        <v>0</v>
      </c>
      <c r="Y35" s="140">
        <f>IF(D35="DAYTON",$I$15*'BRA Load Pricing Results'!J52/'BRA Load Pricing Results'!$J$46,0)</f>
        <v>0</v>
      </c>
      <c r="Z35" s="141">
        <f t="shared" si="11"/>
        <v>0</v>
      </c>
      <c r="AA35" s="140">
        <f>IF(D35="DEOK",$I$16*'BRA Load Pricing Results'!J52/'BRA Load Pricing Results'!$J$47,0)</f>
        <v>0</v>
      </c>
      <c r="AB35" s="141">
        <f t="shared" si="12"/>
        <v>0</v>
      </c>
      <c r="AC35" s="142">
        <f t="shared" si="16"/>
        <v>909.53194930896427</v>
      </c>
      <c r="AD35" s="45">
        <f t="shared" si="20"/>
        <v>91869.973060381424</v>
      </c>
      <c r="AE35" s="282">
        <f>AD35/'BRA Load Pricing Results'!J52</f>
        <v>13.560210846388653</v>
      </c>
      <c r="AF35" s="369">
        <f t="shared" si="21"/>
        <v>101.00796693308195</v>
      </c>
      <c r="AG35" s="366"/>
      <c r="AH35" s="268"/>
      <c r="AI35" s="364"/>
      <c r="AJ35" s="364"/>
      <c r="AK35" s="365"/>
    </row>
    <row r="36" spans="1:37" x14ac:dyDescent="0.2">
      <c r="A36" s="68" t="s">
        <v>13</v>
      </c>
      <c r="B36" s="108" t="s">
        <v>29</v>
      </c>
      <c r="C36" s="108"/>
      <c r="D36" s="109"/>
      <c r="E36" s="140">
        <f>IF(B36="MAAC",$I$5*'BRA Load Pricing Results'!J53/'BRA Load Pricing Results'!$B$14,0)</f>
        <v>-38.734828481309265</v>
      </c>
      <c r="F36" s="141">
        <f t="shared" si="22"/>
        <v>-368.36821885725112</v>
      </c>
      <c r="G36" s="140">
        <f>IF(C36="EMAAC",$I$6*'BRA Load Pricing Results'!J53/'BRA Load Pricing Results'!$B$15,0)</f>
        <v>0</v>
      </c>
      <c r="H36" s="141">
        <f t="shared" si="17"/>
        <v>0</v>
      </c>
      <c r="I36" s="140">
        <f>IF(C36="SWMAAC",$I$7*'BRA Load Pricing Results'!J53/'BRA Load Pricing Results'!$B$16,0)</f>
        <v>0</v>
      </c>
      <c r="J36" s="141">
        <f t="shared" si="13"/>
        <v>0</v>
      </c>
      <c r="K36" s="140">
        <f>IF(D36="PS",$I$8*'BRA Load Pricing Results'!J53/'BRA Load Pricing Results'!$J$58,0)</f>
        <v>0</v>
      </c>
      <c r="L36" s="141">
        <f t="shared" si="14"/>
        <v>0</v>
      </c>
      <c r="M36" s="140">
        <f>IF(D36="DPL",$I$9*'BRA Load Pricing Results'!J53/'BRA Load Pricing Results'!$J$50,0)</f>
        <v>0</v>
      </c>
      <c r="N36" s="141">
        <f t="shared" si="8"/>
        <v>0</v>
      </c>
      <c r="O36" s="140">
        <f>IF(D36="PEPCO",$I$10*'BRA Load Pricing Results'!J53/'BRA Load Pricing Results'!$J$56,0)</f>
        <v>0</v>
      </c>
      <c r="P36" s="141">
        <f t="shared" si="15"/>
        <v>0</v>
      </c>
      <c r="Q36" s="140">
        <f>IF(D36="ATSI",$I$11*'BRA Load Pricing Results'!J53/'BRA Load Pricing Results'!$J$43,0)</f>
        <v>0</v>
      </c>
      <c r="R36" s="141">
        <f t="shared" si="9"/>
        <v>0</v>
      </c>
      <c r="S36" s="140">
        <f>IF(D36="COMED",$I$12*'BRA Load Pricing Results'!J53/'BRA Load Pricing Results'!$J$45,0)</f>
        <v>0</v>
      </c>
      <c r="T36" s="141">
        <f t="shared" si="10"/>
        <v>0</v>
      </c>
      <c r="U36" s="140">
        <f>IF(D36="BGE",$I$13*'BRA Load Pricing Results'!J53/'BRA Load Pricing Results'!$J$44,0)</f>
        <v>0</v>
      </c>
      <c r="V36" s="141">
        <f t="shared" si="19"/>
        <v>0</v>
      </c>
      <c r="W36" s="140">
        <f>IF(D36="PL",$I$14*'BRA Load Pricing Results'!J53/'BRA Load Pricing Results'!$J$57,0)</f>
        <v>0</v>
      </c>
      <c r="X36" s="141">
        <f t="shared" si="18"/>
        <v>0</v>
      </c>
      <c r="Y36" s="140">
        <f>IF(D36="DAYTON",$I$15*'BRA Load Pricing Results'!J53/'BRA Load Pricing Results'!$J$46,0)</f>
        <v>0</v>
      </c>
      <c r="Z36" s="141">
        <f t="shared" si="11"/>
        <v>0</v>
      </c>
      <c r="AA36" s="140">
        <f>IF(D36="DEOK",$I$16*'BRA Load Pricing Results'!J53/'BRA Load Pricing Results'!$J$47,0)</f>
        <v>0</v>
      </c>
      <c r="AB36" s="141">
        <f t="shared" si="12"/>
        <v>0</v>
      </c>
      <c r="AC36" s="142">
        <f t="shared" si="16"/>
        <v>0</v>
      </c>
      <c r="AD36" s="45">
        <f t="shared" si="20"/>
        <v>-368.36821885725112</v>
      </c>
      <c r="AE36" s="282">
        <f>AD36/'BRA Load Pricing Results'!J53</f>
        <v>-0.11035705448360569</v>
      </c>
      <c r="AF36" s="369">
        <f t="shared" si="21"/>
        <v>0</v>
      </c>
      <c r="AG36" s="366"/>
      <c r="AH36" s="268"/>
      <c r="AI36" s="364"/>
      <c r="AJ36" s="364"/>
      <c r="AK36" s="365"/>
    </row>
    <row r="37" spans="1:37" x14ac:dyDescent="0.2">
      <c r="A37" s="68" t="s">
        <v>9</v>
      </c>
      <c r="B37" s="108" t="s">
        <v>29</v>
      </c>
      <c r="C37" s="108" t="s">
        <v>35</v>
      </c>
      <c r="D37" s="109"/>
      <c r="E37" s="140">
        <f>IF(B37="MAAC",$I$5*'BRA Load Pricing Results'!J54/'BRA Load Pricing Results'!$B$14,0)</f>
        <v>-112.28368256100295</v>
      </c>
      <c r="F37" s="141">
        <f t="shared" si="22"/>
        <v>-1067.8178211551381</v>
      </c>
      <c r="G37" s="140">
        <f>IF(C37="EMAAC",$I$6*'BRA Load Pricing Results'!J54/'BRA Load Pricing Results'!$B$15,0)</f>
        <v>1298.996188995864</v>
      </c>
      <c r="H37" s="141">
        <f>G37*$H$21</f>
        <v>132276.78192544883</v>
      </c>
      <c r="I37" s="140">
        <f>IF(C37="SWMAAC",$I$7*'BRA Load Pricing Results'!J54/'BRA Load Pricing Results'!$B$16,0)</f>
        <v>0</v>
      </c>
      <c r="J37" s="141">
        <f t="shared" si="13"/>
        <v>0</v>
      </c>
      <c r="K37" s="140">
        <f>IF(D37="PS",$I$8*'BRA Load Pricing Results'!J54/'BRA Load Pricing Results'!$J$58,0)</f>
        <v>0</v>
      </c>
      <c r="L37" s="141">
        <f t="shared" si="14"/>
        <v>0</v>
      </c>
      <c r="M37" s="140">
        <f>IF(D37="DPL",$I$9*'BRA Load Pricing Results'!J54/'BRA Load Pricing Results'!$J$50,0)</f>
        <v>0</v>
      </c>
      <c r="N37" s="141">
        <f t="shared" si="8"/>
        <v>0</v>
      </c>
      <c r="O37" s="140">
        <f>IF(D37="PEPCO",$I$10*'BRA Load Pricing Results'!J54/'BRA Load Pricing Results'!$J$56,0)</f>
        <v>0</v>
      </c>
      <c r="P37" s="141">
        <f t="shared" si="15"/>
        <v>0</v>
      </c>
      <c r="Q37" s="140">
        <f>IF(D37="ATSI",$I$11*'BRA Load Pricing Results'!J54/'BRA Load Pricing Results'!$J$43,0)</f>
        <v>0</v>
      </c>
      <c r="R37" s="141">
        <f t="shared" si="9"/>
        <v>0</v>
      </c>
      <c r="S37" s="140">
        <f>IF(D37="COMED",$I$12*'BRA Load Pricing Results'!J54/'BRA Load Pricing Results'!$J$45,0)</f>
        <v>0</v>
      </c>
      <c r="T37" s="141">
        <f t="shared" si="10"/>
        <v>0</v>
      </c>
      <c r="U37" s="140">
        <f>IF(D37="BGE",$I$13*'BRA Load Pricing Results'!J54/'BRA Load Pricing Results'!$J$44,0)</f>
        <v>0</v>
      </c>
      <c r="V37" s="141">
        <f t="shared" si="19"/>
        <v>0</v>
      </c>
      <c r="W37" s="140">
        <f>IF(D37="PL",$I$14*'BRA Load Pricing Results'!J54/'BRA Load Pricing Results'!$J$57,0)</f>
        <v>0</v>
      </c>
      <c r="X37" s="141">
        <f t="shared" si="18"/>
        <v>0</v>
      </c>
      <c r="Y37" s="140">
        <f>IF(D37="DAYTON",$I$15*'BRA Load Pricing Results'!J54/'BRA Load Pricing Results'!$J$46,0)</f>
        <v>0</v>
      </c>
      <c r="Z37" s="141">
        <f t="shared" si="11"/>
        <v>0</v>
      </c>
      <c r="AA37" s="140">
        <f>IF(D37="DEOK",$I$16*'BRA Load Pricing Results'!J54/'BRA Load Pricing Results'!$J$47,0)</f>
        <v>0</v>
      </c>
      <c r="AB37" s="141">
        <f t="shared" si="12"/>
        <v>0</v>
      </c>
      <c r="AC37" s="142">
        <f t="shared" si="16"/>
        <v>1298.996188995864</v>
      </c>
      <c r="AD37" s="45">
        <f t="shared" si="20"/>
        <v>131208.9641042937</v>
      </c>
      <c r="AE37" s="282">
        <f>AD37/'BRA Load Pricing Results'!J54</f>
        <v>13.560210846388653</v>
      </c>
      <c r="AF37" s="369">
        <f t="shared" si="21"/>
        <v>101.00796693308195</v>
      </c>
      <c r="AG37" s="366"/>
      <c r="AH37" s="268"/>
      <c r="AI37" s="364"/>
      <c r="AJ37" s="364"/>
      <c r="AK37" s="365"/>
    </row>
    <row r="38" spans="1:37" x14ac:dyDescent="0.2">
      <c r="A38" s="68" t="s">
        <v>14</v>
      </c>
      <c r="B38" s="108" t="s">
        <v>29</v>
      </c>
      <c r="C38" s="108"/>
      <c r="D38" s="109"/>
      <c r="E38" s="140">
        <f>IF(B38="MAAC",$I$5*'BRA Load Pricing Results'!J55/'BRA Load Pricing Results'!$B$14,0)</f>
        <v>-37.463947546843968</v>
      </c>
      <c r="F38" s="141">
        <f t="shared" si="22"/>
        <v>-356.28214117048611</v>
      </c>
      <c r="G38" s="140">
        <f>IF(C38="EMAAC",$I$6*'BRA Load Pricing Results'!J55/'BRA Load Pricing Results'!$B$15,0)</f>
        <v>0</v>
      </c>
      <c r="H38" s="141">
        <f t="shared" si="17"/>
        <v>0</v>
      </c>
      <c r="I38" s="140">
        <f>IF(C38="SWMAAC",$I$7*'BRA Load Pricing Results'!J55/'BRA Load Pricing Results'!$B$16,0)</f>
        <v>0</v>
      </c>
      <c r="J38" s="141">
        <f t="shared" si="13"/>
        <v>0</v>
      </c>
      <c r="K38" s="140">
        <f>IF(D38="PS",$I$8*'BRA Load Pricing Results'!J55/'BRA Load Pricing Results'!$J$58,0)</f>
        <v>0</v>
      </c>
      <c r="L38" s="141">
        <f t="shared" si="14"/>
        <v>0</v>
      </c>
      <c r="M38" s="140">
        <f>IF(D38="DPL",$I$9*'BRA Load Pricing Results'!J55/'BRA Load Pricing Results'!$J$50,0)</f>
        <v>0</v>
      </c>
      <c r="N38" s="141">
        <f t="shared" si="8"/>
        <v>0</v>
      </c>
      <c r="O38" s="140">
        <f>IF(D38="PEPCO",$I$10*'BRA Load Pricing Results'!J55/'BRA Load Pricing Results'!$J$56,0)</f>
        <v>0</v>
      </c>
      <c r="P38" s="141">
        <f t="shared" si="15"/>
        <v>0</v>
      </c>
      <c r="Q38" s="140">
        <f>IF(D38="ATSI",$I$11*'BRA Load Pricing Results'!J55/'BRA Load Pricing Results'!$J$43,0)</f>
        <v>0</v>
      </c>
      <c r="R38" s="141">
        <f t="shared" si="9"/>
        <v>0</v>
      </c>
      <c r="S38" s="140">
        <f>IF(D38="COMED",$I$12*'BRA Load Pricing Results'!J55/'BRA Load Pricing Results'!$J$45,0)</f>
        <v>0</v>
      </c>
      <c r="T38" s="141">
        <f t="shared" si="10"/>
        <v>0</v>
      </c>
      <c r="U38" s="140">
        <f>IF(D38="BGE",$I$13*'BRA Load Pricing Results'!J55/'BRA Load Pricing Results'!$J$44,0)</f>
        <v>0</v>
      </c>
      <c r="V38" s="141">
        <f t="shared" si="19"/>
        <v>0</v>
      </c>
      <c r="W38" s="140">
        <f>IF(D38="PL",$I$14*'BRA Load Pricing Results'!J55/'BRA Load Pricing Results'!$J$57,0)</f>
        <v>0</v>
      </c>
      <c r="X38" s="141">
        <f>W38*$X$21</f>
        <v>0</v>
      </c>
      <c r="Y38" s="140">
        <f>IF(D38="DAYTON",$I$15*'BRA Load Pricing Results'!J55/'BRA Load Pricing Results'!$J$46,0)</f>
        <v>0</v>
      </c>
      <c r="Z38" s="141">
        <f t="shared" si="11"/>
        <v>0</v>
      </c>
      <c r="AA38" s="140">
        <f>IF(D38="DEOK",$I$16*'BRA Load Pricing Results'!J55/'BRA Load Pricing Results'!$J$47,0)</f>
        <v>0</v>
      </c>
      <c r="AB38" s="141">
        <f t="shared" si="12"/>
        <v>0</v>
      </c>
      <c r="AC38" s="142">
        <f t="shared" si="16"/>
        <v>0</v>
      </c>
      <c r="AD38" s="45">
        <f t="shared" si="20"/>
        <v>-356.28214117048611</v>
      </c>
      <c r="AE38" s="282">
        <f>AD38/'BRA Load Pricing Results'!J55</f>
        <v>-0.11035705448360567</v>
      </c>
      <c r="AF38" s="369">
        <f t="shared" si="21"/>
        <v>0</v>
      </c>
      <c r="AG38" s="366"/>
      <c r="AH38" s="268"/>
      <c r="AI38" s="364"/>
      <c r="AJ38" s="364"/>
      <c r="AK38" s="365"/>
    </row>
    <row r="39" spans="1:37" x14ac:dyDescent="0.2">
      <c r="A39" s="68" t="s">
        <v>15</v>
      </c>
      <c r="B39" s="108" t="s">
        <v>29</v>
      </c>
      <c r="C39" s="108" t="s">
        <v>5</v>
      </c>
      <c r="D39" s="109" t="s">
        <v>15</v>
      </c>
      <c r="E39" s="140">
        <f>IF(B39="MAAC",$I$5*'BRA Load Pricing Results'!J56/'BRA Load Pricing Results'!$B$14,0)</f>
        <v>-84.878622410352378</v>
      </c>
      <c r="F39" s="141">
        <f t="shared" si="22"/>
        <v>-807.19569912245106</v>
      </c>
      <c r="G39" s="140">
        <f>IF(C39="EMAAC",$I$6*'BRA Load Pricing Results'!J56/'BRA Load Pricing Results'!$B$15,0)</f>
        <v>0</v>
      </c>
      <c r="H39" s="141">
        <f t="shared" si="17"/>
        <v>0</v>
      </c>
      <c r="I39" s="140">
        <f>IF(C39="SWMAAC",$I$7*'BRA Load Pricing Results'!J56/'BRA Load Pricing Results'!$B$16,0)</f>
        <v>1742.9932544966205</v>
      </c>
      <c r="J39" s="141">
        <f>I39*$J$21</f>
        <v>0</v>
      </c>
      <c r="K39" s="140">
        <f>IF(D39="PS",$I$8*'BRA Load Pricing Results'!J56/'BRA Load Pricing Results'!$J$58,0)</f>
        <v>0</v>
      </c>
      <c r="L39" s="141">
        <f t="shared" si="14"/>
        <v>0</v>
      </c>
      <c r="M39" s="140">
        <f>IF(D39="DPL",$I$9*'BRA Load Pricing Results'!J56/'BRA Load Pricing Results'!$J$50,0)</f>
        <v>0</v>
      </c>
      <c r="N39" s="141">
        <f>M39*N21</f>
        <v>0</v>
      </c>
      <c r="O39" s="140">
        <f>IF(D39="PEPCO",$I$10*'BRA Load Pricing Results'!J56/'BRA Load Pricing Results'!$J$56,0)</f>
        <v>905.80054194601325</v>
      </c>
      <c r="P39" s="141">
        <f>O39*$P$21</f>
        <v>0</v>
      </c>
      <c r="Q39" s="140">
        <f>IF(D39="ATSI",$I$11*'BRA Load Pricing Results'!J56/'BRA Load Pricing Results'!$J$43,0)</f>
        <v>0</v>
      </c>
      <c r="R39" s="141">
        <f t="shared" si="9"/>
        <v>0</v>
      </c>
      <c r="S39" s="140">
        <f>IF(D39="COMED",$I$12*'BRA Load Pricing Results'!J56/'BRA Load Pricing Results'!$J$45,0)</f>
        <v>0</v>
      </c>
      <c r="T39" s="141">
        <f t="shared" si="10"/>
        <v>0</v>
      </c>
      <c r="U39" s="140">
        <f>IF(D39="BGE",$I$13*'BRA Load Pricing Results'!J56/'BRA Load Pricing Results'!$J$44,0)</f>
        <v>0</v>
      </c>
      <c r="V39" s="141">
        <f t="shared" si="19"/>
        <v>0</v>
      </c>
      <c r="W39" s="140">
        <f>IF(D39="PL",$I$14*'BRA Load Pricing Results'!J56/'BRA Load Pricing Results'!$J$57,0)</f>
        <v>0</v>
      </c>
      <c r="X39" s="141">
        <f t="shared" si="18"/>
        <v>0</v>
      </c>
      <c r="Y39" s="140">
        <f>IF(D39="DAYTON",$I$15*'BRA Load Pricing Results'!J56/'BRA Load Pricing Results'!$J$46,0)</f>
        <v>0</v>
      </c>
      <c r="Z39" s="141">
        <f t="shared" si="11"/>
        <v>0</v>
      </c>
      <c r="AA39" s="140">
        <f>IF(D39="DEOK",$I$16*'BRA Load Pricing Results'!J56/'BRA Load Pricing Results'!$J$47,0)</f>
        <v>0</v>
      </c>
      <c r="AB39" s="141">
        <f t="shared" si="12"/>
        <v>0</v>
      </c>
      <c r="AC39" s="142">
        <f t="shared" si="16"/>
        <v>1742.9932544966205</v>
      </c>
      <c r="AD39" s="45">
        <f t="shared" si="20"/>
        <v>-807.19569912245106</v>
      </c>
      <c r="AE39" s="282">
        <f>AD39/'BRA Load Pricing Results'!J56</f>
        <v>-0.11035705448360567</v>
      </c>
      <c r="AF39" s="369">
        <f t="shared" si="21"/>
        <v>-0.46310890592377568</v>
      </c>
      <c r="AG39" s="366"/>
      <c r="AH39" s="268"/>
      <c r="AI39" s="364"/>
      <c r="AJ39" s="364"/>
      <c r="AK39" s="365"/>
    </row>
    <row r="40" spans="1:37" x14ac:dyDescent="0.2">
      <c r="A40" s="68" t="s">
        <v>10</v>
      </c>
      <c r="B40" s="108" t="s">
        <v>29</v>
      </c>
      <c r="C40" s="108"/>
      <c r="D40" s="109" t="s">
        <v>10</v>
      </c>
      <c r="E40" s="140">
        <f>IF(B40="MAAC",$I$5*'BRA Load Pricing Results'!J57/'BRA Load Pricing Results'!$B$14,0)</f>
        <v>-95.599990293660667</v>
      </c>
      <c r="F40" s="141">
        <f t="shared" si="22"/>
        <v>-909.15590769271296</v>
      </c>
      <c r="G40" s="140">
        <f>IF(C40="EMAAC",$I$6*'BRA Load Pricing Results'!J57/'BRA Load Pricing Results'!$B$15,0)</f>
        <v>0</v>
      </c>
      <c r="H40" s="141">
        <f t="shared" si="17"/>
        <v>0</v>
      </c>
      <c r="I40" s="140">
        <f>IF(C40="SWMAAC",$I$7*'BRA Load Pricing Results'!J57/'BRA Load Pricing Results'!$B$16,0)</f>
        <v>0</v>
      </c>
      <c r="J40" s="141">
        <f t="shared" si="13"/>
        <v>0</v>
      </c>
      <c r="K40" s="140">
        <f>IF(D40="PS",$I$8*'BRA Load Pricing Results'!J57/'BRA Load Pricing Results'!$J$58,0)</f>
        <v>0</v>
      </c>
      <c r="L40" s="141">
        <f t="shared" si="14"/>
        <v>0</v>
      </c>
      <c r="M40" s="140">
        <f>IF(D40="DPL",$I$9*'BRA Load Pricing Results'!J57/'BRA Load Pricing Results'!$J$50,0)</f>
        <v>0</v>
      </c>
      <c r="N40" s="141">
        <f>M40*$N$21</f>
        <v>0</v>
      </c>
      <c r="O40" s="140">
        <f>IF(D40="PEPCO",$I$10*'BRA Load Pricing Results'!J57/'BRA Load Pricing Results'!$J$56,0)</f>
        <v>0</v>
      </c>
      <c r="P40" s="141">
        <f>O40*$P$21</f>
        <v>0</v>
      </c>
      <c r="Q40" s="140">
        <f>IF(D40="ATSI",$I$11*'BRA Load Pricing Results'!J57/'BRA Load Pricing Results'!$J$43,0)</f>
        <v>0</v>
      </c>
      <c r="R40" s="141">
        <f>Q40*$R$21</f>
        <v>0</v>
      </c>
      <c r="S40" s="140">
        <f>IF(D40="COMED",$I$12*'BRA Load Pricing Results'!J57/'BRA Load Pricing Results'!$J$45,0)</f>
        <v>0</v>
      </c>
      <c r="T40" s="141">
        <f t="shared" si="10"/>
        <v>0</v>
      </c>
      <c r="U40" s="140">
        <f>IF(D40="BGE",$I$13*'BRA Load Pricing Results'!J57/'BRA Load Pricing Results'!$J$44,0)</f>
        <v>0</v>
      </c>
      <c r="V40" s="141">
        <f t="shared" si="19"/>
        <v>0</v>
      </c>
      <c r="W40" s="140">
        <f>IF(D40="PL",$I$14*'BRA Load Pricing Results'!J57/'BRA Load Pricing Results'!$J$57,0)</f>
        <v>-2106.6874431187862</v>
      </c>
      <c r="X40" s="141">
        <f>W40*$X$21</f>
        <v>0</v>
      </c>
      <c r="Y40" s="140">
        <f>IF(D40="DAYTON",$I$15*'BRA Load Pricing Results'!J57/'BRA Load Pricing Results'!$J$46,0)</f>
        <v>0</v>
      </c>
      <c r="Z40" s="141">
        <f t="shared" si="11"/>
        <v>0</v>
      </c>
      <c r="AA40" s="140">
        <f>IF(D40="DEOK",$I$16*'BRA Load Pricing Results'!J57/'BRA Load Pricing Results'!$J$47,0)</f>
        <v>0</v>
      </c>
      <c r="AB40" s="141">
        <f>AA40*$AB$21</f>
        <v>0</v>
      </c>
      <c r="AC40" s="142">
        <f t="shared" si="16"/>
        <v>0</v>
      </c>
      <c r="AD40" s="45">
        <f t="shared" si="20"/>
        <v>-909.15590769271296</v>
      </c>
      <c r="AE40" s="282">
        <f>AD40/'BRA Load Pricing Results'!J57</f>
        <v>-0.11035705448360568</v>
      </c>
      <c r="AF40" s="369">
        <f t="shared" si="21"/>
        <v>0</v>
      </c>
      <c r="AG40" s="366"/>
      <c r="AH40" s="268"/>
      <c r="AI40" s="364"/>
      <c r="AJ40" s="364"/>
      <c r="AK40" s="365"/>
    </row>
    <row r="41" spans="1:37" x14ac:dyDescent="0.2">
      <c r="A41" s="68" t="s">
        <v>8</v>
      </c>
      <c r="B41" s="108" t="s">
        <v>29</v>
      </c>
      <c r="C41" s="108" t="s">
        <v>35</v>
      </c>
      <c r="D41" s="109" t="s">
        <v>8</v>
      </c>
      <c r="E41" s="140">
        <f>IF(B41="MAAC",$I$5*'BRA Load Pricing Results'!J58/'BRA Load Pricing Results'!$B$14,0)</f>
        <v>-130.34641584233952</v>
      </c>
      <c r="F41" s="141">
        <f t="shared" si="22"/>
        <v>-1239.5944146606489</v>
      </c>
      <c r="G41" s="140">
        <f>IF(C41="EMAAC",$I$6*'BRA Load Pricing Results'!J58/'BRA Load Pricing Results'!$B$15,0)</f>
        <v>1507.9617408921285</v>
      </c>
      <c r="H41" s="141">
        <f>G41*$H$21</f>
        <v>153555.74407504546</v>
      </c>
      <c r="I41" s="140">
        <f>IF(C41="SWMAAC",$I$7*'BRA Load Pricing Results'!J58/'BRA Load Pricing Results'!$B$16,0)</f>
        <v>0</v>
      </c>
      <c r="J41" s="141">
        <f t="shared" si="13"/>
        <v>0</v>
      </c>
      <c r="K41" s="140">
        <f>IF(D41="PS",$I$8*'BRA Load Pricing Results'!J58/'BRA Load Pricing Results'!$J$58,0)</f>
        <v>4973.979742736783</v>
      </c>
      <c r="L41" s="141">
        <f>K41*$L$21</f>
        <v>0</v>
      </c>
      <c r="M41" s="140">
        <f>IF(D41="DPL",$I$9*'BRA Load Pricing Results'!J58/'BRA Load Pricing Results'!$J$50,0)</f>
        <v>0</v>
      </c>
      <c r="N41" s="141">
        <f>M41*$N$21</f>
        <v>0</v>
      </c>
      <c r="O41" s="140">
        <f>IF(D41="PEPCO",$I$10*'BRA Load Pricing Results'!J58/'BRA Load Pricing Results'!$J$56,0)</f>
        <v>0</v>
      </c>
      <c r="P41" s="141">
        <f>O41*$P$21</f>
        <v>0</v>
      </c>
      <c r="Q41" s="140">
        <f>IF(D41="ATSI",$I$11*'BRA Load Pricing Results'!J58/'BRA Load Pricing Results'!$J$43,0)</f>
        <v>0</v>
      </c>
      <c r="R41" s="141">
        <f t="shared" si="9"/>
        <v>0</v>
      </c>
      <c r="S41" s="140">
        <f>IF(D41="COMED",$I$12*'BRA Load Pricing Results'!J58/'BRA Load Pricing Results'!$J$45,0)</f>
        <v>0</v>
      </c>
      <c r="T41" s="141">
        <f t="shared" si="10"/>
        <v>0</v>
      </c>
      <c r="U41" s="140">
        <f>IF(D41="BGE",$I$13*'BRA Load Pricing Results'!J58/'BRA Load Pricing Results'!$J$44,0)</f>
        <v>0</v>
      </c>
      <c r="V41" s="141">
        <f t="shared" si="19"/>
        <v>0</v>
      </c>
      <c r="W41" s="140">
        <f>IF(D41="PL",$I$14*'BRA Load Pricing Results'!J58/'BRA Load Pricing Results'!$J$57,0)</f>
        <v>0</v>
      </c>
      <c r="X41" s="141">
        <f>W41*$X$21</f>
        <v>0</v>
      </c>
      <c r="Y41" s="140">
        <f>IF(D41="DAYTON",$I$15*'BRA Load Pricing Results'!J58/'BRA Load Pricing Results'!$J$46,0)</f>
        <v>0</v>
      </c>
      <c r="Z41" s="141">
        <f t="shared" si="11"/>
        <v>0</v>
      </c>
      <c r="AA41" s="140">
        <f>IF(D41="DEOK",$I$16*'BRA Load Pricing Results'!J58/'BRA Load Pricing Results'!$J$47,0)</f>
        <v>0</v>
      </c>
      <c r="AB41" s="141">
        <f>AA41*$AB$21</f>
        <v>0</v>
      </c>
      <c r="AC41" s="142">
        <f t="shared" si="16"/>
        <v>4973.979742736783</v>
      </c>
      <c r="AD41" s="45">
        <f t="shared" si="20"/>
        <v>152316.14966038481</v>
      </c>
      <c r="AE41" s="282">
        <f>AD41/'BRA Load Pricing Results'!J58</f>
        <v>13.560210846388655</v>
      </c>
      <c r="AF41" s="369">
        <f t="shared" si="21"/>
        <v>30.622591473719478</v>
      </c>
      <c r="AG41" s="366"/>
      <c r="AH41" s="268"/>
      <c r="AI41" s="364"/>
      <c r="AJ41" s="364"/>
      <c r="AK41" s="365"/>
    </row>
    <row r="42" spans="1:37" ht="13.5" thickBot="1" x14ac:dyDescent="0.25">
      <c r="A42" s="145" t="s">
        <v>18</v>
      </c>
      <c r="B42" s="112" t="s">
        <v>29</v>
      </c>
      <c r="C42" s="112" t="s">
        <v>35</v>
      </c>
      <c r="D42" s="113"/>
      <c r="E42" s="146">
        <f>IF(B42="MAAC",$I$5*'BRA Load Pricing Results'!J59/'BRA Load Pricing Results'!$B$14,0)</f>
        <v>-5.2052038273312622</v>
      </c>
      <c r="F42" s="147">
        <f t="shared" si="22"/>
        <v>-49.501488397920305</v>
      </c>
      <c r="G42" s="146">
        <f>IF(C42="EMAAC",$I$6*'BRA Load Pricing Results'!J59/'BRA Load Pricing Results'!$B$15,0)</f>
        <v>60.218366377291701</v>
      </c>
      <c r="H42" s="147">
        <f>G42*$H$21</f>
        <v>6132.0362481996135</v>
      </c>
      <c r="I42" s="146">
        <f>IF(C42="SWMAAC",$I$7*'BRA Load Pricing Results'!J59/'BRA Load Pricing Results'!$B$16,0)</f>
        <v>0</v>
      </c>
      <c r="J42" s="147">
        <f t="shared" si="13"/>
        <v>0</v>
      </c>
      <c r="K42" s="146">
        <f>IF(D42="PS",$I$8*'BRA Load Pricing Results'!J59/'BRA Load Pricing Results'!$J$58,0)</f>
        <v>0</v>
      </c>
      <c r="L42" s="147">
        <f t="shared" si="14"/>
        <v>0</v>
      </c>
      <c r="M42" s="146">
        <f>IF(D42="DPL",$I$9*'BRA Load Pricing Results'!J59/'BRA Load Pricing Results'!$J$50,0)</f>
        <v>0</v>
      </c>
      <c r="N42" s="147">
        <f>M42*$N$21</f>
        <v>0</v>
      </c>
      <c r="O42" s="146">
        <f>IF(D42="PEPCO",$I$10*'BRA Load Pricing Results'!J59/'BRA Load Pricing Results'!$J$56,0)</f>
        <v>0</v>
      </c>
      <c r="P42" s="147">
        <f>O42*$P$21</f>
        <v>0</v>
      </c>
      <c r="Q42" s="146">
        <f>IF(D42="ATSI",$I$11*'BRA Load Pricing Results'!J59/'BRA Load Pricing Results'!$J$43,0)</f>
        <v>0</v>
      </c>
      <c r="R42" s="147">
        <f t="shared" si="9"/>
        <v>0</v>
      </c>
      <c r="S42" s="140">
        <f>IF(D42="COMED",$I$12*'BRA Load Pricing Results'!J59/'BRA Load Pricing Results'!$J$45,0)</f>
        <v>0</v>
      </c>
      <c r="T42" s="141">
        <f t="shared" si="10"/>
        <v>0</v>
      </c>
      <c r="U42" s="140">
        <f>IF(D42="BGE",$I$13*'BRA Load Pricing Results'!J59/'BRA Load Pricing Results'!$J$44,0)</f>
        <v>0</v>
      </c>
      <c r="V42" s="141">
        <f t="shared" si="19"/>
        <v>0</v>
      </c>
      <c r="W42" s="140">
        <f>IF(D42="PL",$I$14*'BRA Load Pricing Results'!J59/'BRA Load Pricing Results'!$J$57,0)</f>
        <v>0</v>
      </c>
      <c r="X42" s="141">
        <f>W42*$X$21</f>
        <v>0</v>
      </c>
      <c r="Y42" s="140">
        <f>IF(D42="DAYTON",$I$15*'BRA Load Pricing Results'!J59/'BRA Load Pricing Results'!$J$46,0)</f>
        <v>0</v>
      </c>
      <c r="Z42" s="141">
        <f>Y42*$Z$21</f>
        <v>0</v>
      </c>
      <c r="AA42" s="140">
        <f>IF(D42="DEOK",$I$16*'BRA Load Pricing Results'!J59/'BRA Load Pricing Results'!$J$57,0)</f>
        <v>0</v>
      </c>
      <c r="AB42" s="141">
        <f>AA42*$AB$21</f>
        <v>0</v>
      </c>
      <c r="AC42" s="142">
        <f>MAX(E42,G42,I42,K42,M42,O42,Q42+S42+U42+W42+Y42+AA42)</f>
        <v>60.218366377291701</v>
      </c>
      <c r="AD42" s="45">
        <f>F42+H42+J42+L42+N42+P42+R42+T42+V42+X42+Z42+AB42</f>
        <v>6082.5347598016933</v>
      </c>
      <c r="AE42" s="370">
        <f>AD42/'BRA Load Pricing Results'!J59</f>
        <v>13.560210846388651</v>
      </c>
      <c r="AF42" s="371">
        <f t="shared" si="21"/>
        <v>101.00796693308193</v>
      </c>
      <c r="AG42" s="366"/>
      <c r="AH42" s="268"/>
      <c r="AI42" s="364"/>
      <c r="AJ42" s="364"/>
      <c r="AK42" s="365"/>
    </row>
    <row r="43" spans="1:37" ht="13.5" thickBot="1" x14ac:dyDescent="0.25">
      <c r="A43" s="459" t="s">
        <v>68</v>
      </c>
      <c r="B43" s="460"/>
      <c r="C43" s="460"/>
      <c r="D43" s="461"/>
      <c r="E43" s="148">
        <f>SUM(E23:E42)</f>
        <v>-755.89023579808713</v>
      </c>
      <c r="F43" s="149">
        <f>SUM(F23:F42)</f>
        <v>-7188.5161424398084</v>
      </c>
      <c r="G43" s="148">
        <f t="shared" ref="G43:L43" si="23">SUM(G23:G42)</f>
        <v>4748.3354973553814</v>
      </c>
      <c r="H43" s="149">
        <f t="shared" si="23"/>
        <v>483523.00369569851</v>
      </c>
      <c r="I43" s="148">
        <f t="shared" si="23"/>
        <v>3565.9454222291479</v>
      </c>
      <c r="J43" s="149">
        <f t="shared" si="23"/>
        <v>0</v>
      </c>
      <c r="K43" s="148">
        <f>SUM(K23:K42)</f>
        <v>4973.979742736783</v>
      </c>
      <c r="L43" s="149">
        <f t="shared" si="23"/>
        <v>0</v>
      </c>
      <c r="M43" s="148">
        <f t="shared" ref="M43:R43" si="24">SUM(M23:M42)</f>
        <v>-894.61515080591289</v>
      </c>
      <c r="N43" s="149">
        <f t="shared" si="24"/>
        <v>0</v>
      </c>
      <c r="O43" s="148">
        <f t="shared" si="24"/>
        <v>905.80054194601325</v>
      </c>
      <c r="P43" s="149">
        <f t="shared" si="24"/>
        <v>0</v>
      </c>
      <c r="Q43" s="148">
        <f t="shared" si="24"/>
        <v>4647.7770275025068</v>
      </c>
      <c r="R43" s="149">
        <f t="shared" si="24"/>
        <v>0</v>
      </c>
      <c r="S43" s="148">
        <f t="shared" ref="S43:V43" si="25">SUM(S23:S42)</f>
        <v>1192.7094456948835</v>
      </c>
      <c r="T43" s="149">
        <f>SUM(T23:T42)</f>
        <v>133094.44704509206</v>
      </c>
      <c r="U43" s="148">
        <f t="shared" si="25"/>
        <v>4981.3448802831344</v>
      </c>
      <c r="V43" s="149">
        <f t="shared" si="25"/>
        <v>0</v>
      </c>
      <c r="W43" s="148">
        <f>SUM(W23:W42)</f>
        <v>-2106.6874431187862</v>
      </c>
      <c r="X43" s="149">
        <f>SUM(X23:X42)</f>
        <v>0</v>
      </c>
      <c r="Y43" s="148">
        <f t="shared" ref="Y43:Z43" si="26">SUM(Y23:Y42)</f>
        <v>2323.5042993200977</v>
      </c>
      <c r="Z43" s="149">
        <f t="shared" si="26"/>
        <v>0</v>
      </c>
      <c r="AA43" s="148">
        <f>SUM(AA23:AA42)</f>
        <v>2619.6821298477662</v>
      </c>
      <c r="AB43" s="149">
        <f t="shared" ref="AB43" si="27">SUM(AB23:AB42)</f>
        <v>140074.40348296004</v>
      </c>
      <c r="AC43" s="150"/>
      <c r="AD43" s="151">
        <f>SUM(AD23:AD42)</f>
        <v>749503.33808131085</v>
      </c>
      <c r="AE43" s="152"/>
      <c r="AF43" s="153"/>
      <c r="AG43" s="13"/>
    </row>
    <row r="44" spans="1:37" x14ac:dyDescent="0.2">
      <c r="A44" s="32" t="s">
        <v>69</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37" x14ac:dyDescent="0.2">
      <c r="A45" s="32" t="s">
        <v>70</v>
      </c>
      <c r="B45" s="23"/>
      <c r="C45" s="23"/>
      <c r="D45" s="23"/>
      <c r="E45" s="23"/>
      <c r="F45" s="23"/>
      <c r="G45" s="23"/>
      <c r="H45" s="23"/>
      <c r="I45" s="23"/>
      <c r="J45" s="23"/>
      <c r="K45" s="67"/>
      <c r="L45" s="23"/>
      <c r="M45" s="23"/>
      <c r="N45" s="23"/>
      <c r="O45" s="23"/>
      <c r="P45" s="23"/>
      <c r="Q45" s="23"/>
      <c r="R45" s="23"/>
      <c r="S45" s="23"/>
      <c r="T45" s="23"/>
      <c r="U45" s="23"/>
      <c r="V45" s="23"/>
      <c r="W45" s="23"/>
      <c r="X45" s="23"/>
      <c r="Y45" s="23"/>
      <c r="Z45" s="23"/>
      <c r="AA45" s="23"/>
      <c r="AB45" s="23"/>
    </row>
    <row r="46" spans="1:37" x14ac:dyDescent="0.2">
      <c r="A46" s="32" t="s">
        <v>138</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37" x14ac:dyDescent="0.2">
      <c r="A47" s="32" t="s">
        <v>71</v>
      </c>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37" x14ac:dyDescent="0.2">
      <c r="A48" s="32" t="s">
        <v>72</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sheetData>
  <mergeCells count="14">
    <mergeCell ref="A19:D21"/>
    <mergeCell ref="A43:D43"/>
    <mergeCell ref="E20:F20"/>
    <mergeCell ref="G20:H20"/>
    <mergeCell ref="S20:T20"/>
    <mergeCell ref="Q20:R20"/>
    <mergeCell ref="O20:P20"/>
    <mergeCell ref="Y20:Z20"/>
    <mergeCell ref="AA20:AB20"/>
    <mergeCell ref="K20:L20"/>
    <mergeCell ref="M20:N20"/>
    <mergeCell ref="I20:J20"/>
    <mergeCell ref="U20:V20"/>
    <mergeCell ref="W20:X20"/>
  </mergeCells>
  <printOptions horizontalCentered="1" verticalCentered="1"/>
  <pageMargins left="0.45" right="0.45" top="0.5" bottom="0.5" header="0.3" footer="0.3"/>
  <pageSetup paperSize="17" scale="4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72"/>
  <sheetViews>
    <sheetView zoomScaleNormal="100" workbookViewId="0"/>
  </sheetViews>
  <sheetFormatPr defaultRowHeight="12.75" x14ac:dyDescent="0.2"/>
  <cols>
    <col min="1" max="1" width="54.7109375" customWidth="1"/>
    <col min="2" max="2" width="15.7109375" customWidth="1"/>
    <col min="3" max="3" width="15" customWidth="1"/>
    <col min="4" max="4" width="14.7109375" customWidth="1"/>
    <col min="5" max="7" width="15.7109375" customWidth="1"/>
    <col min="8" max="8" width="14.85546875" customWidth="1"/>
    <col min="9" max="12" width="15.7109375" customWidth="1"/>
    <col min="13" max="13" width="15.28515625" customWidth="1"/>
    <col min="14" max="17" width="15.7109375" customWidth="1"/>
    <col min="18" max="18" width="14.85546875" customWidth="1"/>
    <col min="19" max="21" width="15.7109375" customWidth="1"/>
    <col min="22" max="22" width="14.85546875" customWidth="1"/>
    <col min="23" max="25" width="15.7109375" customWidth="1"/>
    <col min="26" max="26" width="14" customWidth="1"/>
    <col min="27" max="29" width="15.7109375" customWidth="1"/>
    <col min="30" max="30" width="15.140625" customWidth="1"/>
    <col min="31" max="31" width="18.7109375" customWidth="1"/>
    <col min="32" max="32" width="19" customWidth="1"/>
    <col min="33" max="33" width="7.42578125" customWidth="1"/>
    <col min="34" max="34" width="18.85546875" customWidth="1"/>
    <col min="35" max="35" width="8.7109375" customWidth="1"/>
  </cols>
  <sheetData>
    <row r="1" spans="1:23" ht="18.75" x14ac:dyDescent="0.3">
      <c r="A1" s="118" t="s">
        <v>221</v>
      </c>
      <c r="B1" s="11" t="s">
        <v>24</v>
      </c>
    </row>
    <row r="2" spans="1:23" ht="19.5" thickBot="1" x14ac:dyDescent="0.35">
      <c r="A2" s="3"/>
      <c r="C2" s="18"/>
    </row>
    <row r="3" spans="1:23" ht="13.5" thickBot="1" x14ac:dyDescent="0.25">
      <c r="A3" s="470" t="s">
        <v>60</v>
      </c>
      <c r="B3" s="23"/>
      <c r="C3" s="156" t="s">
        <v>125</v>
      </c>
      <c r="D3" s="23"/>
      <c r="E3" s="23"/>
      <c r="F3" s="23"/>
      <c r="G3" s="23"/>
      <c r="H3" s="23"/>
      <c r="I3" s="156" t="s">
        <v>125</v>
      </c>
      <c r="J3" s="23"/>
      <c r="K3" s="23"/>
      <c r="L3" s="23"/>
      <c r="M3" s="23"/>
      <c r="N3" s="23"/>
      <c r="O3" s="23"/>
      <c r="P3" s="23"/>
      <c r="Q3" s="23"/>
      <c r="R3" s="23"/>
      <c r="S3" s="23"/>
      <c r="T3" s="23"/>
      <c r="U3" s="23"/>
      <c r="V3" s="23"/>
      <c r="W3" s="23"/>
    </row>
    <row r="4" spans="1:23" ht="18.75" customHeight="1" thickBot="1" x14ac:dyDescent="0.25">
      <c r="A4" s="471"/>
      <c r="B4" s="226" t="s">
        <v>29</v>
      </c>
      <c r="C4" s="226" t="s">
        <v>29</v>
      </c>
      <c r="D4" s="227" t="s">
        <v>35</v>
      </c>
      <c r="E4" s="227" t="s">
        <v>5</v>
      </c>
      <c r="F4" s="227" t="s">
        <v>8</v>
      </c>
      <c r="G4" s="227" t="s">
        <v>36</v>
      </c>
      <c r="H4" s="227" t="s">
        <v>37</v>
      </c>
      <c r="I4" s="227" t="s">
        <v>37</v>
      </c>
      <c r="J4" s="227" t="s">
        <v>15</v>
      </c>
      <c r="K4" s="227" t="s">
        <v>11</v>
      </c>
      <c r="L4" s="227" t="s">
        <v>52</v>
      </c>
      <c r="M4" s="164"/>
      <c r="N4" s="164"/>
      <c r="O4" s="164"/>
      <c r="P4" s="164"/>
      <c r="Q4" s="23"/>
      <c r="R4" s="23"/>
      <c r="S4" s="23"/>
      <c r="T4" s="23"/>
      <c r="U4" s="23"/>
      <c r="V4" s="23"/>
      <c r="W4" s="23"/>
    </row>
    <row r="5" spans="1:23" ht="26.25" thickBot="1" x14ac:dyDescent="0.25">
      <c r="A5" s="316" t="s">
        <v>93</v>
      </c>
      <c r="B5" s="411" t="s">
        <v>103</v>
      </c>
      <c r="C5" s="411" t="s">
        <v>126</v>
      </c>
      <c r="D5" s="412" t="s">
        <v>127</v>
      </c>
      <c r="E5" s="412" t="s">
        <v>127</v>
      </c>
      <c r="F5" s="412" t="s">
        <v>127</v>
      </c>
      <c r="G5" s="412" t="s">
        <v>127</v>
      </c>
      <c r="H5" s="412" t="s">
        <v>103</v>
      </c>
      <c r="I5" s="412" t="s">
        <v>126</v>
      </c>
      <c r="J5" s="412" t="s">
        <v>127</v>
      </c>
      <c r="K5" s="412" t="s">
        <v>127</v>
      </c>
      <c r="L5" s="412" t="s">
        <v>127</v>
      </c>
      <c r="M5" s="164"/>
      <c r="N5" s="164"/>
      <c r="O5" s="164"/>
      <c r="P5" s="164"/>
      <c r="Q5" s="46"/>
      <c r="R5" s="23"/>
      <c r="S5" s="23"/>
      <c r="T5" s="23"/>
      <c r="U5" s="23"/>
      <c r="V5" s="23"/>
      <c r="W5" s="23"/>
    </row>
    <row r="6" spans="1:23" ht="20.100000000000001" customHeight="1" x14ac:dyDescent="0.2">
      <c r="A6" s="228" t="s">
        <v>145</v>
      </c>
      <c r="B6" s="414"/>
      <c r="C6" s="414"/>
      <c r="D6" s="415"/>
      <c r="E6" s="415"/>
      <c r="F6" s="415"/>
      <c r="G6" s="415"/>
      <c r="H6" s="415"/>
      <c r="I6" s="415"/>
      <c r="J6" s="415"/>
      <c r="K6" s="415"/>
      <c r="L6" s="415"/>
      <c r="M6" s="164"/>
      <c r="N6" s="164"/>
      <c r="O6" s="164"/>
      <c r="P6" s="164"/>
      <c r="Q6" s="46"/>
      <c r="R6" s="23"/>
      <c r="S6" s="23"/>
      <c r="T6" s="23"/>
      <c r="U6" s="23"/>
      <c r="V6" s="23"/>
      <c r="W6" s="23"/>
    </row>
    <row r="7" spans="1:23" ht="20.100000000000001" customHeight="1" x14ac:dyDescent="0.2">
      <c r="A7" s="229" t="s">
        <v>87</v>
      </c>
      <c r="B7" s="206">
        <v>160</v>
      </c>
      <c r="C7" s="207">
        <v>0</v>
      </c>
      <c r="D7" s="207">
        <v>0</v>
      </c>
      <c r="E7" s="207">
        <v>0</v>
      </c>
      <c r="F7" s="207">
        <v>0</v>
      </c>
      <c r="G7" s="207">
        <v>0</v>
      </c>
      <c r="H7" s="207">
        <v>0</v>
      </c>
      <c r="I7" s="207">
        <v>0</v>
      </c>
      <c r="J7" s="207">
        <v>0</v>
      </c>
      <c r="K7" s="207">
        <v>0</v>
      </c>
      <c r="L7" s="207">
        <v>0</v>
      </c>
      <c r="M7" s="52"/>
      <c r="N7" s="52"/>
      <c r="O7" s="52"/>
      <c r="P7" s="52"/>
      <c r="Q7" s="46"/>
      <c r="R7" s="23"/>
      <c r="S7" s="23"/>
      <c r="T7" s="23"/>
      <c r="U7" s="23"/>
      <c r="V7" s="23"/>
      <c r="W7" s="23"/>
    </row>
    <row r="8" spans="1:23" ht="20.100000000000001" customHeight="1" x14ac:dyDescent="0.2">
      <c r="A8" s="229" t="s">
        <v>88</v>
      </c>
      <c r="B8" s="206">
        <v>106</v>
      </c>
      <c r="C8" s="207">
        <v>0</v>
      </c>
      <c r="D8" s="207">
        <v>0</v>
      </c>
      <c r="E8" s="207">
        <v>0</v>
      </c>
      <c r="F8" s="207">
        <v>0</v>
      </c>
      <c r="G8" s="207">
        <v>0</v>
      </c>
      <c r="H8" s="207">
        <v>0</v>
      </c>
      <c r="I8" s="207">
        <v>0</v>
      </c>
      <c r="J8" s="207">
        <v>0</v>
      </c>
      <c r="K8" s="207">
        <v>0</v>
      </c>
      <c r="L8" s="207">
        <v>0</v>
      </c>
      <c r="M8" s="52"/>
      <c r="N8" s="52"/>
      <c r="O8" s="52"/>
      <c r="P8" s="52"/>
      <c r="Q8" s="46"/>
      <c r="R8" s="23"/>
      <c r="S8" s="23"/>
      <c r="T8" s="23"/>
      <c r="U8" s="23"/>
      <c r="V8" s="23"/>
      <c r="W8" s="23"/>
    </row>
    <row r="9" spans="1:23" ht="20.100000000000001" customHeight="1" x14ac:dyDescent="0.2">
      <c r="A9" s="229" t="s">
        <v>91</v>
      </c>
      <c r="B9" s="206">
        <v>117</v>
      </c>
      <c r="C9" s="207">
        <v>0</v>
      </c>
      <c r="D9" s="207">
        <v>0</v>
      </c>
      <c r="E9" s="207">
        <v>0</v>
      </c>
      <c r="F9" s="207">
        <v>0</v>
      </c>
      <c r="G9" s="207">
        <v>0</v>
      </c>
      <c r="H9" s="207">
        <v>0</v>
      </c>
      <c r="I9" s="207">
        <v>0</v>
      </c>
      <c r="J9" s="207">
        <v>0</v>
      </c>
      <c r="K9" s="207">
        <v>0</v>
      </c>
      <c r="L9" s="207">
        <v>0</v>
      </c>
      <c r="M9" s="52"/>
      <c r="N9" s="52"/>
      <c r="O9" s="52"/>
      <c r="P9" s="52"/>
      <c r="Q9" s="46"/>
      <c r="R9" s="23"/>
      <c r="S9" s="23"/>
      <c r="T9" s="23"/>
      <c r="U9" s="23"/>
      <c r="V9" s="23"/>
      <c r="W9" s="23"/>
    </row>
    <row r="10" spans="1:23" ht="24.95" customHeight="1" x14ac:dyDescent="0.2">
      <c r="A10" s="229" t="s">
        <v>92</v>
      </c>
      <c r="B10" s="206">
        <v>0</v>
      </c>
      <c r="C10" s="207">
        <v>0</v>
      </c>
      <c r="D10" s="207">
        <v>898</v>
      </c>
      <c r="E10" s="207">
        <v>0</v>
      </c>
      <c r="F10" s="207">
        <v>68.900000000000006</v>
      </c>
      <c r="G10" s="207">
        <v>105.5</v>
      </c>
      <c r="H10" s="207">
        <v>0</v>
      </c>
      <c r="I10" s="207">
        <v>0</v>
      </c>
      <c r="J10" s="207">
        <v>0</v>
      </c>
      <c r="K10" s="207">
        <v>0</v>
      </c>
      <c r="L10" s="207">
        <v>0</v>
      </c>
      <c r="M10" s="52"/>
      <c r="N10" s="52"/>
      <c r="O10" s="52"/>
      <c r="P10" s="52"/>
      <c r="Q10" s="46"/>
      <c r="R10" s="23"/>
      <c r="S10" s="23"/>
      <c r="T10" s="23"/>
      <c r="U10" s="23"/>
      <c r="V10" s="23"/>
      <c r="W10" s="23"/>
    </row>
    <row r="11" spans="1:23" ht="20.100000000000001" customHeight="1" x14ac:dyDescent="0.2">
      <c r="A11" s="229" t="s">
        <v>122</v>
      </c>
      <c r="B11" s="206">
        <v>339</v>
      </c>
      <c r="C11" s="207">
        <v>0</v>
      </c>
      <c r="D11" s="207">
        <v>0</v>
      </c>
      <c r="E11" s="207">
        <v>0</v>
      </c>
      <c r="F11" s="207">
        <v>0</v>
      </c>
      <c r="G11" s="207">
        <v>0</v>
      </c>
      <c r="H11" s="207">
        <v>0</v>
      </c>
      <c r="I11" s="207">
        <v>0</v>
      </c>
      <c r="J11" s="207">
        <v>0</v>
      </c>
      <c r="K11" s="207">
        <v>0</v>
      </c>
      <c r="L11" s="207">
        <v>0</v>
      </c>
      <c r="M11" s="52"/>
      <c r="N11" s="52"/>
      <c r="O11" s="52"/>
      <c r="P11" s="52"/>
      <c r="Q11" s="46"/>
      <c r="R11" s="23"/>
      <c r="S11" s="23"/>
      <c r="T11" s="23"/>
      <c r="U11" s="23"/>
      <c r="V11" s="23"/>
      <c r="W11" s="23"/>
    </row>
    <row r="12" spans="1:23" ht="24.95" customHeight="1" x14ac:dyDescent="0.2">
      <c r="A12" s="229" t="s">
        <v>146</v>
      </c>
      <c r="B12" s="206">
        <v>0</v>
      </c>
      <c r="C12" s="207">
        <v>0</v>
      </c>
      <c r="D12" s="207">
        <v>0</v>
      </c>
      <c r="E12" s="207">
        <v>256</v>
      </c>
      <c r="F12" s="207">
        <v>0</v>
      </c>
      <c r="G12" s="207">
        <v>0</v>
      </c>
      <c r="H12" s="207">
        <v>0</v>
      </c>
      <c r="I12" s="207">
        <v>0</v>
      </c>
      <c r="J12" s="207">
        <v>0</v>
      </c>
      <c r="K12" s="207">
        <v>0</v>
      </c>
      <c r="L12" s="207">
        <v>0</v>
      </c>
      <c r="M12" s="52"/>
      <c r="N12" s="52"/>
      <c r="O12" s="52"/>
      <c r="P12" s="52"/>
      <c r="Q12" s="46"/>
      <c r="R12" s="23"/>
      <c r="S12" s="23"/>
      <c r="T12" s="23"/>
      <c r="U12" s="23"/>
      <c r="V12" s="23"/>
      <c r="W12" s="23"/>
    </row>
    <row r="13" spans="1:23" ht="20.100000000000001" customHeight="1" thickBot="1" x14ac:dyDescent="0.25">
      <c r="A13" s="376" t="s">
        <v>215</v>
      </c>
      <c r="B13" s="377">
        <f>SUM(B7:B12)</f>
        <v>722</v>
      </c>
      <c r="C13" s="377">
        <f>SUM(C7:C12)</f>
        <v>0</v>
      </c>
      <c r="D13" s="416">
        <f>SUM(D7:D12)</f>
        <v>898</v>
      </c>
      <c r="E13" s="416">
        <f t="shared" ref="E13:H13" si="0">SUM(E7:E12)</f>
        <v>256</v>
      </c>
      <c r="F13" s="416">
        <f t="shared" si="0"/>
        <v>68.900000000000006</v>
      </c>
      <c r="G13" s="416">
        <f t="shared" si="0"/>
        <v>105.5</v>
      </c>
      <c r="H13" s="416">
        <f t="shared" si="0"/>
        <v>0</v>
      </c>
      <c r="I13" s="416">
        <f>SUM(I7:I12)</f>
        <v>0</v>
      </c>
      <c r="J13" s="416">
        <f>SUM(J7:J12)</f>
        <v>0</v>
      </c>
      <c r="K13" s="416">
        <f>SUM(K7:K12)</f>
        <v>0</v>
      </c>
      <c r="L13" s="416">
        <f>SUM(L7:L12)</f>
        <v>0</v>
      </c>
      <c r="M13" s="52"/>
      <c r="N13" s="52"/>
      <c r="O13" s="52"/>
      <c r="P13" s="52"/>
      <c r="Q13" s="46"/>
      <c r="R13" s="23"/>
      <c r="S13" s="23"/>
      <c r="T13" s="23"/>
      <c r="U13" s="23"/>
      <c r="V13" s="23"/>
      <c r="W13" s="23"/>
    </row>
    <row r="14" spans="1:23" ht="20.100000000000001" customHeight="1" x14ac:dyDescent="0.2">
      <c r="A14" s="228" t="s">
        <v>141</v>
      </c>
      <c r="B14" s="417" t="s">
        <v>24</v>
      </c>
      <c r="C14" s="417" t="s">
        <v>24</v>
      </c>
      <c r="D14" s="418"/>
      <c r="E14" s="418"/>
      <c r="F14" s="418"/>
      <c r="G14" s="418"/>
      <c r="H14" s="418"/>
      <c r="I14" s="418"/>
      <c r="J14" s="418"/>
      <c r="K14" s="418"/>
      <c r="L14" s="418"/>
      <c r="M14" s="79"/>
      <c r="N14" s="79"/>
      <c r="O14" s="79"/>
      <c r="P14" s="165"/>
      <c r="Q14" s="46"/>
      <c r="R14" s="23"/>
      <c r="S14" s="23"/>
      <c r="T14" s="23"/>
      <c r="U14" s="23"/>
      <c r="V14" s="23"/>
      <c r="W14" s="23"/>
    </row>
    <row r="15" spans="1:23" ht="24.95" customHeight="1" x14ac:dyDescent="0.2">
      <c r="A15" s="229" t="s">
        <v>157</v>
      </c>
      <c r="B15" s="206">
        <v>16</v>
      </c>
      <c r="C15" s="207">
        <v>0</v>
      </c>
      <c r="D15" s="207">
        <v>0</v>
      </c>
      <c r="E15" s="207">
        <v>237</v>
      </c>
      <c r="F15" s="207">
        <v>0</v>
      </c>
      <c r="G15" s="207">
        <v>0</v>
      </c>
      <c r="H15" s="207">
        <v>0</v>
      </c>
      <c r="I15" s="207">
        <v>0</v>
      </c>
      <c r="J15" s="207">
        <v>0</v>
      </c>
      <c r="K15" s="207">
        <v>124</v>
      </c>
      <c r="L15" s="207">
        <v>0</v>
      </c>
      <c r="M15" s="79"/>
      <c r="N15" s="79"/>
      <c r="O15" s="79"/>
      <c r="P15" s="165"/>
      <c r="Q15" s="46"/>
      <c r="R15" s="23"/>
      <c r="S15" s="23"/>
      <c r="T15" s="23"/>
      <c r="U15" s="23"/>
      <c r="V15" s="23"/>
      <c r="W15" s="23"/>
    </row>
    <row r="16" spans="1:23" ht="24.95" customHeight="1" x14ac:dyDescent="0.2">
      <c r="A16" s="229" t="s">
        <v>117</v>
      </c>
      <c r="B16" s="206">
        <v>0</v>
      </c>
      <c r="C16" s="207">
        <v>0</v>
      </c>
      <c r="D16" s="207">
        <v>0</v>
      </c>
      <c r="E16" s="207">
        <v>0</v>
      </c>
      <c r="F16" s="207">
        <v>340.2</v>
      </c>
      <c r="G16" s="207">
        <v>494.5</v>
      </c>
      <c r="H16" s="207">
        <v>0</v>
      </c>
      <c r="I16" s="207">
        <v>0</v>
      </c>
      <c r="J16" s="207">
        <v>0</v>
      </c>
      <c r="K16" s="207">
        <v>0</v>
      </c>
      <c r="L16" s="207">
        <v>0</v>
      </c>
      <c r="M16" s="79"/>
      <c r="N16" s="79"/>
      <c r="O16" s="79"/>
      <c r="P16" s="165"/>
      <c r="Q16" s="46"/>
      <c r="R16" s="23"/>
      <c r="S16" s="23"/>
      <c r="T16" s="23"/>
      <c r="U16" s="23"/>
      <c r="V16" s="23"/>
      <c r="W16" s="23"/>
    </row>
    <row r="17" spans="1:23" ht="24.95" customHeight="1" x14ac:dyDescent="0.2">
      <c r="A17" s="229" t="s">
        <v>89</v>
      </c>
      <c r="B17" s="206">
        <v>0</v>
      </c>
      <c r="C17" s="207">
        <v>0</v>
      </c>
      <c r="D17" s="207">
        <v>0</v>
      </c>
      <c r="E17" s="207">
        <v>0</v>
      </c>
      <c r="F17" s="207">
        <v>90.3</v>
      </c>
      <c r="G17" s="207">
        <v>0</v>
      </c>
      <c r="H17" s="207">
        <v>0</v>
      </c>
      <c r="I17" s="207">
        <v>0</v>
      </c>
      <c r="J17" s="207">
        <v>0</v>
      </c>
      <c r="K17" s="207">
        <v>0</v>
      </c>
      <c r="L17" s="207">
        <v>0</v>
      </c>
      <c r="M17" s="79"/>
      <c r="N17" s="79"/>
      <c r="O17" s="79"/>
      <c r="P17" s="165"/>
      <c r="Q17" s="46"/>
      <c r="R17" s="23"/>
      <c r="S17" s="23"/>
      <c r="T17" s="23"/>
      <c r="U17" s="23"/>
      <c r="V17" s="23"/>
      <c r="W17" s="23"/>
    </row>
    <row r="18" spans="1:23" ht="24.95" customHeight="1" x14ac:dyDescent="0.2">
      <c r="A18" s="229" t="s">
        <v>159</v>
      </c>
      <c r="B18" s="206">
        <v>0</v>
      </c>
      <c r="C18" s="207">
        <v>0</v>
      </c>
      <c r="D18" s="207">
        <v>0</v>
      </c>
      <c r="E18" s="207">
        <v>0</v>
      </c>
      <c r="F18" s="207">
        <v>0</v>
      </c>
      <c r="G18" s="207">
        <v>0</v>
      </c>
      <c r="H18" s="207">
        <v>0</v>
      </c>
      <c r="I18" s="207">
        <v>0</v>
      </c>
      <c r="J18" s="207">
        <v>0</v>
      </c>
      <c r="K18" s="207">
        <v>182</v>
      </c>
      <c r="L18" s="207">
        <v>0</v>
      </c>
      <c r="M18" s="79"/>
      <c r="N18" s="79"/>
      <c r="O18" s="79"/>
      <c r="P18" s="165"/>
      <c r="Q18" s="46"/>
      <c r="R18" s="23"/>
      <c r="S18" s="23"/>
      <c r="T18" s="23"/>
      <c r="U18" s="23"/>
      <c r="V18" s="23"/>
      <c r="W18" s="23"/>
    </row>
    <row r="19" spans="1:23" ht="24.95" customHeight="1" x14ac:dyDescent="0.2">
      <c r="A19" s="229" t="s">
        <v>220</v>
      </c>
      <c r="B19" s="206">
        <v>0</v>
      </c>
      <c r="C19" s="207">
        <v>0</v>
      </c>
      <c r="D19" s="207">
        <v>0</v>
      </c>
      <c r="E19" s="207">
        <v>551</v>
      </c>
      <c r="F19" s="207">
        <v>0</v>
      </c>
      <c r="G19" s="207">
        <v>0</v>
      </c>
      <c r="H19" s="207">
        <v>0</v>
      </c>
      <c r="I19" s="207">
        <v>0</v>
      </c>
      <c r="J19" s="207">
        <v>315</v>
      </c>
      <c r="K19" s="207">
        <v>0</v>
      </c>
      <c r="L19" s="207">
        <v>0</v>
      </c>
      <c r="M19" s="79"/>
      <c r="N19" s="79"/>
      <c r="O19" s="79"/>
      <c r="P19" s="165"/>
      <c r="Q19" s="46"/>
      <c r="R19" s="23"/>
      <c r="S19" s="23"/>
      <c r="T19" s="23"/>
      <c r="U19" s="23"/>
      <c r="V19" s="23"/>
      <c r="W19" s="23"/>
    </row>
    <row r="20" spans="1:23" ht="65.099999999999994" customHeight="1" x14ac:dyDescent="0.2">
      <c r="A20" s="419" t="s">
        <v>181</v>
      </c>
      <c r="B20" s="206">
        <v>0</v>
      </c>
      <c r="C20" s="208">
        <v>0</v>
      </c>
      <c r="D20" s="207">
        <v>50</v>
      </c>
      <c r="E20" s="207">
        <v>0</v>
      </c>
      <c r="F20" s="207">
        <v>0</v>
      </c>
      <c r="G20" s="207">
        <v>0</v>
      </c>
      <c r="H20" s="207">
        <v>0</v>
      </c>
      <c r="I20" s="207">
        <v>0</v>
      </c>
      <c r="J20" s="207">
        <v>175</v>
      </c>
      <c r="K20" s="207">
        <v>0</v>
      </c>
      <c r="L20" s="207">
        <v>0</v>
      </c>
      <c r="M20" s="79"/>
      <c r="N20" s="79"/>
      <c r="O20" s="79"/>
      <c r="P20" s="165"/>
      <c r="Q20" s="46"/>
      <c r="R20" s="23"/>
      <c r="S20" s="23"/>
      <c r="T20" s="23"/>
      <c r="U20" s="23"/>
      <c r="V20" s="23"/>
      <c r="W20" s="23"/>
    </row>
    <row r="21" spans="1:23" ht="20.100000000000001" customHeight="1" thickBot="1" x14ac:dyDescent="0.25">
      <c r="A21" s="376" t="s">
        <v>94</v>
      </c>
      <c r="B21" s="377">
        <f>SUM(B15:B20)</f>
        <v>16</v>
      </c>
      <c r="C21" s="377">
        <f>SUM(C15:C19)</f>
        <v>0</v>
      </c>
      <c r="D21" s="416">
        <f t="shared" ref="D21:L21" si="1">SUM(D15:D20)</f>
        <v>50</v>
      </c>
      <c r="E21" s="416">
        <f t="shared" si="1"/>
        <v>788</v>
      </c>
      <c r="F21" s="416">
        <f t="shared" si="1"/>
        <v>430.5</v>
      </c>
      <c r="G21" s="416">
        <f t="shared" si="1"/>
        <v>494.5</v>
      </c>
      <c r="H21" s="416">
        <f t="shared" si="1"/>
        <v>0</v>
      </c>
      <c r="I21" s="416">
        <f t="shared" si="1"/>
        <v>0</v>
      </c>
      <c r="J21" s="416">
        <f t="shared" si="1"/>
        <v>490</v>
      </c>
      <c r="K21" s="416">
        <f t="shared" si="1"/>
        <v>306</v>
      </c>
      <c r="L21" s="416">
        <f t="shared" si="1"/>
        <v>0</v>
      </c>
      <c r="M21" s="79"/>
      <c r="N21" s="79"/>
      <c r="O21" s="79"/>
      <c r="P21" s="165"/>
      <c r="Q21" s="46"/>
      <c r="R21" s="23"/>
      <c r="S21" s="23"/>
      <c r="T21" s="23"/>
      <c r="U21" s="23"/>
      <c r="V21" s="23"/>
      <c r="W21" s="23"/>
    </row>
    <row r="22" spans="1:23" ht="20.100000000000001" customHeight="1" x14ac:dyDescent="0.2">
      <c r="A22" s="228" t="s">
        <v>76</v>
      </c>
      <c r="B22" s="422"/>
      <c r="C22" s="422"/>
      <c r="D22" s="423"/>
      <c r="E22" s="423"/>
      <c r="F22" s="423"/>
      <c r="G22" s="423"/>
      <c r="H22" s="423"/>
      <c r="I22" s="423"/>
      <c r="J22" s="423"/>
      <c r="K22" s="423"/>
      <c r="L22" s="423"/>
      <c r="M22" s="79"/>
      <c r="N22" s="79"/>
      <c r="O22" s="79"/>
      <c r="P22" s="165"/>
      <c r="Q22" s="46"/>
      <c r="R22" s="23"/>
      <c r="S22" s="23"/>
      <c r="T22" s="23"/>
      <c r="U22" s="23"/>
      <c r="V22" s="23"/>
      <c r="W22" s="23"/>
    </row>
    <row r="23" spans="1:23" ht="24.95" customHeight="1" x14ac:dyDescent="0.2">
      <c r="A23" s="229" t="s">
        <v>90</v>
      </c>
      <c r="B23" s="206">
        <v>159</v>
      </c>
      <c r="C23" s="207">
        <v>0</v>
      </c>
      <c r="D23" s="207">
        <v>0</v>
      </c>
      <c r="E23" s="207">
        <v>0</v>
      </c>
      <c r="F23" s="207">
        <v>0</v>
      </c>
      <c r="G23" s="207">
        <v>0</v>
      </c>
      <c r="H23" s="207">
        <v>0</v>
      </c>
      <c r="I23" s="207">
        <v>0</v>
      </c>
      <c r="J23" s="207">
        <v>0</v>
      </c>
      <c r="K23" s="207">
        <v>0</v>
      </c>
      <c r="L23" s="207">
        <v>0</v>
      </c>
      <c r="M23" s="79"/>
      <c r="N23" s="79"/>
      <c r="O23" s="79"/>
      <c r="P23" s="165"/>
      <c r="Q23" s="46"/>
      <c r="R23" s="23"/>
      <c r="S23" s="23"/>
      <c r="T23" s="23"/>
      <c r="U23" s="23"/>
      <c r="V23" s="23"/>
      <c r="W23" s="23"/>
    </row>
    <row r="24" spans="1:23" ht="24.95" customHeight="1" x14ac:dyDescent="0.2">
      <c r="A24" s="229" t="s">
        <v>160</v>
      </c>
      <c r="B24" s="206">
        <v>0</v>
      </c>
      <c r="C24" s="207">
        <v>0</v>
      </c>
      <c r="D24" s="207">
        <v>0</v>
      </c>
      <c r="E24" s="207">
        <v>0</v>
      </c>
      <c r="F24" s="207">
        <v>0</v>
      </c>
      <c r="G24" s="207">
        <v>0</v>
      </c>
      <c r="H24" s="207">
        <v>37</v>
      </c>
      <c r="I24" s="207">
        <v>0</v>
      </c>
      <c r="J24" s="207">
        <v>0</v>
      </c>
      <c r="K24" s="207">
        <v>0</v>
      </c>
      <c r="L24" s="207">
        <v>0</v>
      </c>
      <c r="M24" s="79"/>
      <c r="N24" s="79"/>
      <c r="O24" s="79"/>
      <c r="P24" s="165"/>
      <c r="Q24" s="46"/>
      <c r="R24" s="23"/>
      <c r="S24" s="23"/>
      <c r="T24" s="23"/>
      <c r="U24" s="23"/>
      <c r="V24" s="23"/>
      <c r="W24" s="23"/>
    </row>
    <row r="25" spans="1:23" ht="24.95" customHeight="1" x14ac:dyDescent="0.2">
      <c r="A25" s="229" t="s">
        <v>179</v>
      </c>
      <c r="B25" s="206">
        <v>0</v>
      </c>
      <c r="C25" s="207">
        <v>0</v>
      </c>
      <c r="D25" s="207">
        <v>0</v>
      </c>
      <c r="E25" s="208">
        <v>0</v>
      </c>
      <c r="F25" s="208">
        <v>0</v>
      </c>
      <c r="G25" s="208">
        <v>0</v>
      </c>
      <c r="H25" s="208">
        <v>35</v>
      </c>
      <c r="I25" s="207">
        <v>0</v>
      </c>
      <c r="J25" s="208">
        <v>0</v>
      </c>
      <c r="K25" s="207">
        <v>0</v>
      </c>
      <c r="L25" s="207">
        <v>0</v>
      </c>
      <c r="M25" s="79"/>
      <c r="N25" s="79"/>
      <c r="O25" s="79"/>
      <c r="P25" s="165"/>
      <c r="Q25" s="46"/>
      <c r="R25" s="23"/>
      <c r="S25" s="23"/>
      <c r="T25" s="23"/>
      <c r="U25" s="23"/>
      <c r="V25" s="23"/>
      <c r="W25" s="23"/>
    </row>
    <row r="26" spans="1:23" ht="24.95" customHeight="1" x14ac:dyDescent="0.2">
      <c r="A26" s="229" t="s">
        <v>178</v>
      </c>
      <c r="B26" s="206">
        <v>0</v>
      </c>
      <c r="C26" s="207">
        <v>0</v>
      </c>
      <c r="D26" s="207">
        <v>0</v>
      </c>
      <c r="E26" s="208">
        <v>0</v>
      </c>
      <c r="F26" s="208">
        <v>0</v>
      </c>
      <c r="G26" s="208">
        <v>0</v>
      </c>
      <c r="H26" s="208">
        <v>0</v>
      </c>
      <c r="I26" s="207">
        <v>0</v>
      </c>
      <c r="J26" s="208">
        <v>0</v>
      </c>
      <c r="K26" s="207">
        <v>0</v>
      </c>
      <c r="L26" s="207">
        <v>155</v>
      </c>
      <c r="M26" s="79"/>
      <c r="N26" s="79"/>
      <c r="O26" s="79"/>
      <c r="P26" s="165"/>
      <c r="Q26" s="46"/>
      <c r="R26" s="23"/>
      <c r="S26" s="23"/>
      <c r="T26" s="23"/>
      <c r="U26" s="23"/>
      <c r="V26" s="23"/>
      <c r="W26" s="23"/>
    </row>
    <row r="27" spans="1:23" ht="20.100000000000001" customHeight="1" x14ac:dyDescent="0.2">
      <c r="A27" s="229" t="s">
        <v>161</v>
      </c>
      <c r="B27" s="206">
        <v>733</v>
      </c>
      <c r="C27" s="207">
        <v>0</v>
      </c>
      <c r="D27" s="207">
        <v>0</v>
      </c>
      <c r="E27" s="208">
        <v>0</v>
      </c>
      <c r="F27" s="208">
        <v>0</v>
      </c>
      <c r="G27" s="208">
        <v>0</v>
      </c>
      <c r="H27" s="208">
        <v>0</v>
      </c>
      <c r="I27" s="207">
        <f>H27*'BRA CTRs'!$F$9/$H$33</f>
        <v>0</v>
      </c>
      <c r="J27" s="208">
        <v>0</v>
      </c>
      <c r="K27" s="207">
        <v>0</v>
      </c>
      <c r="L27" s="207">
        <v>0</v>
      </c>
      <c r="M27" s="79"/>
      <c r="N27" s="79"/>
      <c r="O27" s="79"/>
      <c r="P27" s="165"/>
      <c r="Q27" s="46"/>
      <c r="R27" s="23"/>
      <c r="S27" s="23"/>
      <c r="T27" s="23"/>
      <c r="U27" s="23"/>
      <c r="V27" s="23"/>
      <c r="W27" s="23"/>
    </row>
    <row r="28" spans="1:23" ht="20.100000000000001" customHeight="1" x14ac:dyDescent="0.2">
      <c r="A28" s="229" t="s">
        <v>158</v>
      </c>
      <c r="B28" s="206">
        <v>0</v>
      </c>
      <c r="C28" s="207">
        <v>0</v>
      </c>
      <c r="D28" s="207">
        <v>0</v>
      </c>
      <c r="E28" s="208">
        <v>0</v>
      </c>
      <c r="F28" s="208">
        <v>0</v>
      </c>
      <c r="G28" s="208">
        <v>0</v>
      </c>
      <c r="H28" s="208">
        <v>0</v>
      </c>
      <c r="I28" s="208">
        <v>0</v>
      </c>
      <c r="J28" s="208">
        <v>0</v>
      </c>
      <c r="K28" s="207">
        <v>65.7</v>
      </c>
      <c r="L28" s="207">
        <v>0</v>
      </c>
      <c r="M28" s="79"/>
      <c r="N28" s="79"/>
      <c r="O28" s="79"/>
      <c r="P28" s="165"/>
      <c r="Q28" s="46"/>
      <c r="R28" s="23"/>
      <c r="S28" s="23"/>
      <c r="T28" s="23"/>
      <c r="U28" s="23"/>
      <c r="V28" s="23"/>
      <c r="W28" s="23"/>
    </row>
    <row r="29" spans="1:23" ht="20.100000000000001" customHeight="1" x14ac:dyDescent="0.2">
      <c r="A29" s="229" t="s">
        <v>180</v>
      </c>
      <c r="B29" s="206">
        <v>0</v>
      </c>
      <c r="C29" s="207">
        <v>0</v>
      </c>
      <c r="D29" s="207">
        <v>0</v>
      </c>
      <c r="E29" s="208">
        <v>0</v>
      </c>
      <c r="F29" s="208">
        <v>41</v>
      </c>
      <c r="G29" s="208">
        <v>21</v>
      </c>
      <c r="H29" s="208">
        <v>0</v>
      </c>
      <c r="I29" s="208">
        <v>0</v>
      </c>
      <c r="J29" s="208">
        <v>0</v>
      </c>
      <c r="K29" s="207">
        <v>0</v>
      </c>
      <c r="L29" s="207">
        <v>0</v>
      </c>
      <c r="M29" s="79"/>
      <c r="N29" s="79"/>
      <c r="O29" s="79"/>
      <c r="P29" s="165"/>
      <c r="Q29" s="46"/>
      <c r="R29" s="23"/>
      <c r="S29" s="23"/>
      <c r="T29" s="23"/>
      <c r="U29" s="23"/>
      <c r="V29" s="23"/>
      <c r="W29" s="23"/>
    </row>
    <row r="30" spans="1:23" ht="20.100000000000001" customHeight="1" x14ac:dyDescent="0.2">
      <c r="A30" s="229" t="s">
        <v>193</v>
      </c>
      <c r="B30" s="206">
        <v>665</v>
      </c>
      <c r="C30" s="207">
        <v>0</v>
      </c>
      <c r="D30" s="207">
        <v>40</v>
      </c>
      <c r="E30" s="208">
        <v>0</v>
      </c>
      <c r="F30" s="208">
        <v>0</v>
      </c>
      <c r="G30" s="208">
        <v>0</v>
      </c>
      <c r="H30" s="208">
        <v>0</v>
      </c>
      <c r="I30" s="208">
        <v>0</v>
      </c>
      <c r="J30" s="208">
        <v>0</v>
      </c>
      <c r="K30" s="207">
        <v>0</v>
      </c>
      <c r="L30" s="207">
        <v>0</v>
      </c>
      <c r="M30" s="79"/>
      <c r="N30" s="79"/>
      <c r="O30" s="79"/>
      <c r="P30" s="165"/>
      <c r="Q30" s="46"/>
      <c r="R30" s="23"/>
      <c r="S30" s="23"/>
      <c r="T30" s="23"/>
      <c r="U30" s="23"/>
      <c r="V30" s="23"/>
      <c r="W30" s="23"/>
    </row>
    <row r="31" spans="1:23" ht="20.100000000000001" customHeight="1" thickBot="1" x14ac:dyDescent="0.25">
      <c r="A31" s="376" t="s">
        <v>81</v>
      </c>
      <c r="B31" s="377">
        <f>SUM(B23:B30)</f>
        <v>1557</v>
      </c>
      <c r="C31" s="377">
        <f t="shared" ref="C31:K31" si="2">SUM(C23:C30)</f>
        <v>0</v>
      </c>
      <c r="D31" s="378">
        <f>SUM(D23:D30)</f>
        <v>40</v>
      </c>
      <c r="E31" s="377">
        <f t="shared" si="2"/>
        <v>0</v>
      </c>
      <c r="F31" s="377">
        <f t="shared" si="2"/>
        <v>41</v>
      </c>
      <c r="G31" s="377">
        <f t="shared" si="2"/>
        <v>21</v>
      </c>
      <c r="H31" s="377">
        <f t="shared" si="2"/>
        <v>72</v>
      </c>
      <c r="I31" s="377">
        <f t="shared" si="2"/>
        <v>0</v>
      </c>
      <c r="J31" s="377">
        <f t="shared" si="2"/>
        <v>0</v>
      </c>
      <c r="K31" s="378">
        <f t="shared" si="2"/>
        <v>65.7</v>
      </c>
      <c r="L31" s="378">
        <f t="shared" ref="L31" si="3">SUM(L23:L30)</f>
        <v>155</v>
      </c>
      <c r="M31" s="79"/>
      <c r="N31" s="79"/>
      <c r="O31" s="79"/>
      <c r="P31" s="165"/>
      <c r="Q31" s="46"/>
      <c r="R31" s="23"/>
      <c r="S31" s="23"/>
      <c r="T31" s="23"/>
      <c r="U31" s="23"/>
      <c r="V31" s="23"/>
      <c r="W31" s="23"/>
    </row>
    <row r="32" spans="1:23" x14ac:dyDescent="0.2">
      <c r="A32" s="420"/>
      <c r="B32" s="413"/>
      <c r="C32" s="413"/>
      <c r="D32" s="421"/>
      <c r="E32" s="421"/>
      <c r="F32" s="421"/>
      <c r="G32" s="421"/>
      <c r="H32" s="421"/>
      <c r="I32" s="421"/>
      <c r="J32" s="421"/>
      <c r="K32" s="421"/>
      <c r="L32" s="421"/>
      <c r="M32" s="79"/>
      <c r="N32" s="79"/>
      <c r="O32" s="79"/>
      <c r="P32" s="165"/>
      <c r="Q32" s="46"/>
      <c r="R32" s="23"/>
      <c r="S32" s="23"/>
      <c r="T32" s="23"/>
      <c r="U32" s="23"/>
      <c r="V32" s="23"/>
      <c r="W32" s="23"/>
    </row>
    <row r="33" spans="1:59" ht="20.100000000000001" customHeight="1" thickBot="1" x14ac:dyDescent="0.25">
      <c r="A33" s="376" t="s">
        <v>82</v>
      </c>
      <c r="B33" s="377">
        <f>B13+B21+B31</f>
        <v>2295</v>
      </c>
      <c r="C33" s="377">
        <f>C13+C21+C31</f>
        <v>0</v>
      </c>
      <c r="D33" s="378">
        <f>D13+D21+D31</f>
        <v>988</v>
      </c>
      <c r="E33" s="378">
        <f t="shared" ref="E33:J33" si="4">E13+E21+E31</f>
        <v>1044</v>
      </c>
      <c r="F33" s="378">
        <f t="shared" si="4"/>
        <v>540.4</v>
      </c>
      <c r="G33" s="378">
        <f t="shared" si="4"/>
        <v>621</v>
      </c>
      <c r="H33" s="378">
        <f t="shared" si="4"/>
        <v>72</v>
      </c>
      <c r="I33" s="378">
        <f t="shared" si="4"/>
        <v>0</v>
      </c>
      <c r="J33" s="378">
        <f t="shared" si="4"/>
        <v>490</v>
      </c>
      <c r="K33" s="378">
        <f>K13+K21+K31</f>
        <v>371.7</v>
      </c>
      <c r="L33" s="378">
        <f>L13+L21+L31</f>
        <v>155</v>
      </c>
      <c r="M33" s="166"/>
      <c r="N33" s="166"/>
      <c r="O33" s="166"/>
      <c r="P33" s="52"/>
      <c r="Q33" s="46"/>
      <c r="R33" s="23"/>
      <c r="S33" s="23"/>
      <c r="T33" s="23"/>
      <c r="U33" s="23"/>
      <c r="V33" s="23"/>
      <c r="W33" s="23"/>
    </row>
    <row r="34" spans="1:59" s="15" customFormat="1" ht="19.5" customHeight="1" x14ac:dyDescent="0.2">
      <c r="A34" s="485" t="s">
        <v>106</v>
      </c>
      <c r="B34" s="486"/>
      <c r="C34" s="486"/>
      <c r="D34" s="486"/>
      <c r="E34" s="486"/>
      <c r="F34" s="486"/>
      <c r="G34" s="486"/>
      <c r="H34" s="486"/>
      <c r="I34" s="486"/>
      <c r="J34" s="486"/>
      <c r="K34" s="486"/>
      <c r="L34" s="214"/>
      <c r="M34" s="167"/>
      <c r="N34" s="48"/>
      <c r="O34" s="46"/>
      <c r="P34" s="46"/>
      <c r="Q34" s="46"/>
      <c r="R34" s="46"/>
      <c r="S34" s="46"/>
      <c r="T34" s="46"/>
      <c r="U34" s="46"/>
      <c r="V34" s="46"/>
      <c r="W34" s="46"/>
      <c r="X34" s="46"/>
      <c r="Y34" s="46"/>
    </row>
    <row r="35" spans="1:59" s="15" customFormat="1" x14ac:dyDescent="0.2">
      <c r="A35" s="32"/>
      <c r="B35" s="168"/>
      <c r="C35" s="168"/>
      <c r="D35" s="54"/>
      <c r="E35" s="167"/>
      <c r="F35" s="167"/>
      <c r="G35" s="167"/>
      <c r="H35" s="167"/>
      <c r="I35" s="167"/>
      <c r="J35" s="48"/>
      <c r="K35" s="167"/>
      <c r="L35" s="167"/>
      <c r="M35" s="167"/>
      <c r="N35" s="48"/>
      <c r="O35" s="46"/>
      <c r="P35" s="46"/>
      <c r="Q35" s="46"/>
      <c r="R35" s="46"/>
      <c r="S35" s="46"/>
      <c r="T35" s="46"/>
      <c r="U35" s="46"/>
      <c r="V35" s="46"/>
      <c r="W35" s="46"/>
      <c r="X35" s="46"/>
      <c r="Y35" s="46"/>
    </row>
    <row r="36" spans="1:59" s="15" customFormat="1" x14ac:dyDescent="0.2">
      <c r="A36" s="169"/>
      <c r="B36" s="168"/>
      <c r="C36" s="168"/>
      <c r="D36" s="54"/>
      <c r="E36" s="167"/>
      <c r="F36" s="167"/>
      <c r="G36" s="167"/>
      <c r="H36" s="167"/>
      <c r="I36" s="167"/>
      <c r="J36" s="48"/>
      <c r="K36" s="167"/>
      <c r="L36" s="167"/>
      <c r="M36" s="167"/>
      <c r="N36" s="48"/>
      <c r="O36" s="46"/>
      <c r="P36" s="46"/>
      <c r="Q36" s="46"/>
      <c r="R36" s="46"/>
      <c r="S36" s="46"/>
      <c r="T36" s="46"/>
      <c r="U36" s="46"/>
      <c r="V36" s="46"/>
      <c r="W36" s="46"/>
      <c r="X36" s="46"/>
      <c r="Y36" s="46"/>
    </row>
    <row r="37" spans="1:59" ht="32.25" thickBot="1" x14ac:dyDescent="0.3">
      <c r="A37" s="192" t="s">
        <v>95</v>
      </c>
      <c r="B37" s="170" t="s">
        <v>24</v>
      </c>
      <c r="C37" s="170" t="s">
        <v>24</v>
      </c>
      <c r="D37" s="83"/>
      <c r="E37" s="167"/>
      <c r="F37" s="167"/>
      <c r="G37" s="167"/>
      <c r="H37" s="167"/>
      <c r="I37" s="236"/>
      <c r="J37" s="231"/>
      <c r="K37" s="231"/>
      <c r="L37" s="232"/>
      <c r="M37" s="167"/>
      <c r="N37" s="48"/>
      <c r="O37" s="23"/>
      <c r="P37" s="23"/>
      <c r="Q37" s="23"/>
      <c r="R37" s="23"/>
      <c r="S37" s="23"/>
      <c r="T37" s="23"/>
      <c r="U37" s="23"/>
      <c r="V37" s="23"/>
      <c r="W37" s="23"/>
      <c r="X37" s="23"/>
      <c r="Y37" s="23"/>
    </row>
    <row r="38" spans="1:59" ht="39" thickBot="1" x14ac:dyDescent="0.25">
      <c r="A38" s="401" t="s">
        <v>58</v>
      </c>
      <c r="B38" s="402" t="s">
        <v>148</v>
      </c>
      <c r="C38" s="403" t="s">
        <v>96</v>
      </c>
      <c r="D38" s="339" t="s">
        <v>97</v>
      </c>
      <c r="E38" s="339" t="s">
        <v>98</v>
      </c>
      <c r="F38" s="403" t="s">
        <v>128</v>
      </c>
      <c r="G38" s="403" t="s">
        <v>147</v>
      </c>
      <c r="H38" s="404" t="s">
        <v>182</v>
      </c>
      <c r="I38" s="257" t="s">
        <v>24</v>
      </c>
      <c r="J38" s="234" t="s">
        <v>24</v>
      </c>
      <c r="K38" s="262"/>
      <c r="L38" s="263"/>
      <c r="M38" s="264"/>
      <c r="N38" s="264"/>
      <c r="O38" s="264"/>
      <c r="P38" s="264"/>
      <c r="Q38" s="23"/>
      <c r="R38" s="23"/>
      <c r="S38" s="23"/>
      <c r="T38" s="23"/>
      <c r="U38" s="23"/>
      <c r="V38" s="23"/>
      <c r="W38" s="23"/>
      <c r="X38" s="23"/>
      <c r="Y38" s="23"/>
    </row>
    <row r="39" spans="1:59" x14ac:dyDescent="0.2">
      <c r="A39" s="389" t="s">
        <v>16</v>
      </c>
      <c r="B39" s="390">
        <v>1.7000000000000001E-2</v>
      </c>
      <c r="C39" s="391">
        <v>0.09</v>
      </c>
      <c r="D39" s="391">
        <v>2.3E-3</v>
      </c>
      <c r="E39" s="391">
        <v>0</v>
      </c>
      <c r="F39" s="391">
        <v>0</v>
      </c>
      <c r="G39" s="392">
        <v>0</v>
      </c>
      <c r="H39" s="393">
        <v>1.9599999999999999E-2</v>
      </c>
      <c r="I39" s="304" t="s">
        <v>24</v>
      </c>
      <c r="J39" s="296"/>
      <c r="K39" s="297"/>
      <c r="L39" s="298"/>
      <c r="M39" s="299"/>
      <c r="N39" s="298"/>
      <c r="O39" s="299"/>
      <c r="P39" s="300"/>
      <c r="Q39" s="299"/>
      <c r="R39" s="300"/>
      <c r="S39" s="299"/>
      <c r="T39" s="298"/>
      <c r="U39" s="299"/>
      <c r="V39" s="298"/>
      <c r="W39" s="299"/>
      <c r="X39" s="298"/>
      <c r="Y39" s="298"/>
      <c r="Z39" s="299"/>
      <c r="AA39" s="300"/>
      <c r="AB39" s="299"/>
      <c r="AC39" s="300"/>
      <c r="AD39" s="299"/>
      <c r="AE39" s="300"/>
      <c r="AF39" s="299"/>
      <c r="AG39" s="298"/>
      <c r="AH39" s="299"/>
      <c r="AI39" s="300"/>
      <c r="AJ39" s="299"/>
      <c r="AK39" s="301"/>
      <c r="AL39" s="299"/>
      <c r="AM39" s="300"/>
      <c r="AN39" s="299"/>
      <c r="AO39" s="300"/>
      <c r="AP39" s="299"/>
      <c r="AQ39" s="300"/>
      <c r="AR39" s="299"/>
      <c r="AS39" s="300"/>
      <c r="AT39" s="299"/>
      <c r="AU39" s="298"/>
      <c r="AV39" s="299"/>
      <c r="AW39" s="300"/>
      <c r="AX39" s="299"/>
      <c r="AY39" s="300"/>
      <c r="AZ39" s="299"/>
      <c r="BA39" s="298"/>
      <c r="BB39" s="299"/>
      <c r="BC39" s="301"/>
      <c r="BD39" s="299"/>
      <c r="BE39" s="298"/>
      <c r="BF39" s="299"/>
      <c r="BG39" s="298"/>
    </row>
    <row r="40" spans="1:59" x14ac:dyDescent="0.2">
      <c r="A40" s="394" t="s">
        <v>30</v>
      </c>
      <c r="B40" s="303">
        <v>0.14249999999999999</v>
      </c>
      <c r="C40" s="261">
        <v>0</v>
      </c>
      <c r="D40" s="261">
        <v>0</v>
      </c>
      <c r="E40" s="261">
        <v>0</v>
      </c>
      <c r="F40" s="261">
        <v>0</v>
      </c>
      <c r="G40" s="157">
        <v>0</v>
      </c>
      <c r="H40" s="395">
        <v>0</v>
      </c>
      <c r="I40" s="294"/>
      <c r="J40" s="296" t="s">
        <v>24</v>
      </c>
      <c r="K40" s="297"/>
      <c r="L40" s="298"/>
      <c r="M40" s="299"/>
      <c r="N40" s="298"/>
      <c r="O40" s="299"/>
      <c r="P40" s="300"/>
      <c r="Q40" s="299"/>
      <c r="R40" s="300"/>
      <c r="S40" s="299"/>
      <c r="T40" s="298"/>
      <c r="U40" s="299"/>
      <c r="V40" s="298"/>
      <c r="W40" s="299"/>
      <c r="X40" s="298"/>
      <c r="Y40" s="298"/>
      <c r="Z40" s="299"/>
      <c r="AA40" s="300"/>
      <c r="AB40" s="299"/>
      <c r="AC40" s="300"/>
      <c r="AD40" s="299"/>
      <c r="AE40" s="300"/>
      <c r="AF40" s="299"/>
      <c r="AG40" s="298"/>
      <c r="AH40" s="299"/>
      <c r="AI40" s="300"/>
      <c r="AJ40" s="299"/>
      <c r="AK40" s="301"/>
      <c r="AL40" s="299"/>
      <c r="AM40" s="300"/>
      <c r="AN40" s="299"/>
      <c r="AO40" s="300"/>
      <c r="AP40" s="299"/>
      <c r="AQ40" s="300"/>
      <c r="AR40" s="299"/>
      <c r="AS40" s="300"/>
      <c r="AT40" s="299"/>
      <c r="AU40" s="298"/>
      <c r="AV40" s="299"/>
      <c r="AW40" s="300"/>
      <c r="AX40" s="299"/>
      <c r="AY40" s="300"/>
      <c r="AZ40" s="299"/>
      <c r="BA40" s="298"/>
      <c r="BB40" s="299"/>
      <c r="BC40" s="301"/>
      <c r="BD40" s="299"/>
      <c r="BE40" s="298"/>
      <c r="BF40" s="299"/>
      <c r="BG40" s="298"/>
    </row>
    <row r="41" spans="1:59" x14ac:dyDescent="0.2">
      <c r="A41" s="394" t="s">
        <v>19</v>
      </c>
      <c r="B41" s="303">
        <v>5.5300000000000002E-2</v>
      </c>
      <c r="C41" s="261">
        <v>0</v>
      </c>
      <c r="D41" s="261">
        <v>0</v>
      </c>
      <c r="E41" s="261">
        <v>0</v>
      </c>
      <c r="F41" s="261">
        <v>4.4200000000000003E-2</v>
      </c>
      <c r="G41" s="157">
        <v>0</v>
      </c>
      <c r="H41" s="395">
        <v>0</v>
      </c>
      <c r="I41" s="294"/>
      <c r="J41" s="296" t="s">
        <v>24</v>
      </c>
      <c r="K41" s="297"/>
      <c r="L41" s="298"/>
      <c r="M41" s="299"/>
      <c r="N41" s="298"/>
      <c r="O41" s="299"/>
      <c r="P41" s="300"/>
      <c r="Q41" s="299"/>
      <c r="R41" s="300"/>
      <c r="S41" s="299"/>
      <c r="T41" s="298"/>
      <c r="U41" s="299"/>
      <c r="V41" s="298"/>
      <c r="W41" s="299"/>
      <c r="X41" s="298"/>
      <c r="Y41" s="298"/>
      <c r="Z41" s="299"/>
      <c r="AA41" s="300"/>
      <c r="AB41" s="299"/>
      <c r="AC41" s="300"/>
      <c r="AD41" s="299"/>
      <c r="AE41" s="300"/>
      <c r="AF41" s="299"/>
      <c r="AG41" s="298"/>
      <c r="AH41" s="299"/>
      <c r="AI41" s="300"/>
      <c r="AJ41" s="299"/>
      <c r="AK41" s="301"/>
      <c r="AL41" s="299"/>
      <c r="AM41" s="300"/>
      <c r="AN41" s="299"/>
      <c r="AO41" s="300"/>
      <c r="AP41" s="299"/>
      <c r="AQ41" s="300"/>
      <c r="AR41" s="299"/>
      <c r="AS41" s="300"/>
      <c r="AT41" s="299"/>
      <c r="AU41" s="298"/>
      <c r="AV41" s="299"/>
      <c r="AW41" s="300"/>
      <c r="AX41" s="299"/>
      <c r="AY41" s="300"/>
      <c r="AZ41" s="299"/>
      <c r="BA41" s="298"/>
      <c r="BB41" s="299"/>
      <c r="BC41" s="301"/>
      <c r="BD41" s="299"/>
      <c r="BE41" s="298"/>
      <c r="BF41" s="299"/>
      <c r="BG41" s="298"/>
    </row>
    <row r="42" spans="1:59" s="15" customFormat="1" x14ac:dyDescent="0.2">
      <c r="A42" s="394" t="s">
        <v>45</v>
      </c>
      <c r="B42" s="303">
        <v>8.09E-2</v>
      </c>
      <c r="C42" s="261">
        <v>0</v>
      </c>
      <c r="D42" s="261">
        <v>0</v>
      </c>
      <c r="E42" s="261">
        <v>0</v>
      </c>
      <c r="F42" s="261">
        <v>0</v>
      </c>
      <c r="G42" s="157">
        <v>0</v>
      </c>
      <c r="H42" s="395">
        <v>0</v>
      </c>
      <c r="I42" s="294"/>
      <c r="J42" s="296" t="s">
        <v>24</v>
      </c>
      <c r="K42" s="297"/>
      <c r="L42" s="298"/>
      <c r="M42" s="299"/>
      <c r="N42" s="298"/>
      <c r="O42" s="299"/>
      <c r="P42" s="300"/>
      <c r="Q42" s="299"/>
      <c r="R42" s="300"/>
      <c r="S42" s="299"/>
      <c r="T42" s="298"/>
      <c r="U42" s="299"/>
      <c r="V42" s="298"/>
      <c r="W42" s="299"/>
      <c r="X42" s="298"/>
      <c r="Y42" s="298"/>
      <c r="Z42" s="299"/>
      <c r="AA42" s="300"/>
      <c r="AB42" s="299"/>
      <c r="AC42" s="300"/>
      <c r="AD42" s="299"/>
      <c r="AE42" s="300"/>
      <c r="AF42" s="299"/>
      <c r="AG42" s="298"/>
      <c r="AH42" s="299"/>
      <c r="AI42" s="300"/>
      <c r="AJ42" s="299"/>
      <c r="AK42" s="301"/>
      <c r="AL42" s="299"/>
      <c r="AM42" s="300"/>
      <c r="AN42" s="299"/>
      <c r="AO42" s="300"/>
      <c r="AP42" s="299"/>
      <c r="AQ42" s="300"/>
      <c r="AR42" s="299"/>
      <c r="AS42" s="300"/>
      <c r="AT42" s="299"/>
      <c r="AU42" s="298"/>
      <c r="AV42" s="299"/>
      <c r="AW42" s="300"/>
      <c r="AX42" s="299"/>
      <c r="AY42" s="300"/>
      <c r="AZ42" s="299"/>
      <c r="BA42" s="298"/>
      <c r="BB42" s="299"/>
      <c r="BC42" s="301"/>
      <c r="BD42" s="299"/>
      <c r="BE42" s="298"/>
      <c r="BF42" s="299"/>
      <c r="BG42" s="298"/>
    </row>
    <row r="43" spans="1:59" s="15" customFormat="1" x14ac:dyDescent="0.2">
      <c r="A43" s="394" t="s">
        <v>11</v>
      </c>
      <c r="B43" s="303">
        <v>4.19E-2</v>
      </c>
      <c r="C43" s="261">
        <v>0</v>
      </c>
      <c r="D43" s="261">
        <v>9.7000000000000003E-3</v>
      </c>
      <c r="E43" s="261">
        <v>0</v>
      </c>
      <c r="F43" s="261">
        <v>0.66949999999999998</v>
      </c>
      <c r="G43" s="157">
        <v>0</v>
      </c>
      <c r="H43" s="395">
        <v>0.14369999999999999</v>
      </c>
      <c r="I43" s="294"/>
      <c r="J43" s="302" t="s">
        <v>24</v>
      </c>
      <c r="K43" s="297"/>
      <c r="L43" s="298"/>
      <c r="M43" s="299"/>
      <c r="N43" s="298"/>
      <c r="O43" s="299"/>
      <c r="P43" s="300"/>
      <c r="Q43" s="299"/>
      <c r="R43" s="300"/>
      <c r="S43" s="299"/>
      <c r="T43" s="298"/>
      <c r="U43" s="299"/>
      <c r="V43" s="298"/>
      <c r="W43" s="299"/>
      <c r="X43" s="298"/>
      <c r="Y43" s="298"/>
      <c r="Z43" s="299"/>
      <c r="AA43" s="300"/>
      <c r="AB43" s="299"/>
      <c r="AC43" s="300"/>
      <c r="AD43" s="299"/>
      <c r="AE43" s="300"/>
      <c r="AF43" s="299"/>
      <c r="AG43" s="298"/>
      <c r="AH43" s="299"/>
      <c r="AI43" s="300"/>
      <c r="AJ43" s="299"/>
      <c r="AK43" s="301"/>
      <c r="AL43" s="299"/>
      <c r="AM43" s="300"/>
      <c r="AN43" s="299"/>
      <c r="AO43" s="300"/>
      <c r="AP43" s="299"/>
      <c r="AQ43" s="300"/>
      <c r="AR43" s="299"/>
      <c r="AS43" s="300"/>
      <c r="AT43" s="299"/>
      <c r="AU43" s="298"/>
      <c r="AV43" s="299"/>
      <c r="AW43" s="300"/>
      <c r="AX43" s="299"/>
      <c r="AY43" s="300"/>
      <c r="AZ43" s="299"/>
      <c r="BA43" s="298"/>
      <c r="BB43" s="299"/>
      <c r="BC43" s="301"/>
      <c r="BD43" s="299"/>
      <c r="BE43" s="298"/>
      <c r="BF43" s="299"/>
      <c r="BG43" s="298"/>
    </row>
    <row r="44" spans="1:59" s="15" customFormat="1" x14ac:dyDescent="0.2">
      <c r="A44" s="394" t="s">
        <v>194</v>
      </c>
      <c r="B44" s="303">
        <v>0.1343</v>
      </c>
      <c r="C44" s="261">
        <v>0</v>
      </c>
      <c r="D44" s="261">
        <v>2.3199999999999998E-2</v>
      </c>
      <c r="E44" s="261">
        <v>0</v>
      </c>
      <c r="F44" s="261">
        <v>4.1200000000000001E-2</v>
      </c>
      <c r="G44" s="157">
        <v>0</v>
      </c>
      <c r="H44" s="395">
        <v>0</v>
      </c>
      <c r="I44" s="294"/>
      <c r="J44" s="296" t="s">
        <v>24</v>
      </c>
      <c r="K44" s="297"/>
      <c r="L44" s="298"/>
      <c r="M44" s="299"/>
      <c r="N44" s="298"/>
      <c r="O44" s="299"/>
      <c r="P44" s="300"/>
      <c r="Q44" s="299"/>
      <c r="R44" s="300"/>
      <c r="S44" s="299"/>
      <c r="T44" s="298"/>
      <c r="U44" s="299"/>
      <c r="V44" s="298"/>
      <c r="W44" s="299"/>
      <c r="X44" s="298"/>
      <c r="Y44" s="298"/>
      <c r="Z44" s="299"/>
      <c r="AA44" s="300"/>
      <c r="AB44" s="299"/>
      <c r="AC44" s="300"/>
      <c r="AD44" s="299"/>
      <c r="AE44" s="300"/>
      <c r="AF44" s="299"/>
      <c r="AG44" s="298"/>
      <c r="AH44" s="299"/>
      <c r="AI44" s="300"/>
      <c r="AJ44" s="299"/>
      <c r="AK44" s="301"/>
      <c r="AL44" s="299"/>
      <c r="AM44" s="300"/>
      <c r="AN44" s="299"/>
      <c r="AO44" s="300"/>
      <c r="AP44" s="299"/>
      <c r="AQ44" s="300"/>
      <c r="AR44" s="299"/>
      <c r="AS44" s="300"/>
      <c r="AT44" s="299"/>
      <c r="AU44" s="298"/>
      <c r="AV44" s="299"/>
      <c r="AW44" s="300"/>
      <c r="AX44" s="299"/>
      <c r="AY44" s="300"/>
      <c r="AZ44" s="299"/>
      <c r="BA44" s="298"/>
      <c r="BB44" s="299"/>
      <c r="BC44" s="301"/>
      <c r="BD44" s="299"/>
      <c r="BE44" s="298"/>
      <c r="BF44" s="299"/>
      <c r="BG44" s="298"/>
    </row>
    <row r="45" spans="1:59" x14ac:dyDescent="0.2">
      <c r="A45" s="394" t="s">
        <v>107</v>
      </c>
      <c r="B45" s="303">
        <v>0</v>
      </c>
      <c r="C45" s="261">
        <v>0</v>
      </c>
      <c r="D45" s="261">
        <v>0</v>
      </c>
      <c r="E45" s="261">
        <v>0</v>
      </c>
      <c r="F45" s="261">
        <v>0</v>
      </c>
      <c r="G45" s="157">
        <v>0</v>
      </c>
      <c r="H45" s="395">
        <v>0</v>
      </c>
      <c r="I45" s="294"/>
      <c r="J45" s="296" t="s">
        <v>24</v>
      </c>
      <c r="K45" s="297"/>
      <c r="L45" s="298"/>
      <c r="M45" s="299"/>
      <c r="N45" s="298"/>
      <c r="O45" s="299"/>
      <c r="P45" s="300"/>
      <c r="Q45" s="299"/>
      <c r="R45" s="300"/>
      <c r="S45" s="299"/>
      <c r="T45" s="298"/>
      <c r="U45" s="299"/>
      <c r="V45" s="298"/>
      <c r="W45" s="299"/>
      <c r="X45" s="298"/>
      <c r="Y45" s="298"/>
      <c r="Z45" s="299"/>
      <c r="AA45" s="300"/>
      <c r="AB45" s="299"/>
      <c r="AC45" s="300"/>
      <c r="AD45" s="299"/>
      <c r="AE45" s="300"/>
      <c r="AF45" s="299"/>
      <c r="AG45" s="298"/>
      <c r="AH45" s="299"/>
      <c r="AI45" s="300"/>
      <c r="AJ45" s="299"/>
      <c r="AK45" s="301"/>
      <c r="AL45" s="299"/>
      <c r="AM45" s="300"/>
      <c r="AN45" s="299"/>
      <c r="AO45" s="300"/>
      <c r="AP45" s="299"/>
      <c r="AQ45" s="300"/>
      <c r="AR45" s="299"/>
      <c r="AS45" s="300"/>
      <c r="AT45" s="299"/>
      <c r="AU45" s="298"/>
      <c r="AV45" s="299"/>
      <c r="AW45" s="300"/>
      <c r="AX45" s="299"/>
      <c r="AY45" s="300"/>
      <c r="AZ45" s="299"/>
      <c r="BA45" s="298"/>
      <c r="BB45" s="299"/>
      <c r="BC45" s="301"/>
      <c r="BD45" s="299"/>
      <c r="BE45" s="298"/>
      <c r="BF45" s="299"/>
      <c r="BG45" s="298"/>
    </row>
    <row r="46" spans="1:59" x14ac:dyDescent="0.2">
      <c r="A46" s="394" t="s">
        <v>195</v>
      </c>
      <c r="B46" s="303">
        <v>2.12E-2</v>
      </c>
      <c r="C46" s="261">
        <v>0</v>
      </c>
      <c r="D46" s="261">
        <v>1.2999999999999999E-3</v>
      </c>
      <c r="E46" s="261">
        <v>0</v>
      </c>
      <c r="F46" s="261">
        <v>4.8999999999999998E-3</v>
      </c>
      <c r="G46" s="157">
        <v>0</v>
      </c>
      <c r="H46" s="395">
        <v>0</v>
      </c>
      <c r="I46" s="294"/>
      <c r="J46" s="296" t="s">
        <v>24</v>
      </c>
      <c r="K46" s="297"/>
      <c r="L46" s="298"/>
      <c r="M46" s="299"/>
      <c r="N46" s="298"/>
      <c r="O46" s="299"/>
      <c r="P46" s="300"/>
      <c r="Q46" s="299"/>
      <c r="R46" s="300"/>
      <c r="S46" s="299"/>
      <c r="T46" s="298"/>
      <c r="U46" s="299"/>
      <c r="V46" s="298"/>
      <c r="W46" s="299"/>
      <c r="X46" s="298"/>
      <c r="Y46" s="298"/>
      <c r="Z46" s="299"/>
      <c r="AA46" s="300"/>
      <c r="AB46" s="299"/>
      <c r="AC46" s="300"/>
      <c r="AD46" s="299"/>
      <c r="AE46" s="300"/>
      <c r="AF46" s="299"/>
      <c r="AG46" s="298"/>
      <c r="AH46" s="299"/>
      <c r="AI46" s="300"/>
      <c r="AJ46" s="299"/>
      <c r="AK46" s="301"/>
      <c r="AL46" s="299"/>
      <c r="AM46" s="300"/>
      <c r="AN46" s="299"/>
      <c r="AO46" s="300"/>
      <c r="AP46" s="299"/>
      <c r="AQ46" s="300"/>
      <c r="AR46" s="299"/>
      <c r="AS46" s="300"/>
      <c r="AT46" s="299"/>
      <c r="AU46" s="298"/>
      <c r="AV46" s="299"/>
      <c r="AW46" s="300"/>
      <c r="AX46" s="299"/>
      <c r="AY46" s="300"/>
      <c r="AZ46" s="299"/>
      <c r="BA46" s="298"/>
      <c r="BB46" s="299"/>
      <c r="BC46" s="301"/>
      <c r="BD46" s="299"/>
      <c r="BE46" s="298"/>
      <c r="BF46" s="299"/>
      <c r="BG46" s="298"/>
    </row>
    <row r="47" spans="1:59" x14ac:dyDescent="0.2">
      <c r="A47" s="394" t="s">
        <v>196</v>
      </c>
      <c r="B47" s="303">
        <v>3.3700000000000001E-2</v>
      </c>
      <c r="C47" s="261">
        <v>0</v>
      </c>
      <c r="D47" s="261">
        <v>0</v>
      </c>
      <c r="E47" s="261">
        <v>0</v>
      </c>
      <c r="F47" s="261">
        <v>0</v>
      </c>
      <c r="G47" s="157">
        <v>0</v>
      </c>
      <c r="H47" s="395">
        <v>0</v>
      </c>
      <c r="I47" s="294"/>
      <c r="J47" s="296" t="s">
        <v>24</v>
      </c>
      <c r="K47" s="297"/>
      <c r="L47" s="298"/>
      <c r="M47" s="299"/>
      <c r="N47" s="298"/>
      <c r="O47" s="299"/>
      <c r="P47" s="300"/>
      <c r="Q47" s="299"/>
      <c r="R47" s="300"/>
      <c r="S47" s="299"/>
      <c r="T47" s="298"/>
      <c r="U47" s="299"/>
      <c r="V47" s="298"/>
      <c r="W47" s="299"/>
      <c r="X47" s="298"/>
      <c r="Y47" s="298"/>
      <c r="Z47" s="299"/>
      <c r="AA47" s="300"/>
      <c r="AB47" s="299"/>
      <c r="AC47" s="300"/>
      <c r="AD47" s="299"/>
      <c r="AE47" s="300"/>
      <c r="AF47" s="299"/>
      <c r="AG47" s="298"/>
      <c r="AH47" s="299"/>
      <c r="AI47" s="300"/>
      <c r="AJ47" s="299"/>
      <c r="AK47" s="301"/>
      <c r="AL47" s="299"/>
      <c r="AM47" s="300"/>
      <c r="AN47" s="299"/>
      <c r="AO47" s="300"/>
      <c r="AP47" s="299"/>
      <c r="AQ47" s="300"/>
      <c r="AR47" s="299"/>
      <c r="AS47" s="300"/>
      <c r="AT47" s="299"/>
      <c r="AU47" s="298"/>
      <c r="AV47" s="299"/>
      <c r="AW47" s="300"/>
      <c r="AX47" s="299"/>
      <c r="AY47" s="300"/>
      <c r="AZ47" s="299"/>
      <c r="BA47" s="298"/>
      <c r="BB47" s="299"/>
      <c r="BC47" s="301"/>
      <c r="BD47" s="299"/>
      <c r="BE47" s="298"/>
      <c r="BF47" s="299"/>
      <c r="BG47" s="298"/>
    </row>
    <row r="48" spans="1:59" x14ac:dyDescent="0.2">
      <c r="A48" s="394" t="s">
        <v>197</v>
      </c>
      <c r="B48" s="303">
        <v>1.77E-2</v>
      </c>
      <c r="C48" s="261">
        <v>0</v>
      </c>
      <c r="D48" s="261">
        <v>0</v>
      </c>
      <c r="E48" s="261">
        <v>0</v>
      </c>
      <c r="F48" s="261">
        <v>0</v>
      </c>
      <c r="G48" s="157">
        <v>0</v>
      </c>
      <c r="H48" s="395">
        <v>0</v>
      </c>
      <c r="I48" s="294"/>
      <c r="J48" s="296" t="s">
        <v>32</v>
      </c>
      <c r="K48" s="297"/>
      <c r="L48" s="298"/>
      <c r="M48" s="299"/>
      <c r="N48" s="298"/>
      <c r="O48" s="299"/>
      <c r="P48" s="300"/>
      <c r="Q48" s="299"/>
      <c r="R48" s="300"/>
      <c r="S48" s="299"/>
      <c r="T48" s="298"/>
      <c r="U48" s="299"/>
      <c r="V48" s="298"/>
      <c r="W48" s="299"/>
      <c r="X48" s="298"/>
      <c r="Y48" s="298"/>
      <c r="Z48" s="299"/>
      <c r="AA48" s="300"/>
      <c r="AB48" s="299"/>
      <c r="AC48" s="300"/>
      <c r="AD48" s="299"/>
      <c r="AE48" s="300"/>
      <c r="AF48" s="299"/>
      <c r="AG48" s="298"/>
      <c r="AH48" s="299"/>
      <c r="AI48" s="300"/>
      <c r="AJ48" s="299"/>
      <c r="AK48" s="301"/>
      <c r="AL48" s="299"/>
      <c r="AM48" s="300"/>
      <c r="AN48" s="299"/>
      <c r="AO48" s="300"/>
      <c r="AP48" s="299"/>
      <c r="AQ48" s="300"/>
      <c r="AR48" s="299"/>
      <c r="AS48" s="300"/>
      <c r="AT48" s="299"/>
      <c r="AU48" s="298"/>
      <c r="AV48" s="299"/>
      <c r="AW48" s="300"/>
      <c r="AX48" s="299"/>
      <c r="AY48" s="300"/>
      <c r="AZ48" s="299"/>
      <c r="BA48" s="298"/>
      <c r="BB48" s="299"/>
      <c r="BC48" s="301"/>
      <c r="BD48" s="299"/>
      <c r="BE48" s="298"/>
      <c r="BF48" s="299"/>
      <c r="BG48" s="298"/>
    </row>
    <row r="49" spans="1:59" x14ac:dyDescent="0.2">
      <c r="A49" s="394" t="s">
        <v>198</v>
      </c>
      <c r="B49" s="303">
        <v>2.6200000000000001E-2</v>
      </c>
      <c r="C49" s="261">
        <v>0.16850000000000001</v>
      </c>
      <c r="D49" s="261">
        <v>0</v>
      </c>
      <c r="E49" s="261">
        <v>0</v>
      </c>
      <c r="F49" s="261">
        <v>0</v>
      </c>
      <c r="G49" s="157">
        <v>0</v>
      </c>
      <c r="H49" s="395">
        <v>3.7600000000000001E-2</v>
      </c>
      <c r="I49" s="294"/>
      <c r="J49" s="296" t="s">
        <v>24</v>
      </c>
      <c r="K49" s="297"/>
      <c r="L49" s="298"/>
      <c r="M49" s="299"/>
      <c r="N49" s="298"/>
      <c r="O49" s="299"/>
      <c r="P49" s="300"/>
      <c r="Q49" s="299"/>
      <c r="R49" s="300"/>
      <c r="S49" s="299"/>
      <c r="T49" s="298"/>
      <c r="U49" s="299"/>
      <c r="V49" s="298"/>
      <c r="W49" s="299"/>
      <c r="X49" s="298"/>
      <c r="Y49" s="298"/>
      <c r="Z49" s="299"/>
      <c r="AA49" s="300"/>
      <c r="AB49" s="299"/>
      <c r="AC49" s="300"/>
      <c r="AD49" s="299"/>
      <c r="AE49" s="300"/>
      <c r="AF49" s="299"/>
      <c r="AG49" s="298"/>
      <c r="AH49" s="299"/>
      <c r="AI49" s="300"/>
      <c r="AJ49" s="299"/>
      <c r="AK49" s="301"/>
      <c r="AL49" s="299"/>
      <c r="AM49" s="300"/>
      <c r="AN49" s="299"/>
      <c r="AO49" s="300"/>
      <c r="AP49" s="299"/>
      <c r="AQ49" s="300"/>
      <c r="AR49" s="299"/>
      <c r="AS49" s="300"/>
      <c r="AT49" s="299"/>
      <c r="AU49" s="298"/>
      <c r="AV49" s="299"/>
      <c r="AW49" s="300"/>
      <c r="AX49" s="299"/>
      <c r="AY49" s="300"/>
      <c r="AZ49" s="299"/>
      <c r="BA49" s="298"/>
      <c r="BB49" s="299"/>
      <c r="BC49" s="301"/>
      <c r="BD49" s="299"/>
      <c r="BE49" s="298"/>
      <c r="BF49" s="299"/>
      <c r="BG49" s="298"/>
    </row>
    <row r="50" spans="1:59" x14ac:dyDescent="0.2">
      <c r="A50" s="394" t="s">
        <v>199</v>
      </c>
      <c r="B50" s="303">
        <v>0.1239</v>
      </c>
      <c r="C50" s="261">
        <v>0</v>
      </c>
      <c r="D50" s="261">
        <v>0</v>
      </c>
      <c r="E50" s="261">
        <v>0</v>
      </c>
      <c r="F50" s="261">
        <v>0.18759999999999999</v>
      </c>
      <c r="G50" s="157">
        <v>0.97109999999999996</v>
      </c>
      <c r="H50" s="395">
        <v>0.35110000000000002</v>
      </c>
      <c r="I50" s="294"/>
      <c r="J50" s="296" t="s">
        <v>24</v>
      </c>
      <c r="K50" s="297"/>
      <c r="L50" s="298"/>
      <c r="M50" s="299"/>
      <c r="N50" s="298"/>
      <c r="O50" s="299"/>
      <c r="P50" s="300"/>
      <c r="Q50" s="299"/>
      <c r="R50" s="300"/>
      <c r="S50" s="299"/>
      <c r="T50" s="298"/>
      <c r="U50" s="299"/>
      <c r="V50" s="298"/>
      <c r="W50" s="299"/>
      <c r="X50" s="298"/>
      <c r="Y50" s="298"/>
      <c r="Z50" s="299"/>
      <c r="AA50" s="300"/>
      <c r="AB50" s="299"/>
      <c r="AC50" s="300"/>
      <c r="AD50" s="299"/>
      <c r="AE50" s="300"/>
      <c r="AF50" s="299"/>
      <c r="AG50" s="298"/>
      <c r="AH50" s="299"/>
      <c r="AI50" s="300"/>
      <c r="AJ50" s="299"/>
      <c r="AK50" s="301"/>
      <c r="AL50" s="299"/>
      <c r="AM50" s="300"/>
      <c r="AN50" s="299"/>
      <c r="AO50" s="300"/>
      <c r="AP50" s="299"/>
      <c r="AQ50" s="300"/>
      <c r="AR50" s="299"/>
      <c r="AS50" s="300"/>
      <c r="AT50" s="299"/>
      <c r="AU50" s="298"/>
      <c r="AV50" s="299"/>
      <c r="AW50" s="300"/>
      <c r="AX50" s="299"/>
      <c r="AY50" s="300"/>
      <c r="AZ50" s="299"/>
      <c r="BA50" s="298"/>
      <c r="BB50" s="299"/>
      <c r="BC50" s="301"/>
      <c r="BD50" s="299"/>
      <c r="BE50" s="298"/>
      <c r="BF50" s="299"/>
      <c r="BG50" s="298"/>
    </row>
    <row r="51" spans="1:59" x14ac:dyDescent="0.2">
      <c r="A51" s="394" t="s">
        <v>121</v>
      </c>
      <c r="B51" s="303">
        <v>1.8200000000000001E-2</v>
      </c>
      <c r="C51" s="261">
        <v>0</v>
      </c>
      <c r="D51" s="261">
        <v>0</v>
      </c>
      <c r="E51" s="261">
        <v>0</v>
      </c>
      <c r="F51" s="261">
        <v>0</v>
      </c>
      <c r="G51" s="157">
        <v>0</v>
      </c>
      <c r="H51" s="395">
        <v>0</v>
      </c>
      <c r="I51" s="294"/>
      <c r="J51" s="296" t="s">
        <v>24</v>
      </c>
      <c r="K51" s="297"/>
      <c r="L51" s="298"/>
      <c r="M51" s="299"/>
      <c r="N51" s="298"/>
      <c r="O51" s="299"/>
      <c r="P51" s="300"/>
      <c r="Q51" s="299"/>
      <c r="R51" s="300"/>
      <c r="S51" s="299"/>
      <c r="T51" s="298"/>
      <c r="U51" s="299"/>
      <c r="V51" s="298"/>
      <c r="W51" s="299"/>
      <c r="X51" s="298"/>
      <c r="Y51" s="298"/>
      <c r="Z51" s="299"/>
      <c r="AA51" s="300"/>
      <c r="AB51" s="299"/>
      <c r="AC51" s="300"/>
      <c r="AD51" s="299"/>
      <c r="AE51" s="300"/>
      <c r="AF51" s="299"/>
      <c r="AG51" s="298"/>
      <c r="AH51" s="299"/>
      <c r="AI51" s="300"/>
      <c r="AJ51" s="299"/>
      <c r="AK51" s="301"/>
      <c r="AL51" s="299"/>
      <c r="AM51" s="300"/>
      <c r="AN51" s="299"/>
      <c r="AO51" s="300"/>
      <c r="AP51" s="299"/>
      <c r="AQ51" s="300"/>
      <c r="AR51" s="299"/>
      <c r="AS51" s="300"/>
      <c r="AT51" s="299"/>
      <c r="AU51" s="298"/>
      <c r="AV51" s="299"/>
      <c r="AW51" s="300"/>
      <c r="AX51" s="299"/>
      <c r="AY51" s="300"/>
      <c r="AZ51" s="299"/>
      <c r="BA51" s="298"/>
      <c r="BB51" s="299"/>
      <c r="BC51" s="301"/>
      <c r="BD51" s="299"/>
      <c r="BE51" s="298"/>
      <c r="BF51" s="299"/>
      <c r="BG51" s="298"/>
    </row>
    <row r="52" spans="1:59" x14ac:dyDescent="0.2">
      <c r="A52" s="394" t="s">
        <v>200</v>
      </c>
      <c r="B52" s="303">
        <v>2E-3</v>
      </c>
      <c r="C52" s="261">
        <v>0</v>
      </c>
      <c r="D52" s="261">
        <v>0.1605</v>
      </c>
      <c r="E52" s="261">
        <v>7.9000000000000008E-3</v>
      </c>
      <c r="F52" s="261">
        <v>0</v>
      </c>
      <c r="G52" s="157">
        <v>0</v>
      </c>
      <c r="H52" s="395">
        <v>3.3999999999999998E-3</v>
      </c>
      <c r="I52" s="295" t="s">
        <v>24</v>
      </c>
      <c r="J52" s="296"/>
      <c r="K52" s="297"/>
      <c r="L52" s="298"/>
      <c r="M52" s="299"/>
      <c r="N52" s="298"/>
      <c r="O52" s="299"/>
      <c r="P52" s="300"/>
      <c r="Q52" s="299"/>
      <c r="R52" s="300"/>
      <c r="S52" s="299"/>
      <c r="T52" s="298"/>
      <c r="U52" s="299"/>
      <c r="V52" s="298"/>
      <c r="W52" s="299"/>
      <c r="X52" s="298"/>
      <c r="Y52" s="298"/>
      <c r="Z52" s="299"/>
      <c r="AA52" s="300"/>
      <c r="AB52" s="299"/>
      <c r="AC52" s="300"/>
      <c r="AD52" s="299"/>
      <c r="AE52" s="300"/>
      <c r="AF52" s="299"/>
      <c r="AG52" s="298"/>
      <c r="AH52" s="299"/>
      <c r="AI52" s="300"/>
      <c r="AJ52" s="299"/>
      <c r="AK52" s="301"/>
      <c r="AL52" s="299"/>
      <c r="AM52" s="300"/>
      <c r="AN52" s="299"/>
      <c r="AO52" s="300"/>
      <c r="AP52" s="299"/>
      <c r="AQ52" s="300"/>
      <c r="AR52" s="299"/>
      <c r="AS52" s="300"/>
      <c r="AT52" s="299"/>
      <c r="AU52" s="298"/>
      <c r="AV52" s="299"/>
      <c r="AW52" s="300"/>
      <c r="AX52" s="299"/>
      <c r="AY52" s="300"/>
      <c r="AZ52" s="299"/>
      <c r="BA52" s="298"/>
      <c r="BB52" s="299"/>
      <c r="BC52" s="301"/>
      <c r="BD52" s="299"/>
      <c r="BE52" s="298"/>
      <c r="BF52" s="299"/>
      <c r="BG52" s="298"/>
    </row>
    <row r="53" spans="1:59" x14ac:dyDescent="0.2">
      <c r="A53" s="394" t="s">
        <v>12</v>
      </c>
      <c r="B53" s="303">
        <v>3.78E-2</v>
      </c>
      <c r="C53" s="261">
        <v>9.64E-2</v>
      </c>
      <c r="D53" s="261">
        <v>1.17E-2</v>
      </c>
      <c r="E53" s="261">
        <v>0.12820000000000001</v>
      </c>
      <c r="F53" s="261">
        <v>0</v>
      </c>
      <c r="G53" s="157">
        <v>0</v>
      </c>
      <c r="H53" s="395">
        <v>3.3099999999999997E-2</v>
      </c>
      <c r="I53" s="295" t="s">
        <v>24</v>
      </c>
      <c r="J53" s="296"/>
      <c r="K53" s="297"/>
      <c r="L53" s="298"/>
      <c r="M53" s="299"/>
      <c r="N53" s="298"/>
      <c r="O53" s="299"/>
      <c r="P53" s="300"/>
      <c r="Q53" s="299"/>
      <c r="R53" s="300"/>
      <c r="S53" s="299"/>
      <c r="T53" s="298"/>
      <c r="U53" s="299"/>
      <c r="V53" s="298"/>
      <c r="W53" s="299"/>
      <c r="X53" s="298"/>
      <c r="Y53" s="298"/>
      <c r="Z53" s="299"/>
      <c r="AA53" s="300"/>
      <c r="AB53" s="299"/>
      <c r="AC53" s="300"/>
      <c r="AD53" s="299"/>
      <c r="AE53" s="300"/>
      <c r="AF53" s="299"/>
      <c r="AG53" s="298"/>
      <c r="AH53" s="299"/>
      <c r="AI53" s="300"/>
      <c r="AJ53" s="299"/>
      <c r="AK53" s="301"/>
      <c r="AL53" s="299"/>
      <c r="AM53" s="300"/>
      <c r="AN53" s="299"/>
      <c r="AO53" s="300"/>
      <c r="AP53" s="299"/>
      <c r="AQ53" s="300"/>
      <c r="AR53" s="299"/>
      <c r="AS53" s="300"/>
      <c r="AT53" s="299"/>
      <c r="AU53" s="298"/>
      <c r="AV53" s="299"/>
      <c r="AW53" s="300"/>
      <c r="AX53" s="299"/>
      <c r="AY53" s="300"/>
      <c r="AZ53" s="299"/>
      <c r="BA53" s="298"/>
      <c r="BB53" s="299"/>
      <c r="BC53" s="301"/>
      <c r="BD53" s="299"/>
      <c r="BE53" s="298"/>
      <c r="BF53" s="299"/>
      <c r="BG53" s="298"/>
    </row>
    <row r="54" spans="1:59" x14ac:dyDescent="0.2">
      <c r="A54" s="394" t="s">
        <v>201</v>
      </c>
      <c r="B54" s="303">
        <v>1.8700000000000001E-2</v>
      </c>
      <c r="C54" s="261">
        <v>1.4800000000000001E-2</v>
      </c>
      <c r="D54" s="261">
        <v>0</v>
      </c>
      <c r="E54" s="261">
        <v>0</v>
      </c>
      <c r="F54" s="261">
        <v>0</v>
      </c>
      <c r="G54" s="157">
        <v>1.8E-3</v>
      </c>
      <c r="H54" s="395">
        <v>2.5100000000000001E-2</v>
      </c>
      <c r="I54" s="295" t="s">
        <v>24</v>
      </c>
      <c r="J54" s="296"/>
      <c r="K54" s="297"/>
      <c r="L54" s="298"/>
      <c r="M54" s="299"/>
      <c r="N54" s="298"/>
      <c r="O54" s="299"/>
      <c r="P54" s="300"/>
      <c r="Q54" s="299"/>
      <c r="R54" s="300"/>
      <c r="S54" s="299"/>
      <c r="T54" s="298"/>
      <c r="U54" s="299"/>
      <c r="V54" s="298"/>
      <c r="W54" s="299"/>
      <c r="X54" s="298"/>
      <c r="Y54" s="298"/>
      <c r="Z54" s="299"/>
      <c r="AA54" s="300"/>
      <c r="AB54" s="299"/>
      <c r="AC54" s="300"/>
      <c r="AD54" s="299"/>
      <c r="AE54" s="300"/>
      <c r="AF54" s="299"/>
      <c r="AG54" s="298"/>
      <c r="AH54" s="299"/>
      <c r="AI54" s="300"/>
      <c r="AJ54" s="299"/>
      <c r="AK54" s="301"/>
      <c r="AL54" s="299"/>
      <c r="AM54" s="300"/>
      <c r="AN54" s="299"/>
      <c r="AO54" s="300"/>
      <c r="AP54" s="299"/>
      <c r="AQ54" s="300"/>
      <c r="AR54" s="299"/>
      <c r="AS54" s="300"/>
      <c r="AT54" s="299"/>
      <c r="AU54" s="298"/>
      <c r="AV54" s="299"/>
      <c r="AW54" s="300"/>
      <c r="AX54" s="299"/>
      <c r="AY54" s="300"/>
      <c r="AZ54" s="299"/>
      <c r="BA54" s="298"/>
      <c r="BB54" s="299"/>
      <c r="BC54" s="301"/>
      <c r="BD54" s="299"/>
      <c r="BE54" s="298"/>
      <c r="BF54" s="299"/>
      <c r="BG54" s="298"/>
    </row>
    <row r="55" spans="1:59" x14ac:dyDescent="0.2">
      <c r="A55" s="394" t="s">
        <v>108</v>
      </c>
      <c r="B55" s="303">
        <v>4.1999999999999997E-3</v>
      </c>
      <c r="C55" s="261">
        <v>9.4999999999999998E-3</v>
      </c>
      <c r="D55" s="261">
        <v>6.9999999999999999E-4</v>
      </c>
      <c r="E55" s="261">
        <v>1.18E-2</v>
      </c>
      <c r="F55" s="261">
        <v>5.21E-2</v>
      </c>
      <c r="G55" s="157">
        <v>0</v>
      </c>
      <c r="H55" s="395">
        <v>6.3E-3</v>
      </c>
      <c r="I55" s="295" t="s">
        <v>24</v>
      </c>
      <c r="J55" s="296"/>
      <c r="K55" s="297"/>
      <c r="L55" s="298"/>
      <c r="M55" s="299"/>
      <c r="N55" s="298"/>
      <c r="O55" s="299"/>
      <c r="P55" s="300"/>
      <c r="Q55" s="299"/>
      <c r="R55" s="300"/>
      <c r="S55" s="299"/>
      <c r="T55" s="298"/>
      <c r="U55" s="299"/>
      <c r="V55" s="298"/>
      <c r="W55" s="299"/>
      <c r="X55" s="298"/>
      <c r="Y55" s="298"/>
      <c r="Z55" s="299"/>
      <c r="AA55" s="300"/>
      <c r="AB55" s="299"/>
      <c r="AC55" s="300"/>
      <c r="AD55" s="299"/>
      <c r="AE55" s="300"/>
      <c r="AF55" s="299"/>
      <c r="AG55" s="298"/>
      <c r="AH55" s="299"/>
      <c r="AI55" s="300"/>
      <c r="AJ55" s="299"/>
      <c r="AK55" s="301"/>
      <c r="AL55" s="299"/>
      <c r="AM55" s="300"/>
      <c r="AN55" s="299"/>
      <c r="AO55" s="300"/>
      <c r="AP55" s="299"/>
      <c r="AQ55" s="300"/>
      <c r="AR55" s="299"/>
      <c r="AS55" s="300"/>
      <c r="AT55" s="299"/>
      <c r="AU55" s="298"/>
      <c r="AV55" s="299"/>
      <c r="AW55" s="300"/>
      <c r="AX55" s="299"/>
      <c r="AY55" s="300"/>
      <c r="AZ55" s="299"/>
      <c r="BA55" s="298"/>
      <c r="BB55" s="299"/>
      <c r="BC55" s="301"/>
      <c r="BD55" s="299"/>
      <c r="BE55" s="298"/>
      <c r="BF55" s="299"/>
      <c r="BG55" s="298"/>
    </row>
    <row r="56" spans="1:59" x14ac:dyDescent="0.2">
      <c r="A56" s="394" t="s">
        <v>9</v>
      </c>
      <c r="B56" s="303">
        <v>5.2999999999999999E-2</v>
      </c>
      <c r="C56" s="261">
        <v>0.30790000000000001</v>
      </c>
      <c r="D56" s="261">
        <v>0</v>
      </c>
      <c r="E56" s="261">
        <v>0.51080000000000003</v>
      </c>
      <c r="F56" s="261">
        <v>0</v>
      </c>
      <c r="G56" s="157">
        <v>0</v>
      </c>
      <c r="H56" s="395">
        <v>6.2600000000000003E-2</v>
      </c>
      <c r="I56" s="295" t="s">
        <v>24</v>
      </c>
      <c r="J56" s="296"/>
      <c r="K56" s="297"/>
      <c r="L56" s="298"/>
      <c r="M56" s="299"/>
      <c r="N56" s="298"/>
      <c r="O56" s="299"/>
      <c r="P56" s="300"/>
      <c r="Q56" s="299"/>
      <c r="R56" s="300"/>
      <c r="S56" s="299"/>
      <c r="T56" s="298"/>
      <c r="U56" s="299"/>
      <c r="V56" s="298"/>
      <c r="W56" s="299"/>
      <c r="X56" s="298"/>
      <c r="Y56" s="298"/>
      <c r="Z56" s="299"/>
      <c r="AA56" s="300"/>
      <c r="AB56" s="299"/>
      <c r="AC56" s="300"/>
      <c r="AD56" s="299"/>
      <c r="AE56" s="300"/>
      <c r="AF56" s="299"/>
      <c r="AG56" s="298"/>
      <c r="AH56" s="299"/>
      <c r="AI56" s="300"/>
      <c r="AJ56" s="299"/>
      <c r="AK56" s="301"/>
      <c r="AL56" s="299"/>
      <c r="AM56" s="300"/>
      <c r="AN56" s="299"/>
      <c r="AO56" s="300"/>
      <c r="AP56" s="299"/>
      <c r="AQ56" s="300"/>
      <c r="AR56" s="299"/>
      <c r="AS56" s="300"/>
      <c r="AT56" s="299"/>
      <c r="AU56" s="298"/>
      <c r="AV56" s="299"/>
      <c r="AW56" s="300"/>
      <c r="AX56" s="299"/>
      <c r="AY56" s="300"/>
      <c r="AZ56" s="299"/>
      <c r="BA56" s="298"/>
      <c r="BB56" s="299"/>
      <c r="BC56" s="301"/>
      <c r="BD56" s="299"/>
      <c r="BE56" s="298"/>
      <c r="BF56" s="299"/>
      <c r="BG56" s="298"/>
    </row>
    <row r="57" spans="1:59" x14ac:dyDescent="0.2">
      <c r="A57" s="394" t="s">
        <v>202</v>
      </c>
      <c r="B57" s="303">
        <v>1.84E-2</v>
      </c>
      <c r="C57" s="261">
        <v>0</v>
      </c>
      <c r="D57" s="261">
        <v>2.9700000000000001E-2</v>
      </c>
      <c r="E57" s="261">
        <v>0</v>
      </c>
      <c r="F57" s="261">
        <v>5.0000000000000001E-4</v>
      </c>
      <c r="G57" s="157">
        <v>0</v>
      </c>
      <c r="H57" s="395">
        <v>0</v>
      </c>
      <c r="I57" s="295" t="s">
        <v>24</v>
      </c>
      <c r="J57" s="296"/>
      <c r="K57" s="297"/>
      <c r="L57" s="298"/>
      <c r="M57" s="299"/>
      <c r="N57" s="298"/>
      <c r="O57" s="299"/>
      <c r="P57" s="300"/>
      <c r="Q57" s="299"/>
      <c r="R57" s="300"/>
      <c r="S57" s="299"/>
      <c r="T57" s="298"/>
      <c r="U57" s="299"/>
      <c r="V57" s="298"/>
      <c r="W57" s="299"/>
      <c r="X57" s="298"/>
      <c r="Y57" s="298"/>
      <c r="Z57" s="299"/>
      <c r="AA57" s="300"/>
      <c r="AB57" s="299"/>
      <c r="AC57" s="300"/>
      <c r="AD57" s="299"/>
      <c r="AE57" s="300"/>
      <c r="AF57" s="299"/>
      <c r="AG57" s="298"/>
      <c r="AH57" s="299"/>
      <c r="AI57" s="300"/>
      <c r="AJ57" s="299"/>
      <c r="AK57" s="301"/>
      <c r="AL57" s="299"/>
      <c r="AM57" s="300"/>
      <c r="AN57" s="299"/>
      <c r="AO57" s="300"/>
      <c r="AP57" s="299"/>
      <c r="AQ57" s="300"/>
      <c r="AR57" s="299"/>
      <c r="AS57" s="300"/>
      <c r="AT57" s="299"/>
      <c r="AU57" s="298"/>
      <c r="AV57" s="299"/>
      <c r="AW57" s="300"/>
      <c r="AX57" s="299"/>
      <c r="AY57" s="300"/>
      <c r="AZ57" s="299"/>
      <c r="BA57" s="298"/>
      <c r="BB57" s="299"/>
      <c r="BC57" s="301"/>
      <c r="BD57" s="299"/>
      <c r="BE57" s="298"/>
      <c r="BF57" s="299"/>
      <c r="BG57" s="298"/>
    </row>
    <row r="58" spans="1:59" x14ac:dyDescent="0.2">
      <c r="A58" s="394" t="s">
        <v>15</v>
      </c>
      <c r="B58" s="303">
        <v>4.1799999999999997E-2</v>
      </c>
      <c r="C58" s="261">
        <v>0</v>
      </c>
      <c r="D58" s="261">
        <v>1.04E-2</v>
      </c>
      <c r="E58" s="261">
        <v>5.7000000000000002E-3</v>
      </c>
      <c r="F58" s="261">
        <v>0</v>
      </c>
      <c r="G58" s="157">
        <v>2.7099999999999999E-2</v>
      </c>
      <c r="H58" s="395">
        <v>0.20230000000000001</v>
      </c>
      <c r="I58" s="295" t="s">
        <v>32</v>
      </c>
      <c r="J58" s="296"/>
      <c r="K58" s="297"/>
      <c r="L58" s="298"/>
      <c r="M58" s="299"/>
      <c r="N58" s="298"/>
      <c r="O58" s="299"/>
      <c r="P58" s="300"/>
      <c r="Q58" s="299"/>
      <c r="R58" s="300"/>
      <c r="S58" s="299"/>
      <c r="T58" s="298"/>
      <c r="U58" s="299"/>
      <c r="V58" s="298"/>
      <c r="W58" s="299"/>
      <c r="X58" s="298"/>
      <c r="Y58" s="298"/>
      <c r="Z58" s="299"/>
      <c r="AA58" s="300"/>
      <c r="AB58" s="299"/>
      <c r="AC58" s="300"/>
      <c r="AD58" s="299"/>
      <c r="AE58" s="300"/>
      <c r="AF58" s="299"/>
      <c r="AG58" s="298"/>
      <c r="AH58" s="299"/>
      <c r="AI58" s="300"/>
      <c r="AJ58" s="299"/>
      <c r="AK58" s="301"/>
      <c r="AL58" s="299"/>
      <c r="AM58" s="300"/>
      <c r="AN58" s="299"/>
      <c r="AO58" s="300"/>
      <c r="AP58" s="299"/>
      <c r="AQ58" s="300"/>
      <c r="AR58" s="299"/>
      <c r="AS58" s="300"/>
      <c r="AT58" s="299"/>
      <c r="AU58" s="298"/>
      <c r="AV58" s="299"/>
      <c r="AW58" s="300"/>
      <c r="AX58" s="299"/>
      <c r="AY58" s="300"/>
      <c r="AZ58" s="299"/>
      <c r="BA58" s="298"/>
      <c r="BB58" s="299"/>
      <c r="BC58" s="301"/>
      <c r="BD58" s="299"/>
      <c r="BE58" s="298"/>
      <c r="BF58" s="299"/>
      <c r="BG58" s="298"/>
    </row>
    <row r="59" spans="1:59" s="15" customFormat="1" x14ac:dyDescent="0.2">
      <c r="A59" s="394" t="s">
        <v>203</v>
      </c>
      <c r="B59" s="303">
        <v>4.4600000000000001E-2</v>
      </c>
      <c r="C59" s="261">
        <v>0.1641</v>
      </c>
      <c r="D59" s="261">
        <v>0</v>
      </c>
      <c r="E59" s="261">
        <v>0</v>
      </c>
      <c r="F59" s="261">
        <v>0</v>
      </c>
      <c r="G59" s="157">
        <v>0</v>
      </c>
      <c r="H59" s="395">
        <v>3.9399999999999998E-2</v>
      </c>
      <c r="I59" s="295" t="s">
        <v>24</v>
      </c>
      <c r="J59" s="296"/>
      <c r="K59" s="297"/>
      <c r="L59" s="298"/>
      <c r="M59" s="299"/>
      <c r="N59" s="298"/>
      <c r="O59" s="299"/>
      <c r="P59" s="300"/>
      <c r="Q59" s="299"/>
      <c r="R59" s="300"/>
      <c r="S59" s="299"/>
      <c r="T59" s="298"/>
      <c r="U59" s="299"/>
      <c r="V59" s="298"/>
      <c r="W59" s="299"/>
      <c r="X59" s="298"/>
      <c r="Y59" s="298"/>
      <c r="Z59" s="299"/>
      <c r="AA59" s="300"/>
      <c r="AB59" s="299"/>
      <c r="AC59" s="300"/>
      <c r="AD59" s="299"/>
      <c r="AE59" s="300"/>
      <c r="AF59" s="299"/>
      <c r="AG59" s="298"/>
      <c r="AH59" s="299"/>
      <c r="AI59" s="300"/>
      <c r="AJ59" s="299"/>
      <c r="AK59" s="301"/>
      <c r="AL59" s="299"/>
      <c r="AM59" s="300"/>
      <c r="AN59" s="299"/>
      <c r="AO59" s="300"/>
      <c r="AP59" s="299"/>
      <c r="AQ59" s="300"/>
      <c r="AR59" s="299"/>
      <c r="AS59" s="300"/>
      <c r="AT59" s="299"/>
      <c r="AU59" s="298"/>
      <c r="AV59" s="299"/>
      <c r="AW59" s="300"/>
      <c r="AX59" s="299"/>
      <c r="AY59" s="300"/>
      <c r="AZ59" s="299"/>
      <c r="BA59" s="298"/>
      <c r="BB59" s="299"/>
      <c r="BC59" s="301"/>
      <c r="BD59" s="299"/>
      <c r="BE59" s="298"/>
      <c r="BF59" s="299"/>
      <c r="BG59" s="298"/>
    </row>
    <row r="60" spans="1:59" x14ac:dyDescent="0.2">
      <c r="A60" s="394" t="s">
        <v>204</v>
      </c>
      <c r="B60" s="303">
        <v>6.2199999999999998E-2</v>
      </c>
      <c r="C60" s="261">
        <v>0.14069999999999999</v>
      </c>
      <c r="D60" s="261">
        <v>0.7016</v>
      </c>
      <c r="E60" s="261">
        <v>0.31459999999999999</v>
      </c>
      <c r="F60" s="261">
        <v>0</v>
      </c>
      <c r="G60" s="157">
        <v>0</v>
      </c>
      <c r="H60" s="395">
        <v>7.2900000000000006E-2</v>
      </c>
      <c r="I60" s="295" t="s">
        <v>24</v>
      </c>
      <c r="J60" s="296"/>
      <c r="K60" s="297"/>
      <c r="L60" s="298"/>
      <c r="M60" s="299"/>
      <c r="N60" s="298"/>
      <c r="O60" s="299"/>
      <c r="P60" s="300"/>
      <c r="Q60" s="299"/>
      <c r="R60" s="300"/>
      <c r="S60" s="299"/>
      <c r="T60" s="298"/>
      <c r="U60" s="299"/>
      <c r="V60" s="298"/>
      <c r="W60" s="299"/>
      <c r="X60" s="298"/>
      <c r="Y60" s="298"/>
      <c r="Z60" s="299"/>
      <c r="AA60" s="300"/>
      <c r="AB60" s="299"/>
      <c r="AC60" s="300"/>
      <c r="AD60" s="299"/>
      <c r="AE60" s="300"/>
      <c r="AF60" s="299"/>
      <c r="AG60" s="298"/>
      <c r="AH60" s="299"/>
      <c r="AI60" s="300"/>
      <c r="AJ60" s="299"/>
      <c r="AK60" s="301"/>
      <c r="AL60" s="299"/>
      <c r="AM60" s="300"/>
      <c r="AN60" s="299"/>
      <c r="AO60" s="300"/>
      <c r="AP60" s="299"/>
      <c r="AQ60" s="300"/>
      <c r="AR60" s="299"/>
      <c r="AS60" s="300"/>
      <c r="AT60" s="299"/>
      <c r="AU60" s="298"/>
      <c r="AV60" s="299"/>
      <c r="AW60" s="300"/>
      <c r="AX60" s="299"/>
      <c r="AY60" s="300"/>
      <c r="AZ60" s="299"/>
      <c r="BA60" s="298"/>
      <c r="BB60" s="299"/>
      <c r="BC60" s="301"/>
      <c r="BD60" s="299"/>
      <c r="BE60" s="298"/>
      <c r="BF60" s="299"/>
      <c r="BG60" s="298"/>
    </row>
    <row r="61" spans="1:59" x14ac:dyDescent="0.2">
      <c r="A61" s="394" t="s">
        <v>205</v>
      </c>
      <c r="B61" s="303">
        <v>2.5000000000000001E-3</v>
      </c>
      <c r="C61" s="261">
        <v>5.1999999999999998E-3</v>
      </c>
      <c r="D61" s="261">
        <v>2.7799999999999998E-2</v>
      </c>
      <c r="E61" s="261">
        <v>1.2500000000000001E-2</v>
      </c>
      <c r="F61" s="261">
        <v>0</v>
      </c>
      <c r="G61" s="157">
        <v>0</v>
      </c>
      <c r="H61" s="395">
        <v>0</v>
      </c>
      <c r="I61" s="295" t="s">
        <v>24</v>
      </c>
      <c r="J61" s="296"/>
      <c r="K61" s="297"/>
      <c r="L61" s="298"/>
      <c r="M61" s="299"/>
      <c r="N61" s="298"/>
      <c r="O61" s="299"/>
      <c r="P61" s="300"/>
      <c r="Q61" s="299"/>
      <c r="R61" s="300"/>
      <c r="S61" s="299"/>
      <c r="T61" s="298"/>
      <c r="U61" s="299"/>
      <c r="V61" s="298"/>
      <c r="W61" s="299"/>
      <c r="X61" s="298"/>
      <c r="Y61" s="298"/>
      <c r="Z61" s="299"/>
      <c r="AA61" s="300"/>
      <c r="AB61" s="299"/>
      <c r="AC61" s="300"/>
      <c r="AD61" s="299"/>
      <c r="AE61" s="300"/>
      <c r="AF61" s="299"/>
      <c r="AG61" s="298"/>
      <c r="AH61" s="299"/>
      <c r="AI61" s="300"/>
      <c r="AJ61" s="299"/>
      <c r="AK61" s="301"/>
      <c r="AL61" s="299"/>
      <c r="AM61" s="300"/>
      <c r="AN61" s="299"/>
      <c r="AO61" s="300"/>
      <c r="AP61" s="299"/>
      <c r="AQ61" s="300"/>
      <c r="AR61" s="299"/>
      <c r="AS61" s="300"/>
      <c r="AT61" s="299"/>
      <c r="AU61" s="298"/>
      <c r="AV61" s="299"/>
      <c r="AW61" s="300"/>
      <c r="AX61" s="299"/>
      <c r="AY61" s="300"/>
      <c r="AZ61" s="299"/>
      <c r="BA61" s="298"/>
      <c r="BB61" s="299"/>
      <c r="BC61" s="301"/>
      <c r="BD61" s="299"/>
      <c r="BE61" s="298"/>
      <c r="BF61" s="299"/>
      <c r="BG61" s="298"/>
    </row>
    <row r="62" spans="1:59" ht="13.5" thickBot="1" x14ac:dyDescent="0.25">
      <c r="A62" s="396" t="s">
        <v>206</v>
      </c>
      <c r="B62" s="397">
        <v>2E-3</v>
      </c>
      <c r="C62" s="398">
        <v>2.8999999999999998E-3</v>
      </c>
      <c r="D62" s="398">
        <v>2.1100000000000001E-2</v>
      </c>
      <c r="E62" s="398">
        <v>8.5000000000000006E-3</v>
      </c>
      <c r="F62" s="398">
        <v>0</v>
      </c>
      <c r="G62" s="399">
        <v>0</v>
      </c>
      <c r="H62" s="400">
        <v>2.8999999999999998E-3</v>
      </c>
      <c r="I62" s="295" t="s">
        <v>24</v>
      </c>
      <c r="J62" s="296"/>
      <c r="K62" s="297"/>
      <c r="L62" s="301"/>
      <c r="M62" s="299"/>
      <c r="N62" s="301"/>
      <c r="O62" s="299"/>
      <c r="P62" s="300"/>
      <c r="Q62" s="299"/>
      <c r="R62" s="300"/>
      <c r="S62" s="299"/>
      <c r="T62" s="301"/>
      <c r="U62" s="299"/>
      <c r="V62" s="301"/>
      <c r="W62" s="299"/>
      <c r="X62" s="301"/>
      <c r="Y62" s="301"/>
      <c r="Z62" s="299"/>
      <c r="AA62" s="300"/>
      <c r="AB62" s="299"/>
      <c r="AC62" s="300"/>
      <c r="AD62" s="299"/>
      <c r="AE62" s="300"/>
      <c r="AF62" s="299"/>
      <c r="AG62" s="301"/>
      <c r="AH62" s="299"/>
      <c r="AI62" s="300"/>
      <c r="AJ62" s="299"/>
      <c r="AK62" s="301"/>
      <c r="AL62" s="299"/>
      <c r="AM62" s="300"/>
      <c r="AN62" s="299"/>
      <c r="AO62" s="300"/>
      <c r="AP62" s="299"/>
      <c r="AQ62" s="300"/>
      <c r="AR62" s="299"/>
      <c r="AS62" s="300"/>
      <c r="AT62" s="299"/>
      <c r="AU62" s="301"/>
      <c r="AV62" s="299"/>
      <c r="AW62" s="300"/>
      <c r="AX62" s="299"/>
      <c r="AY62" s="300"/>
      <c r="AZ62" s="299"/>
      <c r="BA62" s="301"/>
      <c r="BB62" s="299"/>
      <c r="BC62" s="301"/>
      <c r="BD62" s="299"/>
      <c r="BE62" s="301"/>
      <c r="BF62" s="299"/>
      <c r="BG62" s="301"/>
    </row>
    <row r="63" spans="1:59" ht="13.5" thickBot="1" x14ac:dyDescent="0.25">
      <c r="A63" s="410"/>
      <c r="B63" s="406">
        <f t="shared" ref="B63:G63" si="5">SUM(B39:B62)</f>
        <v>0.99999999999999989</v>
      </c>
      <c r="C63" s="407">
        <f t="shared" si="5"/>
        <v>1</v>
      </c>
      <c r="D63" s="407">
        <f t="shared" si="5"/>
        <v>1</v>
      </c>
      <c r="E63" s="407">
        <f t="shared" si="5"/>
        <v>1</v>
      </c>
      <c r="F63" s="407">
        <f t="shared" si="5"/>
        <v>1</v>
      </c>
      <c r="G63" s="407">
        <f t="shared" si="5"/>
        <v>1</v>
      </c>
      <c r="H63" s="408">
        <f t="shared" ref="H63" si="6">SUM(H39:H62)</f>
        <v>1</v>
      </c>
      <c r="I63" s="235" t="s">
        <v>24</v>
      </c>
      <c r="J63" s="233"/>
      <c r="K63" s="265"/>
      <c r="L63" s="158"/>
      <c r="M63" s="158"/>
      <c r="N63" s="158"/>
      <c r="O63" s="158"/>
      <c r="P63" s="158"/>
      <c r="Q63" s="23"/>
      <c r="R63" s="23"/>
      <c r="S63" s="23"/>
      <c r="T63" s="23"/>
      <c r="U63" s="23"/>
      <c r="V63" s="23"/>
      <c r="W63" s="23"/>
      <c r="X63" s="23"/>
      <c r="Y63" s="23"/>
    </row>
    <row r="64" spans="1:59" ht="20.100000000000001" customHeight="1" x14ac:dyDescent="0.2">
      <c r="A64" s="409" t="s">
        <v>185</v>
      </c>
      <c r="B64" s="405"/>
      <c r="C64" s="405"/>
      <c r="D64" s="405"/>
      <c r="E64" s="405"/>
      <c r="F64" s="405"/>
      <c r="G64" s="405"/>
      <c r="H64" s="23"/>
      <c r="I64" s="478"/>
      <c r="J64" s="478"/>
      <c r="K64" s="478"/>
      <c r="L64" s="478"/>
      <c r="M64" s="23"/>
      <c r="N64" s="23"/>
      <c r="O64" s="23"/>
      <c r="P64" s="23"/>
      <c r="Q64" s="23"/>
      <c r="R64" s="23"/>
      <c r="S64" s="23"/>
      <c r="T64" s="23"/>
      <c r="U64" s="23"/>
      <c r="V64" s="23"/>
      <c r="W64" s="23"/>
      <c r="X64" s="23"/>
      <c r="Y64" s="23"/>
    </row>
    <row r="65" spans="1:35" x14ac:dyDescent="0.2">
      <c r="A65" s="32"/>
      <c r="B65" s="158"/>
      <c r="C65" s="158"/>
      <c r="D65" s="158"/>
      <c r="E65" s="23"/>
      <c r="F65" s="23"/>
      <c r="G65" s="23"/>
      <c r="H65" s="23"/>
      <c r="I65" s="23"/>
      <c r="J65" s="23"/>
      <c r="K65" s="23"/>
      <c r="L65" s="23"/>
      <c r="M65" s="23"/>
      <c r="N65" s="23"/>
      <c r="O65" s="23"/>
      <c r="P65" s="23"/>
      <c r="Q65" s="23"/>
      <c r="R65" s="23"/>
      <c r="S65" s="23"/>
      <c r="T65" s="23"/>
      <c r="U65" s="23"/>
      <c r="V65" s="23"/>
      <c r="W65" s="23"/>
      <c r="X65" s="23"/>
      <c r="Y65" s="23"/>
    </row>
    <row r="66" spans="1:35" ht="13.5" thickBot="1" x14ac:dyDescent="0.25">
      <c r="A66" s="32"/>
      <c r="B66" s="158"/>
      <c r="C66" s="158"/>
      <c r="D66" s="158"/>
      <c r="E66" s="23"/>
      <c r="F66" s="23"/>
      <c r="G66" s="23"/>
      <c r="H66" s="23"/>
      <c r="I66" s="23"/>
      <c r="J66" s="23"/>
      <c r="K66" s="23"/>
      <c r="L66" s="23"/>
      <c r="M66" s="23"/>
      <c r="N66" s="23"/>
      <c r="O66" s="23"/>
      <c r="P66" s="23"/>
      <c r="Q66" s="23"/>
      <c r="R66" s="23"/>
      <c r="S66" s="23"/>
      <c r="T66" s="23"/>
      <c r="U66" s="23"/>
      <c r="V66" s="23"/>
      <c r="W66" s="23"/>
      <c r="X66" s="23"/>
      <c r="Y66" s="23"/>
    </row>
    <row r="67" spans="1:35" ht="13.5" thickBot="1" x14ac:dyDescent="0.25">
      <c r="A67" s="475" t="s">
        <v>140</v>
      </c>
      <c r="B67" s="168"/>
      <c r="C67" s="168"/>
      <c r="D67" s="54"/>
      <c r="E67" s="23"/>
      <c r="F67" s="126" t="s">
        <v>24</v>
      </c>
      <c r="G67" s="23"/>
      <c r="H67" s="23"/>
      <c r="I67" s="23"/>
      <c r="J67" s="23"/>
      <c r="K67" s="23"/>
      <c r="L67" s="23"/>
      <c r="M67" s="23"/>
      <c r="N67" s="23"/>
      <c r="O67" s="23"/>
      <c r="P67" s="23"/>
      <c r="Q67" s="23"/>
      <c r="R67" s="23"/>
      <c r="S67" s="23"/>
      <c r="T67" s="23"/>
      <c r="U67" s="23"/>
      <c r="V67" s="23"/>
      <c r="W67" s="23"/>
      <c r="X67" s="23"/>
      <c r="Y67" s="23"/>
    </row>
    <row r="68" spans="1:35" ht="13.5" thickBot="1" x14ac:dyDescent="0.25">
      <c r="A68" s="476"/>
      <c r="B68" s="462" t="s">
        <v>29</v>
      </c>
      <c r="C68" s="463"/>
      <c r="D68" s="463"/>
      <c r="E68" s="464"/>
      <c r="F68" s="462" t="s">
        <v>35</v>
      </c>
      <c r="G68" s="463"/>
      <c r="H68" s="463"/>
      <c r="I68" s="464"/>
      <c r="J68" s="462" t="s">
        <v>5</v>
      </c>
      <c r="K68" s="463"/>
      <c r="L68" s="463"/>
      <c r="M68" s="463"/>
      <c r="N68" s="464"/>
      <c r="O68" s="462" t="s">
        <v>8</v>
      </c>
      <c r="P68" s="463"/>
      <c r="Q68" s="463"/>
      <c r="R68" s="463"/>
      <c r="S68" s="464"/>
      <c r="T68" s="462" t="s">
        <v>36</v>
      </c>
      <c r="U68" s="463"/>
      <c r="V68" s="463"/>
      <c r="W68" s="464"/>
      <c r="X68" s="462" t="s">
        <v>15</v>
      </c>
      <c r="Y68" s="463"/>
      <c r="Z68" s="463"/>
      <c r="AA68" s="464"/>
      <c r="AB68" s="462" t="s">
        <v>11</v>
      </c>
      <c r="AC68" s="463"/>
      <c r="AD68" s="463"/>
      <c r="AE68" s="464"/>
      <c r="AF68" s="462" t="s">
        <v>37</v>
      </c>
      <c r="AG68" s="464"/>
      <c r="AH68" s="462" t="s">
        <v>52</v>
      </c>
      <c r="AI68" s="464"/>
    </row>
    <row r="69" spans="1:35" ht="26.25" customHeight="1" thickBot="1" x14ac:dyDescent="0.25">
      <c r="A69" s="477"/>
      <c r="B69" s="472" t="s">
        <v>214</v>
      </c>
      <c r="C69" s="473"/>
      <c r="D69" s="474"/>
      <c r="E69" s="315">
        <f>'BRA Resource Clearing Results'!C6</f>
        <v>9.51</v>
      </c>
      <c r="F69" s="472" t="s">
        <v>214</v>
      </c>
      <c r="G69" s="473"/>
      <c r="H69" s="474"/>
      <c r="I69" s="315">
        <f>'BRA Resource Clearing Results'!C7</f>
        <v>101.83</v>
      </c>
      <c r="J69" s="479" t="s">
        <v>214</v>
      </c>
      <c r="K69" s="480"/>
      <c r="L69" s="480"/>
      <c r="M69" s="481"/>
      <c r="N69" s="315">
        <f>'BRA Resource Clearing Results'!C8</f>
        <v>0</v>
      </c>
      <c r="O69" s="472" t="s">
        <v>214</v>
      </c>
      <c r="P69" s="473"/>
      <c r="Q69" s="473"/>
      <c r="R69" s="474"/>
      <c r="S69" s="350">
        <f>'BRA Resource Clearing Results'!C9</f>
        <v>0</v>
      </c>
      <c r="T69" s="482" t="s">
        <v>214</v>
      </c>
      <c r="U69" s="483"/>
      <c r="V69" s="484"/>
      <c r="W69" s="315">
        <f>'BRA Resource Clearing Results'!C10</f>
        <v>0</v>
      </c>
      <c r="X69" s="467" t="s">
        <v>214</v>
      </c>
      <c r="Y69" s="468"/>
      <c r="Z69" s="469"/>
      <c r="AA69" s="259">
        <f>'BRA Resource Clearing Results'!C12</f>
        <v>0</v>
      </c>
      <c r="AB69" s="467" t="s">
        <v>214</v>
      </c>
      <c r="AC69" s="468"/>
      <c r="AD69" s="469"/>
      <c r="AE69" s="315">
        <f>'BRA Resource Clearing Results'!C16</f>
        <v>0</v>
      </c>
      <c r="AF69" s="220" t="s">
        <v>214</v>
      </c>
      <c r="AG69" s="219">
        <f>'BRA Resource Clearing Results'!C11</f>
        <v>0</v>
      </c>
      <c r="AH69" s="220" t="s">
        <v>214</v>
      </c>
      <c r="AI69" s="219">
        <f>'BRA Resource Clearing Results'!C19</f>
        <v>53.47</v>
      </c>
    </row>
    <row r="70" spans="1:35" ht="51.75" thickBot="1" x14ac:dyDescent="0.25">
      <c r="A70" s="329" t="s">
        <v>58</v>
      </c>
      <c r="B70" s="316" t="s">
        <v>216</v>
      </c>
      <c r="C70" s="317" t="s">
        <v>99</v>
      </c>
      <c r="D70" s="318" t="s">
        <v>59</v>
      </c>
      <c r="E70" s="319" t="s">
        <v>73</v>
      </c>
      <c r="F70" s="338" t="s">
        <v>217</v>
      </c>
      <c r="G70" s="339" t="s">
        <v>184</v>
      </c>
      <c r="H70" s="339" t="s">
        <v>59</v>
      </c>
      <c r="I70" s="340" t="s">
        <v>73</v>
      </c>
      <c r="J70" s="263" t="s">
        <v>217</v>
      </c>
      <c r="K70" s="333" t="s">
        <v>99</v>
      </c>
      <c r="L70" s="333" t="s">
        <v>149</v>
      </c>
      <c r="M70" s="341" t="s">
        <v>59</v>
      </c>
      <c r="N70" s="342" t="s">
        <v>73</v>
      </c>
      <c r="O70" s="351" t="s">
        <v>217</v>
      </c>
      <c r="P70" s="352" t="s">
        <v>100</v>
      </c>
      <c r="Q70" s="352" t="s">
        <v>101</v>
      </c>
      <c r="R70" s="318" t="s">
        <v>59</v>
      </c>
      <c r="S70" s="319" t="s">
        <v>73</v>
      </c>
      <c r="T70" s="353" t="s">
        <v>217</v>
      </c>
      <c r="U70" s="333" t="s">
        <v>100</v>
      </c>
      <c r="V70" s="341" t="s">
        <v>59</v>
      </c>
      <c r="W70" s="354" t="s">
        <v>73</v>
      </c>
      <c r="X70" s="356" t="s">
        <v>149</v>
      </c>
      <c r="Y70" s="317" t="s">
        <v>183</v>
      </c>
      <c r="Z70" s="357" t="s">
        <v>59</v>
      </c>
      <c r="AA70" s="319" t="s">
        <v>73</v>
      </c>
      <c r="AB70" s="333" t="s">
        <v>99</v>
      </c>
      <c r="AC70" s="358" t="s">
        <v>129</v>
      </c>
      <c r="AD70" s="341" t="s">
        <v>59</v>
      </c>
      <c r="AE70" s="359" t="s">
        <v>73</v>
      </c>
      <c r="AF70" s="465" t="s">
        <v>218</v>
      </c>
      <c r="AG70" s="466"/>
      <c r="AH70" s="465" t="s">
        <v>218</v>
      </c>
      <c r="AI70" s="466"/>
    </row>
    <row r="71" spans="1:35" x14ac:dyDescent="0.2">
      <c r="A71" s="330" t="s">
        <v>16</v>
      </c>
      <c r="B71" s="323">
        <f>B39*$C$13</f>
        <v>0</v>
      </c>
      <c r="C71" s="324">
        <f>C39*$C$15</f>
        <v>0</v>
      </c>
      <c r="D71" s="324">
        <f>B71+C71</f>
        <v>0</v>
      </c>
      <c r="E71" s="325">
        <f>D71*$E$69</f>
        <v>0</v>
      </c>
      <c r="F71" s="323">
        <f>B39*$D$13</f>
        <v>15.266000000000002</v>
      </c>
      <c r="G71" s="324">
        <f t="shared" ref="G71:G94" si="7">H39*$D$20</f>
        <v>0.98</v>
      </c>
      <c r="H71" s="324">
        <f>F71+G71</f>
        <v>16.246000000000002</v>
      </c>
      <c r="I71" s="334">
        <f>H71*$I$69</f>
        <v>1654.3301800000002</v>
      </c>
      <c r="J71" s="323">
        <f t="shared" ref="J71:J94" si="8">B39*$E$13</f>
        <v>4.3520000000000003</v>
      </c>
      <c r="K71" s="324">
        <f t="shared" ref="K71:K94" si="9">C39*$E$15</f>
        <v>21.33</v>
      </c>
      <c r="L71" s="346">
        <f t="shared" ref="L71:L94" si="10">G39*$E$19</f>
        <v>0</v>
      </c>
      <c r="M71" s="324">
        <f>J71+K71+L71</f>
        <v>25.681999999999999</v>
      </c>
      <c r="N71" s="347">
        <f>M71*$N$69</f>
        <v>0</v>
      </c>
      <c r="O71" s="323">
        <f t="shared" ref="O71:O94" si="11">B39*$F$13</f>
        <v>1.1713000000000002</v>
      </c>
      <c r="P71" s="324">
        <f t="shared" ref="P71:P94" si="12">D39*$F$16</f>
        <v>0.78245999999999993</v>
      </c>
      <c r="Q71" s="324">
        <f t="shared" ref="Q71:Q94" si="13">E39*$F$17</f>
        <v>0</v>
      </c>
      <c r="R71" s="324">
        <f>O71+P71+Q71</f>
        <v>1.9537600000000002</v>
      </c>
      <c r="S71" s="325">
        <f>R71*$S$69</f>
        <v>0</v>
      </c>
      <c r="T71" s="323">
        <f t="shared" ref="T71:T94" si="14">B39*$G$13</f>
        <v>1.7935000000000001</v>
      </c>
      <c r="U71" s="324">
        <f t="shared" ref="U71:U94" si="15">D39*$G$16</f>
        <v>1.1373500000000001</v>
      </c>
      <c r="V71" s="324">
        <f t="shared" ref="V71:V76" si="16">T71+U71</f>
        <v>2.9308500000000004</v>
      </c>
      <c r="W71" s="325">
        <f t="shared" ref="W71:W94" si="17">V71*$W$69</f>
        <v>0</v>
      </c>
      <c r="X71" s="323">
        <f t="shared" ref="X71:X94" si="18">G39*$J$19</f>
        <v>0</v>
      </c>
      <c r="Y71" s="324">
        <f t="shared" ref="Y71:Y94" si="19">H39*$J$20</f>
        <v>3.4299999999999997</v>
      </c>
      <c r="Z71" s="346">
        <f>X71+Y71</f>
        <v>3.4299999999999997</v>
      </c>
      <c r="AA71" s="334">
        <f>Z71*$AA$69</f>
        <v>0</v>
      </c>
      <c r="AB71" s="323">
        <f t="shared" ref="AB71:AB94" si="20">C39*$K$15</f>
        <v>11.16</v>
      </c>
      <c r="AC71" s="360">
        <f t="shared" ref="AC71:AC94" si="21">F39*$K$18</f>
        <v>0</v>
      </c>
      <c r="AD71" s="361">
        <f t="shared" ref="AD71:AD76" si="22">AB71+AC71</f>
        <v>11.16</v>
      </c>
      <c r="AE71" s="334">
        <f>AD71*$AE$69</f>
        <v>0</v>
      </c>
      <c r="AF71" s="4"/>
      <c r="AG71" s="4"/>
    </row>
    <row r="72" spans="1:35" x14ac:dyDescent="0.2">
      <c r="A72" s="331" t="s">
        <v>30</v>
      </c>
      <c r="B72" s="140">
        <f t="shared" ref="B72:B94" si="23">B40*$C$13</f>
        <v>0</v>
      </c>
      <c r="C72" s="159">
        <f t="shared" ref="C72:C94" si="24">C40*$C$15</f>
        <v>0</v>
      </c>
      <c r="D72" s="159">
        <f>B72+C72</f>
        <v>0</v>
      </c>
      <c r="E72" s="66">
        <f>D72*$E$69</f>
        <v>0</v>
      </c>
      <c r="F72" s="140">
        <f t="shared" ref="F72:F79" si="25">B40*$D$13</f>
        <v>127.96499999999999</v>
      </c>
      <c r="G72" s="159">
        <f t="shared" si="7"/>
        <v>0</v>
      </c>
      <c r="H72" s="159">
        <f t="shared" ref="H72:H94" si="26">F72+G72</f>
        <v>127.96499999999999</v>
      </c>
      <c r="I72" s="143">
        <f t="shared" ref="I72:I94" si="27">H72*$I$69</f>
        <v>13030.675949999999</v>
      </c>
      <c r="J72" s="140">
        <f t="shared" si="8"/>
        <v>36.479999999999997</v>
      </c>
      <c r="K72" s="159">
        <f t="shared" si="9"/>
        <v>0</v>
      </c>
      <c r="L72" s="218">
        <f t="shared" si="10"/>
        <v>0</v>
      </c>
      <c r="M72" s="159">
        <f t="shared" ref="M72:M94" si="28">J72+K72+L72</f>
        <v>36.479999999999997</v>
      </c>
      <c r="N72" s="216">
        <f>M72*$N$69</f>
        <v>0</v>
      </c>
      <c r="O72" s="140">
        <f t="shared" si="11"/>
        <v>9.8182500000000008</v>
      </c>
      <c r="P72" s="159">
        <f t="shared" si="12"/>
        <v>0</v>
      </c>
      <c r="Q72" s="159">
        <f t="shared" si="13"/>
        <v>0</v>
      </c>
      <c r="R72" s="159">
        <f>O72+P72+Q72</f>
        <v>9.8182500000000008</v>
      </c>
      <c r="S72" s="66">
        <f>R72*$S$69</f>
        <v>0</v>
      </c>
      <c r="T72" s="140">
        <f t="shared" si="14"/>
        <v>15.03375</v>
      </c>
      <c r="U72" s="159">
        <f t="shared" si="15"/>
        <v>0</v>
      </c>
      <c r="V72" s="159">
        <f t="shared" si="16"/>
        <v>15.03375</v>
      </c>
      <c r="W72" s="66">
        <f t="shared" si="17"/>
        <v>0</v>
      </c>
      <c r="X72" s="140">
        <f t="shared" si="18"/>
        <v>0</v>
      </c>
      <c r="Y72" s="159">
        <f t="shared" si="19"/>
        <v>0</v>
      </c>
      <c r="Z72" s="218">
        <f t="shared" ref="Z72:Z94" si="29">X72+Y72</f>
        <v>0</v>
      </c>
      <c r="AA72" s="143">
        <f t="shared" ref="AA72:AA94" si="30">Z72*$AA$69</f>
        <v>0</v>
      </c>
      <c r="AB72" s="140">
        <f t="shared" si="20"/>
        <v>0</v>
      </c>
      <c r="AC72" s="210">
        <f t="shared" si="21"/>
        <v>0</v>
      </c>
      <c r="AD72" s="217">
        <f t="shared" si="22"/>
        <v>0</v>
      </c>
      <c r="AE72" s="143">
        <f t="shared" ref="AE72:AE94" si="31">AD72*$AE$69</f>
        <v>0</v>
      </c>
      <c r="AF72" s="4"/>
      <c r="AG72" s="4"/>
    </row>
    <row r="73" spans="1:35" x14ac:dyDescent="0.2">
      <c r="A73" s="331" t="s">
        <v>19</v>
      </c>
      <c r="B73" s="140">
        <f t="shared" si="23"/>
        <v>0</v>
      </c>
      <c r="C73" s="159">
        <f t="shared" si="24"/>
        <v>0</v>
      </c>
      <c r="D73" s="159">
        <f>B73+C73</f>
        <v>0</v>
      </c>
      <c r="E73" s="66">
        <f t="shared" ref="E73:E93" si="32">D73*$E$69</f>
        <v>0</v>
      </c>
      <c r="F73" s="140">
        <f t="shared" si="25"/>
        <v>49.659400000000005</v>
      </c>
      <c r="G73" s="159">
        <f t="shared" si="7"/>
        <v>0</v>
      </c>
      <c r="H73" s="159">
        <f t="shared" si="26"/>
        <v>49.659400000000005</v>
      </c>
      <c r="I73" s="143">
        <f t="shared" si="27"/>
        <v>5056.8167020000001</v>
      </c>
      <c r="J73" s="140">
        <f t="shared" si="8"/>
        <v>14.1568</v>
      </c>
      <c r="K73" s="159">
        <f t="shared" si="9"/>
        <v>0</v>
      </c>
      <c r="L73" s="218">
        <f t="shared" si="10"/>
        <v>0</v>
      </c>
      <c r="M73" s="159">
        <f t="shared" si="28"/>
        <v>14.1568</v>
      </c>
      <c r="N73" s="216">
        <f>M73*$N$69</f>
        <v>0</v>
      </c>
      <c r="O73" s="140">
        <f t="shared" si="11"/>
        <v>3.8101700000000003</v>
      </c>
      <c r="P73" s="159">
        <f t="shared" si="12"/>
        <v>0</v>
      </c>
      <c r="Q73" s="159">
        <f t="shared" si="13"/>
        <v>0</v>
      </c>
      <c r="R73" s="159">
        <f>O73+P73+Q73</f>
        <v>3.8101700000000003</v>
      </c>
      <c r="S73" s="66">
        <f t="shared" ref="S73:S94" si="33">R73*$S$69</f>
        <v>0</v>
      </c>
      <c r="T73" s="140">
        <f t="shared" si="14"/>
        <v>5.8341500000000002</v>
      </c>
      <c r="U73" s="159">
        <f t="shared" si="15"/>
        <v>0</v>
      </c>
      <c r="V73" s="159">
        <f t="shared" si="16"/>
        <v>5.8341500000000002</v>
      </c>
      <c r="W73" s="66">
        <f t="shared" si="17"/>
        <v>0</v>
      </c>
      <c r="X73" s="140">
        <f t="shared" si="18"/>
        <v>0</v>
      </c>
      <c r="Y73" s="159">
        <f t="shared" si="19"/>
        <v>0</v>
      </c>
      <c r="Z73" s="218">
        <f t="shared" si="29"/>
        <v>0</v>
      </c>
      <c r="AA73" s="143">
        <f t="shared" si="30"/>
        <v>0</v>
      </c>
      <c r="AB73" s="140">
        <f t="shared" si="20"/>
        <v>0</v>
      </c>
      <c r="AC73" s="210">
        <f t="shared" si="21"/>
        <v>8.0444000000000013</v>
      </c>
      <c r="AD73" s="217">
        <f t="shared" si="22"/>
        <v>8.0444000000000013</v>
      </c>
      <c r="AE73" s="143">
        <f t="shared" si="31"/>
        <v>0</v>
      </c>
      <c r="AF73" s="4"/>
      <c r="AG73" s="4"/>
    </row>
    <row r="74" spans="1:35" x14ac:dyDescent="0.2">
      <c r="A74" s="331" t="s">
        <v>45</v>
      </c>
      <c r="B74" s="140">
        <f t="shared" si="23"/>
        <v>0</v>
      </c>
      <c r="C74" s="159">
        <f t="shared" si="24"/>
        <v>0</v>
      </c>
      <c r="D74" s="159">
        <f t="shared" ref="D74:D93" si="34">B74+C74</f>
        <v>0</v>
      </c>
      <c r="E74" s="66">
        <f t="shared" si="32"/>
        <v>0</v>
      </c>
      <c r="F74" s="140">
        <f t="shared" si="25"/>
        <v>72.648200000000003</v>
      </c>
      <c r="G74" s="159">
        <f t="shared" si="7"/>
        <v>0</v>
      </c>
      <c r="H74" s="159">
        <f t="shared" si="26"/>
        <v>72.648200000000003</v>
      </c>
      <c r="I74" s="143">
        <f t="shared" si="27"/>
        <v>7397.7662060000002</v>
      </c>
      <c r="J74" s="140">
        <f t="shared" si="8"/>
        <v>20.7104</v>
      </c>
      <c r="K74" s="159">
        <f t="shared" si="9"/>
        <v>0</v>
      </c>
      <c r="L74" s="218">
        <f t="shared" si="10"/>
        <v>0</v>
      </c>
      <c r="M74" s="159">
        <f t="shared" si="28"/>
        <v>20.7104</v>
      </c>
      <c r="N74" s="216">
        <f>M74*$N$69</f>
        <v>0</v>
      </c>
      <c r="O74" s="140">
        <f t="shared" si="11"/>
        <v>5.5740100000000004</v>
      </c>
      <c r="P74" s="159">
        <f t="shared" si="12"/>
        <v>0</v>
      </c>
      <c r="Q74" s="159">
        <f t="shared" si="13"/>
        <v>0</v>
      </c>
      <c r="R74" s="159">
        <f t="shared" ref="R74:R89" si="35">O74+P74+Q74</f>
        <v>5.5740100000000004</v>
      </c>
      <c r="S74" s="66">
        <f t="shared" si="33"/>
        <v>0</v>
      </c>
      <c r="T74" s="140">
        <f t="shared" si="14"/>
        <v>8.5349500000000003</v>
      </c>
      <c r="U74" s="159">
        <f t="shared" si="15"/>
        <v>0</v>
      </c>
      <c r="V74" s="159">
        <f t="shared" si="16"/>
        <v>8.5349500000000003</v>
      </c>
      <c r="W74" s="66">
        <f t="shared" si="17"/>
        <v>0</v>
      </c>
      <c r="X74" s="140">
        <f t="shared" si="18"/>
        <v>0</v>
      </c>
      <c r="Y74" s="159">
        <f t="shared" si="19"/>
        <v>0</v>
      </c>
      <c r="Z74" s="218">
        <f t="shared" si="29"/>
        <v>0</v>
      </c>
      <c r="AA74" s="143">
        <f t="shared" si="30"/>
        <v>0</v>
      </c>
      <c r="AB74" s="140">
        <f t="shared" si="20"/>
        <v>0</v>
      </c>
      <c r="AC74" s="210">
        <f t="shared" si="21"/>
        <v>0</v>
      </c>
      <c r="AD74" s="217">
        <f t="shared" si="22"/>
        <v>0</v>
      </c>
      <c r="AE74" s="143">
        <f t="shared" si="31"/>
        <v>0</v>
      </c>
      <c r="AF74" s="4"/>
      <c r="AG74" s="4"/>
    </row>
    <row r="75" spans="1:35" x14ac:dyDescent="0.2">
      <c r="A75" s="331" t="s">
        <v>11</v>
      </c>
      <c r="B75" s="140">
        <f t="shared" si="23"/>
        <v>0</v>
      </c>
      <c r="C75" s="159">
        <f t="shared" si="24"/>
        <v>0</v>
      </c>
      <c r="D75" s="159">
        <f t="shared" si="34"/>
        <v>0</v>
      </c>
      <c r="E75" s="66">
        <f t="shared" si="32"/>
        <v>0</v>
      </c>
      <c r="F75" s="140">
        <f t="shared" si="25"/>
        <v>37.626199999999997</v>
      </c>
      <c r="G75" s="159">
        <f t="shared" si="7"/>
        <v>7.1849999999999996</v>
      </c>
      <c r="H75" s="159">
        <f t="shared" si="26"/>
        <v>44.811199999999999</v>
      </c>
      <c r="I75" s="143">
        <f t="shared" si="27"/>
        <v>4563.1244959999995</v>
      </c>
      <c r="J75" s="140">
        <f t="shared" si="8"/>
        <v>10.7264</v>
      </c>
      <c r="K75" s="159">
        <f t="shared" si="9"/>
        <v>0</v>
      </c>
      <c r="L75" s="218">
        <f t="shared" si="10"/>
        <v>0</v>
      </c>
      <c r="M75" s="159">
        <f t="shared" si="28"/>
        <v>10.7264</v>
      </c>
      <c r="N75" s="216">
        <f t="shared" ref="N75:N89" si="36">M75*$N$69</f>
        <v>0</v>
      </c>
      <c r="O75" s="140">
        <f t="shared" si="11"/>
        <v>2.8869100000000003</v>
      </c>
      <c r="P75" s="159">
        <f t="shared" si="12"/>
        <v>3.2999399999999999</v>
      </c>
      <c r="Q75" s="159">
        <f t="shared" si="13"/>
        <v>0</v>
      </c>
      <c r="R75" s="159">
        <f t="shared" si="35"/>
        <v>6.1868499999999997</v>
      </c>
      <c r="S75" s="66">
        <f t="shared" si="33"/>
        <v>0</v>
      </c>
      <c r="T75" s="140">
        <f t="shared" si="14"/>
        <v>4.4204499999999998</v>
      </c>
      <c r="U75" s="159">
        <f t="shared" si="15"/>
        <v>4.7966500000000005</v>
      </c>
      <c r="V75" s="159">
        <f t="shared" si="16"/>
        <v>9.2171000000000003</v>
      </c>
      <c r="W75" s="66">
        <f t="shared" si="17"/>
        <v>0</v>
      </c>
      <c r="X75" s="140">
        <f t="shared" si="18"/>
        <v>0</v>
      </c>
      <c r="Y75" s="159">
        <f t="shared" si="19"/>
        <v>25.147499999999997</v>
      </c>
      <c r="Z75" s="218">
        <f t="shared" si="29"/>
        <v>25.147499999999997</v>
      </c>
      <c r="AA75" s="143">
        <f t="shared" si="30"/>
        <v>0</v>
      </c>
      <c r="AB75" s="140">
        <f t="shared" si="20"/>
        <v>0</v>
      </c>
      <c r="AC75" s="210">
        <f t="shared" si="21"/>
        <v>121.849</v>
      </c>
      <c r="AD75" s="217">
        <f t="shared" si="22"/>
        <v>121.849</v>
      </c>
      <c r="AE75" s="143">
        <f t="shared" si="31"/>
        <v>0</v>
      </c>
      <c r="AF75" s="4"/>
      <c r="AG75" s="4"/>
    </row>
    <row r="76" spans="1:35" x14ac:dyDescent="0.2">
      <c r="A76" s="331" t="s">
        <v>194</v>
      </c>
      <c r="B76" s="140">
        <f t="shared" si="23"/>
        <v>0</v>
      </c>
      <c r="C76" s="159">
        <f t="shared" si="24"/>
        <v>0</v>
      </c>
      <c r="D76" s="159">
        <f t="shared" si="34"/>
        <v>0</v>
      </c>
      <c r="E76" s="66">
        <f t="shared" si="32"/>
        <v>0</v>
      </c>
      <c r="F76" s="140">
        <f t="shared" si="25"/>
        <v>120.6014</v>
      </c>
      <c r="G76" s="159">
        <f t="shared" si="7"/>
        <v>0</v>
      </c>
      <c r="H76" s="159">
        <f t="shared" si="26"/>
        <v>120.6014</v>
      </c>
      <c r="I76" s="143">
        <f t="shared" si="27"/>
        <v>12280.840561999999</v>
      </c>
      <c r="J76" s="140">
        <f t="shared" si="8"/>
        <v>34.380800000000001</v>
      </c>
      <c r="K76" s="159">
        <f t="shared" si="9"/>
        <v>0</v>
      </c>
      <c r="L76" s="218">
        <f t="shared" si="10"/>
        <v>0</v>
      </c>
      <c r="M76" s="159">
        <f t="shared" si="28"/>
        <v>34.380800000000001</v>
      </c>
      <c r="N76" s="216">
        <f t="shared" si="36"/>
        <v>0</v>
      </c>
      <c r="O76" s="140">
        <f t="shared" si="11"/>
        <v>9.2532700000000006</v>
      </c>
      <c r="P76" s="159">
        <f t="shared" si="12"/>
        <v>7.8926399999999992</v>
      </c>
      <c r="Q76" s="159">
        <f t="shared" si="13"/>
        <v>0</v>
      </c>
      <c r="R76" s="159">
        <f t="shared" si="35"/>
        <v>17.145910000000001</v>
      </c>
      <c r="S76" s="66">
        <f t="shared" si="33"/>
        <v>0</v>
      </c>
      <c r="T76" s="140">
        <f t="shared" si="14"/>
        <v>14.16865</v>
      </c>
      <c r="U76" s="159">
        <f t="shared" si="15"/>
        <v>11.472399999999999</v>
      </c>
      <c r="V76" s="159">
        <f t="shared" si="16"/>
        <v>25.64105</v>
      </c>
      <c r="W76" s="66">
        <f t="shared" si="17"/>
        <v>0</v>
      </c>
      <c r="X76" s="140">
        <f t="shared" si="18"/>
        <v>0</v>
      </c>
      <c r="Y76" s="159">
        <f t="shared" si="19"/>
        <v>0</v>
      </c>
      <c r="Z76" s="218">
        <f t="shared" si="29"/>
        <v>0</v>
      </c>
      <c r="AA76" s="143">
        <f t="shared" si="30"/>
        <v>0</v>
      </c>
      <c r="AB76" s="140">
        <f t="shared" si="20"/>
        <v>0</v>
      </c>
      <c r="AC76" s="210">
        <f t="shared" si="21"/>
        <v>7.4984000000000002</v>
      </c>
      <c r="AD76" s="217">
        <f t="shared" si="22"/>
        <v>7.4984000000000002</v>
      </c>
      <c r="AE76" s="143">
        <f t="shared" si="31"/>
        <v>0</v>
      </c>
      <c r="AF76" s="4"/>
      <c r="AG76" s="4"/>
    </row>
    <row r="77" spans="1:35" x14ac:dyDescent="0.2">
      <c r="A77" s="331" t="s">
        <v>107</v>
      </c>
      <c r="B77" s="140">
        <f t="shared" si="23"/>
        <v>0</v>
      </c>
      <c r="C77" s="159">
        <f t="shared" si="24"/>
        <v>0</v>
      </c>
      <c r="D77" s="159">
        <f t="shared" si="34"/>
        <v>0</v>
      </c>
      <c r="E77" s="66">
        <f t="shared" si="32"/>
        <v>0</v>
      </c>
      <c r="F77" s="140">
        <f t="shared" si="25"/>
        <v>0</v>
      </c>
      <c r="G77" s="159">
        <f t="shared" si="7"/>
        <v>0</v>
      </c>
      <c r="H77" s="159">
        <f t="shared" si="26"/>
        <v>0</v>
      </c>
      <c r="I77" s="143">
        <f t="shared" si="27"/>
        <v>0</v>
      </c>
      <c r="J77" s="140">
        <f t="shared" si="8"/>
        <v>0</v>
      </c>
      <c r="K77" s="159">
        <f t="shared" si="9"/>
        <v>0</v>
      </c>
      <c r="L77" s="218">
        <f t="shared" si="10"/>
        <v>0</v>
      </c>
      <c r="M77" s="159">
        <f t="shared" si="28"/>
        <v>0</v>
      </c>
      <c r="N77" s="216">
        <f t="shared" si="36"/>
        <v>0</v>
      </c>
      <c r="O77" s="140">
        <f t="shared" si="11"/>
        <v>0</v>
      </c>
      <c r="P77" s="159">
        <f t="shared" si="12"/>
        <v>0</v>
      </c>
      <c r="Q77" s="159">
        <f t="shared" si="13"/>
        <v>0</v>
      </c>
      <c r="R77" s="159">
        <f t="shared" si="35"/>
        <v>0</v>
      </c>
      <c r="S77" s="66">
        <f t="shared" si="33"/>
        <v>0</v>
      </c>
      <c r="T77" s="140">
        <f t="shared" si="14"/>
        <v>0</v>
      </c>
      <c r="U77" s="159">
        <f t="shared" si="15"/>
        <v>0</v>
      </c>
      <c r="V77" s="159">
        <f t="shared" ref="V77:V93" si="37">T77+U77</f>
        <v>0</v>
      </c>
      <c r="W77" s="66">
        <f t="shared" si="17"/>
        <v>0</v>
      </c>
      <c r="X77" s="140">
        <f t="shared" si="18"/>
        <v>0</v>
      </c>
      <c r="Y77" s="159">
        <f t="shared" si="19"/>
        <v>0</v>
      </c>
      <c r="Z77" s="218">
        <f t="shared" si="29"/>
        <v>0</v>
      </c>
      <c r="AA77" s="143">
        <f t="shared" si="30"/>
        <v>0</v>
      </c>
      <c r="AB77" s="140">
        <f t="shared" si="20"/>
        <v>0</v>
      </c>
      <c r="AC77" s="210">
        <f t="shared" si="21"/>
        <v>0</v>
      </c>
      <c r="AD77" s="217">
        <f t="shared" ref="AD77:AD94" si="38">AB77+AC77</f>
        <v>0</v>
      </c>
      <c r="AE77" s="143">
        <f t="shared" si="31"/>
        <v>0</v>
      </c>
      <c r="AF77" s="4"/>
      <c r="AG77" s="4"/>
    </row>
    <row r="78" spans="1:35" x14ac:dyDescent="0.2">
      <c r="A78" s="331" t="s">
        <v>195</v>
      </c>
      <c r="B78" s="140">
        <f t="shared" si="23"/>
        <v>0</v>
      </c>
      <c r="C78" s="159">
        <f t="shared" si="24"/>
        <v>0</v>
      </c>
      <c r="D78" s="159">
        <f t="shared" si="34"/>
        <v>0</v>
      </c>
      <c r="E78" s="66">
        <f t="shared" si="32"/>
        <v>0</v>
      </c>
      <c r="F78" s="140">
        <f t="shared" si="25"/>
        <v>19.037600000000001</v>
      </c>
      <c r="G78" s="159">
        <f t="shared" si="7"/>
        <v>0</v>
      </c>
      <c r="H78" s="159">
        <f t="shared" si="26"/>
        <v>19.037600000000001</v>
      </c>
      <c r="I78" s="143">
        <f t="shared" si="27"/>
        <v>1938.5988080000002</v>
      </c>
      <c r="J78" s="140">
        <f t="shared" si="8"/>
        <v>5.4272</v>
      </c>
      <c r="K78" s="159">
        <f t="shared" si="9"/>
        <v>0</v>
      </c>
      <c r="L78" s="218">
        <f t="shared" si="10"/>
        <v>0</v>
      </c>
      <c r="M78" s="159">
        <f t="shared" si="28"/>
        <v>5.4272</v>
      </c>
      <c r="N78" s="216">
        <f t="shared" si="36"/>
        <v>0</v>
      </c>
      <c r="O78" s="140">
        <f t="shared" si="11"/>
        <v>1.4606800000000002</v>
      </c>
      <c r="P78" s="159">
        <f t="shared" si="12"/>
        <v>0.44225999999999999</v>
      </c>
      <c r="Q78" s="159">
        <f t="shared" si="13"/>
        <v>0</v>
      </c>
      <c r="R78" s="159">
        <f t="shared" si="35"/>
        <v>1.9029400000000001</v>
      </c>
      <c r="S78" s="66">
        <f t="shared" si="33"/>
        <v>0</v>
      </c>
      <c r="T78" s="140">
        <f t="shared" si="14"/>
        <v>2.2366000000000001</v>
      </c>
      <c r="U78" s="159">
        <f t="shared" si="15"/>
        <v>0.64284999999999992</v>
      </c>
      <c r="V78" s="159">
        <f t="shared" si="37"/>
        <v>2.8794500000000003</v>
      </c>
      <c r="W78" s="66">
        <f t="shared" si="17"/>
        <v>0</v>
      </c>
      <c r="X78" s="140">
        <f t="shared" si="18"/>
        <v>0</v>
      </c>
      <c r="Y78" s="159">
        <f t="shared" si="19"/>
        <v>0</v>
      </c>
      <c r="Z78" s="218">
        <f t="shared" si="29"/>
        <v>0</v>
      </c>
      <c r="AA78" s="143">
        <f t="shared" si="30"/>
        <v>0</v>
      </c>
      <c r="AB78" s="140">
        <f t="shared" si="20"/>
        <v>0</v>
      </c>
      <c r="AC78" s="210">
        <f t="shared" si="21"/>
        <v>0.89179999999999993</v>
      </c>
      <c r="AD78" s="217">
        <f t="shared" si="38"/>
        <v>0.89179999999999993</v>
      </c>
      <c r="AE78" s="143">
        <f t="shared" si="31"/>
        <v>0</v>
      </c>
      <c r="AF78" s="4"/>
      <c r="AG78" s="4"/>
    </row>
    <row r="79" spans="1:35" x14ac:dyDescent="0.2">
      <c r="A79" s="331" t="s">
        <v>196</v>
      </c>
      <c r="B79" s="140">
        <f t="shared" si="23"/>
        <v>0</v>
      </c>
      <c r="C79" s="159">
        <f t="shared" si="24"/>
        <v>0</v>
      </c>
      <c r="D79" s="159">
        <f t="shared" si="34"/>
        <v>0</v>
      </c>
      <c r="E79" s="66">
        <f t="shared" si="32"/>
        <v>0</v>
      </c>
      <c r="F79" s="140">
        <f t="shared" si="25"/>
        <v>30.262599999999999</v>
      </c>
      <c r="G79" s="159">
        <f t="shared" si="7"/>
        <v>0</v>
      </c>
      <c r="H79" s="159">
        <f t="shared" si="26"/>
        <v>30.262599999999999</v>
      </c>
      <c r="I79" s="143">
        <f t="shared" si="27"/>
        <v>3081.6405580000001</v>
      </c>
      <c r="J79" s="140">
        <f t="shared" si="8"/>
        <v>8.6272000000000002</v>
      </c>
      <c r="K79" s="159">
        <f t="shared" si="9"/>
        <v>0</v>
      </c>
      <c r="L79" s="218">
        <f t="shared" si="10"/>
        <v>0</v>
      </c>
      <c r="M79" s="159">
        <f t="shared" si="28"/>
        <v>8.6272000000000002</v>
      </c>
      <c r="N79" s="216">
        <f t="shared" si="36"/>
        <v>0</v>
      </c>
      <c r="O79" s="140">
        <f t="shared" si="11"/>
        <v>2.32193</v>
      </c>
      <c r="P79" s="159">
        <f t="shared" si="12"/>
        <v>0</v>
      </c>
      <c r="Q79" s="159">
        <f t="shared" si="13"/>
        <v>0</v>
      </c>
      <c r="R79" s="159">
        <f t="shared" si="35"/>
        <v>2.32193</v>
      </c>
      <c r="S79" s="66">
        <f t="shared" si="33"/>
        <v>0</v>
      </c>
      <c r="T79" s="140">
        <f t="shared" si="14"/>
        <v>3.5553500000000002</v>
      </c>
      <c r="U79" s="159">
        <f t="shared" si="15"/>
        <v>0</v>
      </c>
      <c r="V79" s="159">
        <f t="shared" si="37"/>
        <v>3.5553500000000002</v>
      </c>
      <c r="W79" s="66">
        <f t="shared" si="17"/>
        <v>0</v>
      </c>
      <c r="X79" s="140">
        <f t="shared" si="18"/>
        <v>0</v>
      </c>
      <c r="Y79" s="159">
        <f t="shared" si="19"/>
        <v>0</v>
      </c>
      <c r="Z79" s="218">
        <f t="shared" si="29"/>
        <v>0</v>
      </c>
      <c r="AA79" s="143">
        <f t="shared" si="30"/>
        <v>0</v>
      </c>
      <c r="AB79" s="140">
        <f t="shared" si="20"/>
        <v>0</v>
      </c>
      <c r="AC79" s="210">
        <f t="shared" si="21"/>
        <v>0</v>
      </c>
      <c r="AD79" s="217">
        <f t="shared" si="38"/>
        <v>0</v>
      </c>
      <c r="AE79" s="143">
        <f t="shared" si="31"/>
        <v>0</v>
      </c>
      <c r="AF79" s="4"/>
      <c r="AG79" s="4"/>
    </row>
    <row r="80" spans="1:35" x14ac:dyDescent="0.2">
      <c r="A80" s="331" t="s">
        <v>197</v>
      </c>
      <c r="B80" s="140">
        <f t="shared" si="23"/>
        <v>0</v>
      </c>
      <c r="C80" s="159">
        <f t="shared" si="24"/>
        <v>0</v>
      </c>
      <c r="D80" s="159">
        <f t="shared" si="34"/>
        <v>0</v>
      </c>
      <c r="E80" s="66">
        <f t="shared" si="32"/>
        <v>0</v>
      </c>
      <c r="F80" s="140">
        <f t="shared" ref="F80:F94" si="39">B48*$D$13</f>
        <v>15.894600000000001</v>
      </c>
      <c r="G80" s="159">
        <f t="shared" si="7"/>
        <v>0</v>
      </c>
      <c r="H80" s="159">
        <f t="shared" si="26"/>
        <v>15.894600000000001</v>
      </c>
      <c r="I80" s="143">
        <f t="shared" si="27"/>
        <v>1618.547118</v>
      </c>
      <c r="J80" s="140">
        <f t="shared" si="8"/>
        <v>4.5312000000000001</v>
      </c>
      <c r="K80" s="159">
        <f t="shared" si="9"/>
        <v>0</v>
      </c>
      <c r="L80" s="218">
        <f t="shared" si="10"/>
        <v>0</v>
      </c>
      <c r="M80" s="159">
        <f t="shared" si="28"/>
        <v>4.5312000000000001</v>
      </c>
      <c r="N80" s="216">
        <f t="shared" si="36"/>
        <v>0</v>
      </c>
      <c r="O80" s="140">
        <f t="shared" si="11"/>
        <v>1.2195300000000002</v>
      </c>
      <c r="P80" s="159">
        <f t="shared" si="12"/>
        <v>0</v>
      </c>
      <c r="Q80" s="159">
        <f t="shared" si="13"/>
        <v>0</v>
      </c>
      <c r="R80" s="159">
        <f t="shared" si="35"/>
        <v>1.2195300000000002</v>
      </c>
      <c r="S80" s="66">
        <f t="shared" si="33"/>
        <v>0</v>
      </c>
      <c r="T80" s="140">
        <f t="shared" si="14"/>
        <v>1.8673500000000001</v>
      </c>
      <c r="U80" s="159">
        <f t="shared" si="15"/>
        <v>0</v>
      </c>
      <c r="V80" s="159">
        <f t="shared" si="37"/>
        <v>1.8673500000000001</v>
      </c>
      <c r="W80" s="66">
        <f t="shared" si="17"/>
        <v>0</v>
      </c>
      <c r="X80" s="140">
        <f t="shared" si="18"/>
        <v>0</v>
      </c>
      <c r="Y80" s="159">
        <f t="shared" si="19"/>
        <v>0</v>
      </c>
      <c r="Z80" s="218">
        <f t="shared" si="29"/>
        <v>0</v>
      </c>
      <c r="AA80" s="143">
        <f t="shared" si="30"/>
        <v>0</v>
      </c>
      <c r="AB80" s="140">
        <f t="shared" si="20"/>
        <v>0</v>
      </c>
      <c r="AC80" s="210">
        <f t="shared" si="21"/>
        <v>0</v>
      </c>
      <c r="AD80" s="217">
        <f t="shared" si="38"/>
        <v>0</v>
      </c>
      <c r="AE80" s="143">
        <f t="shared" si="31"/>
        <v>0</v>
      </c>
      <c r="AF80" s="4"/>
      <c r="AG80" s="4"/>
    </row>
    <row r="81" spans="1:33" x14ac:dyDescent="0.2">
      <c r="A81" s="331" t="s">
        <v>198</v>
      </c>
      <c r="B81" s="140">
        <f t="shared" si="23"/>
        <v>0</v>
      </c>
      <c r="C81" s="159">
        <f t="shared" si="24"/>
        <v>0</v>
      </c>
      <c r="D81" s="159">
        <f t="shared" si="34"/>
        <v>0</v>
      </c>
      <c r="E81" s="66">
        <f t="shared" si="32"/>
        <v>0</v>
      </c>
      <c r="F81" s="140">
        <f t="shared" si="39"/>
        <v>23.5276</v>
      </c>
      <c r="G81" s="159">
        <f t="shared" si="7"/>
        <v>1.8800000000000001</v>
      </c>
      <c r="H81" s="159">
        <f t="shared" si="26"/>
        <v>25.407599999999999</v>
      </c>
      <c r="I81" s="143">
        <f t="shared" si="27"/>
        <v>2587.2559079999996</v>
      </c>
      <c r="J81" s="140">
        <f t="shared" si="8"/>
        <v>6.7072000000000003</v>
      </c>
      <c r="K81" s="159">
        <f t="shared" si="9"/>
        <v>39.9345</v>
      </c>
      <c r="L81" s="218">
        <f t="shared" si="10"/>
        <v>0</v>
      </c>
      <c r="M81" s="159">
        <f t="shared" si="28"/>
        <v>46.6417</v>
      </c>
      <c r="N81" s="216">
        <f t="shared" si="36"/>
        <v>0</v>
      </c>
      <c r="O81" s="140">
        <f t="shared" si="11"/>
        <v>1.8051800000000002</v>
      </c>
      <c r="P81" s="159">
        <f t="shared" si="12"/>
        <v>0</v>
      </c>
      <c r="Q81" s="159">
        <f t="shared" si="13"/>
        <v>0</v>
      </c>
      <c r="R81" s="159">
        <f t="shared" si="35"/>
        <v>1.8051800000000002</v>
      </c>
      <c r="S81" s="66">
        <f t="shared" si="33"/>
        <v>0</v>
      </c>
      <c r="T81" s="140">
        <f t="shared" si="14"/>
        <v>2.7641</v>
      </c>
      <c r="U81" s="159">
        <f t="shared" si="15"/>
        <v>0</v>
      </c>
      <c r="V81" s="159">
        <f t="shared" si="37"/>
        <v>2.7641</v>
      </c>
      <c r="W81" s="66">
        <f t="shared" si="17"/>
        <v>0</v>
      </c>
      <c r="X81" s="140">
        <f t="shared" si="18"/>
        <v>0</v>
      </c>
      <c r="Y81" s="159">
        <f t="shared" si="19"/>
        <v>6.58</v>
      </c>
      <c r="Z81" s="218">
        <f t="shared" si="29"/>
        <v>6.58</v>
      </c>
      <c r="AA81" s="143">
        <f t="shared" si="30"/>
        <v>0</v>
      </c>
      <c r="AB81" s="140">
        <f t="shared" si="20"/>
        <v>20.894000000000002</v>
      </c>
      <c r="AC81" s="210">
        <f t="shared" si="21"/>
        <v>0</v>
      </c>
      <c r="AD81" s="217">
        <f t="shared" si="38"/>
        <v>20.894000000000002</v>
      </c>
      <c r="AE81" s="143">
        <f t="shared" si="31"/>
        <v>0</v>
      </c>
      <c r="AF81" s="4"/>
      <c r="AG81" s="4"/>
    </row>
    <row r="82" spans="1:33" x14ac:dyDescent="0.2">
      <c r="A82" s="331" t="s">
        <v>199</v>
      </c>
      <c r="B82" s="140">
        <f t="shared" si="23"/>
        <v>0</v>
      </c>
      <c r="C82" s="159">
        <f t="shared" si="24"/>
        <v>0</v>
      </c>
      <c r="D82" s="159">
        <f>B82+C82</f>
        <v>0</v>
      </c>
      <c r="E82" s="66">
        <f>D82*$E$69</f>
        <v>0</v>
      </c>
      <c r="F82" s="140">
        <f t="shared" si="39"/>
        <v>111.26219999999999</v>
      </c>
      <c r="G82" s="159">
        <f t="shared" si="7"/>
        <v>17.555</v>
      </c>
      <c r="H82" s="159">
        <f t="shared" si="26"/>
        <v>128.81719999999999</v>
      </c>
      <c r="I82" s="143">
        <f t="shared" si="27"/>
        <v>13117.455475999999</v>
      </c>
      <c r="J82" s="140">
        <f t="shared" si="8"/>
        <v>31.718399999999999</v>
      </c>
      <c r="K82" s="159">
        <f t="shared" si="9"/>
        <v>0</v>
      </c>
      <c r="L82" s="218">
        <f t="shared" si="10"/>
        <v>535.0761</v>
      </c>
      <c r="M82" s="159">
        <f t="shared" si="28"/>
        <v>566.79449999999997</v>
      </c>
      <c r="N82" s="216">
        <f t="shared" si="36"/>
        <v>0</v>
      </c>
      <c r="O82" s="140">
        <f t="shared" si="11"/>
        <v>8.5367100000000011</v>
      </c>
      <c r="P82" s="159">
        <f t="shared" si="12"/>
        <v>0</v>
      </c>
      <c r="Q82" s="159">
        <f t="shared" si="13"/>
        <v>0</v>
      </c>
      <c r="R82" s="159">
        <f>O82+P82+Q82</f>
        <v>8.5367100000000011</v>
      </c>
      <c r="S82" s="66">
        <f t="shared" si="33"/>
        <v>0</v>
      </c>
      <c r="T82" s="140">
        <f t="shared" si="14"/>
        <v>13.07145</v>
      </c>
      <c r="U82" s="159">
        <f t="shared" si="15"/>
        <v>0</v>
      </c>
      <c r="V82" s="159">
        <f>T82+U82</f>
        <v>13.07145</v>
      </c>
      <c r="W82" s="66">
        <f t="shared" si="17"/>
        <v>0</v>
      </c>
      <c r="X82" s="140">
        <f t="shared" si="18"/>
        <v>305.8965</v>
      </c>
      <c r="Y82" s="159">
        <f t="shared" si="19"/>
        <v>61.442500000000003</v>
      </c>
      <c r="Z82" s="218">
        <f t="shared" si="29"/>
        <v>367.339</v>
      </c>
      <c r="AA82" s="143">
        <f t="shared" si="30"/>
        <v>0</v>
      </c>
      <c r="AB82" s="140">
        <f t="shared" si="20"/>
        <v>0</v>
      </c>
      <c r="AC82" s="210">
        <f t="shared" si="21"/>
        <v>34.1432</v>
      </c>
      <c r="AD82" s="217">
        <f t="shared" si="38"/>
        <v>34.1432</v>
      </c>
      <c r="AE82" s="143">
        <f t="shared" si="31"/>
        <v>0</v>
      </c>
      <c r="AF82" s="4"/>
      <c r="AG82" s="4"/>
    </row>
    <row r="83" spans="1:33" x14ac:dyDescent="0.2">
      <c r="A83" s="331" t="s">
        <v>121</v>
      </c>
      <c r="B83" s="140">
        <f t="shared" si="23"/>
        <v>0</v>
      </c>
      <c r="C83" s="159">
        <f t="shared" si="24"/>
        <v>0</v>
      </c>
      <c r="D83" s="159">
        <f t="shared" si="34"/>
        <v>0</v>
      </c>
      <c r="E83" s="66">
        <f t="shared" si="32"/>
        <v>0</v>
      </c>
      <c r="F83" s="140">
        <f t="shared" si="39"/>
        <v>16.343600000000002</v>
      </c>
      <c r="G83" s="159">
        <f t="shared" si="7"/>
        <v>0</v>
      </c>
      <c r="H83" s="159">
        <f t="shared" si="26"/>
        <v>16.343600000000002</v>
      </c>
      <c r="I83" s="143">
        <f t="shared" si="27"/>
        <v>1664.2687880000001</v>
      </c>
      <c r="J83" s="140">
        <f t="shared" si="8"/>
        <v>4.6592000000000002</v>
      </c>
      <c r="K83" s="159">
        <f t="shared" si="9"/>
        <v>0</v>
      </c>
      <c r="L83" s="218">
        <f t="shared" si="10"/>
        <v>0</v>
      </c>
      <c r="M83" s="159">
        <f t="shared" si="28"/>
        <v>4.6592000000000002</v>
      </c>
      <c r="N83" s="216">
        <f t="shared" si="36"/>
        <v>0</v>
      </c>
      <c r="O83" s="140">
        <f t="shared" si="11"/>
        <v>1.2539800000000001</v>
      </c>
      <c r="P83" s="159">
        <f t="shared" si="12"/>
        <v>0</v>
      </c>
      <c r="Q83" s="159">
        <f t="shared" si="13"/>
        <v>0</v>
      </c>
      <c r="R83" s="159">
        <f t="shared" si="35"/>
        <v>1.2539800000000001</v>
      </c>
      <c r="S83" s="66">
        <f t="shared" si="33"/>
        <v>0</v>
      </c>
      <c r="T83" s="140">
        <f t="shared" si="14"/>
        <v>1.9201000000000001</v>
      </c>
      <c r="U83" s="159">
        <f t="shared" si="15"/>
        <v>0</v>
      </c>
      <c r="V83" s="159">
        <f t="shared" si="37"/>
        <v>1.9201000000000001</v>
      </c>
      <c r="W83" s="66">
        <f t="shared" si="17"/>
        <v>0</v>
      </c>
      <c r="X83" s="140">
        <f t="shared" si="18"/>
        <v>0</v>
      </c>
      <c r="Y83" s="159">
        <f t="shared" si="19"/>
        <v>0</v>
      </c>
      <c r="Z83" s="218">
        <f t="shared" si="29"/>
        <v>0</v>
      </c>
      <c r="AA83" s="143">
        <f t="shared" si="30"/>
        <v>0</v>
      </c>
      <c r="AB83" s="140">
        <f t="shared" si="20"/>
        <v>0</v>
      </c>
      <c r="AC83" s="210">
        <f t="shared" si="21"/>
        <v>0</v>
      </c>
      <c r="AD83" s="217">
        <f t="shared" si="38"/>
        <v>0</v>
      </c>
      <c r="AE83" s="143">
        <f t="shared" si="31"/>
        <v>0</v>
      </c>
      <c r="AF83" s="4"/>
      <c r="AG83" s="4"/>
    </row>
    <row r="84" spans="1:33" x14ac:dyDescent="0.2">
      <c r="A84" s="331" t="s">
        <v>200</v>
      </c>
      <c r="B84" s="140">
        <f t="shared" si="23"/>
        <v>0</v>
      </c>
      <c r="C84" s="159">
        <f t="shared" si="24"/>
        <v>0</v>
      </c>
      <c r="D84" s="159">
        <f t="shared" si="34"/>
        <v>0</v>
      </c>
      <c r="E84" s="66">
        <f t="shared" si="32"/>
        <v>0</v>
      </c>
      <c r="F84" s="140">
        <f t="shared" si="39"/>
        <v>1.796</v>
      </c>
      <c r="G84" s="159">
        <f t="shared" si="7"/>
        <v>0.16999999999999998</v>
      </c>
      <c r="H84" s="159">
        <f t="shared" si="26"/>
        <v>1.966</v>
      </c>
      <c r="I84" s="143">
        <f t="shared" si="27"/>
        <v>200.19777999999999</v>
      </c>
      <c r="J84" s="140">
        <f t="shared" si="8"/>
        <v>0.51200000000000001</v>
      </c>
      <c r="K84" s="159">
        <f t="shared" si="9"/>
        <v>0</v>
      </c>
      <c r="L84" s="218">
        <f t="shared" si="10"/>
        <v>0</v>
      </c>
      <c r="M84" s="159">
        <f t="shared" si="28"/>
        <v>0.51200000000000001</v>
      </c>
      <c r="N84" s="216">
        <f t="shared" si="36"/>
        <v>0</v>
      </c>
      <c r="O84" s="140">
        <f t="shared" si="11"/>
        <v>0.13780000000000001</v>
      </c>
      <c r="P84" s="159">
        <f t="shared" si="12"/>
        <v>54.6021</v>
      </c>
      <c r="Q84" s="159">
        <f t="shared" si="13"/>
        <v>0.71337000000000006</v>
      </c>
      <c r="R84" s="159">
        <f t="shared" si="35"/>
        <v>55.453269999999996</v>
      </c>
      <c r="S84" s="66">
        <f t="shared" si="33"/>
        <v>0</v>
      </c>
      <c r="T84" s="140">
        <f t="shared" si="14"/>
        <v>0.21099999999999999</v>
      </c>
      <c r="U84" s="159">
        <f t="shared" si="15"/>
        <v>79.367249999999999</v>
      </c>
      <c r="V84" s="159">
        <f t="shared" si="37"/>
        <v>79.578249999999997</v>
      </c>
      <c r="W84" s="66">
        <f t="shared" si="17"/>
        <v>0</v>
      </c>
      <c r="X84" s="140">
        <f t="shared" si="18"/>
        <v>0</v>
      </c>
      <c r="Y84" s="159">
        <f t="shared" si="19"/>
        <v>0.59499999999999997</v>
      </c>
      <c r="Z84" s="218">
        <f t="shared" si="29"/>
        <v>0.59499999999999997</v>
      </c>
      <c r="AA84" s="143">
        <f t="shared" si="30"/>
        <v>0</v>
      </c>
      <c r="AB84" s="140">
        <f t="shared" si="20"/>
        <v>0</v>
      </c>
      <c r="AC84" s="210">
        <f t="shared" si="21"/>
        <v>0</v>
      </c>
      <c r="AD84" s="217">
        <f t="shared" si="38"/>
        <v>0</v>
      </c>
      <c r="AE84" s="143">
        <f t="shared" si="31"/>
        <v>0</v>
      </c>
      <c r="AF84" s="4"/>
      <c r="AG84" s="4"/>
    </row>
    <row r="85" spans="1:33" x14ac:dyDescent="0.2">
      <c r="A85" s="331" t="s">
        <v>12</v>
      </c>
      <c r="B85" s="140">
        <f t="shared" si="23"/>
        <v>0</v>
      </c>
      <c r="C85" s="159">
        <f t="shared" si="24"/>
        <v>0</v>
      </c>
      <c r="D85" s="159">
        <f t="shared" si="34"/>
        <v>0</v>
      </c>
      <c r="E85" s="66">
        <f t="shared" si="32"/>
        <v>0</v>
      </c>
      <c r="F85" s="140">
        <f t="shared" si="39"/>
        <v>33.944400000000002</v>
      </c>
      <c r="G85" s="159">
        <f t="shared" si="7"/>
        <v>1.6549999999999998</v>
      </c>
      <c r="H85" s="159">
        <f t="shared" si="26"/>
        <v>35.599400000000003</v>
      </c>
      <c r="I85" s="143">
        <f t="shared" si="27"/>
        <v>3625.086902</v>
      </c>
      <c r="J85" s="140">
        <f t="shared" si="8"/>
        <v>9.6768000000000001</v>
      </c>
      <c r="K85" s="159">
        <f t="shared" si="9"/>
        <v>22.846799999999998</v>
      </c>
      <c r="L85" s="218">
        <f t="shared" si="10"/>
        <v>0</v>
      </c>
      <c r="M85" s="159">
        <f t="shared" si="28"/>
        <v>32.523600000000002</v>
      </c>
      <c r="N85" s="216">
        <f t="shared" si="36"/>
        <v>0</v>
      </c>
      <c r="O85" s="140">
        <f t="shared" si="11"/>
        <v>2.6044200000000002</v>
      </c>
      <c r="P85" s="159">
        <f t="shared" si="12"/>
        <v>3.98034</v>
      </c>
      <c r="Q85" s="159">
        <f t="shared" si="13"/>
        <v>11.576460000000001</v>
      </c>
      <c r="R85" s="159">
        <f t="shared" si="35"/>
        <v>18.16122</v>
      </c>
      <c r="S85" s="66">
        <f t="shared" si="33"/>
        <v>0</v>
      </c>
      <c r="T85" s="140">
        <f t="shared" si="14"/>
        <v>3.9879000000000002</v>
      </c>
      <c r="U85" s="159">
        <f t="shared" si="15"/>
        <v>5.7856500000000004</v>
      </c>
      <c r="V85" s="159">
        <f t="shared" si="37"/>
        <v>9.7735500000000002</v>
      </c>
      <c r="W85" s="66">
        <f t="shared" si="17"/>
        <v>0</v>
      </c>
      <c r="X85" s="140">
        <f t="shared" si="18"/>
        <v>0</v>
      </c>
      <c r="Y85" s="159">
        <f t="shared" si="19"/>
        <v>5.7924999999999995</v>
      </c>
      <c r="Z85" s="218">
        <f t="shared" si="29"/>
        <v>5.7924999999999995</v>
      </c>
      <c r="AA85" s="143">
        <f t="shared" si="30"/>
        <v>0</v>
      </c>
      <c r="AB85" s="140">
        <f t="shared" si="20"/>
        <v>11.9536</v>
      </c>
      <c r="AC85" s="210">
        <f t="shared" si="21"/>
        <v>0</v>
      </c>
      <c r="AD85" s="217">
        <f t="shared" si="38"/>
        <v>11.9536</v>
      </c>
      <c r="AE85" s="143">
        <f t="shared" si="31"/>
        <v>0</v>
      </c>
      <c r="AF85" s="4"/>
      <c r="AG85" s="4"/>
    </row>
    <row r="86" spans="1:33" x14ac:dyDescent="0.2">
      <c r="A86" s="331" t="s">
        <v>201</v>
      </c>
      <c r="B86" s="140">
        <f t="shared" si="23"/>
        <v>0</v>
      </c>
      <c r="C86" s="159">
        <f t="shared" si="24"/>
        <v>0</v>
      </c>
      <c r="D86" s="159">
        <f t="shared" si="34"/>
        <v>0</v>
      </c>
      <c r="E86" s="66">
        <f t="shared" si="32"/>
        <v>0</v>
      </c>
      <c r="F86" s="140">
        <f t="shared" si="39"/>
        <v>16.7926</v>
      </c>
      <c r="G86" s="159">
        <f t="shared" si="7"/>
        <v>1.2550000000000001</v>
      </c>
      <c r="H86" s="159">
        <f t="shared" si="26"/>
        <v>18.047599999999999</v>
      </c>
      <c r="I86" s="143">
        <f t="shared" si="27"/>
        <v>1837.787108</v>
      </c>
      <c r="J86" s="140">
        <f t="shared" si="8"/>
        <v>4.7872000000000003</v>
      </c>
      <c r="K86" s="159">
        <f t="shared" si="9"/>
        <v>3.5076000000000001</v>
      </c>
      <c r="L86" s="218">
        <f t="shared" si="10"/>
        <v>0.99180000000000001</v>
      </c>
      <c r="M86" s="159">
        <f t="shared" si="28"/>
        <v>9.2866</v>
      </c>
      <c r="N86" s="216">
        <f t="shared" si="36"/>
        <v>0</v>
      </c>
      <c r="O86" s="140">
        <f t="shared" si="11"/>
        <v>1.2884300000000002</v>
      </c>
      <c r="P86" s="159">
        <f t="shared" si="12"/>
        <v>0</v>
      </c>
      <c r="Q86" s="159">
        <f t="shared" si="13"/>
        <v>0</v>
      </c>
      <c r="R86" s="159">
        <f t="shared" si="35"/>
        <v>1.2884300000000002</v>
      </c>
      <c r="S86" s="66">
        <f t="shared" si="33"/>
        <v>0</v>
      </c>
      <c r="T86" s="140">
        <f t="shared" si="14"/>
        <v>1.9728500000000002</v>
      </c>
      <c r="U86" s="159">
        <f t="shared" si="15"/>
        <v>0</v>
      </c>
      <c r="V86" s="159">
        <f t="shared" si="37"/>
        <v>1.9728500000000002</v>
      </c>
      <c r="W86" s="66">
        <f t="shared" si="17"/>
        <v>0</v>
      </c>
      <c r="X86" s="140">
        <f t="shared" si="18"/>
        <v>0.56699999999999995</v>
      </c>
      <c r="Y86" s="159">
        <f t="shared" si="19"/>
        <v>4.3925000000000001</v>
      </c>
      <c r="Z86" s="218">
        <f t="shared" si="29"/>
        <v>4.9595000000000002</v>
      </c>
      <c r="AA86" s="143">
        <f t="shared" si="30"/>
        <v>0</v>
      </c>
      <c r="AB86" s="140">
        <f t="shared" si="20"/>
        <v>1.8352000000000002</v>
      </c>
      <c r="AC86" s="210">
        <f t="shared" si="21"/>
        <v>0</v>
      </c>
      <c r="AD86" s="217">
        <f t="shared" si="38"/>
        <v>1.8352000000000002</v>
      </c>
      <c r="AE86" s="143">
        <f t="shared" si="31"/>
        <v>0</v>
      </c>
      <c r="AF86" s="4"/>
      <c r="AG86" s="4"/>
    </row>
    <row r="87" spans="1:33" x14ac:dyDescent="0.2">
      <c r="A87" s="331" t="s">
        <v>108</v>
      </c>
      <c r="B87" s="140">
        <f t="shared" si="23"/>
        <v>0</v>
      </c>
      <c r="C87" s="159">
        <f t="shared" si="24"/>
        <v>0</v>
      </c>
      <c r="D87" s="159">
        <f t="shared" si="34"/>
        <v>0</v>
      </c>
      <c r="E87" s="66">
        <f t="shared" si="32"/>
        <v>0</v>
      </c>
      <c r="F87" s="140">
        <f t="shared" si="39"/>
        <v>3.7715999999999998</v>
      </c>
      <c r="G87" s="159">
        <f t="shared" si="7"/>
        <v>0.315</v>
      </c>
      <c r="H87" s="159">
        <f t="shared" si="26"/>
        <v>4.0865999999999998</v>
      </c>
      <c r="I87" s="143">
        <f t="shared" si="27"/>
        <v>416.13847799999996</v>
      </c>
      <c r="J87" s="140">
        <f t="shared" si="8"/>
        <v>1.0751999999999999</v>
      </c>
      <c r="K87" s="159">
        <f t="shared" si="9"/>
        <v>2.2515000000000001</v>
      </c>
      <c r="L87" s="218">
        <f t="shared" si="10"/>
        <v>0</v>
      </c>
      <c r="M87" s="159">
        <f t="shared" si="28"/>
        <v>3.3266999999999998</v>
      </c>
      <c r="N87" s="216">
        <f t="shared" si="36"/>
        <v>0</v>
      </c>
      <c r="O87" s="140">
        <f t="shared" si="11"/>
        <v>0.28938000000000003</v>
      </c>
      <c r="P87" s="159">
        <f t="shared" si="12"/>
        <v>0.23813999999999999</v>
      </c>
      <c r="Q87" s="159">
        <f t="shared" si="13"/>
        <v>1.0655399999999999</v>
      </c>
      <c r="R87" s="159">
        <f t="shared" si="35"/>
        <v>1.5930599999999999</v>
      </c>
      <c r="S87" s="66">
        <f t="shared" si="33"/>
        <v>0</v>
      </c>
      <c r="T87" s="140">
        <f t="shared" si="14"/>
        <v>0.44309999999999999</v>
      </c>
      <c r="U87" s="159">
        <f t="shared" si="15"/>
        <v>0.34615000000000001</v>
      </c>
      <c r="V87" s="159">
        <f t="shared" si="37"/>
        <v>0.78925000000000001</v>
      </c>
      <c r="W87" s="66">
        <f t="shared" si="17"/>
        <v>0</v>
      </c>
      <c r="X87" s="140">
        <f t="shared" si="18"/>
        <v>0</v>
      </c>
      <c r="Y87" s="159">
        <f t="shared" si="19"/>
        <v>1.1025</v>
      </c>
      <c r="Z87" s="218">
        <f t="shared" si="29"/>
        <v>1.1025</v>
      </c>
      <c r="AA87" s="143">
        <f t="shared" si="30"/>
        <v>0</v>
      </c>
      <c r="AB87" s="140">
        <f t="shared" si="20"/>
        <v>1.1779999999999999</v>
      </c>
      <c r="AC87" s="210">
        <f t="shared" si="21"/>
        <v>9.4822000000000006</v>
      </c>
      <c r="AD87" s="217">
        <f t="shared" si="38"/>
        <v>10.6602</v>
      </c>
      <c r="AE87" s="143">
        <f t="shared" si="31"/>
        <v>0</v>
      </c>
      <c r="AF87" s="4"/>
      <c r="AG87" s="4"/>
    </row>
    <row r="88" spans="1:33" x14ac:dyDescent="0.2">
      <c r="A88" s="331" t="s">
        <v>9</v>
      </c>
      <c r="B88" s="140">
        <f t="shared" si="23"/>
        <v>0</v>
      </c>
      <c r="C88" s="159">
        <f t="shared" si="24"/>
        <v>0</v>
      </c>
      <c r="D88" s="159">
        <f t="shared" si="34"/>
        <v>0</v>
      </c>
      <c r="E88" s="66">
        <f t="shared" si="32"/>
        <v>0</v>
      </c>
      <c r="F88" s="140">
        <f t="shared" si="39"/>
        <v>47.594000000000001</v>
      </c>
      <c r="G88" s="159">
        <f t="shared" si="7"/>
        <v>3.1300000000000003</v>
      </c>
      <c r="H88" s="159">
        <f t="shared" si="26"/>
        <v>50.724000000000004</v>
      </c>
      <c r="I88" s="143">
        <f t="shared" si="27"/>
        <v>5165.2249200000006</v>
      </c>
      <c r="J88" s="140">
        <f t="shared" si="8"/>
        <v>13.568</v>
      </c>
      <c r="K88" s="159">
        <f t="shared" si="9"/>
        <v>72.972300000000004</v>
      </c>
      <c r="L88" s="218">
        <f t="shared" si="10"/>
        <v>0</v>
      </c>
      <c r="M88" s="159">
        <f t="shared" si="28"/>
        <v>86.540300000000002</v>
      </c>
      <c r="N88" s="216">
        <f t="shared" si="36"/>
        <v>0</v>
      </c>
      <c r="O88" s="140">
        <f t="shared" si="11"/>
        <v>3.6517000000000004</v>
      </c>
      <c r="P88" s="159">
        <f t="shared" si="12"/>
        <v>0</v>
      </c>
      <c r="Q88" s="159">
        <f t="shared" si="13"/>
        <v>46.125239999999998</v>
      </c>
      <c r="R88" s="159">
        <f t="shared" si="35"/>
        <v>49.776939999999996</v>
      </c>
      <c r="S88" s="66">
        <f t="shared" si="33"/>
        <v>0</v>
      </c>
      <c r="T88" s="140">
        <f t="shared" si="14"/>
        <v>5.5914999999999999</v>
      </c>
      <c r="U88" s="159">
        <f t="shared" si="15"/>
        <v>0</v>
      </c>
      <c r="V88" s="159">
        <f t="shared" si="37"/>
        <v>5.5914999999999999</v>
      </c>
      <c r="W88" s="66">
        <f t="shared" si="17"/>
        <v>0</v>
      </c>
      <c r="X88" s="140">
        <f t="shared" si="18"/>
        <v>0</v>
      </c>
      <c r="Y88" s="159">
        <f t="shared" si="19"/>
        <v>10.955</v>
      </c>
      <c r="Z88" s="218">
        <f t="shared" si="29"/>
        <v>10.955</v>
      </c>
      <c r="AA88" s="143">
        <f t="shared" si="30"/>
        <v>0</v>
      </c>
      <c r="AB88" s="140">
        <f t="shared" si="20"/>
        <v>38.179600000000001</v>
      </c>
      <c r="AC88" s="210">
        <f t="shared" si="21"/>
        <v>0</v>
      </c>
      <c r="AD88" s="217">
        <f t="shared" si="38"/>
        <v>38.179600000000001</v>
      </c>
      <c r="AE88" s="143">
        <f t="shared" si="31"/>
        <v>0</v>
      </c>
      <c r="AF88" s="4"/>
      <c r="AG88" s="4"/>
    </row>
    <row r="89" spans="1:33" x14ac:dyDescent="0.2">
      <c r="A89" s="331" t="s">
        <v>202</v>
      </c>
      <c r="B89" s="140">
        <f t="shared" si="23"/>
        <v>0</v>
      </c>
      <c r="C89" s="159">
        <f t="shared" si="24"/>
        <v>0</v>
      </c>
      <c r="D89" s="159">
        <f t="shared" si="34"/>
        <v>0</v>
      </c>
      <c r="E89" s="66">
        <f t="shared" si="32"/>
        <v>0</v>
      </c>
      <c r="F89" s="140">
        <f t="shared" si="39"/>
        <v>16.523199999999999</v>
      </c>
      <c r="G89" s="159">
        <f t="shared" si="7"/>
        <v>0</v>
      </c>
      <c r="H89" s="159">
        <f t="shared" si="26"/>
        <v>16.523199999999999</v>
      </c>
      <c r="I89" s="143">
        <f t="shared" si="27"/>
        <v>1682.557456</v>
      </c>
      <c r="J89" s="140">
        <f t="shared" si="8"/>
        <v>4.7103999999999999</v>
      </c>
      <c r="K89" s="159">
        <f t="shared" si="9"/>
        <v>0</v>
      </c>
      <c r="L89" s="218">
        <f t="shared" si="10"/>
        <v>0</v>
      </c>
      <c r="M89" s="159">
        <f t="shared" si="28"/>
        <v>4.7103999999999999</v>
      </c>
      <c r="N89" s="216">
        <f t="shared" si="36"/>
        <v>0</v>
      </c>
      <c r="O89" s="140">
        <f t="shared" si="11"/>
        <v>1.26776</v>
      </c>
      <c r="P89" s="159">
        <f t="shared" si="12"/>
        <v>10.10394</v>
      </c>
      <c r="Q89" s="159">
        <f t="shared" si="13"/>
        <v>0</v>
      </c>
      <c r="R89" s="159">
        <f t="shared" si="35"/>
        <v>11.371700000000001</v>
      </c>
      <c r="S89" s="66">
        <f t="shared" si="33"/>
        <v>0</v>
      </c>
      <c r="T89" s="140">
        <f t="shared" si="14"/>
        <v>1.9412</v>
      </c>
      <c r="U89" s="159">
        <f t="shared" si="15"/>
        <v>14.68665</v>
      </c>
      <c r="V89" s="159">
        <f t="shared" si="37"/>
        <v>16.627849999999999</v>
      </c>
      <c r="W89" s="66">
        <f t="shared" si="17"/>
        <v>0</v>
      </c>
      <c r="X89" s="140">
        <f t="shared" si="18"/>
        <v>0</v>
      </c>
      <c r="Y89" s="159">
        <f t="shared" si="19"/>
        <v>0</v>
      </c>
      <c r="Z89" s="218">
        <f t="shared" si="29"/>
        <v>0</v>
      </c>
      <c r="AA89" s="143">
        <f t="shared" si="30"/>
        <v>0</v>
      </c>
      <c r="AB89" s="140">
        <f t="shared" si="20"/>
        <v>0</v>
      </c>
      <c r="AC89" s="210">
        <f t="shared" si="21"/>
        <v>9.0999999999999998E-2</v>
      </c>
      <c r="AD89" s="217">
        <f t="shared" si="38"/>
        <v>9.0999999999999998E-2</v>
      </c>
      <c r="AE89" s="143">
        <f t="shared" si="31"/>
        <v>0</v>
      </c>
      <c r="AF89" s="4"/>
      <c r="AG89" s="4"/>
    </row>
    <row r="90" spans="1:33" x14ac:dyDescent="0.2">
      <c r="A90" s="331" t="s">
        <v>15</v>
      </c>
      <c r="B90" s="140">
        <f t="shared" si="23"/>
        <v>0</v>
      </c>
      <c r="C90" s="159">
        <f t="shared" si="24"/>
        <v>0</v>
      </c>
      <c r="D90" s="159">
        <f t="shared" si="34"/>
        <v>0</v>
      </c>
      <c r="E90" s="66">
        <f t="shared" si="32"/>
        <v>0</v>
      </c>
      <c r="F90" s="140">
        <f t="shared" si="39"/>
        <v>37.5364</v>
      </c>
      <c r="G90" s="159">
        <f t="shared" si="7"/>
        <v>10.115</v>
      </c>
      <c r="H90" s="159">
        <f t="shared" si="26"/>
        <v>47.651400000000002</v>
      </c>
      <c r="I90" s="143">
        <f t="shared" si="27"/>
        <v>4852.3420619999997</v>
      </c>
      <c r="J90" s="140">
        <f t="shared" si="8"/>
        <v>10.700799999999999</v>
      </c>
      <c r="K90" s="159">
        <f t="shared" si="9"/>
        <v>0</v>
      </c>
      <c r="L90" s="218">
        <f t="shared" si="10"/>
        <v>14.9321</v>
      </c>
      <c r="M90" s="159">
        <f t="shared" si="28"/>
        <v>25.632899999999999</v>
      </c>
      <c r="N90" s="216">
        <f>M90*$N$69</f>
        <v>0</v>
      </c>
      <c r="O90" s="140">
        <f t="shared" si="11"/>
        <v>2.88002</v>
      </c>
      <c r="P90" s="159">
        <f t="shared" si="12"/>
        <v>3.5380799999999999</v>
      </c>
      <c r="Q90" s="159">
        <f t="shared" si="13"/>
        <v>0.51471</v>
      </c>
      <c r="R90" s="159">
        <f>O90+P90+Q90</f>
        <v>6.9328099999999999</v>
      </c>
      <c r="S90" s="66">
        <f t="shared" si="33"/>
        <v>0</v>
      </c>
      <c r="T90" s="140">
        <f t="shared" si="14"/>
        <v>4.4098999999999995</v>
      </c>
      <c r="U90" s="159">
        <f t="shared" si="15"/>
        <v>5.1427999999999994</v>
      </c>
      <c r="V90" s="159">
        <f t="shared" si="37"/>
        <v>9.552699999999998</v>
      </c>
      <c r="W90" s="66">
        <f t="shared" si="17"/>
        <v>0</v>
      </c>
      <c r="X90" s="140">
        <f t="shared" si="18"/>
        <v>8.5365000000000002</v>
      </c>
      <c r="Y90" s="159">
        <f t="shared" si="19"/>
        <v>35.402500000000003</v>
      </c>
      <c r="Z90" s="218">
        <f t="shared" si="29"/>
        <v>43.939000000000007</v>
      </c>
      <c r="AA90" s="143">
        <f t="shared" si="30"/>
        <v>0</v>
      </c>
      <c r="AB90" s="140">
        <f t="shared" si="20"/>
        <v>0</v>
      </c>
      <c r="AC90" s="210">
        <f t="shared" si="21"/>
        <v>0</v>
      </c>
      <c r="AD90" s="217">
        <f t="shared" si="38"/>
        <v>0</v>
      </c>
      <c r="AE90" s="143">
        <f t="shared" si="31"/>
        <v>0</v>
      </c>
      <c r="AF90" s="4"/>
      <c r="AG90" s="4"/>
    </row>
    <row r="91" spans="1:33" x14ac:dyDescent="0.2">
      <c r="A91" s="331" t="s">
        <v>203</v>
      </c>
      <c r="B91" s="140">
        <f t="shared" si="23"/>
        <v>0</v>
      </c>
      <c r="C91" s="159">
        <f t="shared" si="24"/>
        <v>0</v>
      </c>
      <c r="D91" s="159">
        <f>B91+C91</f>
        <v>0</v>
      </c>
      <c r="E91" s="66">
        <f>D91*$E$69</f>
        <v>0</v>
      </c>
      <c r="F91" s="140">
        <f t="shared" si="39"/>
        <v>40.050800000000002</v>
      </c>
      <c r="G91" s="159">
        <f t="shared" si="7"/>
        <v>1.97</v>
      </c>
      <c r="H91" s="159">
        <f t="shared" si="26"/>
        <v>42.020800000000001</v>
      </c>
      <c r="I91" s="143">
        <f t="shared" si="27"/>
        <v>4278.9780639999999</v>
      </c>
      <c r="J91" s="140">
        <f t="shared" si="8"/>
        <v>11.4176</v>
      </c>
      <c r="K91" s="159">
        <f t="shared" si="9"/>
        <v>38.8917</v>
      </c>
      <c r="L91" s="218">
        <f t="shared" si="10"/>
        <v>0</v>
      </c>
      <c r="M91" s="159">
        <f t="shared" si="28"/>
        <v>50.3093</v>
      </c>
      <c r="N91" s="216">
        <f>M91*$N$69</f>
        <v>0</v>
      </c>
      <c r="O91" s="140">
        <f t="shared" si="11"/>
        <v>3.0729400000000004</v>
      </c>
      <c r="P91" s="159">
        <f t="shared" si="12"/>
        <v>0</v>
      </c>
      <c r="Q91" s="159">
        <f t="shared" si="13"/>
        <v>0</v>
      </c>
      <c r="R91" s="159">
        <f>O91+P91+Q91</f>
        <v>3.0729400000000004</v>
      </c>
      <c r="S91" s="66">
        <f t="shared" si="33"/>
        <v>0</v>
      </c>
      <c r="T91" s="140">
        <f t="shared" si="14"/>
        <v>4.7053000000000003</v>
      </c>
      <c r="U91" s="159">
        <f t="shared" si="15"/>
        <v>0</v>
      </c>
      <c r="V91" s="159">
        <f>T91+U91</f>
        <v>4.7053000000000003</v>
      </c>
      <c r="W91" s="66">
        <f t="shared" si="17"/>
        <v>0</v>
      </c>
      <c r="X91" s="140">
        <f t="shared" si="18"/>
        <v>0</v>
      </c>
      <c r="Y91" s="159">
        <f t="shared" si="19"/>
        <v>6.8949999999999996</v>
      </c>
      <c r="Z91" s="218">
        <f t="shared" si="29"/>
        <v>6.8949999999999996</v>
      </c>
      <c r="AA91" s="143">
        <f t="shared" si="30"/>
        <v>0</v>
      </c>
      <c r="AB91" s="140">
        <f t="shared" si="20"/>
        <v>20.348399999999998</v>
      </c>
      <c r="AC91" s="210">
        <f t="shared" si="21"/>
        <v>0</v>
      </c>
      <c r="AD91" s="217">
        <f t="shared" si="38"/>
        <v>20.348399999999998</v>
      </c>
      <c r="AE91" s="143">
        <f t="shared" si="31"/>
        <v>0</v>
      </c>
      <c r="AF91" s="4"/>
      <c r="AG91" s="4"/>
    </row>
    <row r="92" spans="1:33" x14ac:dyDescent="0.2">
      <c r="A92" s="331" t="s">
        <v>204</v>
      </c>
      <c r="B92" s="140">
        <f t="shared" si="23"/>
        <v>0</v>
      </c>
      <c r="C92" s="159">
        <f t="shared" si="24"/>
        <v>0</v>
      </c>
      <c r="D92" s="159">
        <f t="shared" si="34"/>
        <v>0</v>
      </c>
      <c r="E92" s="66">
        <f t="shared" si="32"/>
        <v>0</v>
      </c>
      <c r="F92" s="140">
        <f t="shared" si="39"/>
        <v>55.855599999999995</v>
      </c>
      <c r="G92" s="159">
        <f t="shared" si="7"/>
        <v>3.6450000000000005</v>
      </c>
      <c r="H92" s="159">
        <f t="shared" si="26"/>
        <v>59.500599999999999</v>
      </c>
      <c r="I92" s="143">
        <f t="shared" si="27"/>
        <v>6058.9460979999994</v>
      </c>
      <c r="J92" s="140">
        <f t="shared" si="8"/>
        <v>15.9232</v>
      </c>
      <c r="K92" s="159">
        <f t="shared" si="9"/>
        <v>33.3459</v>
      </c>
      <c r="L92" s="218">
        <f t="shared" si="10"/>
        <v>0</v>
      </c>
      <c r="M92" s="159">
        <f t="shared" si="28"/>
        <v>49.269100000000002</v>
      </c>
      <c r="N92" s="216">
        <f>M92*$N$69</f>
        <v>0</v>
      </c>
      <c r="O92" s="140">
        <f t="shared" si="11"/>
        <v>4.2855800000000004</v>
      </c>
      <c r="P92" s="159">
        <f t="shared" si="12"/>
        <v>238.68431999999999</v>
      </c>
      <c r="Q92" s="159">
        <f t="shared" si="13"/>
        <v>28.408379999999998</v>
      </c>
      <c r="R92" s="159">
        <f>O92+P92+Q92</f>
        <v>271.37828000000002</v>
      </c>
      <c r="S92" s="66">
        <f t="shared" si="33"/>
        <v>0</v>
      </c>
      <c r="T92" s="140">
        <f t="shared" si="14"/>
        <v>6.5621</v>
      </c>
      <c r="U92" s="159">
        <f t="shared" si="15"/>
        <v>346.94119999999998</v>
      </c>
      <c r="V92" s="159">
        <f t="shared" si="37"/>
        <v>353.50329999999997</v>
      </c>
      <c r="W92" s="66">
        <f t="shared" si="17"/>
        <v>0</v>
      </c>
      <c r="X92" s="140">
        <f t="shared" si="18"/>
        <v>0</v>
      </c>
      <c r="Y92" s="159">
        <f t="shared" si="19"/>
        <v>12.7575</v>
      </c>
      <c r="Z92" s="218">
        <f t="shared" si="29"/>
        <v>12.7575</v>
      </c>
      <c r="AA92" s="143">
        <f t="shared" si="30"/>
        <v>0</v>
      </c>
      <c r="AB92" s="140">
        <f t="shared" si="20"/>
        <v>17.4468</v>
      </c>
      <c r="AC92" s="210">
        <f t="shared" si="21"/>
        <v>0</v>
      </c>
      <c r="AD92" s="217">
        <f t="shared" si="38"/>
        <v>17.4468</v>
      </c>
      <c r="AE92" s="143">
        <f t="shared" si="31"/>
        <v>0</v>
      </c>
      <c r="AF92" s="4"/>
      <c r="AG92" s="4"/>
    </row>
    <row r="93" spans="1:33" x14ac:dyDescent="0.2">
      <c r="A93" s="331" t="s">
        <v>205</v>
      </c>
      <c r="B93" s="140">
        <f t="shared" si="23"/>
        <v>0</v>
      </c>
      <c r="C93" s="159">
        <f t="shared" si="24"/>
        <v>0</v>
      </c>
      <c r="D93" s="159">
        <f t="shared" si="34"/>
        <v>0</v>
      </c>
      <c r="E93" s="66">
        <f t="shared" si="32"/>
        <v>0</v>
      </c>
      <c r="F93" s="140">
        <f t="shared" si="39"/>
        <v>2.2450000000000001</v>
      </c>
      <c r="G93" s="159">
        <f t="shared" si="7"/>
        <v>0</v>
      </c>
      <c r="H93" s="159">
        <f t="shared" si="26"/>
        <v>2.2450000000000001</v>
      </c>
      <c r="I93" s="143">
        <f t="shared" si="27"/>
        <v>228.60835</v>
      </c>
      <c r="J93" s="140">
        <f t="shared" si="8"/>
        <v>0.64</v>
      </c>
      <c r="K93" s="159">
        <f t="shared" si="9"/>
        <v>1.2323999999999999</v>
      </c>
      <c r="L93" s="218">
        <f t="shared" si="10"/>
        <v>0</v>
      </c>
      <c r="M93" s="159">
        <f t="shared" si="28"/>
        <v>1.8723999999999998</v>
      </c>
      <c r="N93" s="216">
        <f>M93*$N$69</f>
        <v>0</v>
      </c>
      <c r="O93" s="140">
        <f t="shared" si="11"/>
        <v>0.17225000000000001</v>
      </c>
      <c r="P93" s="159">
        <f t="shared" si="12"/>
        <v>9.4575599999999991</v>
      </c>
      <c r="Q93" s="159">
        <f t="shared" si="13"/>
        <v>1.1287499999999999</v>
      </c>
      <c r="R93" s="159">
        <f>O93+P93+Q93</f>
        <v>10.758559999999999</v>
      </c>
      <c r="S93" s="66">
        <f t="shared" si="33"/>
        <v>0</v>
      </c>
      <c r="T93" s="140">
        <f t="shared" si="14"/>
        <v>0.26374999999999998</v>
      </c>
      <c r="U93" s="159">
        <f t="shared" si="15"/>
        <v>13.7471</v>
      </c>
      <c r="V93" s="159">
        <f t="shared" si="37"/>
        <v>14.01085</v>
      </c>
      <c r="W93" s="66">
        <f t="shared" si="17"/>
        <v>0</v>
      </c>
      <c r="X93" s="140">
        <f t="shared" si="18"/>
        <v>0</v>
      </c>
      <c r="Y93" s="159">
        <f t="shared" si="19"/>
        <v>0</v>
      </c>
      <c r="Z93" s="218">
        <f t="shared" si="29"/>
        <v>0</v>
      </c>
      <c r="AA93" s="143">
        <f t="shared" si="30"/>
        <v>0</v>
      </c>
      <c r="AB93" s="140">
        <f t="shared" si="20"/>
        <v>0.64479999999999993</v>
      </c>
      <c r="AC93" s="210">
        <f t="shared" si="21"/>
        <v>0</v>
      </c>
      <c r="AD93" s="217">
        <f t="shared" si="38"/>
        <v>0.64479999999999993</v>
      </c>
      <c r="AE93" s="143">
        <f t="shared" si="31"/>
        <v>0</v>
      </c>
      <c r="AF93" s="4"/>
      <c r="AG93" s="4"/>
    </row>
    <row r="94" spans="1:33" ht="13.5" thickBot="1" x14ac:dyDescent="0.25">
      <c r="A94" s="332" t="s">
        <v>206</v>
      </c>
      <c r="B94" s="326">
        <f t="shared" si="23"/>
        <v>0</v>
      </c>
      <c r="C94" s="327">
        <f t="shared" si="24"/>
        <v>0</v>
      </c>
      <c r="D94" s="327">
        <f>B94+C94</f>
        <v>0</v>
      </c>
      <c r="E94" s="328">
        <f>D94*$E$69</f>
        <v>0</v>
      </c>
      <c r="F94" s="326">
        <f t="shared" si="39"/>
        <v>1.796</v>
      </c>
      <c r="G94" s="327">
        <f t="shared" si="7"/>
        <v>0.14499999999999999</v>
      </c>
      <c r="H94" s="327">
        <f t="shared" si="26"/>
        <v>1.9410000000000001</v>
      </c>
      <c r="I94" s="335">
        <f t="shared" si="27"/>
        <v>197.65203</v>
      </c>
      <c r="J94" s="326">
        <f t="shared" si="8"/>
        <v>0.51200000000000001</v>
      </c>
      <c r="K94" s="327">
        <f t="shared" si="9"/>
        <v>0.68729999999999991</v>
      </c>
      <c r="L94" s="348">
        <f t="shared" si="10"/>
        <v>0</v>
      </c>
      <c r="M94" s="327">
        <f t="shared" si="28"/>
        <v>1.1993</v>
      </c>
      <c r="N94" s="349">
        <f>M94*$N$69</f>
        <v>0</v>
      </c>
      <c r="O94" s="326">
        <f t="shared" si="11"/>
        <v>0.13780000000000001</v>
      </c>
      <c r="P94" s="327">
        <f t="shared" si="12"/>
        <v>7.1782199999999996</v>
      </c>
      <c r="Q94" s="327">
        <f t="shared" si="13"/>
        <v>0.76755000000000007</v>
      </c>
      <c r="R94" s="327">
        <f>O94+P94+Q94</f>
        <v>8.0835699999999999</v>
      </c>
      <c r="S94" s="328">
        <f t="shared" si="33"/>
        <v>0</v>
      </c>
      <c r="T94" s="326">
        <f t="shared" si="14"/>
        <v>0.21099999999999999</v>
      </c>
      <c r="U94" s="327">
        <f t="shared" si="15"/>
        <v>10.433950000000001</v>
      </c>
      <c r="V94" s="327">
        <f>T94+U94</f>
        <v>10.644950000000001</v>
      </c>
      <c r="W94" s="328">
        <f t="shared" si="17"/>
        <v>0</v>
      </c>
      <c r="X94" s="326">
        <f t="shared" si="18"/>
        <v>0</v>
      </c>
      <c r="Y94" s="327">
        <f t="shared" si="19"/>
        <v>0.50749999999999995</v>
      </c>
      <c r="Z94" s="348">
        <f t="shared" si="29"/>
        <v>0.50749999999999995</v>
      </c>
      <c r="AA94" s="335">
        <f t="shared" si="30"/>
        <v>0</v>
      </c>
      <c r="AB94" s="326">
        <f t="shared" si="20"/>
        <v>0.35959999999999998</v>
      </c>
      <c r="AC94" s="362">
        <f t="shared" si="21"/>
        <v>0</v>
      </c>
      <c r="AD94" s="363">
        <f t="shared" si="38"/>
        <v>0.35959999999999998</v>
      </c>
      <c r="AE94" s="335">
        <f t="shared" si="31"/>
        <v>0</v>
      </c>
      <c r="AF94" s="4"/>
      <c r="AG94" s="4"/>
    </row>
    <row r="95" spans="1:33" ht="13.5" thickBot="1" x14ac:dyDescent="0.25">
      <c r="A95" s="156" t="s">
        <v>50</v>
      </c>
      <c r="B95" s="320">
        <f>SUM(B71:B94)</f>
        <v>0</v>
      </c>
      <c r="C95" s="321">
        <f t="shared" ref="C95:AB95" si="40">SUM(C71:C94)</f>
        <v>0</v>
      </c>
      <c r="D95" s="321">
        <f>SUM(D71:D94)</f>
        <v>0</v>
      </c>
      <c r="E95" s="322">
        <f t="shared" si="40"/>
        <v>0</v>
      </c>
      <c r="F95" s="148">
        <f t="shared" si="40"/>
        <v>898.00000000000011</v>
      </c>
      <c r="G95" s="336">
        <f>SUM(G71:G94)</f>
        <v>50.000000000000014</v>
      </c>
      <c r="H95" s="336">
        <f>SUM(H71:H94)</f>
        <v>948</v>
      </c>
      <c r="I95" s="337">
        <f t="shared" si="40"/>
        <v>96534.839999999982</v>
      </c>
      <c r="J95" s="343">
        <f>SUM(J71:J94)</f>
        <v>255.99999999999997</v>
      </c>
      <c r="K95" s="321">
        <f t="shared" si="40"/>
        <v>237</v>
      </c>
      <c r="L95" s="344">
        <f>SUM(L71:L94)</f>
        <v>551</v>
      </c>
      <c r="M95" s="321">
        <f>SUM(M71:M94)</f>
        <v>1044</v>
      </c>
      <c r="N95" s="345">
        <f>SUM(N71:N94)</f>
        <v>0</v>
      </c>
      <c r="O95" s="320">
        <f t="shared" si="40"/>
        <v>68.900000000000006</v>
      </c>
      <c r="P95" s="321">
        <f t="shared" si="40"/>
        <v>340.2</v>
      </c>
      <c r="Q95" s="321">
        <f t="shared" si="40"/>
        <v>90.3</v>
      </c>
      <c r="R95" s="321">
        <f>SUM(R71:R94)</f>
        <v>499.4</v>
      </c>
      <c r="S95" s="322">
        <f t="shared" si="40"/>
        <v>0</v>
      </c>
      <c r="T95" s="320">
        <f t="shared" si="40"/>
        <v>105.49999999999999</v>
      </c>
      <c r="U95" s="321">
        <f t="shared" si="40"/>
        <v>494.49999999999994</v>
      </c>
      <c r="V95" s="321">
        <f t="shared" si="40"/>
        <v>600</v>
      </c>
      <c r="W95" s="355">
        <f t="shared" si="40"/>
        <v>0</v>
      </c>
      <c r="X95" s="320">
        <f t="shared" si="40"/>
        <v>315</v>
      </c>
      <c r="Y95" s="321">
        <f t="shared" si="40"/>
        <v>175</v>
      </c>
      <c r="Z95" s="344">
        <f>SUM(Z71:Z94)</f>
        <v>490</v>
      </c>
      <c r="AA95" s="322">
        <f>SUM(AA71:AA94)</f>
        <v>0</v>
      </c>
      <c r="AB95" s="320">
        <f t="shared" si="40"/>
        <v>124</v>
      </c>
      <c r="AC95" s="343">
        <f>SUM(AC71:AC94)</f>
        <v>182.00000000000003</v>
      </c>
      <c r="AD95" s="321">
        <f>SUM(AD71:AD94)</f>
        <v>306</v>
      </c>
      <c r="AE95" s="322">
        <f>SUM(AE71:AE94)</f>
        <v>0</v>
      </c>
      <c r="AF95" s="4"/>
      <c r="AG95" s="4"/>
    </row>
    <row r="96" spans="1:33" x14ac:dyDescent="0.2">
      <c r="A96" s="160" t="s">
        <v>69</v>
      </c>
      <c r="B96" s="53"/>
      <c r="C96" s="53"/>
      <c r="D96" s="53"/>
      <c r="E96" s="50"/>
      <c r="F96" s="53"/>
      <c r="G96" s="50"/>
      <c r="H96" s="23"/>
      <c r="I96" s="23"/>
      <c r="J96" s="23"/>
      <c r="K96" s="23"/>
      <c r="L96" s="23"/>
      <c r="M96" s="23"/>
      <c r="N96" s="23"/>
      <c r="O96" s="23"/>
      <c r="P96" s="23"/>
      <c r="Q96" s="23"/>
      <c r="R96" s="23"/>
      <c r="S96" s="23"/>
      <c r="T96" s="23"/>
      <c r="U96" s="23"/>
      <c r="V96" s="23"/>
      <c r="W96" s="23"/>
      <c r="X96" s="23"/>
      <c r="Y96" s="23"/>
      <c r="Z96" s="4"/>
      <c r="AA96" s="4"/>
    </row>
    <row r="97" spans="1:27" x14ac:dyDescent="0.2">
      <c r="A97" s="160" t="s">
        <v>213</v>
      </c>
      <c r="B97" s="53"/>
      <c r="C97" s="53"/>
      <c r="D97" s="53"/>
      <c r="E97" s="50"/>
      <c r="F97" s="53"/>
      <c r="G97" s="50"/>
      <c r="H97" s="23"/>
      <c r="I97" s="23"/>
      <c r="J97" s="23"/>
      <c r="K97" s="23"/>
      <c r="L97" s="23"/>
      <c r="M97" s="23"/>
      <c r="N97" s="23"/>
      <c r="O97" s="23"/>
      <c r="P97" s="23"/>
      <c r="Q97" s="23"/>
      <c r="R97" s="23"/>
      <c r="S97" s="23"/>
      <c r="T97" s="23"/>
      <c r="U97" s="23"/>
      <c r="V97" s="23"/>
      <c r="W97" s="23"/>
      <c r="X97" s="23"/>
      <c r="Y97" s="23"/>
      <c r="Z97" s="4"/>
      <c r="AA97" s="4"/>
    </row>
    <row r="98" spans="1:27" x14ac:dyDescent="0.2">
      <c r="A98" s="138" t="s">
        <v>74</v>
      </c>
      <c r="B98" s="168"/>
      <c r="C98" s="168"/>
      <c r="D98" s="54"/>
      <c r="E98" s="23"/>
      <c r="F98" s="23"/>
      <c r="G98" s="23"/>
      <c r="H98" s="23"/>
      <c r="I98" s="23"/>
      <c r="J98" s="23"/>
      <c r="K98" s="23"/>
      <c r="L98" s="23"/>
      <c r="M98" s="23"/>
      <c r="N98" s="23"/>
      <c r="O98" s="23"/>
      <c r="P98" s="23"/>
      <c r="Q98" s="23"/>
      <c r="R98" s="23"/>
      <c r="S98" s="23"/>
      <c r="T98" s="23"/>
      <c r="U98" s="23"/>
      <c r="V98" s="23"/>
      <c r="W98" s="23"/>
      <c r="X98" s="23"/>
      <c r="Y98" s="23"/>
      <c r="Z98" s="4"/>
      <c r="AA98" s="4"/>
    </row>
    <row r="99" spans="1:27" x14ac:dyDescent="0.2">
      <c r="A99" s="138" t="s">
        <v>77</v>
      </c>
      <c r="B99" s="168"/>
      <c r="C99" s="168"/>
      <c r="D99" s="54"/>
      <c r="E99" s="23"/>
      <c r="F99" s="23"/>
      <c r="G99" s="23"/>
      <c r="H99" s="23"/>
      <c r="I99" s="23"/>
      <c r="J99" s="23"/>
      <c r="K99" s="23"/>
      <c r="L99" s="23"/>
      <c r="M99" s="23"/>
      <c r="N99" s="23"/>
      <c r="O99" s="23"/>
      <c r="P99" s="23"/>
      <c r="Q99" s="23"/>
      <c r="R99" s="23"/>
      <c r="S99" s="23"/>
      <c r="T99" s="23"/>
      <c r="U99" s="23"/>
      <c r="V99" s="23"/>
      <c r="W99" s="23"/>
      <c r="X99" s="23"/>
      <c r="Y99" s="23"/>
      <c r="Z99" s="4"/>
      <c r="AA99" s="4"/>
    </row>
    <row r="100" spans="1:27" ht="13.5" thickBot="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row>
    <row r="101" spans="1:27" ht="16.5" thickBot="1" x14ac:dyDescent="0.3">
      <c r="A101" s="177" t="s">
        <v>61</v>
      </c>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row>
    <row r="102" spans="1:27" ht="90" thickBot="1" x14ac:dyDescent="0.25">
      <c r="A102" s="379" t="s">
        <v>3</v>
      </c>
      <c r="B102" s="380" t="s">
        <v>78</v>
      </c>
      <c r="C102" s="381" t="s">
        <v>102</v>
      </c>
      <c r="D102" s="43"/>
      <c r="E102" s="23"/>
      <c r="F102" s="23"/>
      <c r="G102" s="23"/>
      <c r="H102" s="23"/>
      <c r="I102" s="23"/>
      <c r="J102" s="23"/>
      <c r="K102" s="23"/>
      <c r="L102" s="23"/>
      <c r="M102" s="23"/>
      <c r="N102" s="23"/>
      <c r="O102" s="23"/>
      <c r="P102" s="23"/>
      <c r="Q102" s="23"/>
      <c r="R102" s="23"/>
      <c r="S102" s="23"/>
      <c r="T102" s="23"/>
      <c r="U102" s="23"/>
      <c r="V102" s="23"/>
      <c r="W102" s="23"/>
      <c r="X102" s="23"/>
      <c r="Y102" s="23"/>
    </row>
    <row r="103" spans="1:27" x14ac:dyDescent="0.2">
      <c r="A103" s="385" t="s">
        <v>29</v>
      </c>
      <c r="B103" s="386">
        <f>C31*E69</f>
        <v>0</v>
      </c>
      <c r="C103" s="325">
        <f>(C13+C21)*E69</f>
        <v>0</v>
      </c>
      <c r="D103" s="23"/>
      <c r="E103" s="23"/>
      <c r="F103" s="23"/>
      <c r="G103" s="23"/>
      <c r="H103" s="23"/>
      <c r="I103" s="23"/>
      <c r="J103" s="23"/>
      <c r="K103" s="23"/>
      <c r="L103" s="23"/>
      <c r="M103" s="23"/>
      <c r="N103" s="23"/>
      <c r="O103" s="23"/>
      <c r="P103" s="23"/>
      <c r="Q103" s="23"/>
      <c r="R103" s="23"/>
      <c r="S103" s="23"/>
      <c r="T103" s="23"/>
      <c r="U103" s="23"/>
      <c r="V103" s="23"/>
      <c r="W103" s="23"/>
      <c r="X103" s="23"/>
      <c r="Y103" s="23"/>
    </row>
    <row r="104" spans="1:27" x14ac:dyDescent="0.2">
      <c r="A104" s="62" t="s">
        <v>35</v>
      </c>
      <c r="B104" s="65">
        <f>D31*I69</f>
        <v>4073.2</v>
      </c>
      <c r="C104" s="66">
        <f>(D13+D21)*I69</f>
        <v>96534.84</v>
      </c>
      <c r="D104" s="67"/>
      <c r="E104" s="23"/>
      <c r="F104" s="23"/>
      <c r="G104" s="23"/>
      <c r="H104" s="23"/>
      <c r="I104" s="23"/>
      <c r="J104" s="23"/>
      <c r="K104" s="23"/>
      <c r="L104" s="23"/>
      <c r="M104" s="23"/>
      <c r="N104" s="23"/>
      <c r="O104" s="23"/>
      <c r="P104" s="23"/>
      <c r="Q104" s="23"/>
      <c r="R104" s="23"/>
      <c r="S104" s="23"/>
      <c r="T104" s="23"/>
      <c r="U104" s="23"/>
      <c r="V104" s="23"/>
      <c r="W104" s="23"/>
      <c r="X104" s="23"/>
      <c r="Y104" s="23"/>
    </row>
    <row r="105" spans="1:27" x14ac:dyDescent="0.2">
      <c r="A105" s="62" t="s">
        <v>5</v>
      </c>
      <c r="B105" s="65">
        <f>E31*N69</f>
        <v>0</v>
      </c>
      <c r="C105" s="66">
        <f>(E13+E21)*N69</f>
        <v>0</v>
      </c>
      <c r="D105" s="23"/>
      <c r="E105" s="23"/>
      <c r="F105" s="23"/>
      <c r="G105" s="23"/>
      <c r="H105" s="23"/>
      <c r="I105" s="23"/>
      <c r="J105" s="23"/>
      <c r="K105" s="23"/>
      <c r="L105" s="23"/>
      <c r="M105" s="23"/>
      <c r="N105" s="23"/>
      <c r="O105" s="23"/>
      <c r="P105" s="23"/>
      <c r="Q105" s="23"/>
      <c r="R105" s="23"/>
      <c r="S105" s="23"/>
      <c r="T105" s="23"/>
      <c r="U105" s="23"/>
      <c r="V105" s="23"/>
      <c r="W105" s="23"/>
      <c r="X105" s="23"/>
      <c r="Y105" s="23"/>
    </row>
    <row r="106" spans="1:27" x14ac:dyDescent="0.2">
      <c r="A106" s="161" t="s">
        <v>8</v>
      </c>
      <c r="B106" s="65">
        <f>F31*S69</f>
        <v>0</v>
      </c>
      <c r="C106" s="66">
        <f>(F13+F21)*S69</f>
        <v>0</v>
      </c>
      <c r="D106" s="23"/>
      <c r="E106" s="23"/>
      <c r="F106" s="23"/>
      <c r="G106" s="23"/>
      <c r="H106" s="23"/>
      <c r="I106" s="23"/>
      <c r="J106" s="23"/>
      <c r="K106" s="23"/>
      <c r="L106" s="23"/>
      <c r="M106" s="23"/>
      <c r="N106" s="23"/>
      <c r="O106" s="23"/>
      <c r="P106" s="23"/>
      <c r="Q106" s="23"/>
      <c r="R106" s="23"/>
      <c r="S106" s="23"/>
      <c r="T106" s="23"/>
      <c r="U106" s="23"/>
      <c r="V106" s="23"/>
      <c r="W106" s="23"/>
      <c r="X106" s="23"/>
      <c r="Y106" s="23"/>
    </row>
    <row r="107" spans="1:27" x14ac:dyDescent="0.2">
      <c r="A107" s="161" t="s">
        <v>36</v>
      </c>
      <c r="B107" s="65">
        <f>G31*W69</f>
        <v>0</v>
      </c>
      <c r="C107" s="66">
        <f>(G13+G21)*W69</f>
        <v>0</v>
      </c>
      <c r="D107" s="23"/>
      <c r="E107" s="23"/>
      <c r="F107" s="23"/>
      <c r="G107" s="23"/>
      <c r="H107" s="23"/>
      <c r="I107" s="23"/>
      <c r="J107" s="23"/>
      <c r="K107" s="23"/>
      <c r="L107" s="23"/>
      <c r="M107" s="23"/>
      <c r="N107" s="23"/>
      <c r="O107" s="23"/>
      <c r="P107" s="23"/>
      <c r="Q107" s="23"/>
      <c r="R107" s="23"/>
      <c r="S107" s="23"/>
      <c r="T107" s="23"/>
      <c r="U107" s="23"/>
      <c r="V107" s="23"/>
      <c r="W107" s="23"/>
      <c r="X107" s="23"/>
      <c r="Y107" s="23"/>
    </row>
    <row r="108" spans="1:27" x14ac:dyDescent="0.2">
      <c r="A108" s="161" t="s">
        <v>37</v>
      </c>
      <c r="B108" s="162">
        <f>I31*AG69</f>
        <v>0</v>
      </c>
      <c r="C108" s="66">
        <f>(I13+I21)*AG69</f>
        <v>0</v>
      </c>
      <c r="D108" s="23"/>
      <c r="E108" s="23"/>
      <c r="F108" s="23"/>
      <c r="G108" s="23"/>
      <c r="H108" s="23"/>
      <c r="I108" s="23"/>
      <c r="J108" s="23"/>
      <c r="K108" s="23"/>
      <c r="L108" s="23"/>
      <c r="M108" s="23"/>
      <c r="N108" s="23"/>
      <c r="O108" s="23"/>
      <c r="P108" s="23"/>
      <c r="Q108" s="23"/>
      <c r="R108" s="23"/>
      <c r="S108" s="23"/>
      <c r="T108" s="23"/>
      <c r="U108" s="23"/>
      <c r="V108" s="23"/>
      <c r="W108" s="23"/>
      <c r="X108" s="23"/>
      <c r="Y108" s="23"/>
    </row>
    <row r="109" spans="1:27" x14ac:dyDescent="0.2">
      <c r="A109" s="161" t="s">
        <v>15</v>
      </c>
      <c r="B109" s="162">
        <f>J31*AA69</f>
        <v>0</v>
      </c>
      <c r="C109" s="66">
        <f>(J13+J21)*AA69</f>
        <v>0</v>
      </c>
      <c r="D109" s="23"/>
      <c r="E109" s="23"/>
      <c r="F109" s="23"/>
      <c r="G109" s="23"/>
      <c r="H109" s="23"/>
      <c r="I109" s="23"/>
      <c r="J109" s="23"/>
      <c r="K109" s="23"/>
      <c r="L109" s="23"/>
      <c r="M109" s="23"/>
      <c r="N109" s="23"/>
      <c r="O109" s="23"/>
      <c r="P109" s="23"/>
      <c r="Q109" s="23"/>
      <c r="R109" s="23"/>
      <c r="S109" s="23"/>
      <c r="T109" s="23"/>
      <c r="U109" s="23"/>
      <c r="V109" s="23"/>
      <c r="W109" s="23"/>
      <c r="X109" s="23"/>
      <c r="Y109" s="23"/>
    </row>
    <row r="110" spans="1:27" x14ac:dyDescent="0.2">
      <c r="A110" s="161" t="s">
        <v>11</v>
      </c>
      <c r="B110" s="162">
        <f>K31*AE69</f>
        <v>0</v>
      </c>
      <c r="C110" s="163">
        <f>(K13+K21)*AE69</f>
        <v>0</v>
      </c>
      <c r="D110" s="23"/>
      <c r="E110" s="23"/>
      <c r="F110" s="23"/>
      <c r="G110" s="23"/>
      <c r="H110" s="23"/>
      <c r="I110" s="23"/>
      <c r="J110" s="23"/>
      <c r="K110" s="23"/>
      <c r="L110" s="23"/>
      <c r="M110" s="23"/>
      <c r="N110" s="23"/>
      <c r="O110" s="23"/>
      <c r="P110" s="23"/>
      <c r="Q110" s="23"/>
      <c r="R110" s="23"/>
      <c r="S110" s="23"/>
      <c r="T110" s="23"/>
      <c r="U110" s="23"/>
      <c r="V110" s="23"/>
      <c r="W110" s="23"/>
      <c r="X110" s="23"/>
      <c r="Y110" s="23"/>
    </row>
    <row r="111" spans="1:27" ht="13.5" thickBot="1" x14ac:dyDescent="0.25">
      <c r="A111" s="387" t="s">
        <v>52</v>
      </c>
      <c r="B111" s="388">
        <f>L31*AI69</f>
        <v>8287.85</v>
      </c>
      <c r="C111" s="328">
        <f>(L13+L21)*AI69</f>
        <v>0</v>
      </c>
      <c r="D111" s="67"/>
      <c r="E111" s="23"/>
      <c r="F111" s="23"/>
      <c r="G111" s="23"/>
      <c r="H111" s="23"/>
      <c r="I111" s="23"/>
      <c r="J111" s="23"/>
      <c r="K111" s="23"/>
      <c r="L111" s="23"/>
      <c r="M111" s="23"/>
      <c r="N111" s="23"/>
      <c r="O111" s="23"/>
      <c r="P111" s="23"/>
      <c r="Q111" s="23"/>
      <c r="R111" s="23"/>
      <c r="S111" s="23"/>
      <c r="T111" s="23"/>
      <c r="U111" s="23"/>
      <c r="V111" s="23"/>
      <c r="W111" s="23"/>
      <c r="X111" s="23"/>
      <c r="Y111" s="23"/>
    </row>
    <row r="112" spans="1:27" ht="13.5" thickBot="1" x14ac:dyDescent="0.25">
      <c r="A112" s="382" t="s">
        <v>50</v>
      </c>
      <c r="B112" s="383">
        <f>SUM(B103:B111)</f>
        <v>12361.05</v>
      </c>
      <c r="C112" s="384">
        <f>SUM(C103:C111)</f>
        <v>96534.84</v>
      </c>
      <c r="D112" s="23"/>
      <c r="E112" s="23"/>
      <c r="F112" s="23"/>
      <c r="G112" s="23"/>
      <c r="H112" s="23"/>
      <c r="I112" s="23"/>
      <c r="J112" s="23"/>
      <c r="K112" s="23"/>
      <c r="L112" s="23"/>
      <c r="M112" s="23"/>
      <c r="N112" s="23"/>
      <c r="O112" s="23"/>
      <c r="P112" s="23"/>
      <c r="Q112" s="23"/>
      <c r="R112" s="23"/>
      <c r="S112" s="23"/>
      <c r="T112" s="23"/>
      <c r="U112" s="23"/>
      <c r="V112" s="23"/>
      <c r="W112" s="23"/>
      <c r="X112" s="23"/>
      <c r="Y112" s="23"/>
    </row>
    <row r="113" spans="1:25"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row>
    <row r="114" spans="1:25"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row>
    <row r="115" spans="1:25"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row>
    <row r="116" spans="1:25"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row>
    <row r="117" spans="1:25"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row>
    <row r="118" spans="1:25"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row>
    <row r="119" spans="1:25"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row>
    <row r="120" spans="1:25"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row>
    <row r="121" spans="1:25"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row>
    <row r="122" spans="1:25"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row>
    <row r="123" spans="1:25"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row>
    <row r="124" spans="1:25"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row>
    <row r="125" spans="1:25"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row>
    <row r="126" spans="1:25"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row>
    <row r="127" spans="1:25"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row>
    <row r="128" spans="1:25"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row>
    <row r="129" spans="1:25"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row>
    <row r="130" spans="1:25"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row>
    <row r="131" spans="1:25"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row>
    <row r="132" spans="1:25"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row>
    <row r="133" spans="1:25"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row>
    <row r="134" spans="1:25" x14ac:dyDescent="0.2">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row>
    <row r="135" spans="1:25" x14ac:dyDescent="0.2">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row>
    <row r="136" spans="1:25" x14ac:dyDescent="0.2">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row>
    <row r="137" spans="1:25" x14ac:dyDescent="0.2">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row>
    <row r="138" spans="1:25" x14ac:dyDescent="0.2">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row>
    <row r="139" spans="1:25"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row>
    <row r="140" spans="1:25"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row>
    <row r="141" spans="1:25"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row>
    <row r="142" spans="1:25" x14ac:dyDescent="0.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row>
    <row r="143" spans="1:25"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row>
    <row r="144" spans="1:25" x14ac:dyDescent="0.2">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row>
    <row r="145" spans="1:25" x14ac:dyDescent="0.2">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row>
    <row r="146" spans="1:25" x14ac:dyDescent="0.2">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row>
    <row r="147" spans="1:25"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row>
    <row r="148" spans="1:25" x14ac:dyDescent="0.2">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row>
    <row r="149" spans="1:25"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row>
    <row r="150" spans="1:25" x14ac:dyDescent="0.2">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row>
    <row r="151" spans="1:25"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row>
    <row r="152" spans="1:25" x14ac:dyDescent="0.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row>
    <row r="153" spans="1:25"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row>
    <row r="154" spans="1:25" x14ac:dyDescent="0.2">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row>
    <row r="155" spans="1:25"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row>
    <row r="156" spans="1:25" x14ac:dyDescent="0.2">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row>
    <row r="157" spans="1:25"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row>
    <row r="158" spans="1:25" x14ac:dyDescent="0.2">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row>
    <row r="159" spans="1:25"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row>
    <row r="160" spans="1:25" x14ac:dyDescent="0.2">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row>
    <row r="161" spans="1:25"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row>
    <row r="162" spans="1:25"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row>
    <row r="163" spans="1:25"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row>
    <row r="164" spans="1:25" x14ac:dyDescent="0.2">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row>
    <row r="165" spans="1:25"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row>
    <row r="166" spans="1:25" x14ac:dyDescent="0.2">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row>
    <row r="167" spans="1:25" x14ac:dyDescent="0.2">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row>
    <row r="168" spans="1:25" x14ac:dyDescent="0.2">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row>
    <row r="169" spans="1:25"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row>
    <row r="170" spans="1:25" x14ac:dyDescent="0.2">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row>
    <row r="171" spans="1:25" x14ac:dyDescent="0.2">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row>
    <row r="172" spans="1:25" x14ac:dyDescent="0.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row>
  </sheetData>
  <mergeCells count="22">
    <mergeCell ref="X68:AA68"/>
    <mergeCell ref="X69:Z69"/>
    <mergeCell ref="A3:A4"/>
    <mergeCell ref="B68:E68"/>
    <mergeCell ref="B69:D69"/>
    <mergeCell ref="A67:A69"/>
    <mergeCell ref="I64:L64"/>
    <mergeCell ref="O69:R69"/>
    <mergeCell ref="J69:M69"/>
    <mergeCell ref="T69:V69"/>
    <mergeCell ref="A34:K34"/>
    <mergeCell ref="F69:H69"/>
    <mergeCell ref="F68:I68"/>
    <mergeCell ref="J68:N68"/>
    <mergeCell ref="O68:S68"/>
    <mergeCell ref="T68:W68"/>
    <mergeCell ref="AB68:AE68"/>
    <mergeCell ref="AF68:AG68"/>
    <mergeCell ref="AH68:AI68"/>
    <mergeCell ref="AH70:AI70"/>
    <mergeCell ref="AF70:AG70"/>
    <mergeCell ref="AB69:AD69"/>
  </mergeCells>
  <pageMargins left="0" right="0" top="0" bottom="0" header="0.3" footer="0.3"/>
  <pageSetup paperSize="17" scale="36" fitToHeight="0" orientation="landscape" r:id="rId1"/>
  <rowBreaks count="1" manualBreakCount="1">
    <brk id="66"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BRA Resource Clearing Results</vt:lpstr>
      <vt:lpstr>BRA Load Pricing Results</vt:lpstr>
      <vt:lpstr>BRA CTRs</vt:lpstr>
      <vt:lpstr>BRA ICTRs</vt:lpstr>
      <vt:lpstr>'BRA CTRs'!Print_Area</vt:lpstr>
      <vt:lpstr>'BRA ICTRs'!Print_Area</vt:lpstr>
      <vt:lpstr>'BRA Load Pricing Results'!Print_Area</vt:lpstr>
      <vt:lpstr>'BRA Resource Clearing Results'!Print_Area</vt:lpstr>
      <vt:lpstr>Summary!Print_Area</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Keech</dc:creator>
  <cp:lastModifiedBy>Theresa Esterly</cp:lastModifiedBy>
  <cp:lastPrinted>2017-05-23T15:10:13Z</cp:lastPrinted>
  <dcterms:created xsi:type="dcterms:W3CDTF">2007-03-21T19:37:11Z</dcterms:created>
  <dcterms:modified xsi:type="dcterms:W3CDTF">2017-05-23T18:10:25Z</dcterms:modified>
</cp:coreProperties>
</file>